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theme/themeOverride2.xml" ContentType="application/vnd.openxmlformats-officedocument.themeOverride+xml"/>
  <Override PartName="/xl/drawings/drawing5.xml" ContentType="application/vnd.openxmlformats-officedocument.drawing+xml"/>
  <Override PartName="/xl/charts/chart5.xml" ContentType="application/vnd.openxmlformats-officedocument.drawingml.chart+xml"/>
  <Override PartName="/xl/theme/themeOverride3.xml" ContentType="application/vnd.openxmlformats-officedocument.themeOverride+xml"/>
  <Override PartName="/xl/drawings/drawing6.xml" ContentType="application/vnd.openxmlformats-officedocument.drawing+xml"/>
  <Override PartName="/xl/charts/chart6.xml" ContentType="application/vnd.openxmlformats-officedocument.drawingml.chart+xml"/>
  <Override PartName="/xl/theme/themeOverride4.xml" ContentType="application/vnd.openxmlformats-officedocument.themeOverride+xml"/>
  <Override PartName="/xl/drawings/drawing7.xml" ContentType="application/vnd.openxmlformats-officedocument.drawing+xml"/>
  <Override PartName="/xl/charts/chart7.xml" ContentType="application/vnd.openxmlformats-officedocument.drawingml.chart+xml"/>
  <Override PartName="/xl/theme/themeOverride5.xml" ContentType="application/vnd.openxmlformats-officedocument.themeOverride+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xml"/>
  <Override PartName="/xl/charts/chart9.xml" ContentType="application/vnd.openxmlformats-officedocument.drawingml.chart+xml"/>
  <Override PartName="/xl/theme/themeOverride6.xml" ContentType="application/vnd.openxmlformats-officedocument.themeOverride+xml"/>
  <Override PartName="/xl/drawings/drawing10.xml" ContentType="application/vnd.openxmlformats-officedocument.drawing+xml"/>
  <Override PartName="/xl/charts/chart10.xml" ContentType="application/vnd.openxmlformats-officedocument.drawingml.chart+xml"/>
  <Override PartName="/xl/drawings/drawing11.xml" ContentType="application/vnd.openxmlformats-officedocument.drawing+xml"/>
  <Override PartName="/xl/charts/chart11.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DieseArbeitsmappe"/>
  <mc:AlternateContent xmlns:mc="http://schemas.openxmlformats.org/markup-compatibility/2006">
    <mc:Choice Requires="x15">
      <x15ac:absPath xmlns:x15ac="http://schemas.microsoft.com/office/spreadsheetml/2010/11/ac" url="C:\Repository\ForcesToNodes\"/>
    </mc:Choice>
  </mc:AlternateContent>
  <xr:revisionPtr revIDLastSave="0" documentId="13_ncr:1_{1986E96A-0176-4E55-858F-B8C6D190B717}" xr6:coauthVersionLast="47" xr6:coauthVersionMax="47" xr10:uidLastSave="{00000000-0000-0000-0000-000000000000}"/>
  <bookViews>
    <workbookView xWindow="22932" yWindow="-108" windowWidth="23256" windowHeight="13896" firstSheet="1" activeTab="2" xr2:uid="{00000000-000D-0000-FFFF-FFFF00000000}"/>
  </bookViews>
  <sheets>
    <sheet name="Hinweise" sheetId="26" r:id="rId1"/>
    <sheet name="PreProzessor" sheetId="2" r:id="rId2"/>
    <sheet name="Knoten" sheetId="3" r:id="rId3"/>
    <sheet name="Element" sheetId="4" r:id="rId4"/>
    <sheet name="System" sheetId="5" r:id="rId5"/>
    <sheet name="Ksys" sheetId="6" r:id="rId6"/>
    <sheet name="Normalkraft" sheetId="7" r:id="rId7"/>
    <sheet name="Querkraft" sheetId="8" r:id="rId8"/>
    <sheet name="Momente" sheetId="9" r:id="rId9"/>
    <sheet name="Querverschiebung" sheetId="10" r:id="rId10"/>
    <sheet name="SensA" sheetId="11" r:id="rId11"/>
    <sheet name="Einflusslinie" sheetId="12" r:id="rId12"/>
    <sheet name="L-V" sheetId="16" r:id="rId13"/>
    <sheet name="Symbole" sheetId="13" r:id="rId14"/>
    <sheet name="KLasten" sheetId="14" r:id="rId15"/>
    <sheet name="ELasten" sheetId="15" r:id="rId16"/>
    <sheet name="PlotData" sheetId="17" r:id="rId17"/>
    <sheet name="PlotM" sheetId="18" r:id="rId18"/>
    <sheet name="PlotQ" sheetId="19" r:id="rId19"/>
    <sheet name="PlotN" sheetId="20" r:id="rId20"/>
    <sheet name="PlotS" sheetId="21" r:id="rId21"/>
    <sheet name="PlotU" sheetId="22" r:id="rId22"/>
    <sheet name="EleMats" sheetId="23" r:id="rId23"/>
    <sheet name="Neuerungen" sheetId="27" r:id="rId24"/>
    <sheet name="SetUp" sheetId="24" r:id="rId25"/>
    <sheet name="Versionsverlauf" sheetId="25" r:id="rId26"/>
  </sheets>
  <functionGroups builtInGroupCount="19"/>
  <definedNames>
    <definedName name="_xlnm._FilterDatabase" localSheetId="2" hidden="1">Knoten!$E$1:$G$748</definedName>
    <definedName name="alphaT_ele">System!$AD$3:$AD$43</definedName>
    <definedName name="Astr">Element!$G$10</definedName>
    <definedName name="Ax_node">Knoten!$N$2:$N$42</definedName>
    <definedName name="Az_node">Knoten!$O$2:$O$42</definedName>
    <definedName name="Bettungsziffer_ele">System!$AP$3:$AP$43</definedName>
    <definedName name="Bstr">Element!$H$10</definedName>
    <definedName name="cos">Element!$K$53</definedName>
    <definedName name="Cstr">Element!$I$10</definedName>
    <definedName name="Deform_ende_x">PlotData!$BL$3:$BL$43</definedName>
    <definedName name="Deform_ende_z">PlotData!$BY$3:$BY$43</definedName>
    <definedName name="Deform_start_x">PlotData!$BB$3:$BB$43</definedName>
    <definedName name="Deform_start_z">PlotData!$BO$3:$BO$43</definedName>
    <definedName name="Deform_x">Symbole!$Z$5:$Z$25</definedName>
    <definedName name="Deform_z">Symbole!$AA$5:$AA$25</definedName>
    <definedName name="deltaTM_ele">System!$AB$3:$AB$43</definedName>
    <definedName name="deltaTN_ele">System!$AC$3:$AC$43</definedName>
    <definedName name="Drehfeder_x">Symbole!$C$147:$AH$166</definedName>
    <definedName name="Drehfeder_z">Symbole!$C$171:$AH$190</definedName>
    <definedName name="Dstr">Element!$J$10</definedName>
    <definedName name="e_1" localSheetId="3">Element!$J$7</definedName>
    <definedName name="e_2" localSheetId="3">Element!$K$7</definedName>
    <definedName name="e1_ele">System!$Y$3:$Y$43</definedName>
    <definedName name="e2_ele">System!$Z$3:$Z$43</definedName>
    <definedName name="EA">Element!$D$7</definedName>
    <definedName name="EA_ele">System!$H$3:$H$43</definedName>
    <definedName name="EI">Element!$C$7</definedName>
    <definedName name="EI_ele">System!$G$3:$G$43</definedName>
    <definedName name="Eigengewicht_x">ELasten!$B$403:$R$442</definedName>
    <definedName name="Eigengewicht_z">ELasten!$S$403:$AI$442</definedName>
    <definedName name="Einflusslinie_node">Knoten!$AE$2:$AE$42</definedName>
    <definedName name="Einheitslast_ele">System!$AQ$3:$AQ$43</definedName>
    <definedName name="Einheitslast_x">ELasten!$B$667:$M$706</definedName>
    <definedName name="Einheitslast_z">ELasten!$N$667:$Y$706</definedName>
    <definedName name="ele_cosinus">System!$BK$121:$BK$161</definedName>
    <definedName name="ele_grav">System!$AM$3:$AM$43</definedName>
    <definedName name="ele_N_ThIO">System!$AI$3:$AI$43</definedName>
    <definedName name="ele_Parameter">System!$AT$3:$AT$43</definedName>
    <definedName name="ele_Response">System!$AS$3:$AS$43</definedName>
    <definedName name="ele_snow">System!$AN$3:$AN$43</definedName>
    <definedName name="ele_splitted">System!$AU$3:$AU$43</definedName>
    <definedName name="ele_wind">System!$AO$3:$AO$43</definedName>
    <definedName name="ElementNummer">Element!$D$1</definedName>
    <definedName name="epsT" localSheetId="3">Element!$M$7</definedName>
    <definedName name="f_ele">System!$AA$3:$AA$43</definedName>
    <definedName name="F0" localSheetId="3">Element!$I$7</definedName>
    <definedName name="FGphi_node">Knoten!$G$2:$G$42</definedName>
    <definedName name="FGu_node">Knoten!$E$2:$E$42</definedName>
    <definedName name="FGw_node">Knoten!$F$2:$F$42</definedName>
    <definedName name="Fku_node">Knoten!$T$2:$T$42</definedName>
    <definedName name="Fkw_node">Knoten!$U$2:$U$42</definedName>
    <definedName name="GAs_ele">System!$I$3:$I$43</definedName>
    <definedName name="GE">Element!$M$10</definedName>
    <definedName name="GE_ele">System!$J$3:$J$43</definedName>
    <definedName name="h_ele">System!$AE$3:$AE$43</definedName>
    <definedName name="h_x">Symbole!$AF$123:$AR$142</definedName>
    <definedName name="h_z">Symbole!$AS$123:$BE$142</definedName>
    <definedName name="hor_Feder_x">Symbole!$C$123:$O$142</definedName>
    <definedName name="hor_Feder_z">Symbole!$P$123:$AB$142</definedName>
    <definedName name="k_e">Element!$C$16:$H$21</definedName>
    <definedName name="k_Global">Element!$C$26:$H$31</definedName>
    <definedName name="kappaT" localSheetId="3">Element!$N$7</definedName>
    <definedName name="Knoten_a">System!$C$3:$C$43</definedName>
    <definedName name="Knoten_b">System!$D$3:$D$43</definedName>
    <definedName name="knoten_delete">Knoten!$C$3:$AL$42</definedName>
    <definedName name="Knoten_reset">Knoten!$H$3:$AD$42</definedName>
    <definedName name="Knotendaten">Knoten!$C$3:$AL$42</definedName>
    <definedName name="Knotenverdrehung_node">Knoten!$W$2:$W$42</definedName>
    <definedName name="kphi_node">Knoten!$S$2:$S$42</definedName>
    <definedName name="ku_node">Knoten!$Q$2:$Q$42</definedName>
    <definedName name="kw_node">Knoten!$R$2:$R$42</definedName>
    <definedName name="L">Element!$G$7</definedName>
    <definedName name="Laenge_ele">System!$E$3:$E$43</definedName>
    <definedName name="Lastfaktor">Knoten!$AG$23</definedName>
    <definedName name="lin_qx_x">ELasten!$B$135:$O$174</definedName>
    <definedName name="lin_qx_z">ELasten!$P$135:$AC$174</definedName>
    <definedName name="lin_qxi">System!$BN$121:$BN$161</definedName>
    <definedName name="lin_qxk">System!$BO$121:$BO$161</definedName>
    <definedName name="lin_qz_x">ELasten!$B$225:$R$264</definedName>
    <definedName name="lin_qz_z">ELasten!$S$225:$AI$264</definedName>
    <definedName name="lin_qzi">System!$BP$121:$BP$161</definedName>
    <definedName name="lin_qzk">System!$BQ$121:$BQ$161</definedName>
    <definedName name="MAy_node">Knoten!$P$2:$P$42</definedName>
    <definedName name="Mi">Element!$N$18</definedName>
    <definedName name="Mk">Element!$N$21</definedName>
    <definedName name="Mkphi_node">Knoten!$V$2:$V$42</definedName>
    <definedName name="Mpl_ele">System!$AR$3:$AR$43</definedName>
    <definedName name="Mpl_node">Knoten!$X$2:$X$42</definedName>
    <definedName name="My_node">Knoten!$J$2:$J$42</definedName>
    <definedName name="N">Element!$C$10</definedName>
    <definedName name="p">Element!$L$16:$L$21</definedName>
    <definedName name="P_ele">System!$X$3:$X$43</definedName>
    <definedName name="p0">Element!$O$16:$O$21</definedName>
    <definedName name="Parameter">Momente!$T$47</definedName>
    <definedName name="phi_node">Knoten!$M$2:$M$42</definedName>
    <definedName name="phi_x">Symbole!$AL$147:$BQ$166</definedName>
    <definedName name="phi_z">Symbole!$AL$171:$BQ$190</definedName>
    <definedName name="phi0_node">Knoten!$AD$2:$AD$42</definedName>
    <definedName name="phipl_node">Knoten!$Y$2:$Y$42</definedName>
    <definedName name="psi">Element!$E$10</definedName>
    <definedName name="psizero_ele">System!$AG$3:$AG$43</definedName>
    <definedName name="Px_node">Knoten!$H$2:$H$42</definedName>
    <definedName name="Pz_node">Knoten!$I$2:$I$42</definedName>
    <definedName name="qs" localSheetId="3">-8*N*w0/L^2</definedName>
    <definedName name="qx">Element!$E$7</definedName>
    <definedName name="qxGlob_ele">System!$N$3:$N$43</definedName>
    <definedName name="qxi_glob">System!$T$3:$T$43</definedName>
    <definedName name="qxiGlob_ele">System!$T$3:$T$43</definedName>
    <definedName name="qxiLoc_ele">System!$P$3:$P$43</definedName>
    <definedName name="qxk_glob">System!$U$3:$U$43</definedName>
    <definedName name="qxkGlob_ele">System!$U$3:$U$43</definedName>
    <definedName name="qxkLoc_ele">System!$Q$3:$Q$43</definedName>
    <definedName name="qxLoc_ele">System!$L$3:$L$43</definedName>
    <definedName name="qz">Element!$F$7</definedName>
    <definedName name="qzGlob_ele">System!$O$3:$O$43</definedName>
    <definedName name="qzi_glob">System!$V$3:$V$43</definedName>
    <definedName name="qziGlob_ele">System!$V$3:$V$43</definedName>
    <definedName name="qziLoc_ele">System!$R$3:$R$43</definedName>
    <definedName name="qzk_glob">System!$W$3:$W$43</definedName>
    <definedName name="qzkGlob_ele">System!$W$3:$W$43</definedName>
    <definedName name="qzkLoc_ele">System!$S$3:$S$43</definedName>
    <definedName name="qzLoc_ele">System!$M$3:$M$43</definedName>
    <definedName name="S_ele">System!$AH$3:$AH$43</definedName>
    <definedName name="Schneelast_x">ELasten!$B$491:$R$530</definedName>
    <definedName name="Schneelast_z">ELasten!$S$491:$AI$530</definedName>
    <definedName name="SetUpdaten">SetUp!$A$1:$B$33</definedName>
    <definedName name="sin">Element!$J$53</definedName>
    <definedName name="system_delete">System!$C$4:$AR$43</definedName>
    <definedName name="system_reset">System!$L$4:$AO$43</definedName>
    <definedName name="systemdaten">System!$C$4:$AT$43</definedName>
    <definedName name="T">Element!$C$53:$H$58</definedName>
    <definedName name="Temperatur_x">ELasten!$AG$270:$AQ$309</definedName>
    <definedName name="Temperatur_z">ELasten!$AR$270:$BB$309</definedName>
    <definedName name="Theorie_ele">System!$K$3:$K$43</definedName>
    <definedName name="ThIIIOdX">System!$AJ$3:$AJ$43</definedName>
    <definedName name="ThIIIOdY">System!$AK$3:$AK$43</definedName>
    <definedName name="ThIIIOpsi">System!$AL$3:$AL$43</definedName>
    <definedName name="u_node">Knoten!$K$2:$K$42</definedName>
    <definedName name="u0_node">Knoten!$AB$2:$AB$42</definedName>
    <definedName name="v">Element!$F$44:$F$49</definedName>
    <definedName name="v_x">Symbole!$AF$99:$AR$118</definedName>
    <definedName name="v_z">Symbole!$AS$99:$BE$118</definedName>
    <definedName name="vert_Feder_x">Symbole!$C$99:$O$118</definedName>
    <definedName name="vert_Feder_z">Symbole!$P$99:$AB$118</definedName>
    <definedName name="Vorspannung_x">ELasten!$J$316:$K$355</definedName>
    <definedName name="Vorspannung_z">ELasten!$L$316:$M$355</definedName>
    <definedName name="Vstr">Element!$K$10</definedName>
    <definedName name="w_node">Knoten!$L$2:$L$42</definedName>
    <definedName name="w0">Element!$D$10</definedName>
    <definedName name="w0_node">Knoten!$AC$2:$AC$42</definedName>
    <definedName name="Windlast_x">ELasten!$B$579:$AD$618</definedName>
    <definedName name="Windlast_z">ELasten!$AE$579:$BG$618</definedName>
    <definedName name="Winkel_ele">System!$F$3:$F$43</definedName>
    <definedName name="wzero_ele">System!$AF$3:$AF$43</definedName>
    <definedName name="x_node">Knoten!$C$2:$C$42</definedName>
    <definedName name="x0_node">Knoten!$Z$2:$Z$42</definedName>
    <definedName name="z_node">Knoten!$D$2:$D$42</definedName>
    <definedName name="z0_node">Knoten!$AA$2:$AA$42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119" i="5" l="1"/>
  <c r="BD119" i="5"/>
  <c r="BD110" i="5"/>
  <c r="BC110" i="5"/>
  <c r="BD161" i="5"/>
  <c r="BD159" i="5"/>
  <c r="BD160" i="5"/>
  <c r="BD140" i="5"/>
  <c r="BD135" i="5"/>
  <c r="BD151" i="5"/>
  <c r="BD152" i="5"/>
  <c r="BD146" i="5"/>
  <c r="BD139" i="5"/>
  <c r="BD153" i="5"/>
  <c r="BD137" i="5"/>
  <c r="BD136" i="5"/>
  <c r="BD141" i="5"/>
  <c r="BD148" i="5"/>
  <c r="BD145" i="5"/>
  <c r="BD144" i="5"/>
  <c r="BD156" i="5"/>
  <c r="BD143" i="5"/>
  <c r="BD158" i="5"/>
  <c r="BD142" i="5"/>
  <c r="BD138" i="5"/>
  <c r="BD149" i="5"/>
  <c r="BD154" i="5"/>
  <c r="BD150" i="5"/>
  <c r="BD157" i="5"/>
  <c r="BD147" i="5"/>
  <c r="BD155" i="5"/>
  <c r="BD134" i="5"/>
  <c r="BD131" i="5"/>
  <c r="BD129" i="5"/>
  <c r="BD133" i="5"/>
  <c r="BD130" i="5"/>
  <c r="BD132" i="5"/>
  <c r="BE88" i="22" l="1"/>
  <c r="BD88" i="22"/>
  <c r="BC88" i="22"/>
  <c r="BB88" i="22"/>
  <c r="BA88" i="22"/>
  <c r="AZ88" i="22"/>
  <c r="AY88" i="22"/>
  <c r="AX88" i="22"/>
  <c r="AW88" i="22"/>
  <c r="AV88" i="22"/>
  <c r="AU88" i="22"/>
  <c r="AT88" i="22"/>
  <c r="AS88" i="22"/>
  <c r="AR88" i="22"/>
  <c r="AO88" i="22"/>
  <c r="AN88" i="22"/>
  <c r="AM88" i="22"/>
  <c r="AL88" i="22"/>
  <c r="AK88" i="22"/>
  <c r="AJ88" i="22"/>
  <c r="AI88" i="22"/>
  <c r="AH88" i="22"/>
  <c r="AG88" i="22"/>
  <c r="AF88" i="22"/>
  <c r="AE88" i="22"/>
  <c r="AD88" i="22"/>
  <c r="AC88" i="22"/>
  <c r="AB88" i="22"/>
  <c r="BE87" i="22"/>
  <c r="BD87" i="22"/>
  <c r="BC87" i="22"/>
  <c r="BB87" i="22"/>
  <c r="BA87" i="22"/>
  <c r="AZ87" i="22"/>
  <c r="AY87" i="22"/>
  <c r="AX87" i="22"/>
  <c r="AW87" i="22"/>
  <c r="AV87" i="22"/>
  <c r="AU87" i="22"/>
  <c r="AT87" i="22"/>
  <c r="AS87" i="22"/>
  <c r="AR87" i="22"/>
  <c r="AO87" i="22"/>
  <c r="AN87" i="22"/>
  <c r="AM87" i="22"/>
  <c r="AL87" i="22"/>
  <c r="AK87" i="22"/>
  <c r="AJ87" i="22"/>
  <c r="AI87" i="22"/>
  <c r="AH87" i="22"/>
  <c r="AG87" i="22"/>
  <c r="AF87" i="22"/>
  <c r="AE87" i="22"/>
  <c r="AD87" i="22"/>
  <c r="AC87" i="22"/>
  <c r="AB87" i="22"/>
  <c r="BE86" i="22"/>
  <c r="BD86" i="22"/>
  <c r="BC86" i="22"/>
  <c r="BB86" i="22"/>
  <c r="BA86" i="22"/>
  <c r="AZ86" i="22"/>
  <c r="AY86" i="22"/>
  <c r="AX86" i="22"/>
  <c r="AW86" i="22"/>
  <c r="AV86" i="22"/>
  <c r="AU86" i="22"/>
  <c r="AT86" i="22"/>
  <c r="AS86" i="22"/>
  <c r="AR86" i="22"/>
  <c r="AO86" i="22"/>
  <c r="AN86" i="22"/>
  <c r="AM86" i="22"/>
  <c r="AL86" i="22"/>
  <c r="AK86" i="22"/>
  <c r="AJ86" i="22"/>
  <c r="AI86" i="22"/>
  <c r="AH86" i="22"/>
  <c r="AG86" i="22"/>
  <c r="AF86" i="22"/>
  <c r="AE86" i="22"/>
  <c r="AD86" i="22"/>
  <c r="AC86" i="22"/>
  <c r="AB86" i="22"/>
  <c r="BE85" i="22"/>
  <c r="BD85" i="22"/>
  <c r="BC85" i="22"/>
  <c r="BB85" i="22"/>
  <c r="BA85" i="22"/>
  <c r="AZ85" i="22"/>
  <c r="AY85" i="22"/>
  <c r="AX85" i="22"/>
  <c r="AW85" i="22"/>
  <c r="AV85" i="22"/>
  <c r="AU85" i="22"/>
  <c r="AT85" i="22"/>
  <c r="AS85" i="22"/>
  <c r="AR85" i="22"/>
  <c r="AO85" i="22"/>
  <c r="AN85" i="22"/>
  <c r="AM85" i="22"/>
  <c r="AL85" i="22"/>
  <c r="AK85" i="22"/>
  <c r="AJ85" i="22"/>
  <c r="AI85" i="22"/>
  <c r="AH85" i="22"/>
  <c r="AG85" i="22"/>
  <c r="AF85" i="22"/>
  <c r="AE85" i="22"/>
  <c r="AD85" i="22"/>
  <c r="AC85" i="22"/>
  <c r="AB85" i="22"/>
  <c r="BE84" i="22"/>
  <c r="BD84" i="22"/>
  <c r="BC84" i="22"/>
  <c r="BB84" i="22"/>
  <c r="BA84" i="22"/>
  <c r="AZ84" i="22"/>
  <c r="AY84" i="22"/>
  <c r="AX84" i="22"/>
  <c r="AW84" i="22"/>
  <c r="AV84" i="22"/>
  <c r="AU84" i="22"/>
  <c r="AT84" i="22"/>
  <c r="AS84" i="22"/>
  <c r="AR84" i="22"/>
  <c r="AO84" i="22"/>
  <c r="AN84" i="22"/>
  <c r="AM84" i="22"/>
  <c r="AL84" i="22"/>
  <c r="AK84" i="22"/>
  <c r="AJ84" i="22"/>
  <c r="AI84" i="22"/>
  <c r="AH84" i="22"/>
  <c r="AG84" i="22"/>
  <c r="AF84" i="22"/>
  <c r="AE84" i="22"/>
  <c r="AD84" i="22"/>
  <c r="AC84" i="22"/>
  <c r="AB84" i="22"/>
  <c r="BE83" i="22"/>
  <c r="BD83" i="22"/>
  <c r="BC83" i="22"/>
  <c r="BB83" i="22"/>
  <c r="BA83" i="22"/>
  <c r="AZ83" i="22"/>
  <c r="AY83" i="22"/>
  <c r="AX83" i="22"/>
  <c r="AW83" i="22"/>
  <c r="AV83" i="22"/>
  <c r="AU83" i="22"/>
  <c r="AT83" i="22"/>
  <c r="AS83" i="22"/>
  <c r="AR83" i="22"/>
  <c r="AO83" i="22"/>
  <c r="AN83" i="22"/>
  <c r="AM83" i="22"/>
  <c r="AL83" i="22"/>
  <c r="AK83" i="22"/>
  <c r="AJ83" i="22"/>
  <c r="AI83" i="22"/>
  <c r="AH83" i="22"/>
  <c r="AG83" i="22"/>
  <c r="AF83" i="22"/>
  <c r="AE83" i="22"/>
  <c r="AD83" i="22"/>
  <c r="AC83" i="22"/>
  <c r="AB83" i="22"/>
  <c r="BE82" i="22"/>
  <c r="BD82" i="22"/>
  <c r="BC82" i="22"/>
  <c r="BB82" i="22"/>
  <c r="BA82" i="22"/>
  <c r="AZ82" i="22"/>
  <c r="AY82" i="22"/>
  <c r="AX82" i="22"/>
  <c r="AW82" i="22"/>
  <c r="AV82" i="22"/>
  <c r="AU82" i="22"/>
  <c r="AT82" i="22"/>
  <c r="AS82" i="22"/>
  <c r="AR82" i="22"/>
  <c r="AO82" i="22"/>
  <c r="AN82" i="22"/>
  <c r="AM82" i="22"/>
  <c r="AL82" i="22"/>
  <c r="AK82" i="22"/>
  <c r="AJ82" i="22"/>
  <c r="AI82" i="22"/>
  <c r="AH82" i="22"/>
  <c r="AG82" i="22"/>
  <c r="AF82" i="22"/>
  <c r="AE82" i="22"/>
  <c r="AD82" i="22"/>
  <c r="AC82" i="22"/>
  <c r="AB82" i="22"/>
  <c r="BE81" i="22"/>
  <c r="BD81" i="22"/>
  <c r="BC81" i="22"/>
  <c r="BB81" i="22"/>
  <c r="BA81" i="22"/>
  <c r="AZ81" i="22"/>
  <c r="AY81" i="22"/>
  <c r="AX81" i="22"/>
  <c r="AW81" i="22"/>
  <c r="AV81" i="22"/>
  <c r="AU81" i="22"/>
  <c r="AT81" i="22"/>
  <c r="AS81" i="22"/>
  <c r="AR81" i="22"/>
  <c r="AO81" i="22"/>
  <c r="AN81" i="22"/>
  <c r="AM81" i="22"/>
  <c r="AL81" i="22"/>
  <c r="AK81" i="22"/>
  <c r="AJ81" i="22"/>
  <c r="AI81" i="22"/>
  <c r="AH81" i="22"/>
  <c r="AG81" i="22"/>
  <c r="AF81" i="22"/>
  <c r="AE81" i="22"/>
  <c r="AD81" i="22"/>
  <c r="AC81" i="22"/>
  <c r="AB81" i="22"/>
  <c r="BE80" i="22"/>
  <c r="BD80" i="22"/>
  <c r="BC80" i="22"/>
  <c r="BB80" i="22"/>
  <c r="BA80" i="22"/>
  <c r="AZ80" i="22"/>
  <c r="AY80" i="22"/>
  <c r="AX80" i="22"/>
  <c r="AW80" i="22"/>
  <c r="AV80" i="22"/>
  <c r="AU80" i="22"/>
  <c r="AT80" i="22"/>
  <c r="AS80" i="22"/>
  <c r="AR80" i="22"/>
  <c r="AO80" i="22"/>
  <c r="AN80" i="22"/>
  <c r="AM80" i="22"/>
  <c r="AL80" i="22"/>
  <c r="AK80" i="22"/>
  <c r="AJ80" i="22"/>
  <c r="AI80" i="22"/>
  <c r="AH80" i="22"/>
  <c r="AG80" i="22"/>
  <c r="AF80" i="22"/>
  <c r="AE80" i="22"/>
  <c r="AD80" i="22"/>
  <c r="AC80" i="22"/>
  <c r="AB80" i="22"/>
  <c r="BE79" i="22"/>
  <c r="BD79" i="22"/>
  <c r="BC79" i="22"/>
  <c r="BB79" i="22"/>
  <c r="BA79" i="22"/>
  <c r="AZ79" i="22"/>
  <c r="AY79" i="22"/>
  <c r="AX79" i="22"/>
  <c r="AW79" i="22"/>
  <c r="AV79" i="22"/>
  <c r="AU79" i="22"/>
  <c r="AT79" i="22"/>
  <c r="AS79" i="22"/>
  <c r="AR79" i="22"/>
  <c r="AO79" i="22"/>
  <c r="AN79" i="22"/>
  <c r="AM79" i="22"/>
  <c r="AL79" i="22"/>
  <c r="AK79" i="22"/>
  <c r="AJ79" i="22"/>
  <c r="AI79" i="22"/>
  <c r="AH79" i="22"/>
  <c r="AG79" i="22"/>
  <c r="AF79" i="22"/>
  <c r="AE79" i="22"/>
  <c r="AD79" i="22"/>
  <c r="AC79" i="22"/>
  <c r="AB79" i="22"/>
  <c r="BE78" i="22"/>
  <c r="BD78" i="22"/>
  <c r="BC78" i="22"/>
  <c r="BB78" i="22"/>
  <c r="BA78" i="22"/>
  <c r="AZ78" i="22"/>
  <c r="AY78" i="22"/>
  <c r="AX78" i="22"/>
  <c r="AW78" i="22"/>
  <c r="AV78" i="22"/>
  <c r="AU78" i="22"/>
  <c r="AT78" i="22"/>
  <c r="AS78" i="22"/>
  <c r="AR78" i="22"/>
  <c r="AO78" i="22"/>
  <c r="AN78" i="22"/>
  <c r="AM78" i="22"/>
  <c r="AL78" i="22"/>
  <c r="AK78" i="22"/>
  <c r="AJ78" i="22"/>
  <c r="AI78" i="22"/>
  <c r="AH78" i="22"/>
  <c r="AG78" i="22"/>
  <c r="AF78" i="22"/>
  <c r="AE78" i="22"/>
  <c r="AD78" i="22"/>
  <c r="AC78" i="22"/>
  <c r="AB78" i="22"/>
  <c r="BE77" i="22"/>
  <c r="BD77" i="22"/>
  <c r="BC77" i="22"/>
  <c r="BB77" i="22"/>
  <c r="BA77" i="22"/>
  <c r="AZ77" i="22"/>
  <c r="AY77" i="22"/>
  <c r="AX77" i="22"/>
  <c r="AW77" i="22"/>
  <c r="AV77" i="22"/>
  <c r="AU77" i="22"/>
  <c r="AT77" i="22"/>
  <c r="AS77" i="22"/>
  <c r="AR77" i="22"/>
  <c r="AO77" i="22"/>
  <c r="AN77" i="22"/>
  <c r="AM77" i="22"/>
  <c r="AL77" i="22"/>
  <c r="AK77" i="22"/>
  <c r="AJ77" i="22"/>
  <c r="AI77" i="22"/>
  <c r="AH77" i="22"/>
  <c r="AG77" i="22"/>
  <c r="AF77" i="22"/>
  <c r="AE77" i="22"/>
  <c r="AD77" i="22"/>
  <c r="AC77" i="22"/>
  <c r="AB77" i="22"/>
  <c r="BE76" i="22"/>
  <c r="BD76" i="22"/>
  <c r="BC76" i="22"/>
  <c r="BB76" i="22"/>
  <c r="BA76" i="22"/>
  <c r="AZ76" i="22"/>
  <c r="AY76" i="22"/>
  <c r="AX76" i="22"/>
  <c r="AW76" i="22"/>
  <c r="AV76" i="22"/>
  <c r="AU76" i="22"/>
  <c r="AT76" i="22"/>
  <c r="AS76" i="22"/>
  <c r="AR76" i="22"/>
  <c r="AO76" i="22"/>
  <c r="AN76" i="22"/>
  <c r="AM76" i="22"/>
  <c r="AL76" i="22"/>
  <c r="AK76" i="22"/>
  <c r="AJ76" i="22"/>
  <c r="AI76" i="22"/>
  <c r="AH76" i="22"/>
  <c r="AG76" i="22"/>
  <c r="AF76" i="22"/>
  <c r="AE76" i="22"/>
  <c r="AD76" i="22"/>
  <c r="AC76" i="22"/>
  <c r="AB76" i="22"/>
  <c r="BE75" i="22"/>
  <c r="BD75" i="22"/>
  <c r="BC75" i="22"/>
  <c r="BB75" i="22"/>
  <c r="BA75" i="22"/>
  <c r="AZ75" i="22"/>
  <c r="AY75" i="22"/>
  <c r="AX75" i="22"/>
  <c r="AW75" i="22"/>
  <c r="AV75" i="22"/>
  <c r="AU75" i="22"/>
  <c r="AT75" i="22"/>
  <c r="AS75" i="22"/>
  <c r="AR75" i="22"/>
  <c r="AO75" i="22"/>
  <c r="AN75" i="22"/>
  <c r="AM75" i="22"/>
  <c r="AL75" i="22"/>
  <c r="AK75" i="22"/>
  <c r="AJ75" i="22"/>
  <c r="AI75" i="22"/>
  <c r="AH75" i="22"/>
  <c r="AG75" i="22"/>
  <c r="AF75" i="22"/>
  <c r="AE75" i="22"/>
  <c r="AD75" i="22"/>
  <c r="AC75" i="22"/>
  <c r="AB75" i="22"/>
  <c r="BE74" i="22"/>
  <c r="BD74" i="22"/>
  <c r="BC74" i="22"/>
  <c r="BB74" i="22"/>
  <c r="BA74" i="22"/>
  <c r="AZ74" i="22"/>
  <c r="AY74" i="22"/>
  <c r="AX74" i="22"/>
  <c r="AW74" i="22"/>
  <c r="AV74" i="22"/>
  <c r="AU74" i="22"/>
  <c r="AT74" i="22"/>
  <c r="AS74" i="22"/>
  <c r="AR74" i="22"/>
  <c r="AO74" i="22"/>
  <c r="AN74" i="22"/>
  <c r="AM74" i="22"/>
  <c r="AL74" i="22"/>
  <c r="AK74" i="22"/>
  <c r="AJ74" i="22"/>
  <c r="AI74" i="22"/>
  <c r="AH74" i="22"/>
  <c r="AG74" i="22"/>
  <c r="AF74" i="22"/>
  <c r="AE74" i="22"/>
  <c r="AD74" i="22"/>
  <c r="AC74" i="22"/>
  <c r="AB74" i="22"/>
  <c r="BE73" i="22"/>
  <c r="BD73" i="22"/>
  <c r="BC73" i="22"/>
  <c r="BB73" i="22"/>
  <c r="BA73" i="22"/>
  <c r="AZ73" i="22"/>
  <c r="AY73" i="22"/>
  <c r="AX73" i="22"/>
  <c r="AW73" i="22"/>
  <c r="AV73" i="22"/>
  <c r="AU73" i="22"/>
  <c r="AT73" i="22"/>
  <c r="AS73" i="22"/>
  <c r="AR73" i="22"/>
  <c r="AO73" i="22"/>
  <c r="AN73" i="22"/>
  <c r="AM73" i="22"/>
  <c r="AL73" i="22"/>
  <c r="AK73" i="22"/>
  <c r="AJ73" i="22"/>
  <c r="AI73" i="22"/>
  <c r="AH73" i="22"/>
  <c r="AG73" i="22"/>
  <c r="AF73" i="22"/>
  <c r="AE73" i="22"/>
  <c r="AD73" i="22"/>
  <c r="AC73" i="22"/>
  <c r="AB73" i="22"/>
  <c r="BE72" i="22"/>
  <c r="BD72" i="22"/>
  <c r="BC72" i="22"/>
  <c r="BB72" i="22"/>
  <c r="BA72" i="22"/>
  <c r="AZ72" i="22"/>
  <c r="AY72" i="22"/>
  <c r="AX72" i="22"/>
  <c r="AW72" i="22"/>
  <c r="AV72" i="22"/>
  <c r="AU72" i="22"/>
  <c r="AT72" i="22"/>
  <c r="AS72" i="22"/>
  <c r="AR72" i="22"/>
  <c r="AO72" i="22"/>
  <c r="AN72" i="22"/>
  <c r="AM72" i="22"/>
  <c r="AL72" i="22"/>
  <c r="AK72" i="22"/>
  <c r="AJ72" i="22"/>
  <c r="AI72" i="22"/>
  <c r="AH72" i="22"/>
  <c r="AG72" i="22"/>
  <c r="AF72" i="22"/>
  <c r="AE72" i="22"/>
  <c r="AD72" i="22"/>
  <c r="AC72" i="22"/>
  <c r="AB72" i="22"/>
  <c r="BE71" i="22"/>
  <c r="BD71" i="22"/>
  <c r="BC71" i="22"/>
  <c r="BB71" i="22"/>
  <c r="BA71" i="22"/>
  <c r="AZ71" i="22"/>
  <c r="AY71" i="22"/>
  <c r="AX71" i="22"/>
  <c r="AW71" i="22"/>
  <c r="AV71" i="22"/>
  <c r="AU71" i="22"/>
  <c r="AT71" i="22"/>
  <c r="AS71" i="22"/>
  <c r="AR71" i="22"/>
  <c r="AO71" i="22"/>
  <c r="AN71" i="22"/>
  <c r="AM71" i="22"/>
  <c r="AL71" i="22"/>
  <c r="AK71" i="22"/>
  <c r="AJ71" i="22"/>
  <c r="AI71" i="22"/>
  <c r="AH71" i="22"/>
  <c r="AG71" i="22"/>
  <c r="AF71" i="22"/>
  <c r="AE71" i="22"/>
  <c r="AD71" i="22"/>
  <c r="AC71" i="22"/>
  <c r="AB71" i="22"/>
  <c r="BE70" i="22"/>
  <c r="BD70" i="22"/>
  <c r="BC70" i="22"/>
  <c r="BB70" i="22"/>
  <c r="BA70" i="22"/>
  <c r="AZ70" i="22"/>
  <c r="AY70" i="22"/>
  <c r="AX70" i="22"/>
  <c r="AW70" i="22"/>
  <c r="AV70" i="22"/>
  <c r="AU70" i="22"/>
  <c r="AT70" i="22"/>
  <c r="AS70" i="22"/>
  <c r="AR70" i="22"/>
  <c r="AO70" i="22"/>
  <c r="AN70" i="22"/>
  <c r="AM70" i="22"/>
  <c r="AL70" i="22"/>
  <c r="AK70" i="22"/>
  <c r="AJ70" i="22"/>
  <c r="AI70" i="22"/>
  <c r="AH70" i="22"/>
  <c r="AG70" i="22"/>
  <c r="AF70" i="22"/>
  <c r="AE70" i="22"/>
  <c r="AD70" i="22"/>
  <c r="AC70" i="22"/>
  <c r="AB70" i="22"/>
  <c r="BE69" i="22"/>
  <c r="BD69" i="22"/>
  <c r="BC69" i="22"/>
  <c r="BB69" i="22"/>
  <c r="BA69" i="22"/>
  <c r="AZ69" i="22"/>
  <c r="AY69" i="22"/>
  <c r="AX69" i="22"/>
  <c r="AW69" i="22"/>
  <c r="AV69" i="22"/>
  <c r="AU69" i="22"/>
  <c r="AT69" i="22"/>
  <c r="AS69" i="22"/>
  <c r="AR69" i="22"/>
  <c r="AO69" i="22"/>
  <c r="AN69" i="22"/>
  <c r="AM69" i="22"/>
  <c r="AL69" i="22"/>
  <c r="AK69" i="22"/>
  <c r="AJ69" i="22"/>
  <c r="AI69" i="22"/>
  <c r="AH69" i="22"/>
  <c r="AG69" i="22"/>
  <c r="AF69" i="22"/>
  <c r="AE69" i="22"/>
  <c r="AD69" i="22"/>
  <c r="AC69" i="22"/>
  <c r="AB69" i="22"/>
  <c r="BE68" i="22"/>
  <c r="BD68" i="22"/>
  <c r="BC68" i="22"/>
  <c r="BB68" i="22"/>
  <c r="BA68" i="22"/>
  <c r="AZ68" i="22"/>
  <c r="AY68" i="22"/>
  <c r="AX68" i="22"/>
  <c r="AW68" i="22"/>
  <c r="AV68" i="22"/>
  <c r="AU68" i="22"/>
  <c r="AT68" i="22"/>
  <c r="AS68" i="22"/>
  <c r="AR68" i="22"/>
  <c r="AO68" i="22"/>
  <c r="AN68" i="22"/>
  <c r="AM68" i="22"/>
  <c r="AL68" i="22"/>
  <c r="AK68" i="22"/>
  <c r="AJ68" i="22"/>
  <c r="AI68" i="22"/>
  <c r="AH68" i="22"/>
  <c r="AG68" i="22"/>
  <c r="AF68" i="22"/>
  <c r="AE68" i="22"/>
  <c r="AD68" i="22"/>
  <c r="AC68" i="22"/>
  <c r="AB68" i="22"/>
  <c r="BE67" i="22"/>
  <c r="BD67" i="22"/>
  <c r="BC67" i="22"/>
  <c r="BB67" i="22"/>
  <c r="BA67" i="22"/>
  <c r="AZ67" i="22"/>
  <c r="AY67" i="22"/>
  <c r="AX67" i="22"/>
  <c r="AW67" i="22"/>
  <c r="AV67" i="22"/>
  <c r="AU67" i="22"/>
  <c r="AT67" i="22"/>
  <c r="AS67" i="22"/>
  <c r="AR67" i="22"/>
  <c r="AO67" i="22"/>
  <c r="AN67" i="22"/>
  <c r="AM67" i="22"/>
  <c r="AL67" i="22"/>
  <c r="AK67" i="22"/>
  <c r="AJ67" i="22"/>
  <c r="AI67" i="22"/>
  <c r="AH67" i="22"/>
  <c r="AG67" i="22"/>
  <c r="AF67" i="22"/>
  <c r="AE67" i="22"/>
  <c r="AD67" i="22"/>
  <c r="AC67" i="22"/>
  <c r="AB67" i="22"/>
  <c r="BE66" i="22"/>
  <c r="BD66" i="22"/>
  <c r="BC66" i="22"/>
  <c r="BB66" i="22"/>
  <c r="BA66" i="22"/>
  <c r="AZ66" i="22"/>
  <c r="AY66" i="22"/>
  <c r="AX66" i="22"/>
  <c r="AW66" i="22"/>
  <c r="AV66" i="22"/>
  <c r="AU66" i="22"/>
  <c r="AT66" i="22"/>
  <c r="AS66" i="22"/>
  <c r="AR66" i="22"/>
  <c r="AO66" i="22"/>
  <c r="AN66" i="22"/>
  <c r="AM66" i="22"/>
  <c r="AL66" i="22"/>
  <c r="AK66" i="22"/>
  <c r="AJ66" i="22"/>
  <c r="AI66" i="22"/>
  <c r="AH66" i="22"/>
  <c r="AG66" i="22"/>
  <c r="AF66" i="22"/>
  <c r="AE66" i="22"/>
  <c r="AD66" i="22"/>
  <c r="AC66" i="22"/>
  <c r="AB66" i="22"/>
  <c r="BE65" i="22"/>
  <c r="BD65" i="22"/>
  <c r="BC65" i="22"/>
  <c r="BB65" i="22"/>
  <c r="BA65" i="22"/>
  <c r="AZ65" i="22"/>
  <c r="AY65" i="22"/>
  <c r="AX65" i="22"/>
  <c r="AW65" i="22"/>
  <c r="AV65" i="22"/>
  <c r="AU65" i="22"/>
  <c r="AT65" i="22"/>
  <c r="AS65" i="22"/>
  <c r="AR65" i="22"/>
  <c r="AO65" i="22"/>
  <c r="AN65" i="22"/>
  <c r="AM65" i="22"/>
  <c r="AL65" i="22"/>
  <c r="AK65" i="22"/>
  <c r="AJ65" i="22"/>
  <c r="AI65" i="22"/>
  <c r="AH65" i="22"/>
  <c r="AG65" i="22"/>
  <c r="AF65" i="22"/>
  <c r="AE65" i="22"/>
  <c r="AD65" i="22"/>
  <c r="AC65" i="22"/>
  <c r="AB65" i="22"/>
  <c r="BE64" i="22"/>
  <c r="BD64" i="22"/>
  <c r="BC64" i="22"/>
  <c r="BB64" i="22"/>
  <c r="BA64" i="22"/>
  <c r="AZ64" i="22"/>
  <c r="AY64" i="22"/>
  <c r="AX64" i="22"/>
  <c r="AW64" i="22"/>
  <c r="AV64" i="22"/>
  <c r="AU64" i="22"/>
  <c r="AT64" i="22"/>
  <c r="AS64" i="22"/>
  <c r="AR64" i="22"/>
  <c r="AO64" i="22"/>
  <c r="AN64" i="22"/>
  <c r="AM64" i="22"/>
  <c r="AL64" i="22"/>
  <c r="AK64" i="22"/>
  <c r="AJ64" i="22"/>
  <c r="AI64" i="22"/>
  <c r="AH64" i="22"/>
  <c r="AG64" i="22"/>
  <c r="AF64" i="22"/>
  <c r="AE64" i="22"/>
  <c r="AD64" i="22"/>
  <c r="AC64" i="22"/>
  <c r="AB64" i="22"/>
  <c r="BE63" i="22"/>
  <c r="BD63" i="22"/>
  <c r="BC63" i="22"/>
  <c r="BB63" i="22"/>
  <c r="BA63" i="22"/>
  <c r="AZ63" i="22"/>
  <c r="AY63" i="22"/>
  <c r="AX63" i="22"/>
  <c r="AW63" i="22"/>
  <c r="AV63" i="22"/>
  <c r="AU63" i="22"/>
  <c r="AT63" i="22"/>
  <c r="AS63" i="22"/>
  <c r="AR63" i="22"/>
  <c r="AO63" i="22"/>
  <c r="AN63" i="22"/>
  <c r="AM63" i="22"/>
  <c r="AL63" i="22"/>
  <c r="AK63" i="22"/>
  <c r="AJ63" i="22"/>
  <c r="AI63" i="22"/>
  <c r="AH63" i="22"/>
  <c r="AG63" i="22"/>
  <c r="AF63" i="22"/>
  <c r="AE63" i="22"/>
  <c r="AD63" i="22"/>
  <c r="AC63" i="22"/>
  <c r="AB63" i="22"/>
  <c r="BE62" i="22"/>
  <c r="BD62" i="22"/>
  <c r="BC62" i="22"/>
  <c r="BB62" i="22"/>
  <c r="BA62" i="22"/>
  <c r="AZ62" i="22"/>
  <c r="AY62" i="22"/>
  <c r="AX62" i="22"/>
  <c r="AW62" i="22"/>
  <c r="AV62" i="22"/>
  <c r="AU62" i="22"/>
  <c r="AT62" i="22"/>
  <c r="AS62" i="22"/>
  <c r="AR62" i="22"/>
  <c r="AO62" i="22"/>
  <c r="AN62" i="22"/>
  <c r="AM62" i="22"/>
  <c r="AL62" i="22"/>
  <c r="AK62" i="22"/>
  <c r="AJ62" i="22"/>
  <c r="AI62" i="22"/>
  <c r="AH62" i="22"/>
  <c r="AG62" i="22"/>
  <c r="AF62" i="22"/>
  <c r="AE62" i="22"/>
  <c r="AD62" i="22"/>
  <c r="AC62" i="22"/>
  <c r="AB62" i="22"/>
  <c r="BE61" i="22"/>
  <c r="BD61" i="22"/>
  <c r="BC61" i="22"/>
  <c r="BB61" i="22"/>
  <c r="BA61" i="22"/>
  <c r="AZ61" i="22"/>
  <c r="AY61" i="22"/>
  <c r="AX61" i="22"/>
  <c r="AW61" i="22"/>
  <c r="AV61" i="22"/>
  <c r="AU61" i="22"/>
  <c r="AT61" i="22"/>
  <c r="AS61" i="22"/>
  <c r="AR61" i="22"/>
  <c r="AO61" i="22"/>
  <c r="AN61" i="22"/>
  <c r="AM61" i="22"/>
  <c r="AL61" i="22"/>
  <c r="AK61" i="22"/>
  <c r="AJ61" i="22"/>
  <c r="AI61" i="22"/>
  <c r="AH61" i="22"/>
  <c r="AG61" i="22"/>
  <c r="AF61" i="22"/>
  <c r="AE61" i="22"/>
  <c r="AD61" i="22"/>
  <c r="AC61" i="22"/>
  <c r="AB61" i="22"/>
  <c r="BE60" i="22"/>
  <c r="BD60" i="22"/>
  <c r="BC60" i="22"/>
  <c r="BB60" i="22"/>
  <c r="BA60" i="22"/>
  <c r="AZ60" i="22"/>
  <c r="AY60" i="22"/>
  <c r="AX60" i="22"/>
  <c r="AW60" i="22"/>
  <c r="AV60" i="22"/>
  <c r="AU60" i="22"/>
  <c r="AT60" i="22"/>
  <c r="AS60" i="22"/>
  <c r="AR60" i="22"/>
  <c r="AO60" i="22"/>
  <c r="AN60" i="22"/>
  <c r="AM60" i="22"/>
  <c r="AL60" i="22"/>
  <c r="AK60" i="22"/>
  <c r="AJ60" i="22"/>
  <c r="AI60" i="22"/>
  <c r="AH60" i="22"/>
  <c r="AG60" i="22"/>
  <c r="AF60" i="22"/>
  <c r="AE60" i="22"/>
  <c r="AD60" i="22"/>
  <c r="AC60" i="22"/>
  <c r="AB60" i="22"/>
  <c r="BE59" i="22"/>
  <c r="BD59" i="22"/>
  <c r="BC59" i="22"/>
  <c r="BB59" i="22"/>
  <c r="BA59" i="22"/>
  <c r="AZ59" i="22"/>
  <c r="AY59" i="22"/>
  <c r="AX59" i="22"/>
  <c r="AW59" i="22"/>
  <c r="AV59" i="22"/>
  <c r="AU59" i="22"/>
  <c r="AT59" i="22"/>
  <c r="AS59" i="22"/>
  <c r="AR59" i="22"/>
  <c r="AO59" i="22"/>
  <c r="AN59" i="22"/>
  <c r="AM59" i="22"/>
  <c r="AL59" i="22"/>
  <c r="AK59" i="22"/>
  <c r="AJ59" i="22"/>
  <c r="AI59" i="22"/>
  <c r="AH59" i="22"/>
  <c r="AG59" i="22"/>
  <c r="AF59" i="22"/>
  <c r="AE59" i="22"/>
  <c r="AD59" i="22"/>
  <c r="AC59" i="22"/>
  <c r="AB59" i="22"/>
  <c r="BE58" i="22"/>
  <c r="BD58" i="22"/>
  <c r="BC58" i="22"/>
  <c r="BB58" i="22"/>
  <c r="BA58" i="22"/>
  <c r="AZ58" i="22"/>
  <c r="AY58" i="22"/>
  <c r="AX58" i="22"/>
  <c r="AW58" i="22"/>
  <c r="AV58" i="22"/>
  <c r="AU58" i="22"/>
  <c r="AT58" i="22"/>
  <c r="AS58" i="22"/>
  <c r="AR58" i="22"/>
  <c r="AO58" i="22"/>
  <c r="AN58" i="22"/>
  <c r="AM58" i="22"/>
  <c r="AL58" i="22"/>
  <c r="AK58" i="22"/>
  <c r="AJ58" i="22"/>
  <c r="AI58" i="22"/>
  <c r="AH58" i="22"/>
  <c r="AG58" i="22"/>
  <c r="AF58" i="22"/>
  <c r="AE58" i="22"/>
  <c r="AD58" i="22"/>
  <c r="AC58" i="22"/>
  <c r="AB58" i="22"/>
  <c r="BE57" i="22"/>
  <c r="BD57" i="22"/>
  <c r="BC57" i="22"/>
  <c r="BB57" i="22"/>
  <c r="BA57" i="22"/>
  <c r="AZ57" i="22"/>
  <c r="AY57" i="22"/>
  <c r="AX57" i="22"/>
  <c r="AW57" i="22"/>
  <c r="AV57" i="22"/>
  <c r="AU57" i="22"/>
  <c r="AT57" i="22"/>
  <c r="AS57" i="22"/>
  <c r="AR57" i="22"/>
  <c r="AO57" i="22"/>
  <c r="AN57" i="22"/>
  <c r="AM57" i="22"/>
  <c r="AL57" i="22"/>
  <c r="AK57" i="22"/>
  <c r="AJ57" i="22"/>
  <c r="AI57" i="22"/>
  <c r="AH57" i="22"/>
  <c r="AG57" i="22"/>
  <c r="AF57" i="22"/>
  <c r="AE57" i="22"/>
  <c r="AD57" i="22"/>
  <c r="AC57" i="22"/>
  <c r="AB57" i="22"/>
  <c r="BE56" i="22"/>
  <c r="BD56" i="22"/>
  <c r="BC56" i="22"/>
  <c r="BB56" i="22"/>
  <c r="BA56" i="22"/>
  <c r="AZ56" i="22"/>
  <c r="AY56" i="22"/>
  <c r="AX56" i="22"/>
  <c r="AW56" i="22"/>
  <c r="AV56" i="22"/>
  <c r="AU56" i="22"/>
  <c r="AT56" i="22"/>
  <c r="AS56" i="22"/>
  <c r="AR56" i="22"/>
  <c r="AO56" i="22"/>
  <c r="AN56" i="22"/>
  <c r="AM56" i="22"/>
  <c r="AL56" i="22"/>
  <c r="AK56" i="22"/>
  <c r="AJ56" i="22"/>
  <c r="AI56" i="22"/>
  <c r="AH56" i="22"/>
  <c r="AG56" i="22"/>
  <c r="AF56" i="22"/>
  <c r="AE56" i="22"/>
  <c r="AD56" i="22"/>
  <c r="AC56" i="22"/>
  <c r="AB56" i="22"/>
  <c r="BE55" i="22"/>
  <c r="BD55" i="22"/>
  <c r="BC55" i="22"/>
  <c r="BB55" i="22"/>
  <c r="BA55" i="22"/>
  <c r="AZ55" i="22"/>
  <c r="AY55" i="22"/>
  <c r="AX55" i="22"/>
  <c r="AW55" i="22"/>
  <c r="AV55" i="22"/>
  <c r="AU55" i="22"/>
  <c r="AT55" i="22"/>
  <c r="AS55" i="22"/>
  <c r="AR55" i="22"/>
  <c r="AO55" i="22"/>
  <c r="AN55" i="22"/>
  <c r="AM55" i="22"/>
  <c r="AL55" i="22"/>
  <c r="AK55" i="22"/>
  <c r="AJ55" i="22"/>
  <c r="AI55" i="22"/>
  <c r="AH55" i="22"/>
  <c r="AG55" i="22"/>
  <c r="AF55" i="22"/>
  <c r="AE55" i="22"/>
  <c r="AD55" i="22"/>
  <c r="AC55" i="22"/>
  <c r="AB55" i="22"/>
  <c r="BE54" i="22"/>
  <c r="BD54" i="22"/>
  <c r="BC54" i="22"/>
  <c r="BB54" i="22"/>
  <c r="BA54" i="22"/>
  <c r="AZ54" i="22"/>
  <c r="AY54" i="22"/>
  <c r="AX54" i="22"/>
  <c r="AW54" i="22"/>
  <c r="AV54" i="22"/>
  <c r="AU54" i="22"/>
  <c r="AT54" i="22"/>
  <c r="AS54" i="22"/>
  <c r="AR54" i="22"/>
  <c r="AO54" i="22"/>
  <c r="AN54" i="22"/>
  <c r="AM54" i="22"/>
  <c r="AL54" i="22"/>
  <c r="AK54" i="22"/>
  <c r="AJ54" i="22"/>
  <c r="AI54" i="22"/>
  <c r="AH54" i="22"/>
  <c r="AG54" i="22"/>
  <c r="AF54" i="22"/>
  <c r="AE54" i="22"/>
  <c r="AD54" i="22"/>
  <c r="AC54" i="22"/>
  <c r="AB54" i="22"/>
  <c r="BE53" i="22"/>
  <c r="BD53" i="22"/>
  <c r="BC53" i="22"/>
  <c r="BB53" i="22"/>
  <c r="BA53" i="22"/>
  <c r="AZ53" i="22"/>
  <c r="AY53" i="22"/>
  <c r="AX53" i="22"/>
  <c r="AW53" i="22"/>
  <c r="AV53" i="22"/>
  <c r="AU53" i="22"/>
  <c r="AT53" i="22"/>
  <c r="AS53" i="22"/>
  <c r="AR53" i="22"/>
  <c r="AO53" i="22"/>
  <c r="AN53" i="22"/>
  <c r="AM53" i="22"/>
  <c r="AL53" i="22"/>
  <c r="AK53" i="22"/>
  <c r="AJ53" i="22"/>
  <c r="AI53" i="22"/>
  <c r="AH53" i="22"/>
  <c r="AG53" i="22"/>
  <c r="AF53" i="22"/>
  <c r="AE53" i="22"/>
  <c r="AD53" i="22"/>
  <c r="AC53" i="22"/>
  <c r="AB53" i="22"/>
  <c r="BE52" i="22"/>
  <c r="BD52" i="22"/>
  <c r="BC52" i="22"/>
  <c r="BB52" i="22"/>
  <c r="BA52" i="22"/>
  <c r="AZ52" i="22"/>
  <c r="AY52" i="22"/>
  <c r="AX52" i="22"/>
  <c r="AW52" i="22"/>
  <c r="AV52" i="22"/>
  <c r="AU52" i="22"/>
  <c r="AT52" i="22"/>
  <c r="AS52" i="22"/>
  <c r="AR52" i="22"/>
  <c r="AO52" i="22"/>
  <c r="AN52" i="22"/>
  <c r="AM52" i="22"/>
  <c r="AL52" i="22"/>
  <c r="AK52" i="22"/>
  <c r="AJ52" i="22"/>
  <c r="AI52" i="22"/>
  <c r="AH52" i="22"/>
  <c r="AG52" i="22"/>
  <c r="AF52" i="22"/>
  <c r="AE52" i="22"/>
  <c r="AD52" i="22"/>
  <c r="AC52" i="22"/>
  <c r="AB52" i="22"/>
  <c r="BH51" i="22"/>
  <c r="BD51" i="22"/>
  <c r="BC51" i="22"/>
  <c r="AN51" i="22"/>
  <c r="AM51" i="22"/>
  <c r="BE50" i="22"/>
  <c r="BD50" i="22"/>
  <c r="BC50" i="22"/>
  <c r="BB50" i="22"/>
  <c r="BA50" i="22"/>
  <c r="AZ50" i="22"/>
  <c r="AY50" i="22"/>
  <c r="AX50" i="22"/>
  <c r="AW50" i="22"/>
  <c r="AV50" i="22"/>
  <c r="AU50" i="22"/>
  <c r="AT50" i="22"/>
  <c r="AS50" i="22"/>
  <c r="AR50" i="22"/>
  <c r="AO50" i="22"/>
  <c r="AN50" i="22"/>
  <c r="AM50" i="22"/>
  <c r="AL50" i="22"/>
  <c r="AK50" i="22"/>
  <c r="AJ50" i="22"/>
  <c r="AI50" i="22"/>
  <c r="AH50" i="22"/>
  <c r="AG50" i="22"/>
  <c r="AF50" i="22"/>
  <c r="AE50" i="22"/>
  <c r="AD50" i="22"/>
  <c r="AC50" i="22"/>
  <c r="AB50" i="22"/>
  <c r="BE49" i="22"/>
  <c r="BD49" i="22"/>
  <c r="BC49" i="22"/>
  <c r="BB49" i="22"/>
  <c r="BA49" i="22"/>
  <c r="AZ49" i="22"/>
  <c r="AY49" i="22"/>
  <c r="AX49" i="22"/>
  <c r="AW49" i="22"/>
  <c r="AV49" i="22"/>
  <c r="AU49" i="22"/>
  <c r="AT49" i="22"/>
  <c r="AS49" i="22"/>
  <c r="AR49" i="22"/>
  <c r="AO49" i="22"/>
  <c r="AN49" i="22"/>
  <c r="AM49" i="22"/>
  <c r="AL49" i="22"/>
  <c r="AK49" i="22"/>
  <c r="AJ49" i="22"/>
  <c r="AI49" i="22"/>
  <c r="AH49" i="22"/>
  <c r="AG49" i="22"/>
  <c r="AF49" i="22"/>
  <c r="AE49" i="22"/>
  <c r="AD49" i="22"/>
  <c r="AC49" i="22"/>
  <c r="AB49" i="22"/>
  <c r="BD42" i="22"/>
  <c r="BC42" i="22"/>
  <c r="AN42" i="22"/>
  <c r="AM42" i="22"/>
  <c r="BD41" i="22"/>
  <c r="BC41" i="22"/>
  <c r="AN41" i="22"/>
  <c r="AM41" i="22"/>
  <c r="BD40" i="22"/>
  <c r="BC40" i="22"/>
  <c r="AN40" i="22"/>
  <c r="AM40" i="22"/>
  <c r="BD39" i="22"/>
  <c r="BC39" i="22"/>
  <c r="AN39" i="22"/>
  <c r="AM39" i="22"/>
  <c r="BD38" i="22"/>
  <c r="BC38" i="22"/>
  <c r="AN38" i="22"/>
  <c r="AM38" i="22"/>
  <c r="BD37" i="22"/>
  <c r="BC37" i="22"/>
  <c r="AN37" i="22"/>
  <c r="AM37" i="22"/>
  <c r="BD36" i="22"/>
  <c r="BC36" i="22"/>
  <c r="AN36" i="22"/>
  <c r="AM36" i="22"/>
  <c r="BD35" i="22"/>
  <c r="BC35" i="22"/>
  <c r="AN35" i="22"/>
  <c r="AM35" i="22"/>
  <c r="BD34" i="22"/>
  <c r="BC34" i="22"/>
  <c r="AN34" i="22"/>
  <c r="AM34" i="22"/>
  <c r="BD33" i="22"/>
  <c r="BC33" i="22"/>
  <c r="AN33" i="22"/>
  <c r="AM33" i="22"/>
  <c r="BD32" i="22"/>
  <c r="BC32" i="22"/>
  <c r="AN32" i="22"/>
  <c r="AM32" i="22"/>
  <c r="BD31" i="22"/>
  <c r="BC31" i="22"/>
  <c r="AN31" i="22"/>
  <c r="AM31" i="22"/>
  <c r="BD30" i="22"/>
  <c r="BC30" i="22"/>
  <c r="AN30" i="22"/>
  <c r="AM30" i="22"/>
  <c r="BD29" i="22"/>
  <c r="BC29" i="22"/>
  <c r="AN29" i="22"/>
  <c r="AM29" i="22"/>
  <c r="BD28" i="22"/>
  <c r="BC28" i="22"/>
  <c r="AN28" i="22"/>
  <c r="AM28" i="22"/>
  <c r="BD27" i="22"/>
  <c r="BC27" i="22"/>
  <c r="AN27" i="22"/>
  <c r="AM27" i="22"/>
  <c r="BD26" i="22"/>
  <c r="BC26" i="22"/>
  <c r="AN26" i="22"/>
  <c r="AM26" i="22"/>
  <c r="BD25" i="22"/>
  <c r="BC25" i="22"/>
  <c r="AN25" i="22"/>
  <c r="AM25" i="22"/>
  <c r="BD24" i="22"/>
  <c r="BC24" i="22"/>
  <c r="AN24" i="22"/>
  <c r="AM24" i="22"/>
  <c r="BD23" i="22"/>
  <c r="BC23" i="22"/>
  <c r="AN23" i="22"/>
  <c r="AM23" i="22"/>
  <c r="BD22" i="22"/>
  <c r="BC22" i="22"/>
  <c r="AN22" i="22"/>
  <c r="AM22" i="22"/>
  <c r="BD21" i="22"/>
  <c r="BC21" i="22"/>
  <c r="AN21" i="22"/>
  <c r="AM21" i="22"/>
  <c r="BD20" i="22"/>
  <c r="BC20" i="22"/>
  <c r="AN20" i="22"/>
  <c r="AM20" i="22"/>
  <c r="BD19" i="22"/>
  <c r="BC19" i="22"/>
  <c r="AN19" i="22"/>
  <c r="AM19" i="22"/>
  <c r="BD18" i="22"/>
  <c r="BC18" i="22"/>
  <c r="AN18" i="22"/>
  <c r="AM18" i="22"/>
  <c r="BD17" i="22"/>
  <c r="BC17" i="22"/>
  <c r="AN17" i="22"/>
  <c r="AM17" i="22"/>
  <c r="BD16" i="22"/>
  <c r="BC16" i="22"/>
  <c r="AN16" i="22"/>
  <c r="AM16" i="22"/>
  <c r="BD15" i="22"/>
  <c r="BC15" i="22"/>
  <c r="AN15" i="22"/>
  <c r="AM15" i="22"/>
  <c r="BD14" i="22"/>
  <c r="BC14" i="22"/>
  <c r="AN14" i="22"/>
  <c r="AM14" i="22"/>
  <c r="BD13" i="22"/>
  <c r="BC13" i="22"/>
  <c r="AN13" i="22"/>
  <c r="AM13" i="22"/>
  <c r="BD12" i="22"/>
  <c r="BC12" i="22"/>
  <c r="AN12" i="22"/>
  <c r="AM12" i="22"/>
  <c r="BD11" i="22"/>
  <c r="BC11" i="22"/>
  <c r="AN11" i="22"/>
  <c r="AM11" i="22"/>
  <c r="BD10" i="22"/>
  <c r="BC10" i="22"/>
  <c r="AN10" i="22"/>
  <c r="AM10" i="22"/>
  <c r="BD9" i="22"/>
  <c r="BC9" i="22"/>
  <c r="AN9" i="22"/>
  <c r="AM9" i="22"/>
  <c r="BD8" i="22"/>
  <c r="BC8" i="22"/>
  <c r="AN8" i="22"/>
  <c r="AM8" i="22"/>
  <c r="BD7" i="22"/>
  <c r="BC7" i="22"/>
  <c r="AN7" i="22"/>
  <c r="AM7" i="22"/>
  <c r="BD6" i="22"/>
  <c r="BC6" i="22"/>
  <c r="AN6" i="22"/>
  <c r="AM6" i="22"/>
  <c r="BH5" i="22"/>
  <c r="BD5" i="22"/>
  <c r="BC5" i="22"/>
  <c r="AN5" i="22"/>
  <c r="AM5" i="22"/>
  <c r="BD4" i="22"/>
  <c r="BC4" i="22"/>
  <c r="AN4" i="22"/>
  <c r="AM4" i="22"/>
  <c r="BD3" i="22"/>
  <c r="BC3" i="22"/>
  <c r="AN3" i="22"/>
  <c r="AM3" i="22"/>
  <c r="BD42" i="21"/>
  <c r="BC42" i="21"/>
  <c r="AN42" i="21"/>
  <c r="AM42" i="21"/>
  <c r="BD41" i="21"/>
  <c r="BC41" i="21"/>
  <c r="AN41" i="21"/>
  <c r="AM41" i="21"/>
  <c r="BD40" i="21"/>
  <c r="BC40" i="21"/>
  <c r="AN40" i="21"/>
  <c r="AM40" i="21"/>
  <c r="BD39" i="21"/>
  <c r="BC39" i="21"/>
  <c r="AN39" i="21"/>
  <c r="AM39" i="21"/>
  <c r="BD38" i="21"/>
  <c r="BC38" i="21"/>
  <c r="AN38" i="21"/>
  <c r="AM38" i="21"/>
  <c r="BD37" i="21"/>
  <c r="BC37" i="21"/>
  <c r="AN37" i="21"/>
  <c r="AM37" i="21"/>
  <c r="BD36" i="21"/>
  <c r="BC36" i="21"/>
  <c r="AN36" i="21"/>
  <c r="AM36" i="21"/>
  <c r="BD35" i="21"/>
  <c r="BC35" i="21"/>
  <c r="AN35" i="21"/>
  <c r="AM35" i="21"/>
  <c r="BD34" i="21"/>
  <c r="BC34" i="21"/>
  <c r="AN34" i="21"/>
  <c r="AM34" i="21"/>
  <c r="BD33" i="21"/>
  <c r="BC33" i="21"/>
  <c r="AN33" i="21"/>
  <c r="AM33" i="21"/>
  <c r="BD32" i="21"/>
  <c r="BC32" i="21"/>
  <c r="AN32" i="21"/>
  <c r="AM32" i="21"/>
  <c r="BD31" i="21"/>
  <c r="BC31" i="21"/>
  <c r="AN31" i="21"/>
  <c r="AM31" i="21"/>
  <c r="BD30" i="21"/>
  <c r="BC30" i="21"/>
  <c r="AN30" i="21"/>
  <c r="AM30" i="21"/>
  <c r="BD29" i="21"/>
  <c r="BC29" i="21"/>
  <c r="AN29" i="21"/>
  <c r="AM29" i="21"/>
  <c r="BD28" i="21"/>
  <c r="BC28" i="21"/>
  <c r="AN28" i="21"/>
  <c r="AM28" i="21"/>
  <c r="BD27" i="21"/>
  <c r="BC27" i="21"/>
  <c r="AN27" i="21"/>
  <c r="AM27" i="21"/>
  <c r="BD26" i="21"/>
  <c r="BC26" i="21"/>
  <c r="AN26" i="21"/>
  <c r="AM26" i="21"/>
  <c r="BD25" i="21"/>
  <c r="BC25" i="21"/>
  <c r="AN25" i="21"/>
  <c r="AM25" i="21"/>
  <c r="BD24" i="21"/>
  <c r="BC24" i="21"/>
  <c r="AN24" i="21"/>
  <c r="AM24" i="21"/>
  <c r="BD23" i="21"/>
  <c r="BC23" i="21"/>
  <c r="AN23" i="21"/>
  <c r="AM23" i="21"/>
  <c r="BD22" i="21"/>
  <c r="BC22" i="21"/>
  <c r="AN22" i="21"/>
  <c r="AM22" i="21"/>
  <c r="BD21" i="21"/>
  <c r="BC21" i="21"/>
  <c r="AN21" i="21"/>
  <c r="AM21" i="21"/>
  <c r="BD20" i="21"/>
  <c r="BC20" i="21"/>
  <c r="AN20" i="21"/>
  <c r="AM20" i="21"/>
  <c r="BD19" i="21"/>
  <c r="BC19" i="21"/>
  <c r="AN19" i="21"/>
  <c r="AM19" i="21"/>
  <c r="BD18" i="21"/>
  <c r="BC18" i="21"/>
  <c r="AN18" i="21"/>
  <c r="AM18" i="21"/>
  <c r="BD17" i="21"/>
  <c r="BC17" i="21"/>
  <c r="AN17" i="21"/>
  <c r="AM17" i="21"/>
  <c r="BD16" i="21"/>
  <c r="BC16" i="21"/>
  <c r="AN16" i="21"/>
  <c r="AM16" i="21"/>
  <c r="BD15" i="21"/>
  <c r="BC15" i="21"/>
  <c r="AN15" i="21"/>
  <c r="AM15" i="21"/>
  <c r="BD14" i="21"/>
  <c r="BC14" i="21"/>
  <c r="AN14" i="21"/>
  <c r="AM14" i="21"/>
  <c r="BD13" i="21"/>
  <c r="BC13" i="21"/>
  <c r="AN13" i="21"/>
  <c r="AM13" i="21"/>
  <c r="BD12" i="21"/>
  <c r="BC12" i="21"/>
  <c r="AN12" i="21"/>
  <c r="AM12" i="21"/>
  <c r="BD11" i="21"/>
  <c r="BC11" i="21"/>
  <c r="AN11" i="21"/>
  <c r="AM11" i="21"/>
  <c r="BD10" i="21"/>
  <c r="BC10" i="21"/>
  <c r="AN10" i="21"/>
  <c r="AM10" i="21"/>
  <c r="BD9" i="21"/>
  <c r="BC9" i="21"/>
  <c r="AN9" i="21"/>
  <c r="AM9" i="21"/>
  <c r="BD8" i="21"/>
  <c r="BC8" i="21"/>
  <c r="AN8" i="21"/>
  <c r="AM8" i="21"/>
  <c r="BD7" i="21"/>
  <c r="BC7" i="21"/>
  <c r="AN7" i="21"/>
  <c r="AM7" i="21"/>
  <c r="BD6" i="21"/>
  <c r="BC6" i="21"/>
  <c r="AN6" i="21"/>
  <c r="AM6" i="21"/>
  <c r="BH5" i="21"/>
  <c r="BD5" i="21"/>
  <c r="BC5" i="21"/>
  <c r="AN5" i="21"/>
  <c r="AM5" i="21"/>
  <c r="BD4" i="21"/>
  <c r="BC4" i="21"/>
  <c r="AN4" i="21"/>
  <c r="AM4" i="21"/>
  <c r="BD3" i="21"/>
  <c r="BC3" i="21"/>
  <c r="AN3" i="21"/>
  <c r="AM3" i="21"/>
  <c r="BD42" i="20"/>
  <c r="BC42" i="20"/>
  <c r="AN42" i="20"/>
  <c r="AM42" i="20"/>
  <c r="BD41" i="20"/>
  <c r="BC41" i="20"/>
  <c r="AN41" i="20"/>
  <c r="AM41" i="20"/>
  <c r="BD40" i="20"/>
  <c r="BC40" i="20"/>
  <c r="AN40" i="20"/>
  <c r="AM40" i="20"/>
  <c r="BD39" i="20"/>
  <c r="BC39" i="20"/>
  <c r="AN39" i="20"/>
  <c r="AM39" i="20"/>
  <c r="BD38" i="20"/>
  <c r="BC38" i="20"/>
  <c r="AN38" i="20"/>
  <c r="AM38" i="20"/>
  <c r="BD37" i="20"/>
  <c r="BC37" i="20"/>
  <c r="AN37" i="20"/>
  <c r="AM37" i="20"/>
  <c r="BD36" i="20"/>
  <c r="BC36" i="20"/>
  <c r="AN36" i="20"/>
  <c r="AM36" i="20"/>
  <c r="BD35" i="20"/>
  <c r="BC35" i="20"/>
  <c r="AN35" i="20"/>
  <c r="AM35" i="20"/>
  <c r="BD34" i="20"/>
  <c r="BC34" i="20"/>
  <c r="AN34" i="20"/>
  <c r="AM34" i="20"/>
  <c r="BD33" i="20"/>
  <c r="BC33" i="20"/>
  <c r="AN33" i="20"/>
  <c r="AM33" i="20"/>
  <c r="BD32" i="20"/>
  <c r="BC32" i="20"/>
  <c r="AN32" i="20"/>
  <c r="AM32" i="20"/>
  <c r="BD31" i="20"/>
  <c r="BC31" i="20"/>
  <c r="AN31" i="20"/>
  <c r="AM31" i="20"/>
  <c r="BD30" i="20"/>
  <c r="BC30" i="20"/>
  <c r="AN30" i="20"/>
  <c r="AM30" i="20"/>
  <c r="BD29" i="20"/>
  <c r="BC29" i="20"/>
  <c r="AN29" i="20"/>
  <c r="AM29" i="20"/>
  <c r="BD28" i="20"/>
  <c r="BC28" i="20"/>
  <c r="AN28" i="20"/>
  <c r="AM28" i="20"/>
  <c r="BD27" i="20"/>
  <c r="BC27" i="20"/>
  <c r="AN27" i="20"/>
  <c r="AM27" i="20"/>
  <c r="BD26" i="20"/>
  <c r="BC26" i="20"/>
  <c r="AN26" i="20"/>
  <c r="AM26" i="20"/>
  <c r="BD25" i="20"/>
  <c r="BC25" i="20"/>
  <c r="AN25" i="20"/>
  <c r="AM25" i="20"/>
  <c r="BD24" i="20"/>
  <c r="BC24" i="20"/>
  <c r="AN24" i="20"/>
  <c r="AM24" i="20"/>
  <c r="BD23" i="20"/>
  <c r="BC23" i="20"/>
  <c r="AN23" i="20"/>
  <c r="AM23" i="20"/>
  <c r="BD22" i="20"/>
  <c r="BC22" i="20"/>
  <c r="AN22" i="20"/>
  <c r="AM22" i="20"/>
  <c r="BD21" i="20"/>
  <c r="BC21" i="20"/>
  <c r="AN21" i="20"/>
  <c r="AM21" i="20"/>
  <c r="BD20" i="20"/>
  <c r="BC20" i="20"/>
  <c r="AN20" i="20"/>
  <c r="AM20" i="20"/>
  <c r="BD19" i="20"/>
  <c r="BC19" i="20"/>
  <c r="AN19" i="20"/>
  <c r="AM19" i="20"/>
  <c r="BD18" i="20"/>
  <c r="BC18" i="20"/>
  <c r="AN18" i="20"/>
  <c r="AM18" i="20"/>
  <c r="BD17" i="20"/>
  <c r="BC17" i="20"/>
  <c r="AN17" i="20"/>
  <c r="AM17" i="20"/>
  <c r="BD16" i="20"/>
  <c r="BC16" i="20"/>
  <c r="AN16" i="20"/>
  <c r="AM16" i="20"/>
  <c r="BD15" i="20"/>
  <c r="BC15" i="20"/>
  <c r="AN15" i="20"/>
  <c r="AM15" i="20"/>
  <c r="BD14" i="20"/>
  <c r="BC14" i="20"/>
  <c r="AN14" i="20"/>
  <c r="AM14" i="20"/>
  <c r="BD13" i="20"/>
  <c r="BC13" i="20"/>
  <c r="AN13" i="20"/>
  <c r="AM13" i="20"/>
  <c r="BD12" i="20"/>
  <c r="BC12" i="20"/>
  <c r="AN12" i="20"/>
  <c r="AM12" i="20"/>
  <c r="BD11" i="20"/>
  <c r="BC11" i="20"/>
  <c r="AN11" i="20"/>
  <c r="AM11" i="20"/>
  <c r="BD10" i="20"/>
  <c r="BC10" i="20"/>
  <c r="AN10" i="20"/>
  <c r="AM10" i="20"/>
  <c r="BD9" i="20"/>
  <c r="BC9" i="20"/>
  <c r="AN9" i="20"/>
  <c r="AM9" i="20"/>
  <c r="BD8" i="20"/>
  <c r="BC8" i="20"/>
  <c r="AN8" i="20"/>
  <c r="AM8" i="20"/>
  <c r="BD7" i="20"/>
  <c r="BC7" i="20"/>
  <c r="AN7" i="20"/>
  <c r="AM7" i="20"/>
  <c r="BD6" i="20"/>
  <c r="BC6" i="20"/>
  <c r="AN6" i="20"/>
  <c r="AM6" i="20"/>
  <c r="BH5" i="20"/>
  <c r="BD5" i="20"/>
  <c r="BC5" i="20"/>
  <c r="AN5" i="20"/>
  <c r="AM5" i="20"/>
  <c r="BD4" i="20"/>
  <c r="BC4" i="20"/>
  <c r="AN4" i="20"/>
  <c r="AM4" i="20"/>
  <c r="BD3" i="20"/>
  <c r="BC3" i="20"/>
  <c r="AN3" i="20"/>
  <c r="AM3" i="20"/>
  <c r="BD42" i="19"/>
  <c r="BC42" i="19"/>
  <c r="AN42" i="19"/>
  <c r="AM42" i="19"/>
  <c r="BD41" i="19"/>
  <c r="BC41" i="19"/>
  <c r="AN41" i="19"/>
  <c r="AM41" i="19"/>
  <c r="BD40" i="19"/>
  <c r="BC40" i="19"/>
  <c r="AN40" i="19"/>
  <c r="AM40" i="19"/>
  <c r="BD39" i="19"/>
  <c r="BC39" i="19"/>
  <c r="AN39" i="19"/>
  <c r="AM39" i="19"/>
  <c r="BD38" i="19"/>
  <c r="BC38" i="19"/>
  <c r="AN38" i="19"/>
  <c r="AM38" i="19"/>
  <c r="BD37" i="19"/>
  <c r="BC37" i="19"/>
  <c r="AN37" i="19"/>
  <c r="AM37" i="19"/>
  <c r="BD36" i="19"/>
  <c r="BC36" i="19"/>
  <c r="AN36" i="19"/>
  <c r="AM36" i="19"/>
  <c r="BD35" i="19"/>
  <c r="BC35" i="19"/>
  <c r="AN35" i="19"/>
  <c r="AM35" i="19"/>
  <c r="BD34" i="19"/>
  <c r="BC34" i="19"/>
  <c r="AN34" i="19"/>
  <c r="AM34" i="19"/>
  <c r="BD33" i="19"/>
  <c r="BC33" i="19"/>
  <c r="AN33" i="19"/>
  <c r="AM33" i="19"/>
  <c r="BD32" i="19"/>
  <c r="BC32" i="19"/>
  <c r="AN32" i="19"/>
  <c r="AM32" i="19"/>
  <c r="BD31" i="19"/>
  <c r="BC31" i="19"/>
  <c r="AN31" i="19"/>
  <c r="AM31" i="19"/>
  <c r="BD30" i="19"/>
  <c r="BC30" i="19"/>
  <c r="AN30" i="19"/>
  <c r="AM30" i="19"/>
  <c r="BD29" i="19"/>
  <c r="BC29" i="19"/>
  <c r="AN29" i="19"/>
  <c r="AM29" i="19"/>
  <c r="BD28" i="19"/>
  <c r="BC28" i="19"/>
  <c r="AN28" i="19"/>
  <c r="AM28" i="19"/>
  <c r="BD27" i="19"/>
  <c r="BC27" i="19"/>
  <c r="AN27" i="19"/>
  <c r="AM27" i="19"/>
  <c r="BD26" i="19"/>
  <c r="BC26" i="19"/>
  <c r="AN26" i="19"/>
  <c r="AM26" i="19"/>
  <c r="BD25" i="19"/>
  <c r="BC25" i="19"/>
  <c r="AN25" i="19"/>
  <c r="AM25" i="19"/>
  <c r="BD24" i="19"/>
  <c r="BC24" i="19"/>
  <c r="AN24" i="19"/>
  <c r="AM24" i="19"/>
  <c r="BD23" i="19"/>
  <c r="BC23" i="19"/>
  <c r="AN23" i="19"/>
  <c r="AM23" i="19"/>
  <c r="BD22" i="19"/>
  <c r="BC22" i="19"/>
  <c r="AN22" i="19"/>
  <c r="AM22" i="19"/>
  <c r="BD21" i="19"/>
  <c r="BC21" i="19"/>
  <c r="AN21" i="19"/>
  <c r="AM21" i="19"/>
  <c r="BD20" i="19"/>
  <c r="BC20" i="19"/>
  <c r="AN20" i="19"/>
  <c r="AM20" i="19"/>
  <c r="BD19" i="19"/>
  <c r="BC19" i="19"/>
  <c r="AN19" i="19"/>
  <c r="AM19" i="19"/>
  <c r="BD18" i="19"/>
  <c r="BC18" i="19"/>
  <c r="AN18" i="19"/>
  <c r="AM18" i="19"/>
  <c r="BD17" i="19"/>
  <c r="BC17" i="19"/>
  <c r="AN17" i="19"/>
  <c r="AM17" i="19"/>
  <c r="BD16" i="19"/>
  <c r="BC16" i="19"/>
  <c r="AN16" i="19"/>
  <c r="AM16" i="19"/>
  <c r="BD15" i="19"/>
  <c r="BC15" i="19"/>
  <c r="AN15" i="19"/>
  <c r="AM15" i="19"/>
  <c r="BD14" i="19"/>
  <c r="BC14" i="19"/>
  <c r="AN14" i="19"/>
  <c r="AM14" i="19"/>
  <c r="BD13" i="19"/>
  <c r="BC13" i="19"/>
  <c r="AN13" i="19"/>
  <c r="AM13" i="19"/>
  <c r="BD12" i="19"/>
  <c r="BC12" i="19"/>
  <c r="AN12" i="19"/>
  <c r="AM12" i="19"/>
  <c r="BD11" i="19"/>
  <c r="BC11" i="19"/>
  <c r="AN11" i="19"/>
  <c r="AM11" i="19"/>
  <c r="BD10" i="19"/>
  <c r="BC10" i="19"/>
  <c r="AN10" i="19"/>
  <c r="AM10" i="19"/>
  <c r="BD9" i="19"/>
  <c r="BC9" i="19"/>
  <c r="AN9" i="19"/>
  <c r="AM9" i="19"/>
  <c r="BD8" i="19"/>
  <c r="BC8" i="19"/>
  <c r="AN8" i="19"/>
  <c r="AM8" i="19"/>
  <c r="BD7" i="19"/>
  <c r="BC7" i="19"/>
  <c r="AN7" i="19"/>
  <c r="AM7" i="19"/>
  <c r="BD6" i="19"/>
  <c r="BC6" i="19"/>
  <c r="AN6" i="19"/>
  <c r="AM6" i="19"/>
  <c r="BH5" i="19"/>
  <c r="BD5" i="19"/>
  <c r="BC5" i="19"/>
  <c r="AN5" i="19"/>
  <c r="AM5" i="19"/>
  <c r="BD4" i="19"/>
  <c r="BC4" i="19"/>
  <c r="AN4" i="19"/>
  <c r="AM4" i="19"/>
  <c r="BD3" i="19"/>
  <c r="BC3" i="19"/>
  <c r="AN3" i="19"/>
  <c r="AM3" i="19"/>
  <c r="BD42" i="18"/>
  <c r="BC42" i="18"/>
  <c r="AN42" i="18"/>
  <c r="AM42" i="18"/>
  <c r="BD41" i="18"/>
  <c r="BC41" i="18"/>
  <c r="AN41" i="18"/>
  <c r="AM41" i="18"/>
  <c r="BD40" i="18"/>
  <c r="BC40" i="18"/>
  <c r="AN40" i="18"/>
  <c r="AM40" i="18"/>
  <c r="BD39" i="18"/>
  <c r="BC39" i="18"/>
  <c r="AN39" i="18"/>
  <c r="AM39" i="18"/>
  <c r="BD38" i="18"/>
  <c r="BC38" i="18"/>
  <c r="AN38" i="18"/>
  <c r="AM38" i="18"/>
  <c r="BD37" i="18"/>
  <c r="BC37" i="18"/>
  <c r="AN37" i="18"/>
  <c r="AM37" i="18"/>
  <c r="BD36" i="18"/>
  <c r="BC36" i="18"/>
  <c r="AN36" i="18"/>
  <c r="AM36" i="18"/>
  <c r="BD35" i="18"/>
  <c r="BC35" i="18"/>
  <c r="AN35" i="18"/>
  <c r="AM35" i="18"/>
  <c r="BD34" i="18"/>
  <c r="BC34" i="18"/>
  <c r="AN34" i="18"/>
  <c r="AM34" i="18"/>
  <c r="BD33" i="18"/>
  <c r="BC33" i="18"/>
  <c r="AN33" i="18"/>
  <c r="AM33" i="18"/>
  <c r="BD32" i="18"/>
  <c r="BC32" i="18"/>
  <c r="AN32" i="18"/>
  <c r="AM32" i="18"/>
  <c r="BD31" i="18"/>
  <c r="BC31" i="18"/>
  <c r="AN31" i="18"/>
  <c r="AM31" i="18"/>
  <c r="BD30" i="18"/>
  <c r="BC30" i="18"/>
  <c r="AN30" i="18"/>
  <c r="AM30" i="18"/>
  <c r="BD29" i="18"/>
  <c r="BC29" i="18"/>
  <c r="AN29" i="18"/>
  <c r="AM29" i="18"/>
  <c r="BD28" i="18"/>
  <c r="BC28" i="18"/>
  <c r="AN28" i="18"/>
  <c r="AM28" i="18"/>
  <c r="BD27" i="18"/>
  <c r="BC27" i="18"/>
  <c r="AN27" i="18"/>
  <c r="AM27" i="18"/>
  <c r="BD26" i="18"/>
  <c r="BC26" i="18"/>
  <c r="AN26" i="18"/>
  <c r="AM26" i="18"/>
  <c r="BD25" i="18"/>
  <c r="BC25" i="18"/>
  <c r="AN25" i="18"/>
  <c r="AM25" i="18"/>
  <c r="BD24" i="18"/>
  <c r="BC24" i="18"/>
  <c r="AN24" i="18"/>
  <c r="AM24" i="18"/>
  <c r="BD23" i="18"/>
  <c r="BC23" i="18"/>
  <c r="AN23" i="18"/>
  <c r="AM23" i="18"/>
  <c r="BD22" i="18"/>
  <c r="BC22" i="18"/>
  <c r="AN22" i="18"/>
  <c r="AM22" i="18"/>
  <c r="BD21" i="18"/>
  <c r="BC21" i="18"/>
  <c r="AN21" i="18"/>
  <c r="AM21" i="18"/>
  <c r="BD20" i="18"/>
  <c r="BC20" i="18"/>
  <c r="AN20" i="18"/>
  <c r="AM20" i="18"/>
  <c r="BD19" i="18"/>
  <c r="BC19" i="18"/>
  <c r="AN19" i="18"/>
  <c r="AM19" i="18"/>
  <c r="BD18" i="18"/>
  <c r="BC18" i="18"/>
  <c r="AN18" i="18"/>
  <c r="AM18" i="18"/>
  <c r="BD17" i="18"/>
  <c r="BC17" i="18"/>
  <c r="AN17" i="18"/>
  <c r="AM17" i="18"/>
  <c r="BD16" i="18"/>
  <c r="BC16" i="18"/>
  <c r="AN16" i="18"/>
  <c r="AM16" i="18"/>
  <c r="BD15" i="18"/>
  <c r="BC15" i="18"/>
  <c r="AN15" i="18"/>
  <c r="AM15" i="18"/>
  <c r="BD14" i="18"/>
  <c r="BC14" i="18"/>
  <c r="AN14" i="18"/>
  <c r="AM14" i="18"/>
  <c r="BD13" i="18"/>
  <c r="BC13" i="18"/>
  <c r="AN13" i="18"/>
  <c r="AM13" i="18"/>
  <c r="BD12" i="18"/>
  <c r="BC12" i="18"/>
  <c r="AN12" i="18"/>
  <c r="AM12" i="18"/>
  <c r="BD11" i="18"/>
  <c r="BC11" i="18"/>
  <c r="AN11" i="18"/>
  <c r="AM11" i="18"/>
  <c r="BD10" i="18"/>
  <c r="BC10" i="18"/>
  <c r="AN10" i="18"/>
  <c r="AM10" i="18"/>
  <c r="BD9" i="18"/>
  <c r="BC9" i="18"/>
  <c r="AN9" i="18"/>
  <c r="AM9" i="18"/>
  <c r="BD8" i="18"/>
  <c r="BC8" i="18"/>
  <c r="AN8" i="18"/>
  <c r="AM8" i="18"/>
  <c r="BD7" i="18"/>
  <c r="BC7" i="18"/>
  <c r="AN7" i="18"/>
  <c r="AM7" i="18"/>
  <c r="BD6" i="18"/>
  <c r="BC6" i="18"/>
  <c r="AN6" i="18"/>
  <c r="AM6" i="18"/>
  <c r="BH5" i="18"/>
  <c r="BD5" i="18"/>
  <c r="BC5" i="18"/>
  <c r="AN5" i="18"/>
  <c r="AM5" i="18"/>
  <c r="BD4" i="18"/>
  <c r="BC4" i="18"/>
  <c r="AN4" i="18"/>
  <c r="AM4" i="18"/>
  <c r="BD3" i="18"/>
  <c r="BC3" i="18"/>
  <c r="AN3" i="18"/>
  <c r="AM3" i="18"/>
  <c r="CC18" i="17"/>
  <c r="CB18" i="17"/>
  <c r="CC17" i="17"/>
  <c r="CB17" i="17"/>
  <c r="CC4" i="17"/>
  <c r="CC3" i="17"/>
  <c r="O663" i="15"/>
  <c r="U706" i="15" s="1"/>
  <c r="N663" i="15"/>
  <c r="I706" i="15" s="1"/>
  <c r="M663" i="15"/>
  <c r="L663" i="15"/>
  <c r="E663" i="15"/>
  <c r="T663" i="15" s="1"/>
  <c r="M706" i="15" s="1"/>
  <c r="O662" i="15"/>
  <c r="U705" i="15" s="1"/>
  <c r="N662" i="15"/>
  <c r="I705" i="15" s="1"/>
  <c r="M662" i="15"/>
  <c r="L662" i="15"/>
  <c r="E662" i="15"/>
  <c r="G662" i="15" s="1"/>
  <c r="N705" i="15" s="1"/>
  <c r="O661" i="15"/>
  <c r="U704" i="15" s="1"/>
  <c r="N661" i="15"/>
  <c r="I704" i="15" s="1"/>
  <c r="M661" i="15"/>
  <c r="L661" i="15"/>
  <c r="E661" i="15"/>
  <c r="O660" i="15"/>
  <c r="U703" i="15" s="1"/>
  <c r="N660" i="15"/>
  <c r="I703" i="15" s="1"/>
  <c r="M660" i="15"/>
  <c r="L660" i="15"/>
  <c r="E660" i="15"/>
  <c r="P660" i="15" s="1"/>
  <c r="K703" i="15" s="1"/>
  <c r="O659" i="15"/>
  <c r="U702" i="15" s="1"/>
  <c r="N659" i="15"/>
  <c r="I702" i="15" s="1"/>
  <c r="M659" i="15"/>
  <c r="L659" i="15"/>
  <c r="E659" i="15"/>
  <c r="U659" i="15" s="1"/>
  <c r="Y702" i="15" s="1"/>
  <c r="O658" i="15"/>
  <c r="U701" i="15" s="1"/>
  <c r="N658" i="15"/>
  <c r="I701" i="15" s="1"/>
  <c r="M658" i="15"/>
  <c r="L658" i="15"/>
  <c r="E658" i="15"/>
  <c r="O657" i="15"/>
  <c r="U700" i="15" s="1"/>
  <c r="N657" i="15"/>
  <c r="I700" i="15" s="1"/>
  <c r="M657" i="15"/>
  <c r="L657" i="15"/>
  <c r="E657" i="15"/>
  <c r="Q657" i="15" s="1"/>
  <c r="O656" i="15"/>
  <c r="U699" i="15" s="1"/>
  <c r="N656" i="15"/>
  <c r="I699" i="15" s="1"/>
  <c r="M656" i="15"/>
  <c r="L656" i="15"/>
  <c r="E656" i="15"/>
  <c r="O655" i="15"/>
  <c r="U698" i="15" s="1"/>
  <c r="N655" i="15"/>
  <c r="I698" i="15" s="1"/>
  <c r="M655" i="15"/>
  <c r="L655" i="15"/>
  <c r="E655" i="15"/>
  <c r="S655" i="15" s="1"/>
  <c r="O654" i="15"/>
  <c r="U697" i="15" s="1"/>
  <c r="N654" i="15"/>
  <c r="I697" i="15" s="1"/>
  <c r="M654" i="15"/>
  <c r="L654" i="15"/>
  <c r="E654" i="15"/>
  <c r="O653" i="15"/>
  <c r="U696" i="15" s="1"/>
  <c r="N653" i="15"/>
  <c r="I696" i="15" s="1"/>
  <c r="M653" i="15"/>
  <c r="L653" i="15"/>
  <c r="E653" i="15"/>
  <c r="U653" i="15" s="1"/>
  <c r="Y696" i="15" s="1"/>
  <c r="O652" i="15"/>
  <c r="U695" i="15" s="1"/>
  <c r="N652" i="15"/>
  <c r="I695" i="15" s="1"/>
  <c r="M652" i="15"/>
  <c r="L652" i="15"/>
  <c r="E652" i="15"/>
  <c r="H652" i="15" s="1"/>
  <c r="C695" i="15" s="1"/>
  <c r="O651" i="15"/>
  <c r="U694" i="15" s="1"/>
  <c r="N651" i="15"/>
  <c r="I694" i="15" s="1"/>
  <c r="M651" i="15"/>
  <c r="L651" i="15"/>
  <c r="E651" i="15"/>
  <c r="J651" i="15" s="1"/>
  <c r="O650" i="15"/>
  <c r="U693" i="15" s="1"/>
  <c r="N650" i="15"/>
  <c r="I693" i="15" s="1"/>
  <c r="M650" i="15"/>
  <c r="L650" i="15"/>
  <c r="E650" i="15"/>
  <c r="O649" i="15"/>
  <c r="U692" i="15" s="1"/>
  <c r="N649" i="15"/>
  <c r="I692" i="15" s="1"/>
  <c r="M649" i="15"/>
  <c r="L649" i="15"/>
  <c r="E649" i="15"/>
  <c r="P649" i="15" s="1"/>
  <c r="O648" i="15"/>
  <c r="U691" i="15" s="1"/>
  <c r="N648" i="15"/>
  <c r="I691" i="15" s="1"/>
  <c r="M648" i="15"/>
  <c r="L648" i="15"/>
  <c r="E648" i="15"/>
  <c r="T648" i="15" s="1"/>
  <c r="O647" i="15"/>
  <c r="U690" i="15" s="1"/>
  <c r="N647" i="15"/>
  <c r="I690" i="15" s="1"/>
  <c r="M647" i="15"/>
  <c r="L647" i="15"/>
  <c r="E647" i="15"/>
  <c r="F647" i="15" s="1"/>
  <c r="O646" i="15"/>
  <c r="U689" i="15" s="1"/>
  <c r="N646" i="15"/>
  <c r="I689" i="15" s="1"/>
  <c r="M646" i="15"/>
  <c r="L646" i="15"/>
  <c r="E646" i="15"/>
  <c r="I646" i="15" s="1"/>
  <c r="O689" i="15" s="1"/>
  <c r="O645" i="15"/>
  <c r="U688" i="15" s="1"/>
  <c r="N645" i="15"/>
  <c r="I688" i="15" s="1"/>
  <c r="M645" i="15"/>
  <c r="L645" i="15"/>
  <c r="E645" i="15"/>
  <c r="T645" i="15" s="1"/>
  <c r="M688" i="15" s="1"/>
  <c r="O644" i="15"/>
  <c r="U687" i="15" s="1"/>
  <c r="N644" i="15"/>
  <c r="I687" i="15" s="1"/>
  <c r="M644" i="15"/>
  <c r="L644" i="15"/>
  <c r="E644" i="15"/>
  <c r="O643" i="15"/>
  <c r="U686" i="15" s="1"/>
  <c r="N643" i="15"/>
  <c r="I686" i="15" s="1"/>
  <c r="M643" i="15"/>
  <c r="L643" i="15"/>
  <c r="E643" i="15"/>
  <c r="T643" i="15" s="1"/>
  <c r="O642" i="15"/>
  <c r="U685" i="15" s="1"/>
  <c r="N642" i="15"/>
  <c r="I685" i="15" s="1"/>
  <c r="M642" i="15"/>
  <c r="L642" i="15"/>
  <c r="E642" i="15"/>
  <c r="F642" i="15" s="1"/>
  <c r="B685" i="15" s="1"/>
  <c r="O641" i="15"/>
  <c r="U684" i="15" s="1"/>
  <c r="N641" i="15"/>
  <c r="I684" i="15" s="1"/>
  <c r="M641" i="15"/>
  <c r="L641" i="15"/>
  <c r="E641" i="15"/>
  <c r="G641" i="15" s="1"/>
  <c r="N684" i="15" s="1"/>
  <c r="O640" i="15"/>
  <c r="U683" i="15" s="1"/>
  <c r="N640" i="15"/>
  <c r="I683" i="15" s="1"/>
  <c r="M640" i="15"/>
  <c r="L640" i="15"/>
  <c r="E640" i="15"/>
  <c r="I640" i="15" s="1"/>
  <c r="O683" i="15" s="1"/>
  <c r="O639" i="15"/>
  <c r="U682" i="15" s="1"/>
  <c r="N639" i="15"/>
  <c r="I682" i="15" s="1"/>
  <c r="M639" i="15"/>
  <c r="L639" i="15"/>
  <c r="E639" i="15"/>
  <c r="J639" i="15" s="1"/>
  <c r="O638" i="15"/>
  <c r="U681" i="15" s="1"/>
  <c r="N638" i="15"/>
  <c r="I681" i="15" s="1"/>
  <c r="M638" i="15"/>
  <c r="L638" i="15"/>
  <c r="E638" i="15"/>
  <c r="G638" i="15" s="1"/>
  <c r="O637" i="15"/>
  <c r="U680" i="15" s="1"/>
  <c r="N637" i="15"/>
  <c r="I680" i="15" s="1"/>
  <c r="M637" i="15"/>
  <c r="L637" i="15"/>
  <c r="E637" i="15"/>
  <c r="U637" i="15" s="1"/>
  <c r="Y680" i="15" s="1"/>
  <c r="O636" i="15"/>
  <c r="U679" i="15" s="1"/>
  <c r="N636" i="15"/>
  <c r="I679" i="15" s="1"/>
  <c r="M636" i="15"/>
  <c r="L636" i="15"/>
  <c r="E636" i="15"/>
  <c r="U636" i="15" s="1"/>
  <c r="Y679" i="15" s="1"/>
  <c r="O635" i="15"/>
  <c r="U678" i="15" s="1"/>
  <c r="N635" i="15"/>
  <c r="I678" i="15" s="1"/>
  <c r="M635" i="15"/>
  <c r="L635" i="15"/>
  <c r="E635" i="15"/>
  <c r="T635" i="15" s="1"/>
  <c r="O634" i="15"/>
  <c r="U677" i="15" s="1"/>
  <c r="N634" i="15"/>
  <c r="I677" i="15" s="1"/>
  <c r="M634" i="15"/>
  <c r="L634" i="15"/>
  <c r="E634" i="15"/>
  <c r="T634" i="15" s="1"/>
  <c r="O633" i="15"/>
  <c r="U676" i="15" s="1"/>
  <c r="N633" i="15"/>
  <c r="I676" i="15" s="1"/>
  <c r="M633" i="15"/>
  <c r="L633" i="15"/>
  <c r="E633" i="15"/>
  <c r="G633" i="15" s="1"/>
  <c r="N676" i="15" s="1"/>
  <c r="O632" i="15"/>
  <c r="U675" i="15" s="1"/>
  <c r="N632" i="15"/>
  <c r="I675" i="15" s="1"/>
  <c r="M632" i="15"/>
  <c r="L632" i="15"/>
  <c r="E632" i="15"/>
  <c r="U632" i="15" s="1"/>
  <c r="O631" i="15"/>
  <c r="U674" i="15" s="1"/>
  <c r="N631" i="15"/>
  <c r="I674" i="15" s="1"/>
  <c r="M631" i="15"/>
  <c r="L631" i="15"/>
  <c r="E631" i="15"/>
  <c r="G631" i="15" s="1"/>
  <c r="O630" i="15"/>
  <c r="U673" i="15" s="1"/>
  <c r="N630" i="15"/>
  <c r="I673" i="15" s="1"/>
  <c r="M630" i="15"/>
  <c r="L630" i="15"/>
  <c r="E630" i="15"/>
  <c r="O629" i="15"/>
  <c r="U672" i="15" s="1"/>
  <c r="N629" i="15"/>
  <c r="I672" i="15" s="1"/>
  <c r="M629" i="15"/>
  <c r="L629" i="15"/>
  <c r="E629" i="15"/>
  <c r="I629" i="15" s="1"/>
  <c r="O628" i="15"/>
  <c r="U671" i="15" s="1"/>
  <c r="N628" i="15"/>
  <c r="I671" i="15" s="1"/>
  <c r="M628" i="15"/>
  <c r="L628" i="15"/>
  <c r="E628" i="15"/>
  <c r="O627" i="15"/>
  <c r="U670" i="15" s="1"/>
  <c r="N627" i="15"/>
  <c r="I670" i="15" s="1"/>
  <c r="M627" i="15"/>
  <c r="L627" i="15"/>
  <c r="E627" i="15"/>
  <c r="K627" i="15" s="1"/>
  <c r="R670" i="15" s="1"/>
  <c r="S670" i="15" s="1"/>
  <c r="M626" i="15"/>
  <c r="L626" i="15"/>
  <c r="E626" i="15"/>
  <c r="O625" i="15"/>
  <c r="U668" i="15" s="1"/>
  <c r="N625" i="15"/>
  <c r="I668" i="15" s="1"/>
  <c r="M625" i="15"/>
  <c r="L625" i="15"/>
  <c r="E625" i="15"/>
  <c r="S625" i="15" s="1"/>
  <c r="O624" i="15"/>
  <c r="U667" i="15" s="1"/>
  <c r="N624" i="15"/>
  <c r="I667" i="15" s="1"/>
  <c r="M624" i="15"/>
  <c r="L624" i="15"/>
  <c r="E624" i="15"/>
  <c r="P624" i="15" s="1"/>
  <c r="E575" i="15"/>
  <c r="Q575" i="15" s="1"/>
  <c r="E574" i="15"/>
  <c r="AE574" i="15" s="1"/>
  <c r="BC617" i="15" s="1"/>
  <c r="E573" i="15"/>
  <c r="Y573" i="15" s="1"/>
  <c r="E572" i="15"/>
  <c r="AC572" i="15" s="1"/>
  <c r="E571" i="15"/>
  <c r="S571" i="15" s="1"/>
  <c r="E570" i="15"/>
  <c r="AH570" i="15" s="1"/>
  <c r="AB613" i="15" s="1"/>
  <c r="E569" i="15"/>
  <c r="AA569" i="15" s="1"/>
  <c r="E568" i="15"/>
  <c r="AF568" i="15" s="1"/>
  <c r="E567" i="15"/>
  <c r="E566" i="15"/>
  <c r="E565" i="15"/>
  <c r="AD565" i="15" s="1"/>
  <c r="E564" i="15"/>
  <c r="E563" i="15"/>
  <c r="E562" i="15"/>
  <c r="AH562" i="15" s="1"/>
  <c r="AB605" i="15" s="1"/>
  <c r="E561" i="15"/>
  <c r="AA561" i="15" s="1"/>
  <c r="E560" i="15"/>
  <c r="AJ560" i="15" s="1"/>
  <c r="AC603" i="15" s="1"/>
  <c r="E559" i="15"/>
  <c r="AC559" i="15" s="1"/>
  <c r="E558" i="15"/>
  <c r="AH558" i="15" s="1"/>
  <c r="AB601" i="15" s="1"/>
  <c r="E557" i="15"/>
  <c r="O557" i="15" s="1"/>
  <c r="E556" i="15"/>
  <c r="AI556" i="15" s="1"/>
  <c r="E555" i="15"/>
  <c r="E554" i="15"/>
  <c r="AB554" i="15" s="1"/>
  <c r="E553" i="15"/>
  <c r="AH553" i="15" s="1"/>
  <c r="E552" i="15"/>
  <c r="AL552" i="15" s="1"/>
  <c r="E551" i="15"/>
  <c r="AE551" i="15" s="1"/>
  <c r="E550" i="15"/>
  <c r="E549" i="15"/>
  <c r="AF549" i="15" s="1"/>
  <c r="E548" i="15"/>
  <c r="AJ548" i="15" s="1"/>
  <c r="AC591" i="15" s="1"/>
  <c r="E547" i="15"/>
  <c r="AH547" i="15" s="1"/>
  <c r="E546" i="15"/>
  <c r="E545" i="15"/>
  <c r="AD545" i="15" s="1"/>
  <c r="Z588" i="15" s="1"/>
  <c r="E544" i="15"/>
  <c r="AL544" i="15" s="1"/>
  <c r="E543" i="15"/>
  <c r="X543" i="15" s="1"/>
  <c r="E542" i="15"/>
  <c r="E541" i="15"/>
  <c r="AF541" i="15" s="1"/>
  <c r="E540" i="15"/>
  <c r="AG540" i="15" s="1"/>
  <c r="E539" i="15"/>
  <c r="AH539" i="15" s="1"/>
  <c r="E538" i="15"/>
  <c r="AE538" i="15" s="1"/>
  <c r="E537" i="15"/>
  <c r="H537" i="15" s="1"/>
  <c r="E536" i="15"/>
  <c r="E487" i="15"/>
  <c r="J487" i="15" s="1"/>
  <c r="E486" i="15"/>
  <c r="O486" i="15" s="1"/>
  <c r="S529" i="15" s="1"/>
  <c r="AI529" i="15" s="1"/>
  <c r="E485" i="15"/>
  <c r="P485" i="15" s="1"/>
  <c r="E484" i="15"/>
  <c r="K484" i="15" s="1"/>
  <c r="E483" i="15"/>
  <c r="E482" i="15"/>
  <c r="O482" i="15" s="1"/>
  <c r="S525" i="15" s="1"/>
  <c r="AI525" i="15" s="1"/>
  <c r="E481" i="15"/>
  <c r="P481" i="15" s="1"/>
  <c r="E480" i="15"/>
  <c r="M480" i="15" s="1"/>
  <c r="E479" i="15"/>
  <c r="J479" i="15" s="1"/>
  <c r="E478" i="15"/>
  <c r="O478" i="15" s="1"/>
  <c r="S521" i="15" s="1"/>
  <c r="AI521" i="15" s="1"/>
  <c r="E477" i="15"/>
  <c r="E476" i="15"/>
  <c r="P476" i="15" s="1"/>
  <c r="E475" i="15"/>
  <c r="O475" i="15" s="1"/>
  <c r="E474" i="15"/>
  <c r="E473" i="15"/>
  <c r="J473" i="15" s="1"/>
  <c r="E472" i="15"/>
  <c r="M472" i="15" s="1"/>
  <c r="E471" i="15"/>
  <c r="E470" i="15"/>
  <c r="E469" i="15"/>
  <c r="N469" i="15" s="1"/>
  <c r="E468" i="15"/>
  <c r="N468" i="15" s="1"/>
  <c r="E467" i="15"/>
  <c r="M467" i="15" s="1"/>
  <c r="E466" i="15"/>
  <c r="E465" i="15"/>
  <c r="O465" i="15" s="1"/>
  <c r="E464" i="15"/>
  <c r="M464" i="15" s="1"/>
  <c r="E463" i="15"/>
  <c r="M463" i="15" s="1"/>
  <c r="E462" i="15"/>
  <c r="O462" i="15" s="1"/>
  <c r="S505" i="15" s="1"/>
  <c r="AI505" i="15" s="1"/>
  <c r="E461" i="15"/>
  <c r="E460" i="15"/>
  <c r="N460" i="15" s="1"/>
  <c r="E459" i="15"/>
  <c r="M459" i="15" s="1"/>
  <c r="E458" i="15"/>
  <c r="P458" i="15" s="1"/>
  <c r="E457" i="15"/>
  <c r="J457" i="15" s="1"/>
  <c r="E456" i="15"/>
  <c r="E455" i="15"/>
  <c r="M455" i="15" s="1"/>
  <c r="E454" i="15"/>
  <c r="O454" i="15" s="1"/>
  <c r="S497" i="15" s="1"/>
  <c r="AI497" i="15" s="1"/>
  <c r="E453" i="15"/>
  <c r="N453" i="15" s="1"/>
  <c r="E452" i="15"/>
  <c r="N452" i="15" s="1"/>
  <c r="E451" i="15"/>
  <c r="M451" i="15" s="1"/>
  <c r="E450" i="15"/>
  <c r="L450" i="15" s="1"/>
  <c r="E449" i="15"/>
  <c r="E448" i="15"/>
  <c r="K448" i="15" s="1"/>
  <c r="E399" i="15"/>
  <c r="P399" i="15" s="1"/>
  <c r="E398" i="15"/>
  <c r="M398" i="15" s="1"/>
  <c r="E397" i="15"/>
  <c r="P397" i="15" s="1"/>
  <c r="E396" i="15"/>
  <c r="M396" i="15" s="1"/>
  <c r="Y439" i="15" s="1"/>
  <c r="E395" i="15"/>
  <c r="E394" i="15"/>
  <c r="M394" i="15" s="1"/>
  <c r="E393" i="15"/>
  <c r="M393" i="15" s="1"/>
  <c r="E392" i="15"/>
  <c r="K392" i="15" s="1"/>
  <c r="E391" i="15"/>
  <c r="P391" i="15" s="1"/>
  <c r="E390" i="15"/>
  <c r="M390" i="15" s="1"/>
  <c r="E389" i="15"/>
  <c r="O389" i="15" s="1"/>
  <c r="S432" i="15" s="1"/>
  <c r="AI432" i="15" s="1"/>
  <c r="E388" i="15"/>
  <c r="M388" i="15" s="1"/>
  <c r="E387" i="15"/>
  <c r="M387" i="15" s="1"/>
  <c r="E386" i="15"/>
  <c r="E385" i="15"/>
  <c r="E384" i="15"/>
  <c r="K384" i="15" s="1"/>
  <c r="E383" i="15"/>
  <c r="P383" i="15" s="1"/>
  <c r="E382" i="15"/>
  <c r="M382" i="15" s="1"/>
  <c r="E381" i="15"/>
  <c r="P381" i="15" s="1"/>
  <c r="E380" i="15"/>
  <c r="M380" i="15" s="1"/>
  <c r="Z423" i="15" s="1"/>
  <c r="E379" i="15"/>
  <c r="M379" i="15" s="1"/>
  <c r="X422" i="15" s="1"/>
  <c r="AA422" i="15" s="1"/>
  <c r="AD422" i="15" s="1"/>
  <c r="E378" i="15"/>
  <c r="M378" i="15" s="1"/>
  <c r="E377" i="15"/>
  <c r="M377" i="15" s="1"/>
  <c r="E376" i="15"/>
  <c r="L376" i="15" s="1"/>
  <c r="E375" i="15"/>
  <c r="P375" i="15" s="1"/>
  <c r="E374" i="15"/>
  <c r="M374" i="15" s="1"/>
  <c r="E373" i="15"/>
  <c r="Q373" i="15" s="1"/>
  <c r="E372" i="15"/>
  <c r="M372" i="15" s="1"/>
  <c r="Y415" i="15" s="1"/>
  <c r="E371" i="15"/>
  <c r="M371" i="15" s="1"/>
  <c r="X414" i="15" s="1"/>
  <c r="AA414" i="15" s="1"/>
  <c r="AD414" i="15" s="1"/>
  <c r="E370" i="15"/>
  <c r="E369" i="15"/>
  <c r="P369" i="15" s="1"/>
  <c r="E368" i="15"/>
  <c r="K368" i="15" s="1"/>
  <c r="E367" i="15"/>
  <c r="Q367" i="15" s="1"/>
  <c r="E366" i="15"/>
  <c r="G366" i="15" s="1"/>
  <c r="I409" i="15" s="1"/>
  <c r="E365" i="15"/>
  <c r="P365" i="15" s="1"/>
  <c r="E364" i="15"/>
  <c r="N364" i="15" s="1"/>
  <c r="E363" i="15"/>
  <c r="P363" i="15" s="1"/>
  <c r="E362" i="15"/>
  <c r="M362" i="15" s="1"/>
  <c r="E361" i="15"/>
  <c r="M361" i="15" s="1"/>
  <c r="E360" i="15"/>
  <c r="K360" i="15" s="1"/>
  <c r="B355" i="15"/>
  <c r="M355" i="15" s="1"/>
  <c r="B354" i="15"/>
  <c r="D354" i="15" s="1"/>
  <c r="B353" i="15"/>
  <c r="I353" i="15" s="1"/>
  <c r="B352" i="15"/>
  <c r="K352" i="15" s="1"/>
  <c r="B351" i="15"/>
  <c r="I351" i="15" s="1"/>
  <c r="B350" i="15"/>
  <c r="M350" i="15" s="1"/>
  <c r="B349" i="15"/>
  <c r="E349" i="15" s="1"/>
  <c r="B348" i="15"/>
  <c r="B347" i="15"/>
  <c r="M347" i="15" s="1"/>
  <c r="B346" i="15"/>
  <c r="M346" i="15" s="1"/>
  <c r="B345" i="15"/>
  <c r="M345" i="15" s="1"/>
  <c r="B344" i="15"/>
  <c r="M344" i="15" s="1"/>
  <c r="B343" i="15"/>
  <c r="E343" i="15" s="1"/>
  <c r="B342" i="15"/>
  <c r="I342" i="15" s="1"/>
  <c r="B341" i="15"/>
  <c r="B340" i="15"/>
  <c r="K340" i="15" s="1"/>
  <c r="B339" i="15"/>
  <c r="M339" i="15" s="1"/>
  <c r="B338" i="15"/>
  <c r="F338" i="15" s="1"/>
  <c r="B337" i="15"/>
  <c r="C337" i="15" s="1"/>
  <c r="B336" i="15"/>
  <c r="I336" i="15" s="1"/>
  <c r="B335" i="15"/>
  <c r="B334" i="15"/>
  <c r="M334" i="15" s="1"/>
  <c r="B333" i="15"/>
  <c r="E333" i="15" s="1"/>
  <c r="B332" i="15"/>
  <c r="B331" i="15"/>
  <c r="M331" i="15" s="1"/>
  <c r="B330" i="15"/>
  <c r="M330" i="15" s="1"/>
  <c r="B329" i="15"/>
  <c r="M329" i="15" s="1"/>
  <c r="B328" i="15"/>
  <c r="M328" i="15" s="1"/>
  <c r="B327" i="15"/>
  <c r="E327" i="15" s="1"/>
  <c r="B326" i="15"/>
  <c r="M326" i="15" s="1"/>
  <c r="B325" i="15"/>
  <c r="K325" i="15" s="1"/>
  <c r="B324" i="15"/>
  <c r="K324" i="15" s="1"/>
  <c r="B323" i="15"/>
  <c r="M323" i="15" s="1"/>
  <c r="B322" i="15"/>
  <c r="D322" i="15" s="1"/>
  <c r="B321" i="15"/>
  <c r="B320" i="15"/>
  <c r="B319" i="15"/>
  <c r="B318" i="15"/>
  <c r="M318" i="15" s="1"/>
  <c r="B317" i="15"/>
  <c r="E317" i="15" s="1"/>
  <c r="B316" i="15"/>
  <c r="C309" i="15"/>
  <c r="B309" i="15"/>
  <c r="C308" i="15"/>
  <c r="B308" i="15"/>
  <c r="C307" i="15"/>
  <c r="B307" i="15"/>
  <c r="C306" i="15"/>
  <c r="B306" i="15"/>
  <c r="C305" i="15"/>
  <c r="B305" i="15"/>
  <c r="C304" i="15"/>
  <c r="B304" i="15"/>
  <c r="C303" i="15"/>
  <c r="B303" i="15"/>
  <c r="C302" i="15"/>
  <c r="B302" i="15"/>
  <c r="C301" i="15"/>
  <c r="B301" i="15"/>
  <c r="C300" i="15"/>
  <c r="B300" i="15"/>
  <c r="C299" i="15"/>
  <c r="B299" i="15"/>
  <c r="C298" i="15"/>
  <c r="B298" i="15"/>
  <c r="C297" i="15"/>
  <c r="B297" i="15"/>
  <c r="C296" i="15"/>
  <c r="B296" i="15"/>
  <c r="C295" i="15"/>
  <c r="B295" i="15"/>
  <c r="C294" i="15"/>
  <c r="B294" i="15"/>
  <c r="C293" i="15"/>
  <c r="B293" i="15"/>
  <c r="C292" i="15"/>
  <c r="B292" i="15"/>
  <c r="C291" i="15"/>
  <c r="B291" i="15"/>
  <c r="C290" i="15"/>
  <c r="B290" i="15"/>
  <c r="C289" i="15"/>
  <c r="B289" i="15"/>
  <c r="C288" i="15"/>
  <c r="B288" i="15"/>
  <c r="C287" i="15"/>
  <c r="B287" i="15"/>
  <c r="C286" i="15"/>
  <c r="B286" i="15"/>
  <c r="C285" i="15"/>
  <c r="B285" i="15"/>
  <c r="C284" i="15"/>
  <c r="B284" i="15"/>
  <c r="C283" i="15"/>
  <c r="B283" i="15"/>
  <c r="C282" i="15"/>
  <c r="B282" i="15"/>
  <c r="C281" i="15"/>
  <c r="B281" i="15"/>
  <c r="C280" i="15"/>
  <c r="B280" i="15"/>
  <c r="C279" i="15"/>
  <c r="B279" i="15"/>
  <c r="C278" i="15"/>
  <c r="B278" i="15"/>
  <c r="C277" i="15"/>
  <c r="B277" i="15"/>
  <c r="C276" i="15"/>
  <c r="B276" i="15"/>
  <c r="C275" i="15"/>
  <c r="B275" i="15"/>
  <c r="C274" i="15"/>
  <c r="B274" i="15"/>
  <c r="C273" i="15"/>
  <c r="B273" i="15"/>
  <c r="C272" i="15"/>
  <c r="B272" i="15"/>
  <c r="C271" i="15"/>
  <c r="B271" i="15"/>
  <c r="C270" i="15"/>
  <c r="B270" i="15"/>
  <c r="T218" i="15"/>
  <c r="T217" i="15"/>
  <c r="T216" i="15"/>
  <c r="T215" i="15"/>
  <c r="T214" i="15"/>
  <c r="T213" i="15"/>
  <c r="T212" i="15"/>
  <c r="T211" i="15"/>
  <c r="T210" i="15"/>
  <c r="T209" i="15"/>
  <c r="T208" i="15"/>
  <c r="T207" i="15"/>
  <c r="T206" i="15"/>
  <c r="T205" i="15"/>
  <c r="T204" i="15"/>
  <c r="T203" i="15"/>
  <c r="T202" i="15"/>
  <c r="T201" i="15"/>
  <c r="T200" i="15"/>
  <c r="T199" i="15"/>
  <c r="T198" i="15"/>
  <c r="T197" i="15"/>
  <c r="T196" i="15"/>
  <c r="T195" i="15"/>
  <c r="T194" i="15"/>
  <c r="T193" i="15"/>
  <c r="T192" i="15"/>
  <c r="T191" i="15"/>
  <c r="T190" i="15"/>
  <c r="T189" i="15"/>
  <c r="T188" i="15"/>
  <c r="T187" i="15"/>
  <c r="T186" i="15"/>
  <c r="T185" i="15"/>
  <c r="T184" i="15"/>
  <c r="T183" i="15"/>
  <c r="T182" i="15"/>
  <c r="T181" i="15"/>
  <c r="T180" i="15"/>
  <c r="T179" i="15"/>
  <c r="X130" i="15"/>
  <c r="X129" i="15"/>
  <c r="X128" i="15"/>
  <c r="X127" i="15"/>
  <c r="X126" i="15"/>
  <c r="X125" i="15"/>
  <c r="X124" i="15"/>
  <c r="X123" i="15"/>
  <c r="X122" i="15"/>
  <c r="X121" i="15"/>
  <c r="X120" i="15"/>
  <c r="X119" i="15"/>
  <c r="X118" i="15"/>
  <c r="X117" i="15"/>
  <c r="X116" i="15"/>
  <c r="X115" i="15"/>
  <c r="X114" i="15"/>
  <c r="X113" i="15"/>
  <c r="X112" i="15"/>
  <c r="X111" i="15"/>
  <c r="X110" i="15"/>
  <c r="X109" i="15"/>
  <c r="X108" i="15"/>
  <c r="X107" i="15"/>
  <c r="X106" i="15"/>
  <c r="X105" i="15"/>
  <c r="X104" i="15"/>
  <c r="X103" i="15"/>
  <c r="X102" i="15"/>
  <c r="X101" i="15"/>
  <c r="X100" i="15"/>
  <c r="X99" i="15"/>
  <c r="X98" i="15"/>
  <c r="X97" i="15"/>
  <c r="X96" i="15"/>
  <c r="X95" i="15"/>
  <c r="X94" i="15"/>
  <c r="X93" i="15"/>
  <c r="X92" i="15"/>
  <c r="X91" i="15"/>
  <c r="X44" i="15"/>
  <c r="X43" i="15"/>
  <c r="X42" i="15"/>
  <c r="X41" i="15"/>
  <c r="X40" i="15"/>
  <c r="X39" i="15"/>
  <c r="X38" i="15"/>
  <c r="X37" i="15"/>
  <c r="X36" i="15"/>
  <c r="X35" i="15"/>
  <c r="X34" i="15"/>
  <c r="X33" i="15"/>
  <c r="X32" i="15"/>
  <c r="X31" i="15"/>
  <c r="X30" i="15"/>
  <c r="X29" i="15"/>
  <c r="X28" i="15"/>
  <c r="X27" i="15"/>
  <c r="X26" i="15"/>
  <c r="X25" i="15"/>
  <c r="X24" i="15"/>
  <c r="X23" i="15"/>
  <c r="X22" i="15"/>
  <c r="X21" i="15"/>
  <c r="X20" i="15"/>
  <c r="X19" i="15"/>
  <c r="X18" i="15"/>
  <c r="X17" i="15"/>
  <c r="X16" i="15"/>
  <c r="X15" i="15"/>
  <c r="X14" i="15"/>
  <c r="X13" i="15"/>
  <c r="X12" i="15"/>
  <c r="X11" i="15"/>
  <c r="X10" i="15"/>
  <c r="X9" i="15"/>
  <c r="X8" i="15"/>
  <c r="X7" i="15"/>
  <c r="X6" i="15"/>
  <c r="X5" i="15"/>
  <c r="B89" i="14"/>
  <c r="P89" i="14" s="1"/>
  <c r="B88" i="14"/>
  <c r="S88" i="14" s="1"/>
  <c r="B87" i="14"/>
  <c r="S87" i="14" s="1"/>
  <c r="B86" i="14"/>
  <c r="Q86" i="14" s="1"/>
  <c r="B85" i="14"/>
  <c r="T85" i="14" s="1"/>
  <c r="B84" i="14"/>
  <c r="O84" i="14" s="1"/>
  <c r="B83" i="14"/>
  <c r="O83" i="14" s="1"/>
  <c r="B82" i="14"/>
  <c r="U82" i="14" s="1"/>
  <c r="B81" i="14"/>
  <c r="P81" i="14" s="1"/>
  <c r="B80" i="14"/>
  <c r="S80" i="14" s="1"/>
  <c r="B79" i="14"/>
  <c r="S79" i="14" s="1"/>
  <c r="B78" i="14"/>
  <c r="O78" i="14" s="1"/>
  <c r="B77" i="14"/>
  <c r="T77" i="14" s="1"/>
  <c r="B76" i="14"/>
  <c r="O76" i="14" s="1"/>
  <c r="B75" i="14"/>
  <c r="O75" i="14" s="1"/>
  <c r="B74" i="14"/>
  <c r="S74" i="14" s="1"/>
  <c r="B73" i="14"/>
  <c r="P73" i="14" s="1"/>
  <c r="B72" i="14"/>
  <c r="S72" i="14" s="1"/>
  <c r="B71" i="14"/>
  <c r="S71" i="14" s="1"/>
  <c r="B70" i="14"/>
  <c r="N70" i="14" s="1"/>
  <c r="B69" i="14"/>
  <c r="T69" i="14" s="1"/>
  <c r="B68" i="14"/>
  <c r="O68" i="14" s="1"/>
  <c r="B67" i="14"/>
  <c r="O67" i="14" s="1"/>
  <c r="B66" i="14"/>
  <c r="J66" i="14" s="1"/>
  <c r="B65" i="14"/>
  <c r="P65" i="14" s="1"/>
  <c r="B64" i="14"/>
  <c r="S64" i="14" s="1"/>
  <c r="B63" i="14"/>
  <c r="S63" i="14" s="1"/>
  <c r="B62" i="14"/>
  <c r="N62" i="14" s="1"/>
  <c r="B61" i="14"/>
  <c r="T61" i="14" s="1"/>
  <c r="B60" i="14"/>
  <c r="O60" i="14" s="1"/>
  <c r="B59" i="14"/>
  <c r="O59" i="14" s="1"/>
  <c r="B58" i="14"/>
  <c r="J58" i="14" s="1"/>
  <c r="B57" i="14"/>
  <c r="P57" i="14" s="1"/>
  <c r="B56" i="14"/>
  <c r="S56" i="14" s="1"/>
  <c r="B55" i="14"/>
  <c r="S55" i="14" s="1"/>
  <c r="B54" i="14"/>
  <c r="N54" i="14" s="1"/>
  <c r="B53" i="14"/>
  <c r="T53" i="14" s="1"/>
  <c r="B52" i="14"/>
  <c r="O52" i="14" s="1"/>
  <c r="B51" i="14"/>
  <c r="B50" i="14"/>
  <c r="B46" i="14"/>
  <c r="B45" i="14"/>
  <c r="B44" i="14"/>
  <c r="O43" i="14"/>
  <c r="Q43" i="14" s="1"/>
  <c r="B43" i="14"/>
  <c r="O42" i="14"/>
  <c r="Q42" i="14" s="1"/>
  <c r="B42" i="14"/>
  <c r="O41" i="14"/>
  <c r="Q41" i="14" s="1"/>
  <c r="B41" i="14"/>
  <c r="O40" i="14"/>
  <c r="P40" i="14" s="1"/>
  <c r="B40" i="14"/>
  <c r="O39" i="14"/>
  <c r="Q39" i="14" s="1"/>
  <c r="B39" i="14"/>
  <c r="O38" i="14"/>
  <c r="B38" i="14"/>
  <c r="O37" i="14"/>
  <c r="Q37" i="14" s="1"/>
  <c r="B37" i="14"/>
  <c r="O36" i="14"/>
  <c r="B36" i="14"/>
  <c r="O35" i="14"/>
  <c r="Q35" i="14" s="1"/>
  <c r="B35" i="14"/>
  <c r="O34" i="14"/>
  <c r="B34" i="14"/>
  <c r="O33" i="14"/>
  <c r="Q33" i="14" s="1"/>
  <c r="B33" i="14"/>
  <c r="O32" i="14"/>
  <c r="B32" i="14"/>
  <c r="O31" i="14"/>
  <c r="Q31" i="14" s="1"/>
  <c r="B31" i="14"/>
  <c r="O30" i="14"/>
  <c r="B30" i="14"/>
  <c r="O29" i="14"/>
  <c r="Q29" i="14" s="1"/>
  <c r="B29" i="14"/>
  <c r="O28" i="14"/>
  <c r="B28" i="14"/>
  <c r="O27" i="14"/>
  <c r="Q27" i="14" s="1"/>
  <c r="B27" i="14"/>
  <c r="O26" i="14"/>
  <c r="Q26" i="14" s="1"/>
  <c r="O25" i="14"/>
  <c r="P25" i="14" s="1"/>
  <c r="O24" i="14"/>
  <c r="Q24" i="14" s="1"/>
  <c r="O23" i="14"/>
  <c r="B23" i="14"/>
  <c r="O22" i="14"/>
  <c r="P22" i="14" s="1"/>
  <c r="B22" i="14"/>
  <c r="O21" i="14"/>
  <c r="Q21" i="14" s="1"/>
  <c r="B21" i="14"/>
  <c r="O20" i="14"/>
  <c r="P20" i="14" s="1"/>
  <c r="B20" i="14"/>
  <c r="O19" i="14"/>
  <c r="P19" i="14" s="1"/>
  <c r="B19" i="14"/>
  <c r="O18" i="14"/>
  <c r="P18" i="14" s="1"/>
  <c r="B18" i="14"/>
  <c r="O17" i="14"/>
  <c r="Q17" i="14" s="1"/>
  <c r="B17" i="14"/>
  <c r="O16" i="14"/>
  <c r="P16" i="14" s="1"/>
  <c r="B16" i="14"/>
  <c r="O15" i="14"/>
  <c r="P15" i="14" s="1"/>
  <c r="B15" i="14"/>
  <c r="O14" i="14"/>
  <c r="P14" i="14" s="1"/>
  <c r="B14" i="14"/>
  <c r="O13" i="14"/>
  <c r="Q13" i="14" s="1"/>
  <c r="B13" i="14"/>
  <c r="O12" i="14"/>
  <c r="P12" i="14" s="1"/>
  <c r="B12" i="14"/>
  <c r="O11" i="14"/>
  <c r="P11" i="14" s="1"/>
  <c r="B11" i="14"/>
  <c r="O10" i="14"/>
  <c r="P10" i="14" s="1"/>
  <c r="B10" i="14"/>
  <c r="O9" i="14"/>
  <c r="Q9" i="14" s="1"/>
  <c r="B9" i="14"/>
  <c r="W8" i="14"/>
  <c r="Y8" i="14" s="1"/>
  <c r="R8" i="14"/>
  <c r="T8" i="14" s="1"/>
  <c r="O8" i="14"/>
  <c r="P8" i="14" s="1"/>
  <c r="B8" i="14"/>
  <c r="W7" i="14"/>
  <c r="Z7" i="14" s="1"/>
  <c r="R7" i="14"/>
  <c r="U7" i="14" s="1"/>
  <c r="O7" i="14"/>
  <c r="P7" i="14" s="1"/>
  <c r="B7" i="14"/>
  <c r="W6" i="14"/>
  <c r="Y6" i="14" s="1"/>
  <c r="R6" i="14"/>
  <c r="T6" i="14" s="1"/>
  <c r="O6" i="14"/>
  <c r="P6" i="14" s="1"/>
  <c r="B6" i="14"/>
  <c r="W5" i="14"/>
  <c r="Z5" i="14" s="1"/>
  <c r="R5" i="14"/>
  <c r="U5" i="14" s="1"/>
  <c r="O5" i="14"/>
  <c r="P5" i="14" s="1"/>
  <c r="B5" i="14"/>
  <c r="O4" i="14"/>
  <c r="P4" i="14" s="1"/>
  <c r="B4" i="14"/>
  <c r="T1" i="14"/>
  <c r="Q1" i="14"/>
  <c r="AK166" i="13"/>
  <c r="B166" i="13"/>
  <c r="AK165" i="13"/>
  <c r="B165" i="13"/>
  <c r="AK164" i="13"/>
  <c r="B164" i="13"/>
  <c r="AK163" i="13"/>
  <c r="B163" i="13"/>
  <c r="AK162" i="13"/>
  <c r="B162" i="13"/>
  <c r="AK161" i="13"/>
  <c r="B161" i="13"/>
  <c r="AK160" i="13"/>
  <c r="B160" i="13"/>
  <c r="AK159" i="13"/>
  <c r="B159" i="13"/>
  <c r="AK158" i="13"/>
  <c r="B158" i="13"/>
  <c r="AK157" i="13"/>
  <c r="B157" i="13"/>
  <c r="AK156" i="13"/>
  <c r="B156" i="13"/>
  <c r="AK155" i="13"/>
  <c r="B155" i="13"/>
  <c r="AK154" i="13"/>
  <c r="B154" i="13"/>
  <c r="AK153" i="13"/>
  <c r="B153" i="13"/>
  <c r="AK152" i="13"/>
  <c r="B152" i="13"/>
  <c r="AK151" i="13"/>
  <c r="B151" i="13"/>
  <c r="AK150" i="13"/>
  <c r="B150" i="13"/>
  <c r="AK149" i="13"/>
  <c r="B149" i="13"/>
  <c r="AK148" i="13"/>
  <c r="B148" i="13"/>
  <c r="AK147" i="13"/>
  <c r="B147" i="13"/>
  <c r="AE142" i="13"/>
  <c r="B142" i="13"/>
  <c r="AE141" i="13"/>
  <c r="B141" i="13"/>
  <c r="AE140" i="13"/>
  <c r="B140" i="13"/>
  <c r="AE139" i="13"/>
  <c r="B139" i="13"/>
  <c r="AE138" i="13"/>
  <c r="B138" i="13"/>
  <c r="AE137" i="13"/>
  <c r="B137" i="13"/>
  <c r="AE136" i="13"/>
  <c r="B136" i="13"/>
  <c r="AE135" i="13"/>
  <c r="B135" i="13"/>
  <c r="AE134" i="13"/>
  <c r="B134" i="13"/>
  <c r="AE133" i="13"/>
  <c r="B133" i="13"/>
  <c r="AE132" i="13"/>
  <c r="B132" i="13"/>
  <c r="AE131" i="13"/>
  <c r="B131" i="13"/>
  <c r="AE130" i="13"/>
  <c r="B130" i="13"/>
  <c r="AE129" i="13"/>
  <c r="B129" i="13"/>
  <c r="AE128" i="13"/>
  <c r="B128" i="13"/>
  <c r="AE127" i="13"/>
  <c r="B127" i="13"/>
  <c r="AE126" i="13"/>
  <c r="B126" i="13"/>
  <c r="AE125" i="13"/>
  <c r="B125" i="13"/>
  <c r="AE124" i="13"/>
  <c r="B124" i="13"/>
  <c r="AE123" i="13"/>
  <c r="B123" i="13"/>
  <c r="AE118" i="13"/>
  <c r="B118" i="13"/>
  <c r="AE117" i="13"/>
  <c r="B117" i="13"/>
  <c r="AE116" i="13"/>
  <c r="B116" i="13"/>
  <c r="AE115" i="13"/>
  <c r="B115" i="13"/>
  <c r="AE114" i="13"/>
  <c r="B114" i="13"/>
  <c r="AE113" i="13"/>
  <c r="B113" i="13"/>
  <c r="AE112" i="13"/>
  <c r="B112" i="13"/>
  <c r="AE111" i="13"/>
  <c r="B111" i="13"/>
  <c r="AE110" i="13"/>
  <c r="B110" i="13"/>
  <c r="AE109" i="13"/>
  <c r="B109" i="13"/>
  <c r="AE108" i="13"/>
  <c r="B108" i="13"/>
  <c r="AE107" i="13"/>
  <c r="B107" i="13"/>
  <c r="AE106" i="13"/>
  <c r="B106" i="13"/>
  <c r="AE105" i="13"/>
  <c r="B105" i="13"/>
  <c r="AE104" i="13"/>
  <c r="B104" i="13"/>
  <c r="AE103" i="13"/>
  <c r="B103" i="13"/>
  <c r="AE102" i="13"/>
  <c r="B102" i="13"/>
  <c r="AE101" i="13"/>
  <c r="B101" i="13"/>
  <c r="AE100" i="13"/>
  <c r="B100" i="13"/>
  <c r="AE99" i="13"/>
  <c r="B99" i="13"/>
  <c r="O94" i="13"/>
  <c r="B94" i="13"/>
  <c r="C94" i="13" s="1"/>
  <c r="O93" i="13"/>
  <c r="P93" i="13" s="1"/>
  <c r="B93" i="13"/>
  <c r="C93" i="13" s="1"/>
  <c r="O92" i="13"/>
  <c r="P92" i="13" s="1"/>
  <c r="B92" i="13"/>
  <c r="C92" i="13" s="1"/>
  <c r="O91" i="13"/>
  <c r="P91" i="13" s="1"/>
  <c r="B91" i="13"/>
  <c r="C91" i="13" s="1"/>
  <c r="O90" i="13"/>
  <c r="P90" i="13" s="1"/>
  <c r="B90" i="13"/>
  <c r="C90" i="13" s="1"/>
  <c r="O89" i="13"/>
  <c r="P89" i="13" s="1"/>
  <c r="B89" i="13"/>
  <c r="C89" i="13" s="1"/>
  <c r="O88" i="13"/>
  <c r="P88" i="13" s="1"/>
  <c r="B88" i="13"/>
  <c r="C88" i="13" s="1"/>
  <c r="O87" i="13"/>
  <c r="P87" i="13" s="1"/>
  <c r="B87" i="13"/>
  <c r="C87" i="13" s="1"/>
  <c r="O86" i="13"/>
  <c r="P86" i="13" s="1"/>
  <c r="B86" i="13"/>
  <c r="C86" i="13" s="1"/>
  <c r="O85" i="13"/>
  <c r="P85" i="13" s="1"/>
  <c r="B85" i="13"/>
  <c r="C85" i="13" s="1"/>
  <c r="O84" i="13"/>
  <c r="P84" i="13" s="1"/>
  <c r="B84" i="13"/>
  <c r="C84" i="13" s="1"/>
  <c r="O83" i="13"/>
  <c r="P83" i="13" s="1"/>
  <c r="B83" i="13"/>
  <c r="C83" i="13" s="1"/>
  <c r="O82" i="13"/>
  <c r="P82" i="13" s="1"/>
  <c r="B82" i="13"/>
  <c r="C82" i="13" s="1"/>
  <c r="O81" i="13"/>
  <c r="P81" i="13" s="1"/>
  <c r="B81" i="13"/>
  <c r="C81" i="13" s="1"/>
  <c r="O80" i="13"/>
  <c r="P80" i="13" s="1"/>
  <c r="B80" i="13"/>
  <c r="C80" i="13" s="1"/>
  <c r="O79" i="13"/>
  <c r="P79" i="13" s="1"/>
  <c r="B79" i="13"/>
  <c r="C79" i="13" s="1"/>
  <c r="O78" i="13"/>
  <c r="P78" i="13" s="1"/>
  <c r="B78" i="13"/>
  <c r="C78" i="13" s="1"/>
  <c r="O77" i="13"/>
  <c r="P77" i="13" s="1"/>
  <c r="B77" i="13"/>
  <c r="C77" i="13" s="1"/>
  <c r="O76" i="13"/>
  <c r="P76" i="13" s="1"/>
  <c r="B76" i="13"/>
  <c r="C76" i="13" s="1"/>
  <c r="O75" i="13"/>
  <c r="P75" i="13" s="1"/>
  <c r="B75" i="13"/>
  <c r="C75" i="13" s="1"/>
  <c r="O71" i="13"/>
  <c r="B71" i="13"/>
  <c r="O70" i="13"/>
  <c r="B70" i="13"/>
  <c r="O69" i="13"/>
  <c r="B69" i="13"/>
  <c r="O68" i="13"/>
  <c r="B68" i="13"/>
  <c r="O67" i="13"/>
  <c r="B67" i="13"/>
  <c r="O66" i="13"/>
  <c r="B66" i="13"/>
  <c r="O65" i="13"/>
  <c r="B65" i="13"/>
  <c r="O64" i="13"/>
  <c r="B64" i="13"/>
  <c r="O63" i="13"/>
  <c r="B63" i="13"/>
  <c r="O62" i="13"/>
  <c r="B62" i="13"/>
  <c r="O61" i="13"/>
  <c r="B61" i="13"/>
  <c r="O60" i="13"/>
  <c r="B60" i="13"/>
  <c r="O59" i="13"/>
  <c r="B59" i="13"/>
  <c r="O58" i="13"/>
  <c r="B58" i="13"/>
  <c r="O57" i="13"/>
  <c r="B57" i="13"/>
  <c r="O56" i="13"/>
  <c r="B56" i="13"/>
  <c r="O55" i="13"/>
  <c r="B55" i="13"/>
  <c r="O54" i="13"/>
  <c r="B54" i="13"/>
  <c r="O53" i="13"/>
  <c r="B53" i="13"/>
  <c r="O52" i="13"/>
  <c r="B52" i="13"/>
  <c r="O48" i="13"/>
  <c r="K48" i="13"/>
  <c r="B48" i="13"/>
  <c r="O47" i="13"/>
  <c r="K47" i="13"/>
  <c r="B47" i="13"/>
  <c r="O46" i="13"/>
  <c r="K46" i="13"/>
  <c r="B46" i="13"/>
  <c r="O45" i="13"/>
  <c r="K45" i="13"/>
  <c r="B45" i="13"/>
  <c r="O44" i="13"/>
  <c r="K44" i="13"/>
  <c r="B44" i="13"/>
  <c r="O43" i="13"/>
  <c r="K43" i="13"/>
  <c r="B43" i="13"/>
  <c r="O42" i="13"/>
  <c r="K42" i="13"/>
  <c r="B42" i="13"/>
  <c r="O41" i="13"/>
  <c r="K41" i="13"/>
  <c r="B41" i="13"/>
  <c r="O40" i="13"/>
  <c r="K40" i="13"/>
  <c r="B40" i="13"/>
  <c r="O39" i="13"/>
  <c r="K39" i="13"/>
  <c r="B39" i="13"/>
  <c r="O38" i="13"/>
  <c r="K38" i="13"/>
  <c r="B38" i="13"/>
  <c r="O37" i="13"/>
  <c r="K37" i="13"/>
  <c r="B37" i="13"/>
  <c r="O36" i="13"/>
  <c r="K36" i="13"/>
  <c r="B36" i="13"/>
  <c r="O35" i="13"/>
  <c r="K35" i="13"/>
  <c r="B35" i="13"/>
  <c r="O34" i="13"/>
  <c r="K34" i="13"/>
  <c r="B34" i="13"/>
  <c r="O33" i="13"/>
  <c r="K33" i="13"/>
  <c r="B33" i="13"/>
  <c r="O32" i="13"/>
  <c r="K32" i="13"/>
  <c r="B32" i="13"/>
  <c r="O31" i="13"/>
  <c r="K31" i="13"/>
  <c r="B31" i="13"/>
  <c r="O30" i="13"/>
  <c r="K30" i="13"/>
  <c r="B30" i="13"/>
  <c r="O29" i="13"/>
  <c r="K29" i="13"/>
  <c r="B29" i="13"/>
  <c r="AJ25" i="13"/>
  <c r="AI25" i="13"/>
  <c r="O25" i="13"/>
  <c r="K25" i="13"/>
  <c r="B25" i="13"/>
  <c r="AJ24" i="13"/>
  <c r="AI24" i="13"/>
  <c r="O24" i="13"/>
  <c r="K24" i="13"/>
  <c r="B24" i="13"/>
  <c r="AJ23" i="13"/>
  <c r="AI23" i="13"/>
  <c r="O23" i="13"/>
  <c r="K23" i="13"/>
  <c r="B23" i="13"/>
  <c r="AJ22" i="13"/>
  <c r="AI22" i="13"/>
  <c r="O22" i="13"/>
  <c r="K22" i="13"/>
  <c r="B22" i="13"/>
  <c r="AJ21" i="13"/>
  <c r="AI21" i="13"/>
  <c r="O21" i="13"/>
  <c r="K21" i="13"/>
  <c r="B21" i="13"/>
  <c r="AJ20" i="13"/>
  <c r="AI20" i="13"/>
  <c r="O20" i="13"/>
  <c r="K20" i="13"/>
  <c r="B20" i="13"/>
  <c r="AJ19" i="13"/>
  <c r="AI19" i="13"/>
  <c r="O19" i="13"/>
  <c r="K19" i="13"/>
  <c r="B19" i="13"/>
  <c r="AJ18" i="13"/>
  <c r="AI18" i="13"/>
  <c r="O18" i="13"/>
  <c r="K18" i="13"/>
  <c r="B18" i="13"/>
  <c r="AJ17" i="13"/>
  <c r="AI17" i="13"/>
  <c r="O17" i="13"/>
  <c r="K17" i="13"/>
  <c r="B17" i="13"/>
  <c r="AJ16" i="13"/>
  <c r="AI16" i="13"/>
  <c r="O16" i="13"/>
  <c r="K16" i="13"/>
  <c r="B16" i="13"/>
  <c r="AJ15" i="13"/>
  <c r="AI15" i="13"/>
  <c r="O15" i="13"/>
  <c r="K15" i="13"/>
  <c r="B15" i="13"/>
  <c r="AJ14" i="13"/>
  <c r="AI14" i="13"/>
  <c r="O14" i="13"/>
  <c r="K14" i="13"/>
  <c r="B14" i="13"/>
  <c r="AJ13" i="13"/>
  <c r="AI13" i="13"/>
  <c r="O13" i="13"/>
  <c r="K13" i="13"/>
  <c r="B13" i="13"/>
  <c r="AJ12" i="13"/>
  <c r="AI12" i="13"/>
  <c r="O12" i="13"/>
  <c r="K12" i="13"/>
  <c r="B12" i="13"/>
  <c r="AJ11" i="13"/>
  <c r="AI11" i="13"/>
  <c r="O11" i="13"/>
  <c r="K11" i="13"/>
  <c r="B11" i="13"/>
  <c r="AJ10" i="13"/>
  <c r="AI10" i="13"/>
  <c r="O10" i="13"/>
  <c r="K10" i="13"/>
  <c r="B10" i="13"/>
  <c r="AJ9" i="13"/>
  <c r="AI9" i="13"/>
  <c r="O9" i="13"/>
  <c r="K9" i="13"/>
  <c r="B9" i="13"/>
  <c r="AJ8" i="13"/>
  <c r="AI8" i="13"/>
  <c r="O8" i="13"/>
  <c r="K8" i="13"/>
  <c r="B8" i="13"/>
  <c r="AJ7" i="13"/>
  <c r="AI7" i="13"/>
  <c r="O7" i="13"/>
  <c r="K7" i="13"/>
  <c r="B7" i="13"/>
  <c r="AJ6" i="13"/>
  <c r="AI6" i="13"/>
  <c r="O6" i="13"/>
  <c r="K6" i="13"/>
  <c r="B6" i="13"/>
  <c r="X1" i="13"/>
  <c r="AD21" i="13" s="1"/>
  <c r="U1" i="13"/>
  <c r="AC13" i="13" s="1"/>
  <c r="O1" i="13"/>
  <c r="D535" i="15"/>
  <c r="C535" i="15"/>
  <c r="B535" i="15"/>
  <c r="D447" i="15"/>
  <c r="C447" i="15"/>
  <c r="B447" i="15"/>
  <c r="D359" i="15"/>
  <c r="C359" i="15"/>
  <c r="B359" i="15"/>
  <c r="T48" i="14"/>
  <c r="F48" i="14"/>
  <c r="D48" i="14"/>
  <c r="Q2" i="14"/>
  <c r="E168" i="13"/>
  <c r="F168" i="13" s="1"/>
  <c r="G168" i="13" s="1"/>
  <c r="H168" i="13" s="1"/>
  <c r="I168" i="13" s="1"/>
  <c r="J168" i="13" s="1"/>
  <c r="K168" i="13" s="1"/>
  <c r="L168" i="13" s="1"/>
  <c r="M168" i="13" s="1"/>
  <c r="N168" i="13" s="1"/>
  <c r="O168" i="13" s="1"/>
  <c r="P168" i="13" s="1"/>
  <c r="Q168" i="13" s="1"/>
  <c r="R168" i="13" s="1"/>
  <c r="S168" i="13" s="1"/>
  <c r="T168" i="13" s="1"/>
  <c r="U168" i="13" s="1"/>
  <c r="V168" i="13" s="1"/>
  <c r="W168" i="13" s="1"/>
  <c r="X168" i="13" s="1"/>
  <c r="Y168" i="13" s="1"/>
  <c r="Z168" i="13" s="1"/>
  <c r="AA168" i="13" s="1"/>
  <c r="AB168" i="13" s="1"/>
  <c r="AC168" i="13" s="1"/>
  <c r="E167" i="13"/>
  <c r="F167" i="13" s="1"/>
  <c r="G167" i="13" s="1"/>
  <c r="H167" i="13" s="1"/>
  <c r="I167" i="13" s="1"/>
  <c r="J167" i="13" s="1"/>
  <c r="D10" i="4"/>
  <c r="K46" i="4"/>
  <c r="K47" i="4"/>
  <c r="K49" i="4"/>
  <c r="K45" i="4"/>
  <c r="D3" i="4"/>
  <c r="D4" i="4"/>
  <c r="E10" i="4"/>
  <c r="C10" i="4"/>
  <c r="K44" i="4"/>
  <c r="K48" i="4"/>
  <c r="J48" i="14" l="1"/>
  <c r="J270" i="15"/>
  <c r="J274" i="15"/>
  <c r="J282" i="15"/>
  <c r="I286" i="15"/>
  <c r="E294" i="15"/>
  <c r="D302" i="15"/>
  <c r="K302" i="15" s="1"/>
  <c r="H270" i="15"/>
  <c r="I349" i="15"/>
  <c r="I294" i="15"/>
  <c r="I302" i="15"/>
  <c r="H302" i="15"/>
  <c r="J302" i="15"/>
  <c r="J306" i="15"/>
  <c r="J307" i="15"/>
  <c r="H278" i="15"/>
  <c r="J294" i="15"/>
  <c r="J271" i="15"/>
  <c r="H279" i="15"/>
  <c r="I299" i="15"/>
  <c r="I355" i="15"/>
  <c r="J277" i="15"/>
  <c r="I281" i="15"/>
  <c r="H289" i="15"/>
  <c r="H305" i="15"/>
  <c r="H281" i="15"/>
  <c r="I305" i="15"/>
  <c r="I289" i="15"/>
  <c r="F276" i="15"/>
  <c r="V276" i="15" s="1"/>
  <c r="F284" i="15"/>
  <c r="V284" i="15" s="1"/>
  <c r="G288" i="15"/>
  <c r="H292" i="15"/>
  <c r="E300" i="15"/>
  <c r="G304" i="15"/>
  <c r="F308" i="15"/>
  <c r="V308" i="15" s="1"/>
  <c r="I338" i="15"/>
  <c r="I345" i="15"/>
  <c r="I346" i="15"/>
  <c r="J289" i="15"/>
  <c r="I337" i="15"/>
  <c r="G273" i="15"/>
  <c r="J304" i="15"/>
  <c r="I292" i="15"/>
  <c r="H304" i="15"/>
  <c r="J276" i="15"/>
  <c r="I344" i="15"/>
  <c r="H276" i="15"/>
  <c r="J288" i="15"/>
  <c r="J309" i="15"/>
  <c r="H288" i="15"/>
  <c r="H308" i="15"/>
  <c r="J308" i="15"/>
  <c r="N64" i="14"/>
  <c r="P31" i="14"/>
  <c r="Z6" i="14"/>
  <c r="S58" i="14"/>
  <c r="H62" i="14"/>
  <c r="L62" i="14" s="1"/>
  <c r="H638" i="15"/>
  <c r="C681" i="15" s="1"/>
  <c r="H641" i="15"/>
  <c r="C684" i="15" s="1"/>
  <c r="D74" i="14"/>
  <c r="D274" i="15"/>
  <c r="K274" i="15" s="1"/>
  <c r="G293" i="15"/>
  <c r="J297" i="15"/>
  <c r="G278" i="15"/>
  <c r="E275" i="15"/>
  <c r="E279" i="15"/>
  <c r="I283" i="15"/>
  <c r="I291" i="15"/>
  <c r="H295" i="15"/>
  <c r="H299" i="15"/>
  <c r="I307" i="15"/>
  <c r="D67" i="14"/>
  <c r="R88" i="14"/>
  <c r="V88" i="14" s="1"/>
  <c r="M52" i="14"/>
  <c r="N52" i="14"/>
  <c r="G87" i="14"/>
  <c r="I279" i="15"/>
  <c r="H307" i="15"/>
  <c r="F61" i="14"/>
  <c r="J287" i="15"/>
  <c r="J303" i="15"/>
  <c r="K545" i="15"/>
  <c r="K632" i="15"/>
  <c r="R675" i="15" s="1"/>
  <c r="S675" i="15" s="1"/>
  <c r="J275" i="15"/>
  <c r="I275" i="15"/>
  <c r="K67" i="14"/>
  <c r="J659" i="15"/>
  <c r="E702" i="15" s="1"/>
  <c r="H702" i="15" s="1"/>
  <c r="I295" i="15"/>
  <c r="J283" i="15"/>
  <c r="J291" i="15"/>
  <c r="I334" i="15"/>
  <c r="H291" i="15"/>
  <c r="J299" i="15"/>
  <c r="I69" i="14"/>
  <c r="X6" i="14"/>
  <c r="AA6" i="14" s="1"/>
  <c r="D60" i="14"/>
  <c r="Q544" i="15"/>
  <c r="I53" i="14"/>
  <c r="D275" i="15"/>
  <c r="K275" i="15" s="1"/>
  <c r="C333" i="15"/>
  <c r="F478" i="15"/>
  <c r="C521" i="15" s="1"/>
  <c r="F521" i="15" s="1"/>
  <c r="L478" i="15"/>
  <c r="T521" i="15" s="1"/>
  <c r="W521" i="15" s="1"/>
  <c r="M484" i="15"/>
  <c r="J558" i="15"/>
  <c r="AE601" i="15" s="1"/>
  <c r="AH601" i="15" s="1"/>
  <c r="G569" i="15"/>
  <c r="B612" i="15" s="1"/>
  <c r="E612" i="15" s="1"/>
  <c r="S5" i="14"/>
  <c r="V5" i="14" s="1"/>
  <c r="H272" i="15"/>
  <c r="F292" i="15"/>
  <c r="V292" i="15" s="1"/>
  <c r="K361" i="15"/>
  <c r="I383" i="15"/>
  <c r="B426" i="15" s="1"/>
  <c r="R426" i="15" s="1"/>
  <c r="V569" i="15"/>
  <c r="AQ612" i="15" s="1"/>
  <c r="AT612" i="15" s="1"/>
  <c r="E76" i="14"/>
  <c r="L479" i="15"/>
  <c r="T522" i="15" s="1"/>
  <c r="W522" i="15" s="1"/>
  <c r="R637" i="15"/>
  <c r="L680" i="15" s="1"/>
  <c r="I56" i="14"/>
  <c r="E71" i="14"/>
  <c r="E84" i="14"/>
  <c r="G285" i="15"/>
  <c r="J293" i="15"/>
  <c r="L384" i="15"/>
  <c r="T427" i="15" s="1"/>
  <c r="W427" i="15" s="1"/>
  <c r="F462" i="15"/>
  <c r="C505" i="15" s="1"/>
  <c r="F505" i="15" s="1"/>
  <c r="F560" i="15"/>
  <c r="F603" i="15" s="1"/>
  <c r="W570" i="15"/>
  <c r="G624" i="15"/>
  <c r="N667" i="15" s="1"/>
  <c r="N84" i="14"/>
  <c r="G286" i="15"/>
  <c r="E290" i="15"/>
  <c r="G469" i="15"/>
  <c r="I487" i="15"/>
  <c r="B530" i="15" s="1"/>
  <c r="R530" i="15" s="1"/>
  <c r="S560" i="15"/>
  <c r="N603" i="15" s="1"/>
  <c r="Q603" i="15" s="1"/>
  <c r="L324" i="15"/>
  <c r="Q568" i="15"/>
  <c r="J450" i="15"/>
  <c r="N464" i="15"/>
  <c r="F549" i="15"/>
  <c r="F592" i="15" s="1"/>
  <c r="AJ568" i="15"/>
  <c r="AC611" i="15" s="1"/>
  <c r="S7" i="14"/>
  <c r="V7" i="14" s="1"/>
  <c r="E278" i="15"/>
  <c r="F288" i="15"/>
  <c r="V288" i="15" s="1"/>
  <c r="D340" i="15"/>
  <c r="J346" i="15"/>
  <c r="G368" i="15"/>
  <c r="I411" i="15" s="1"/>
  <c r="Q374" i="15"/>
  <c r="P384" i="15"/>
  <c r="P396" i="15"/>
  <c r="K454" i="15"/>
  <c r="M460" i="15"/>
  <c r="I478" i="15"/>
  <c r="B521" i="15" s="1"/>
  <c r="R521" i="15" s="1"/>
  <c r="I481" i="15"/>
  <c r="B524" i="15" s="1"/>
  <c r="R524" i="15" s="1"/>
  <c r="G538" i="15"/>
  <c r="B581" i="15" s="1"/>
  <c r="E581" i="15" s="1"/>
  <c r="J657" i="15"/>
  <c r="G700" i="15" s="1"/>
  <c r="T7" i="14"/>
  <c r="G275" i="15"/>
  <c r="AC538" i="15"/>
  <c r="N547" i="15"/>
  <c r="H551" i="15"/>
  <c r="R559" i="15"/>
  <c r="R602" i="15" s="1"/>
  <c r="I573" i="15"/>
  <c r="AI616" i="15" s="1"/>
  <c r="J631" i="15"/>
  <c r="G674" i="15" s="1"/>
  <c r="P646" i="15"/>
  <c r="K689" i="15" s="1"/>
  <c r="F648" i="15"/>
  <c r="B691" i="15" s="1"/>
  <c r="D55" i="14"/>
  <c r="G78" i="14"/>
  <c r="D279" i="15"/>
  <c r="K279" i="15" s="1"/>
  <c r="F354" i="15"/>
  <c r="O364" i="15"/>
  <c r="S407" i="15" s="1"/>
  <c r="AI407" i="15" s="1"/>
  <c r="Q381" i="15"/>
  <c r="I397" i="15"/>
  <c r="B440" i="15" s="1"/>
  <c r="R440" i="15" s="1"/>
  <c r="G466" i="15"/>
  <c r="P509" i="15" s="1"/>
  <c r="J475" i="15"/>
  <c r="J482" i="15"/>
  <c r="Q547" i="15"/>
  <c r="T551" i="15"/>
  <c r="H637" i="15"/>
  <c r="C680" i="15" s="1"/>
  <c r="E55" i="14"/>
  <c r="I84" i="14"/>
  <c r="F279" i="15"/>
  <c r="V279" i="15" s="1"/>
  <c r="Y539" i="15"/>
  <c r="T582" i="15" s="1"/>
  <c r="W582" i="15" s="1"/>
  <c r="K637" i="15"/>
  <c r="R680" i="15" s="1"/>
  <c r="S680" i="15" s="1"/>
  <c r="J647" i="15"/>
  <c r="G690" i="15" s="1"/>
  <c r="T5" i="14"/>
  <c r="P55" i="14"/>
  <c r="D280" i="15"/>
  <c r="K280" i="15" s="1"/>
  <c r="J290" i="15"/>
  <c r="E298" i="15"/>
  <c r="E306" i="15"/>
  <c r="C328" i="15"/>
  <c r="F333" i="15"/>
  <c r="L349" i="15"/>
  <c r="H387" i="15"/>
  <c r="O393" i="15"/>
  <c r="S436" i="15" s="1"/>
  <c r="AI436" i="15" s="1"/>
  <c r="H476" i="15"/>
  <c r="O519" i="15" s="1"/>
  <c r="Q552" i="15"/>
  <c r="Z557" i="15"/>
  <c r="I659" i="15"/>
  <c r="O702" i="15" s="1"/>
  <c r="Q55" i="14"/>
  <c r="E80" i="14"/>
  <c r="R84" i="14"/>
  <c r="V84" i="14" s="1"/>
  <c r="J333" i="15"/>
  <c r="F344" i="15"/>
  <c r="I366" i="15"/>
  <c r="B409" i="15" s="1"/>
  <c r="R409" i="15" s="1"/>
  <c r="N372" i="15"/>
  <c r="AG415" i="15" s="1"/>
  <c r="J377" i="15"/>
  <c r="I399" i="15"/>
  <c r="B442" i="15" s="1"/>
  <c r="R442" i="15" s="1"/>
  <c r="G458" i="15"/>
  <c r="I472" i="15"/>
  <c r="B515" i="15" s="1"/>
  <c r="R515" i="15" s="1"/>
  <c r="G480" i="15"/>
  <c r="I523" i="15" s="1"/>
  <c r="S540" i="15"/>
  <c r="N583" i="15" s="1"/>
  <c r="Q583" i="15" s="1"/>
  <c r="T657" i="15"/>
  <c r="M700" i="15" s="1"/>
  <c r="Q7" i="14"/>
  <c r="M60" i="14"/>
  <c r="E280" i="15"/>
  <c r="E284" i="15"/>
  <c r="F291" i="15"/>
  <c r="V291" i="15" s="1"/>
  <c r="E299" i="15"/>
  <c r="C317" i="15"/>
  <c r="K329" i="15"/>
  <c r="L333" i="15"/>
  <c r="H388" i="15"/>
  <c r="N431" i="15" s="1"/>
  <c r="Q431" i="15" s="1"/>
  <c r="F464" i="15"/>
  <c r="L472" i="15"/>
  <c r="T515" i="15" s="1"/>
  <c r="W515" i="15" s="1"/>
  <c r="I480" i="15"/>
  <c r="B523" i="15" s="1"/>
  <c r="R523" i="15" s="1"/>
  <c r="S537" i="15"/>
  <c r="N580" i="15" s="1"/>
  <c r="Q580" i="15" s="1"/>
  <c r="V545" i="15"/>
  <c r="AQ588" i="15" s="1"/>
  <c r="AT588" i="15" s="1"/>
  <c r="G553" i="15"/>
  <c r="B596" i="15" s="1"/>
  <c r="E596" i="15" s="1"/>
  <c r="I652" i="15"/>
  <c r="O695" i="15" s="1"/>
  <c r="D288" i="15"/>
  <c r="K288" i="15" s="1"/>
  <c r="G292" i="15"/>
  <c r="J317" i="15"/>
  <c r="F454" i="15"/>
  <c r="C497" i="15" s="1"/>
  <c r="F497" i="15" s="1"/>
  <c r="X553" i="15"/>
  <c r="X596" i="15" s="1"/>
  <c r="AC558" i="15"/>
  <c r="AI572" i="15"/>
  <c r="BE615" i="15" s="1"/>
  <c r="H632" i="15"/>
  <c r="C675" i="15" s="1"/>
  <c r="Q638" i="15"/>
  <c r="W681" i="15" s="1"/>
  <c r="AF407" i="15"/>
  <c r="AG407" i="15"/>
  <c r="D300" i="15"/>
  <c r="K300" i="15" s="1"/>
  <c r="E328" i="15"/>
  <c r="M342" i="15"/>
  <c r="L344" i="15"/>
  <c r="N361" i="15"/>
  <c r="H371" i="15"/>
  <c r="P372" i="15"/>
  <c r="K377" i="15"/>
  <c r="F380" i="15"/>
  <c r="C423" i="15" s="1"/>
  <c r="F423" i="15" s="1"/>
  <c r="L383" i="15"/>
  <c r="T426" i="15" s="1"/>
  <c r="W426" i="15" s="1"/>
  <c r="F390" i="15"/>
  <c r="C433" i="15" s="1"/>
  <c r="F433" i="15" s="1"/>
  <c r="G392" i="15"/>
  <c r="G435" i="15" s="1"/>
  <c r="J435" i="15" s="1"/>
  <c r="M435" i="15" s="1"/>
  <c r="H448" i="15"/>
  <c r="N491" i="15" s="1"/>
  <c r="Q491" i="15" s="1"/>
  <c r="H452" i="15"/>
  <c r="N495" i="15" s="1"/>
  <c r="Q495" i="15" s="1"/>
  <c r="H454" i="15"/>
  <c r="L458" i="15"/>
  <c r="T501" i="15" s="1"/>
  <c r="W501" i="15" s="1"/>
  <c r="H464" i="15"/>
  <c r="N507" i="15" s="1"/>
  <c r="Q507" i="15" s="1"/>
  <c r="I469" i="15"/>
  <c r="B512" i="15" s="1"/>
  <c r="R512" i="15" s="1"/>
  <c r="N472" i="15"/>
  <c r="P475" i="15"/>
  <c r="O481" i="15"/>
  <c r="S524" i="15" s="1"/>
  <c r="AI524" i="15" s="1"/>
  <c r="P484" i="15"/>
  <c r="K487" i="15"/>
  <c r="X537" i="15"/>
  <c r="X580" i="15" s="1"/>
  <c r="AH538" i="15"/>
  <c r="AB581" i="15" s="1"/>
  <c r="AB539" i="15"/>
  <c r="AW582" i="15" s="1"/>
  <c r="AZ582" i="15" s="1"/>
  <c r="AA540" i="15"/>
  <c r="BA583" i="15" s="1"/>
  <c r="T544" i="15"/>
  <c r="S547" i="15"/>
  <c r="N590" i="15" s="1"/>
  <c r="Q590" i="15" s="1"/>
  <c r="G548" i="15"/>
  <c r="B591" i="15" s="1"/>
  <c r="E591" i="15" s="1"/>
  <c r="Q549" i="15"/>
  <c r="U551" i="15"/>
  <c r="AU594" i="15" s="1"/>
  <c r="T552" i="15"/>
  <c r="H553" i="15"/>
  <c r="AC553" i="15"/>
  <c r="K556" i="15"/>
  <c r="AF558" i="15"/>
  <c r="AA601" i="15" s="1"/>
  <c r="T559" i="15"/>
  <c r="G560" i="15"/>
  <c r="B603" i="15" s="1"/>
  <c r="E603" i="15" s="1"/>
  <c r="V560" i="15"/>
  <c r="AQ603" i="15" s="1"/>
  <c r="AT603" i="15" s="1"/>
  <c r="F561" i="15"/>
  <c r="F604" i="15" s="1"/>
  <c r="AC561" i="15"/>
  <c r="V568" i="15"/>
  <c r="AQ611" i="15" s="1"/>
  <c r="AT611" i="15" s="1"/>
  <c r="W569" i="15"/>
  <c r="AC570" i="15"/>
  <c r="AJ572" i="15"/>
  <c r="AC615" i="15" s="1"/>
  <c r="F574" i="15"/>
  <c r="F617" i="15" s="1"/>
  <c r="X574" i="15"/>
  <c r="X617" i="15" s="1"/>
  <c r="G625" i="15"/>
  <c r="N668" i="15" s="1"/>
  <c r="Q629" i="15"/>
  <c r="W672" i="15" s="1"/>
  <c r="J637" i="15"/>
  <c r="E680" i="15" s="1"/>
  <c r="H680" i="15" s="1"/>
  <c r="S637" i="15"/>
  <c r="X680" i="15" s="1"/>
  <c r="S640" i="15"/>
  <c r="X683" i="15" s="1"/>
  <c r="G642" i="15"/>
  <c r="N685" i="15" s="1"/>
  <c r="K657" i="15"/>
  <c r="R700" i="15" s="1"/>
  <c r="S700" i="15" s="1"/>
  <c r="W561" i="15"/>
  <c r="I272" i="15"/>
  <c r="D276" i="15"/>
  <c r="K276" i="15" s="1"/>
  <c r="G281" i="15"/>
  <c r="F328" i="15"/>
  <c r="C330" i="15"/>
  <c r="E347" i="15"/>
  <c r="G365" i="15"/>
  <c r="P408" i="15" s="1"/>
  <c r="P371" i="15"/>
  <c r="I375" i="15"/>
  <c r="B418" i="15" s="1"/>
  <c r="R418" i="15" s="1"/>
  <c r="O377" i="15"/>
  <c r="S420" i="15" s="1"/>
  <c r="AI420" i="15" s="1"/>
  <c r="G380" i="15"/>
  <c r="P423" i="15" s="1"/>
  <c r="F381" i="15"/>
  <c r="C424" i="15" s="1"/>
  <c r="F424" i="15" s="1"/>
  <c r="F382" i="15"/>
  <c r="C425" i="15" s="1"/>
  <c r="F425" i="15" s="1"/>
  <c r="G388" i="15"/>
  <c r="G431" i="15" s="1"/>
  <c r="J431" i="15" s="1"/>
  <c r="M431" i="15" s="1"/>
  <c r="I390" i="15"/>
  <c r="B433" i="15" s="1"/>
  <c r="R433" i="15" s="1"/>
  <c r="H392" i="15"/>
  <c r="N435" i="15" s="1"/>
  <c r="Q435" i="15" s="1"/>
  <c r="G397" i="15"/>
  <c r="I440" i="15" s="1"/>
  <c r="O448" i="15"/>
  <c r="S491" i="15" s="1"/>
  <c r="AI491" i="15" s="1"/>
  <c r="F450" i="15"/>
  <c r="C493" i="15" s="1"/>
  <c r="F493" i="15" s="1"/>
  <c r="J452" i="15"/>
  <c r="I454" i="15"/>
  <c r="B497" i="15" s="1"/>
  <c r="R497" i="15" s="1"/>
  <c r="N458" i="15"/>
  <c r="I464" i="15"/>
  <c r="B507" i="15" s="1"/>
  <c r="R507" i="15" s="1"/>
  <c r="Q472" i="15"/>
  <c r="K478" i="15"/>
  <c r="AJ538" i="15"/>
  <c r="AC581" i="15" s="1"/>
  <c r="AG539" i="15"/>
  <c r="AH540" i="15"/>
  <c r="AB583" i="15" s="1"/>
  <c r="V544" i="15"/>
  <c r="AQ587" i="15" s="1"/>
  <c r="AT587" i="15" s="1"/>
  <c r="V547" i="15"/>
  <c r="AQ590" i="15" s="1"/>
  <c r="AT590" i="15" s="1"/>
  <c r="M548" i="15"/>
  <c r="H591" i="15" s="1"/>
  <c r="K591" i="15" s="1"/>
  <c r="AA549" i="15"/>
  <c r="BA592" i="15" s="1"/>
  <c r="AF551" i="15"/>
  <c r="AA594" i="15" s="1"/>
  <c r="V552" i="15"/>
  <c r="AQ595" i="15" s="1"/>
  <c r="AT595" i="15" s="1"/>
  <c r="J553" i="15"/>
  <c r="AE596" i="15" s="1"/>
  <c r="AH596" i="15" s="1"/>
  <c r="AD553" i="15"/>
  <c r="Z596" i="15" s="1"/>
  <c r="O556" i="15"/>
  <c r="AO599" i="15" s="1"/>
  <c r="H558" i="15"/>
  <c r="AI558" i="15"/>
  <c r="X559" i="15"/>
  <c r="X602" i="15" s="1"/>
  <c r="H560" i="15"/>
  <c r="X560" i="15"/>
  <c r="X603" i="15" s="1"/>
  <c r="G561" i="15"/>
  <c r="B604" i="15" s="1"/>
  <c r="E604" i="15" s="1"/>
  <c r="AE561" i="15"/>
  <c r="BC604" i="15" s="1"/>
  <c r="G565" i="15"/>
  <c r="B608" i="15" s="1"/>
  <c r="E608" i="15" s="1"/>
  <c r="G568" i="15"/>
  <c r="B611" i="15" s="1"/>
  <c r="E611" i="15" s="1"/>
  <c r="W568" i="15"/>
  <c r="F569" i="15"/>
  <c r="F612" i="15" s="1"/>
  <c r="AC569" i="15"/>
  <c r="H574" i="15"/>
  <c r="Y574" i="15"/>
  <c r="T617" i="15" s="1"/>
  <c r="W617" i="15" s="1"/>
  <c r="K625" i="15"/>
  <c r="R668" i="15" s="1"/>
  <c r="S668" i="15" s="1"/>
  <c r="P638" i="15"/>
  <c r="K681" i="15" s="1"/>
  <c r="G651" i="15"/>
  <c r="N694" i="15" s="1"/>
  <c r="F655" i="15"/>
  <c r="B698" i="15" s="1"/>
  <c r="D304" i="15"/>
  <c r="K304" i="15" s="1"/>
  <c r="G307" i="15"/>
  <c r="L328" i="15"/>
  <c r="J330" i="15"/>
  <c r="F343" i="15"/>
  <c r="D345" i="15"/>
  <c r="G360" i="15"/>
  <c r="I403" i="15" s="1"/>
  <c r="J365" i="15"/>
  <c r="L375" i="15"/>
  <c r="T418" i="15" s="1"/>
  <c r="W418" i="15" s="1"/>
  <c r="I380" i="15"/>
  <c r="B423" i="15" s="1"/>
  <c r="R423" i="15" s="1"/>
  <c r="G381" i="15"/>
  <c r="P424" i="15" s="1"/>
  <c r="G382" i="15"/>
  <c r="I425" i="15" s="1"/>
  <c r="N390" i="15"/>
  <c r="AG433" i="15" s="1"/>
  <c r="P392" i="15"/>
  <c r="P448" i="15"/>
  <c r="AI539" i="15"/>
  <c r="AB544" i="15"/>
  <c r="AW587" i="15" s="1"/>
  <c r="AZ587" i="15" s="1"/>
  <c r="Y547" i="15"/>
  <c r="T590" i="15" s="1"/>
  <c r="W590" i="15" s="1"/>
  <c r="R548" i="15"/>
  <c r="R591" i="15" s="1"/>
  <c r="AG551" i="15"/>
  <c r="AB552" i="15"/>
  <c r="AW595" i="15" s="1"/>
  <c r="AZ595" i="15" s="1"/>
  <c r="N553" i="15"/>
  <c r="AF553" i="15"/>
  <c r="AA596" i="15" s="1"/>
  <c r="R556" i="15"/>
  <c r="R599" i="15" s="1"/>
  <c r="AB559" i="15"/>
  <c r="AW602" i="15" s="1"/>
  <c r="AZ602" i="15" s="1"/>
  <c r="I560" i="15"/>
  <c r="AI603" i="15" s="1"/>
  <c r="Y560" i="15"/>
  <c r="T603" i="15" s="1"/>
  <c r="W603" i="15" s="1"/>
  <c r="K561" i="15"/>
  <c r="AF561" i="15"/>
  <c r="AA604" i="15" s="1"/>
  <c r="I565" i="15"/>
  <c r="AI608" i="15" s="1"/>
  <c r="H568" i="15"/>
  <c r="X568" i="15"/>
  <c r="X611" i="15" s="1"/>
  <c r="AE569" i="15"/>
  <c r="BC612" i="15" s="1"/>
  <c r="J574" i="15"/>
  <c r="AE617" i="15" s="1"/>
  <c r="AH617" i="15" s="1"/>
  <c r="Z574" i="15"/>
  <c r="F629" i="15"/>
  <c r="B672" i="15" s="1"/>
  <c r="G279" i="15"/>
  <c r="D282" i="15"/>
  <c r="K282" i="15" s="1"/>
  <c r="D298" i="15"/>
  <c r="K298" i="15" s="1"/>
  <c r="F304" i="15"/>
  <c r="V304" i="15" s="1"/>
  <c r="F317" i="15"/>
  <c r="L343" i="15"/>
  <c r="J345" i="15"/>
  <c r="L360" i="15"/>
  <c r="T403" i="15" s="1"/>
  <c r="W403" i="15" s="1"/>
  <c r="K365" i="15"/>
  <c r="H368" i="15"/>
  <c r="N411" i="15" s="1"/>
  <c r="Q411" i="15" s="1"/>
  <c r="F372" i="15"/>
  <c r="C415" i="15" s="1"/>
  <c r="F415" i="15" s="1"/>
  <c r="F374" i="15"/>
  <c r="C417" i="15" s="1"/>
  <c r="F417" i="15" s="1"/>
  <c r="K380" i="15"/>
  <c r="I381" i="15"/>
  <c r="B424" i="15" s="1"/>
  <c r="R424" i="15" s="1"/>
  <c r="J382" i="15"/>
  <c r="Q388" i="15"/>
  <c r="O390" i="15"/>
  <c r="S433" i="15" s="1"/>
  <c r="AI433" i="15" s="1"/>
  <c r="F396" i="15"/>
  <c r="C439" i="15" s="1"/>
  <c r="F439" i="15" s="1"/>
  <c r="M450" i="15"/>
  <c r="Z493" i="15" s="1"/>
  <c r="G453" i="15"/>
  <c r="L454" i="15"/>
  <c r="T497" i="15" s="1"/>
  <c r="W497" i="15" s="1"/>
  <c r="I457" i="15"/>
  <c r="B500" i="15" s="1"/>
  <c r="R500" i="15" s="1"/>
  <c r="J459" i="15"/>
  <c r="Q462" i="15"/>
  <c r="P464" i="15"/>
  <c r="J467" i="15"/>
  <c r="I473" i="15"/>
  <c r="B516" i="15" s="1"/>
  <c r="R516" i="15" s="1"/>
  <c r="K476" i="15"/>
  <c r="Q478" i="15"/>
  <c r="J480" i="15"/>
  <c r="L482" i="15"/>
  <c r="T525" i="15" s="1"/>
  <c r="W525" i="15" s="1"/>
  <c r="H486" i="15"/>
  <c r="O529" i="15" s="1"/>
  <c r="L538" i="15"/>
  <c r="L581" i="15" s="1"/>
  <c r="I539" i="15"/>
  <c r="AI582" i="15" s="1"/>
  <c r="G541" i="15"/>
  <c r="B584" i="15" s="1"/>
  <c r="E584" i="15" s="1"/>
  <c r="AE544" i="15"/>
  <c r="BC587" i="15" s="1"/>
  <c r="F547" i="15"/>
  <c r="F590" i="15" s="1"/>
  <c r="AB547" i="15"/>
  <c r="AW590" i="15" s="1"/>
  <c r="AZ590" i="15" s="1"/>
  <c r="U548" i="15"/>
  <c r="AU591" i="15" s="1"/>
  <c r="AE552" i="15"/>
  <c r="BC595" i="15" s="1"/>
  <c r="P553" i="15"/>
  <c r="AK596" i="15" s="1"/>
  <c r="AN596" i="15" s="1"/>
  <c r="AI553" i="15"/>
  <c r="AF556" i="15"/>
  <c r="AA599" i="15" s="1"/>
  <c r="N558" i="15"/>
  <c r="G559" i="15"/>
  <c r="B602" i="15" s="1"/>
  <c r="E602" i="15" s="1"/>
  <c r="AE559" i="15"/>
  <c r="BC602" i="15" s="1"/>
  <c r="L560" i="15"/>
  <c r="L603" i="15" s="1"/>
  <c r="AD560" i="15"/>
  <c r="Z603" i="15" s="1"/>
  <c r="M561" i="15"/>
  <c r="H604" i="15" s="1"/>
  <c r="K604" i="15" s="1"/>
  <c r="AI561" i="15"/>
  <c r="BE604" i="15" s="1"/>
  <c r="V565" i="15"/>
  <c r="AQ608" i="15" s="1"/>
  <c r="AT608" i="15" s="1"/>
  <c r="K568" i="15"/>
  <c r="Y568" i="15"/>
  <c r="T611" i="15" s="1"/>
  <c r="W611" i="15" s="1"/>
  <c r="K569" i="15"/>
  <c r="AF569" i="15"/>
  <c r="AA612" i="15" s="1"/>
  <c r="O573" i="15"/>
  <c r="AO616" i="15" s="1"/>
  <c r="K574" i="15"/>
  <c r="AA574" i="15"/>
  <c r="BA617" i="15" s="1"/>
  <c r="U627" i="15"/>
  <c r="Y670" i="15" s="1"/>
  <c r="H629" i="15"/>
  <c r="C672" i="15" s="1"/>
  <c r="F635" i="15"/>
  <c r="B678" i="15" s="1"/>
  <c r="I638" i="15"/>
  <c r="O681" i="15" s="1"/>
  <c r="S638" i="15"/>
  <c r="X681" i="15" s="1"/>
  <c r="F640" i="15"/>
  <c r="B683" i="15" s="1"/>
  <c r="F327" i="15"/>
  <c r="D329" i="15"/>
  <c r="E331" i="15"/>
  <c r="K345" i="15"/>
  <c r="C349" i="15"/>
  <c r="O360" i="15"/>
  <c r="S403" i="15" s="1"/>
  <c r="AI403" i="15" s="1"/>
  <c r="N365" i="15"/>
  <c r="O368" i="15"/>
  <c r="S411" i="15" s="1"/>
  <c r="AI411" i="15" s="1"/>
  <c r="H372" i="15"/>
  <c r="N415" i="15" s="1"/>
  <c r="Q415" i="15" s="1"/>
  <c r="G374" i="15"/>
  <c r="P417" i="15" s="1"/>
  <c r="L380" i="15"/>
  <c r="T423" i="15" s="1"/>
  <c r="W423" i="15" s="1"/>
  <c r="J381" i="15"/>
  <c r="N382" i="15"/>
  <c r="AF425" i="15" s="1"/>
  <c r="F393" i="15"/>
  <c r="C436" i="15" s="1"/>
  <c r="F436" i="15" s="1"/>
  <c r="H396" i="15"/>
  <c r="N439" i="15" s="1"/>
  <c r="Q439" i="15" s="1"/>
  <c r="F398" i="15"/>
  <c r="C441" i="15" s="1"/>
  <c r="F441" i="15" s="1"/>
  <c r="N450" i="15"/>
  <c r="AG493" i="15" s="1"/>
  <c r="K453" i="15"/>
  <c r="Q454" i="15"/>
  <c r="O457" i="15"/>
  <c r="S500" i="15" s="1"/>
  <c r="AI500" i="15" s="1"/>
  <c r="G472" i="15"/>
  <c r="G515" i="15" s="1"/>
  <c r="J515" i="15" s="1"/>
  <c r="M515" i="15" s="1"/>
  <c r="O473" i="15"/>
  <c r="S516" i="15" s="1"/>
  <c r="AI516" i="15" s="1"/>
  <c r="M476" i="15"/>
  <c r="Q480" i="15"/>
  <c r="J486" i="15"/>
  <c r="O538" i="15"/>
  <c r="AO581" i="15" s="1"/>
  <c r="L539" i="15"/>
  <c r="L582" i="15" s="1"/>
  <c r="H540" i="15"/>
  <c r="W541" i="15"/>
  <c r="G544" i="15"/>
  <c r="B587" i="15" s="1"/>
  <c r="E587" i="15" s="1"/>
  <c r="AF544" i="15"/>
  <c r="AA587" i="15" s="1"/>
  <c r="I547" i="15"/>
  <c r="AI590" i="15" s="1"/>
  <c r="AD547" i="15"/>
  <c r="Z590" i="15" s="1"/>
  <c r="AB548" i="15"/>
  <c r="AW591" i="15" s="1"/>
  <c r="AZ591" i="15" s="1"/>
  <c r="G552" i="15"/>
  <c r="B595" i="15" s="1"/>
  <c r="E595" i="15" s="1"/>
  <c r="AF552" i="15"/>
  <c r="AA595" i="15" s="1"/>
  <c r="S553" i="15"/>
  <c r="N596" i="15" s="1"/>
  <c r="Q596" i="15" s="1"/>
  <c r="AJ556" i="15"/>
  <c r="AC599" i="15" s="1"/>
  <c r="R558" i="15"/>
  <c r="R601" i="15" s="1"/>
  <c r="H559" i="15"/>
  <c r="AF559" i="15"/>
  <c r="AA602" i="15" s="1"/>
  <c r="N560" i="15"/>
  <c r="AF560" i="15"/>
  <c r="AA603" i="15" s="1"/>
  <c r="O561" i="15"/>
  <c r="AO604" i="15" s="1"/>
  <c r="W565" i="15"/>
  <c r="L568" i="15"/>
  <c r="L611" i="15" s="1"/>
  <c r="AB568" i="15"/>
  <c r="AW611" i="15" s="1"/>
  <c r="AZ611" i="15" s="1"/>
  <c r="M569" i="15"/>
  <c r="H612" i="15" s="1"/>
  <c r="K612" i="15" s="1"/>
  <c r="AI569" i="15"/>
  <c r="J572" i="15"/>
  <c r="AE615" i="15" s="1"/>
  <c r="AH615" i="15" s="1"/>
  <c r="R573" i="15"/>
  <c r="R616" i="15" s="1"/>
  <c r="N574" i="15"/>
  <c r="AF574" i="15"/>
  <c r="AA617" i="15" s="1"/>
  <c r="P632" i="15"/>
  <c r="K675" i="15" s="1"/>
  <c r="K638" i="15"/>
  <c r="R681" i="15" s="1"/>
  <c r="S681" i="15" s="1"/>
  <c r="P647" i="15"/>
  <c r="K690" i="15" s="1"/>
  <c r="R659" i="15"/>
  <c r="L702" i="15" s="1"/>
  <c r="Q380" i="15"/>
  <c r="S574" i="15"/>
  <c r="N617" i="15" s="1"/>
  <c r="Q617" i="15" s="1"/>
  <c r="H287" i="15"/>
  <c r="D286" i="15"/>
  <c r="K286" i="15" s="1"/>
  <c r="L317" i="15"/>
  <c r="L327" i="15"/>
  <c r="E329" i="15"/>
  <c r="L340" i="15"/>
  <c r="C344" i="15"/>
  <c r="F349" i="15"/>
  <c r="K364" i="15"/>
  <c r="I372" i="15"/>
  <c r="B415" i="15" s="1"/>
  <c r="R415" i="15" s="1"/>
  <c r="J374" i="15"/>
  <c r="H379" i="15"/>
  <c r="N380" i="15"/>
  <c r="AG423" i="15" s="1"/>
  <c r="L381" i="15"/>
  <c r="T424" i="15" s="1"/>
  <c r="W424" i="15" s="1"/>
  <c r="Q382" i="15"/>
  <c r="N389" i="15"/>
  <c r="I391" i="15"/>
  <c r="B434" i="15" s="1"/>
  <c r="R434" i="15" s="1"/>
  <c r="H393" i="15"/>
  <c r="N436" i="15" s="1"/>
  <c r="Q436" i="15" s="1"/>
  <c r="K396" i="15"/>
  <c r="P453" i="15"/>
  <c r="F460" i="15"/>
  <c r="C503" i="15" s="1"/>
  <c r="F503" i="15" s="1"/>
  <c r="N463" i="15"/>
  <c r="I465" i="15"/>
  <c r="B508" i="15" s="1"/>
  <c r="R508" i="15" s="1"/>
  <c r="F468" i="15"/>
  <c r="C511" i="15" s="1"/>
  <c r="F511" i="15" s="1"/>
  <c r="H472" i="15"/>
  <c r="O515" i="15" s="1"/>
  <c r="F479" i="15"/>
  <c r="C522" i="15" s="1"/>
  <c r="F522" i="15" s="1"/>
  <c r="K486" i="15"/>
  <c r="R538" i="15"/>
  <c r="R581" i="15" s="1"/>
  <c r="Q539" i="15"/>
  <c r="K540" i="15"/>
  <c r="I544" i="15"/>
  <c r="AI587" i="15" s="1"/>
  <c r="L547" i="15"/>
  <c r="L590" i="15" s="1"/>
  <c r="AG547" i="15"/>
  <c r="AI548" i="15"/>
  <c r="BE591" i="15" s="1"/>
  <c r="I552" i="15"/>
  <c r="AI595" i="15" s="1"/>
  <c r="U553" i="15"/>
  <c r="AU596" i="15" s="1"/>
  <c r="M554" i="15"/>
  <c r="H597" i="15" s="1"/>
  <c r="K597" i="15" s="1"/>
  <c r="U558" i="15"/>
  <c r="AU601" i="15" s="1"/>
  <c r="L559" i="15"/>
  <c r="L602" i="15" s="1"/>
  <c r="AJ559" i="15"/>
  <c r="AC602" i="15" s="1"/>
  <c r="P560" i="15"/>
  <c r="AK603" i="15" s="1"/>
  <c r="AN603" i="15" s="1"/>
  <c r="AG560" i="15"/>
  <c r="S561" i="15"/>
  <c r="N604" i="15" s="1"/>
  <c r="Q604" i="15" s="1"/>
  <c r="G562" i="15"/>
  <c r="B605" i="15" s="1"/>
  <c r="E605" i="15" s="1"/>
  <c r="AJ565" i="15"/>
  <c r="AC608" i="15" s="1"/>
  <c r="N568" i="15"/>
  <c r="AD568" i="15"/>
  <c r="Z611" i="15" s="1"/>
  <c r="O569" i="15"/>
  <c r="AO612" i="15" s="1"/>
  <c r="K572" i="15"/>
  <c r="AD573" i="15"/>
  <c r="Z616" i="15" s="1"/>
  <c r="P574" i="15"/>
  <c r="AK617" i="15" s="1"/>
  <c r="AN617" i="15" s="1"/>
  <c r="AG574" i="15"/>
  <c r="AK574" i="15" s="1"/>
  <c r="BF617" i="15" s="1"/>
  <c r="G632" i="15"/>
  <c r="N675" i="15" s="1"/>
  <c r="Q632" i="15"/>
  <c r="W675" i="15" s="1"/>
  <c r="G634" i="15"/>
  <c r="N677" i="15" s="1"/>
  <c r="G647" i="15"/>
  <c r="N690" i="15" s="1"/>
  <c r="Q647" i="15"/>
  <c r="W690" i="15" s="1"/>
  <c r="G653" i="15"/>
  <c r="N696" i="15" s="1"/>
  <c r="F657" i="15"/>
  <c r="B700" i="15" s="1"/>
  <c r="P657" i="15"/>
  <c r="K700" i="15" s="1"/>
  <c r="D278" i="15"/>
  <c r="K278" i="15" s="1"/>
  <c r="G306" i="15"/>
  <c r="D324" i="15"/>
  <c r="J329" i="15"/>
  <c r="E344" i="15"/>
  <c r="C346" i="15"/>
  <c r="J349" i="15"/>
  <c r="H361" i="15"/>
  <c r="O404" i="15" s="1"/>
  <c r="L372" i="15"/>
  <c r="T415" i="15" s="1"/>
  <c r="W415" i="15" s="1"/>
  <c r="O374" i="15"/>
  <c r="S417" i="15" s="1"/>
  <c r="AI417" i="15" s="1"/>
  <c r="G377" i="15"/>
  <c r="I420" i="15" s="1"/>
  <c r="P379" i="15"/>
  <c r="P380" i="15"/>
  <c r="N381" i="15"/>
  <c r="Q391" i="15"/>
  <c r="J393" i="15"/>
  <c r="L396" i="15"/>
  <c r="T439" i="15" s="1"/>
  <c r="W439" i="15" s="1"/>
  <c r="J451" i="15"/>
  <c r="K455" i="15"/>
  <c r="F458" i="15"/>
  <c r="C501" i="15" s="1"/>
  <c r="F501" i="15" s="1"/>
  <c r="J460" i="15"/>
  <c r="K479" i="15"/>
  <c r="G481" i="15"/>
  <c r="G524" i="15" s="1"/>
  <c r="J524" i="15" s="1"/>
  <c r="M524" i="15" s="1"/>
  <c r="J484" i="15"/>
  <c r="Z538" i="15"/>
  <c r="S539" i="15"/>
  <c r="N582" i="15" s="1"/>
  <c r="Q582" i="15" s="1"/>
  <c r="R540" i="15"/>
  <c r="R583" i="15" s="1"/>
  <c r="J544" i="15"/>
  <c r="AE587" i="15" s="1"/>
  <c r="AH587" i="15" s="1"/>
  <c r="AJ547" i="15"/>
  <c r="AC590" i="15" s="1"/>
  <c r="I551" i="15"/>
  <c r="AI594" i="15" s="1"/>
  <c r="K552" i="15"/>
  <c r="F553" i="15"/>
  <c r="F596" i="15" s="1"/>
  <c r="V553" i="15"/>
  <c r="AQ596" i="15" s="1"/>
  <c r="AT596" i="15" s="1"/>
  <c r="V558" i="15"/>
  <c r="AQ601" i="15" s="1"/>
  <c r="AT601" i="15" s="1"/>
  <c r="O559" i="15"/>
  <c r="AO602" i="15" s="1"/>
  <c r="Q560" i="15"/>
  <c r="AI560" i="15"/>
  <c r="BE603" i="15" s="1"/>
  <c r="V561" i="15"/>
  <c r="AQ604" i="15" s="1"/>
  <c r="AT604" i="15" s="1"/>
  <c r="O568" i="15"/>
  <c r="AO611" i="15" s="1"/>
  <c r="S569" i="15"/>
  <c r="N612" i="15" s="1"/>
  <c r="Q612" i="15" s="1"/>
  <c r="M570" i="15"/>
  <c r="H613" i="15" s="1"/>
  <c r="K613" i="15" s="1"/>
  <c r="X572" i="15"/>
  <c r="X615" i="15" s="1"/>
  <c r="AJ573" i="15"/>
  <c r="AC616" i="15" s="1"/>
  <c r="R574" i="15"/>
  <c r="R617" i="15" s="1"/>
  <c r="AI574" i="15"/>
  <c r="BE617" i="15" s="1"/>
  <c r="T632" i="15"/>
  <c r="M675" i="15" s="1"/>
  <c r="G637" i="15"/>
  <c r="N680" i="15" s="1"/>
  <c r="P637" i="15"/>
  <c r="K680" i="15" s="1"/>
  <c r="H647" i="15"/>
  <c r="C690" i="15" s="1"/>
  <c r="H649" i="15"/>
  <c r="C692" i="15" s="1"/>
  <c r="H653" i="15"/>
  <c r="C696" i="15" s="1"/>
  <c r="T655" i="15"/>
  <c r="M698" i="15" s="1"/>
  <c r="G657" i="15"/>
  <c r="N700" i="15" s="1"/>
  <c r="S657" i="15"/>
  <c r="X700" i="15" s="1"/>
  <c r="Y423" i="15"/>
  <c r="G24" i="13"/>
  <c r="J24" i="13" s="1"/>
  <c r="X5" i="14"/>
  <c r="AA5" i="14" s="1"/>
  <c r="S8" i="14"/>
  <c r="V8" i="14" s="1"/>
  <c r="Q15" i="14"/>
  <c r="N56" i="14"/>
  <c r="Q64" i="14"/>
  <c r="I68" i="14"/>
  <c r="C83" i="14"/>
  <c r="H86" i="14"/>
  <c r="L86" i="14" s="1"/>
  <c r="Y5" i="14"/>
  <c r="Q22" i="14"/>
  <c r="C47" i="13"/>
  <c r="F47" i="13" s="1"/>
  <c r="X7" i="14"/>
  <c r="AA7" i="14" s="1"/>
  <c r="Q19" i="14"/>
  <c r="Y7" i="14"/>
  <c r="S66" i="14"/>
  <c r="Q6" i="14"/>
  <c r="E88" i="14"/>
  <c r="P17" i="14"/>
  <c r="D82" i="14"/>
  <c r="I88" i="14"/>
  <c r="C25" i="13"/>
  <c r="F25" i="13" s="1"/>
  <c r="G48" i="13"/>
  <c r="J48" i="13" s="1"/>
  <c r="R53" i="14"/>
  <c r="V53" i="14" s="1"/>
  <c r="H56" i="14"/>
  <c r="L56" i="14" s="1"/>
  <c r="E64" i="14"/>
  <c r="G82" i="14"/>
  <c r="N88" i="14"/>
  <c r="G25" i="13"/>
  <c r="J25" i="13" s="1"/>
  <c r="G47" i="13"/>
  <c r="J47" i="13" s="1"/>
  <c r="P117" i="13"/>
  <c r="P141" i="13"/>
  <c r="C190" i="13"/>
  <c r="I190" i="13" s="1"/>
  <c r="Q5" i="14"/>
  <c r="U8" i="14"/>
  <c r="Q11" i="14"/>
  <c r="P21" i="14"/>
  <c r="Q23" i="14"/>
  <c r="P23" i="14"/>
  <c r="C8" i="14"/>
  <c r="D8" i="14" s="1"/>
  <c r="C22" i="14"/>
  <c r="D22" i="14" s="1"/>
  <c r="G22" i="14" s="1"/>
  <c r="C166" i="13"/>
  <c r="F166" i="13" s="1"/>
  <c r="H46" i="14"/>
  <c r="I46" i="14" s="1"/>
  <c r="H45" i="14"/>
  <c r="I45" i="14" s="1"/>
  <c r="L45" i="14" s="1"/>
  <c r="D93" i="13"/>
  <c r="F93" i="13" s="1"/>
  <c r="D94" i="13"/>
  <c r="F94" i="13" s="1"/>
  <c r="H93" i="13"/>
  <c r="H94" i="13"/>
  <c r="C118" i="13"/>
  <c r="C142" i="13"/>
  <c r="C24" i="13"/>
  <c r="C48" i="13"/>
  <c r="J93" i="13"/>
  <c r="J94" i="13"/>
  <c r="P118" i="13"/>
  <c r="P142" i="13"/>
  <c r="C189" i="13"/>
  <c r="F189" i="13" s="1"/>
  <c r="C23" i="14"/>
  <c r="D23" i="14" s="1"/>
  <c r="C117" i="13"/>
  <c r="C141" i="13"/>
  <c r="C165" i="13"/>
  <c r="P43" i="14"/>
  <c r="E52" i="14"/>
  <c r="H54" i="14"/>
  <c r="L54" i="14" s="1"/>
  <c r="M55" i="14"/>
  <c r="E56" i="14"/>
  <c r="N57" i="14"/>
  <c r="H59" i="14"/>
  <c r="L59" i="14" s="1"/>
  <c r="T59" i="14"/>
  <c r="R60" i="14"/>
  <c r="V60" i="14" s="1"/>
  <c r="D62" i="14"/>
  <c r="Q62" i="14"/>
  <c r="H63" i="14"/>
  <c r="L63" i="14" s="1"/>
  <c r="T63" i="14"/>
  <c r="R64" i="14"/>
  <c r="V64" i="14" s="1"/>
  <c r="C67" i="14"/>
  <c r="N67" i="14"/>
  <c r="E68" i="14"/>
  <c r="R69" i="14"/>
  <c r="V69" i="14" s="1"/>
  <c r="M70" i="14"/>
  <c r="D71" i="14"/>
  <c r="P71" i="14"/>
  <c r="N72" i="14"/>
  <c r="K74" i="14"/>
  <c r="D75" i="14"/>
  <c r="P75" i="14"/>
  <c r="N76" i="14"/>
  <c r="K78" i="14"/>
  <c r="D79" i="14"/>
  <c r="P79" i="14"/>
  <c r="N80" i="14"/>
  <c r="K82" i="14"/>
  <c r="E83" i="14"/>
  <c r="Q83" i="14"/>
  <c r="P86" i="14"/>
  <c r="I87" i="14"/>
  <c r="U87" i="14"/>
  <c r="E303" i="15"/>
  <c r="F303" i="15"/>
  <c r="V303" i="15" s="1"/>
  <c r="M322" i="15"/>
  <c r="C322" i="15"/>
  <c r="J322" i="15"/>
  <c r="M337" i="15"/>
  <c r="K337" i="15"/>
  <c r="J337" i="15"/>
  <c r="E337" i="15"/>
  <c r="D337" i="15"/>
  <c r="M363" i="15"/>
  <c r="Z406" i="15" s="1"/>
  <c r="H363" i="15"/>
  <c r="U645" i="15"/>
  <c r="Y688" i="15" s="1"/>
  <c r="S645" i="15"/>
  <c r="X688" i="15" s="1"/>
  <c r="K645" i="15"/>
  <c r="R688" i="15" s="1"/>
  <c r="S688" i="15" s="1"/>
  <c r="R645" i="15"/>
  <c r="L688" i="15" s="1"/>
  <c r="J645" i="15"/>
  <c r="G688" i="15" s="1"/>
  <c r="Q645" i="15"/>
  <c r="W688" i="15" s="1"/>
  <c r="I645" i="15"/>
  <c r="O688" i="15" s="1"/>
  <c r="F645" i="15"/>
  <c r="B688" i="15" s="1"/>
  <c r="P645" i="15"/>
  <c r="K688" i="15" s="1"/>
  <c r="H645" i="15"/>
  <c r="C688" i="15" s="1"/>
  <c r="G645" i="15"/>
  <c r="N688" i="15" s="1"/>
  <c r="P27" i="14"/>
  <c r="P41" i="14"/>
  <c r="I52" i="14"/>
  <c r="O53" i="14"/>
  <c r="K54" i="14"/>
  <c r="C55" i="14"/>
  <c r="N55" i="14"/>
  <c r="I59" i="14"/>
  <c r="U59" i="14"/>
  <c r="U60" i="14"/>
  <c r="F62" i="14"/>
  <c r="T62" i="14"/>
  <c r="I63" i="14"/>
  <c r="U63" i="14"/>
  <c r="P67" i="14"/>
  <c r="O70" i="14"/>
  <c r="Q71" i="14"/>
  <c r="R72" i="14"/>
  <c r="V72" i="14" s="1"/>
  <c r="M74" i="14"/>
  <c r="E75" i="14"/>
  <c r="Q75" i="14"/>
  <c r="R76" i="14"/>
  <c r="V76" i="14" s="1"/>
  <c r="M78" i="14"/>
  <c r="E79" i="14"/>
  <c r="Q79" i="14"/>
  <c r="R80" i="14"/>
  <c r="V80" i="14" s="1"/>
  <c r="M82" i="14"/>
  <c r="G83" i="14"/>
  <c r="R83" i="14"/>
  <c r="V83" i="14" s="1"/>
  <c r="T86" i="14"/>
  <c r="K87" i="14"/>
  <c r="E341" i="15"/>
  <c r="L341" i="15"/>
  <c r="J341" i="15"/>
  <c r="F341" i="15"/>
  <c r="D341" i="15"/>
  <c r="C341" i="15"/>
  <c r="M353" i="15"/>
  <c r="K353" i="15"/>
  <c r="J353" i="15"/>
  <c r="E353" i="15"/>
  <c r="D353" i="15"/>
  <c r="N474" i="15"/>
  <c r="M474" i="15"/>
  <c r="L474" i="15"/>
  <c r="T517" i="15" s="1"/>
  <c r="W517" i="15" s="1"/>
  <c r="J474" i="15"/>
  <c r="H474" i="15"/>
  <c r="G474" i="15"/>
  <c r="P517" i="15" s="1"/>
  <c r="F474" i="15"/>
  <c r="C517" i="15" s="1"/>
  <c r="F517" i="15" s="1"/>
  <c r="G630" i="15"/>
  <c r="N673" i="15" s="1"/>
  <c r="S630" i="15"/>
  <c r="X673" i="15" s="1"/>
  <c r="K630" i="15"/>
  <c r="R673" i="15" s="1"/>
  <c r="S673" i="15" s="1"/>
  <c r="P630" i="15"/>
  <c r="K673" i="15" s="1"/>
  <c r="H630" i="15"/>
  <c r="C673" i="15" s="1"/>
  <c r="J630" i="15"/>
  <c r="I630" i="15"/>
  <c r="O673" i="15" s="1"/>
  <c r="R630" i="15"/>
  <c r="L673" i="15" s="1"/>
  <c r="F630" i="15"/>
  <c r="B673" i="15" s="1"/>
  <c r="P658" i="15"/>
  <c r="K701" i="15" s="1"/>
  <c r="K658" i="15"/>
  <c r="R701" i="15" s="1"/>
  <c r="S701" i="15" s="1"/>
  <c r="R658" i="15"/>
  <c r="L701" i="15" s="1"/>
  <c r="I658" i="15"/>
  <c r="O701" i="15" s="1"/>
  <c r="Q658" i="15"/>
  <c r="W701" i="15" s="1"/>
  <c r="J658" i="15"/>
  <c r="G701" i="15" s="1"/>
  <c r="G658" i="15"/>
  <c r="N701" i="15" s="1"/>
  <c r="P37" i="14"/>
  <c r="P39" i="14"/>
  <c r="M54" i="14"/>
  <c r="K59" i="14"/>
  <c r="G62" i="14"/>
  <c r="U62" i="14"/>
  <c r="K63" i="14"/>
  <c r="E65" i="14"/>
  <c r="E67" i="14"/>
  <c r="Q67" i="14"/>
  <c r="M68" i="14"/>
  <c r="C70" i="14"/>
  <c r="P70" i="14"/>
  <c r="G71" i="14"/>
  <c r="R71" i="14"/>
  <c r="V71" i="14" s="1"/>
  <c r="P74" i="14"/>
  <c r="G75" i="14"/>
  <c r="R75" i="14"/>
  <c r="V75" i="14" s="1"/>
  <c r="P78" i="14"/>
  <c r="G79" i="14"/>
  <c r="R79" i="14"/>
  <c r="V79" i="14" s="1"/>
  <c r="P82" i="14"/>
  <c r="H83" i="14"/>
  <c r="L83" i="14" s="1"/>
  <c r="T83" i="14"/>
  <c r="M87" i="14"/>
  <c r="G280" i="15"/>
  <c r="F280" i="15"/>
  <c r="V280" i="15" s="1"/>
  <c r="E282" i="15"/>
  <c r="E319" i="15"/>
  <c r="F319" i="15"/>
  <c r="F322" i="15"/>
  <c r="M338" i="15"/>
  <c r="C338" i="15"/>
  <c r="J338" i="15"/>
  <c r="K341" i="15"/>
  <c r="C353" i="15"/>
  <c r="M364" i="15"/>
  <c r="L364" i="15"/>
  <c r="T407" i="15" s="1"/>
  <c r="W407" i="15" s="1"/>
  <c r="I364" i="15"/>
  <c r="B407" i="15" s="1"/>
  <c r="R407" i="15" s="1"/>
  <c r="H364" i="15"/>
  <c r="O407" i="15" s="1"/>
  <c r="Q364" i="15"/>
  <c r="G364" i="15"/>
  <c r="P364" i="15"/>
  <c r="F364" i="15"/>
  <c r="C407" i="15" s="1"/>
  <c r="F407" i="15" s="1"/>
  <c r="K376" i="15"/>
  <c r="G376" i="15"/>
  <c r="I419" i="15" s="1"/>
  <c r="P376" i="15"/>
  <c r="O376" i="15"/>
  <c r="S419" i="15" s="1"/>
  <c r="AI419" i="15" s="1"/>
  <c r="P474" i="15"/>
  <c r="P24" i="14"/>
  <c r="O54" i="14"/>
  <c r="M59" i="14"/>
  <c r="M63" i="14"/>
  <c r="N65" i="14"/>
  <c r="G67" i="14"/>
  <c r="R67" i="14"/>
  <c r="V67" i="14" s="1"/>
  <c r="N68" i="14"/>
  <c r="D70" i="14"/>
  <c r="Q70" i="14"/>
  <c r="H71" i="14"/>
  <c r="L71" i="14" s="1"/>
  <c r="T71" i="14"/>
  <c r="Q74" i="14"/>
  <c r="H75" i="14"/>
  <c r="L75" i="14" s="1"/>
  <c r="T75" i="14"/>
  <c r="Q78" i="14"/>
  <c r="H79" i="14"/>
  <c r="L79" i="14" s="1"/>
  <c r="T79" i="14"/>
  <c r="Q82" i="14"/>
  <c r="I83" i="14"/>
  <c r="U83" i="14"/>
  <c r="C86" i="14"/>
  <c r="C87" i="14"/>
  <c r="N87" i="14"/>
  <c r="G272" i="15"/>
  <c r="F272" i="15"/>
  <c r="V272" i="15" s="1"/>
  <c r="E272" i="15"/>
  <c r="D272" i="15"/>
  <c r="K272" i="15" s="1"/>
  <c r="E283" i="15"/>
  <c r="G283" i="15"/>
  <c r="F283" i="15"/>
  <c r="V283" i="15" s="1"/>
  <c r="K316" i="15"/>
  <c r="L316" i="15"/>
  <c r="E316" i="15"/>
  <c r="D316" i="15"/>
  <c r="L319" i="15"/>
  <c r="D338" i="15"/>
  <c r="M354" i="15"/>
  <c r="C354" i="15"/>
  <c r="J354" i="15"/>
  <c r="M366" i="15"/>
  <c r="F366" i="15"/>
  <c r="C409" i="15" s="1"/>
  <c r="F409" i="15" s="1"/>
  <c r="Q366" i="15"/>
  <c r="O366" i="15"/>
  <c r="S409" i="15" s="1"/>
  <c r="AI409" i="15" s="1"/>
  <c r="N366" i="15"/>
  <c r="AG409" i="15" s="1"/>
  <c r="J366" i="15"/>
  <c r="H376" i="15"/>
  <c r="AF557" i="15"/>
  <c r="AA600" i="15" s="1"/>
  <c r="AI557" i="15"/>
  <c r="Y557" i="15"/>
  <c r="T600" i="15" s="1"/>
  <c r="W600" i="15" s="1"/>
  <c r="N557" i="15"/>
  <c r="AH557" i="15"/>
  <c r="AB600" i="15" s="1"/>
  <c r="W557" i="15"/>
  <c r="L557" i="15"/>
  <c r="L600" i="15" s="1"/>
  <c r="AG557" i="15"/>
  <c r="V557" i="15"/>
  <c r="AQ600" i="15" s="1"/>
  <c r="AT600" i="15" s="1"/>
  <c r="K557" i="15"/>
  <c r="AE557" i="15"/>
  <c r="BC600" i="15" s="1"/>
  <c r="T557" i="15"/>
  <c r="J557" i="15"/>
  <c r="AE600" i="15" s="1"/>
  <c r="AH600" i="15" s="1"/>
  <c r="AD557" i="15"/>
  <c r="Z600" i="15" s="1"/>
  <c r="S557" i="15"/>
  <c r="N600" i="15" s="1"/>
  <c r="Q600" i="15" s="1"/>
  <c r="I557" i="15"/>
  <c r="AI600" i="15" s="1"/>
  <c r="AB557" i="15"/>
  <c r="AW600" i="15" s="1"/>
  <c r="AZ600" i="15" s="1"/>
  <c r="R557" i="15"/>
  <c r="R600" i="15" s="1"/>
  <c r="G557" i="15"/>
  <c r="B600" i="15" s="1"/>
  <c r="E600" i="15" s="1"/>
  <c r="AA557" i="15"/>
  <c r="BA600" i="15" s="1"/>
  <c r="Q557" i="15"/>
  <c r="F557" i="15"/>
  <c r="F600" i="15" s="1"/>
  <c r="P33" i="14"/>
  <c r="P35" i="14"/>
  <c r="R52" i="14"/>
  <c r="V52" i="14" s="1"/>
  <c r="C54" i="14"/>
  <c r="P54" i="14"/>
  <c r="G55" i="14"/>
  <c r="R55" i="14"/>
  <c r="V55" i="14" s="1"/>
  <c r="Q56" i="14"/>
  <c r="C59" i="14"/>
  <c r="N59" i="14"/>
  <c r="E60" i="14"/>
  <c r="I61" i="14"/>
  <c r="K62" i="14"/>
  <c r="C63" i="14"/>
  <c r="N63" i="14"/>
  <c r="H64" i="14"/>
  <c r="L64" i="14" s="1"/>
  <c r="H67" i="14"/>
  <c r="L67" i="14" s="1"/>
  <c r="T67" i="14"/>
  <c r="R68" i="14"/>
  <c r="V68" i="14" s="1"/>
  <c r="F70" i="14"/>
  <c r="T70" i="14"/>
  <c r="I71" i="14"/>
  <c r="U71" i="14"/>
  <c r="C74" i="14"/>
  <c r="T74" i="14"/>
  <c r="I75" i="14"/>
  <c r="U75" i="14"/>
  <c r="C78" i="14"/>
  <c r="T78" i="14"/>
  <c r="I79" i="14"/>
  <c r="U79" i="14"/>
  <c r="C82" i="14"/>
  <c r="T82" i="14"/>
  <c r="K83" i="14"/>
  <c r="D86" i="14"/>
  <c r="D87" i="14"/>
  <c r="P87" i="14"/>
  <c r="M320" i="15"/>
  <c r="L320" i="15"/>
  <c r="F320" i="15"/>
  <c r="E320" i="15"/>
  <c r="D320" i="15"/>
  <c r="C320" i="15"/>
  <c r="E335" i="15"/>
  <c r="F335" i="15"/>
  <c r="P373" i="15"/>
  <c r="N373" i="15"/>
  <c r="K373" i="15"/>
  <c r="J373" i="15"/>
  <c r="I373" i="15"/>
  <c r="B416" i="15" s="1"/>
  <c r="R416" i="15" s="1"/>
  <c r="G373" i="15"/>
  <c r="P416" i="15" s="1"/>
  <c r="M385" i="15"/>
  <c r="Y428" i="15" s="1"/>
  <c r="N385" i="15"/>
  <c r="J385" i="15"/>
  <c r="H385" i="15"/>
  <c r="O428" i="15" s="1"/>
  <c r="G385" i="15"/>
  <c r="P428" i="15" s="1"/>
  <c r="F385" i="15"/>
  <c r="C428" i="15" s="1"/>
  <c r="F428" i="15" s="1"/>
  <c r="M395" i="15"/>
  <c r="X438" i="15" s="1"/>
  <c r="AA438" i="15" s="1"/>
  <c r="AD438" i="15" s="1"/>
  <c r="P395" i="15"/>
  <c r="G461" i="15"/>
  <c r="K461" i="15" s="1"/>
  <c r="U628" i="15"/>
  <c r="Y671" i="15" s="1"/>
  <c r="K628" i="15"/>
  <c r="R671" i="15" s="1"/>
  <c r="S671" i="15" s="1"/>
  <c r="T628" i="15"/>
  <c r="M671" i="15" s="1"/>
  <c r="J628" i="15"/>
  <c r="S628" i="15"/>
  <c r="X671" i="15" s="1"/>
  <c r="H628" i="15"/>
  <c r="C671" i="15" s="1"/>
  <c r="R628" i="15"/>
  <c r="L671" i="15" s="1"/>
  <c r="U52" i="14"/>
  <c r="D54" i="14"/>
  <c r="Q54" i="14"/>
  <c r="H55" i="14"/>
  <c r="L55" i="14" s="1"/>
  <c r="T55" i="14"/>
  <c r="R56" i="14"/>
  <c r="V56" i="14" s="1"/>
  <c r="D59" i="14"/>
  <c r="P59" i="14"/>
  <c r="I60" i="14"/>
  <c r="R61" i="14"/>
  <c r="V61" i="14" s="1"/>
  <c r="M62" i="14"/>
  <c r="D63" i="14"/>
  <c r="P63" i="14"/>
  <c r="I64" i="14"/>
  <c r="I67" i="14"/>
  <c r="U67" i="14"/>
  <c r="U68" i="14"/>
  <c r="G70" i="14"/>
  <c r="U70" i="14"/>
  <c r="K71" i="14"/>
  <c r="U74" i="14"/>
  <c r="K75" i="14"/>
  <c r="D78" i="14"/>
  <c r="U78" i="14"/>
  <c r="K79" i="14"/>
  <c r="M83" i="14"/>
  <c r="G86" i="14"/>
  <c r="E87" i="14"/>
  <c r="Q87" i="14"/>
  <c r="F307" i="15"/>
  <c r="V307" i="15" s="1"/>
  <c r="K320" i="15"/>
  <c r="K332" i="15"/>
  <c r="L332" i="15"/>
  <c r="E332" i="15"/>
  <c r="D332" i="15"/>
  <c r="L335" i="15"/>
  <c r="E351" i="15"/>
  <c r="F351" i="15"/>
  <c r="M369" i="15"/>
  <c r="X412" i="15" s="1"/>
  <c r="AA412" i="15" s="1"/>
  <c r="AD412" i="15" s="1"/>
  <c r="O369" i="15"/>
  <c r="S412" i="15" s="1"/>
  <c r="AI412" i="15" s="1"/>
  <c r="K369" i="15"/>
  <c r="J369" i="15"/>
  <c r="H369" i="15"/>
  <c r="G369" i="15"/>
  <c r="P412" i="15" s="1"/>
  <c r="F373" i="15"/>
  <c r="C416" i="15" s="1"/>
  <c r="F416" i="15" s="1"/>
  <c r="K385" i="15"/>
  <c r="H395" i="15"/>
  <c r="AE566" i="15"/>
  <c r="BC609" i="15" s="1"/>
  <c r="Z566" i="15"/>
  <c r="N566" i="15"/>
  <c r="AH566" i="15"/>
  <c r="AB609" i="15" s="1"/>
  <c r="V566" i="15"/>
  <c r="AQ609" i="15" s="1"/>
  <c r="AT609" i="15" s="1"/>
  <c r="I566" i="15"/>
  <c r="AI609" i="15" s="1"/>
  <c r="AI566" i="15"/>
  <c r="R566" i="15"/>
  <c r="R609" i="15" s="1"/>
  <c r="AG566" i="15"/>
  <c r="Q566" i="15"/>
  <c r="AF566" i="15"/>
  <c r="AA609" i="15" s="1"/>
  <c r="P566" i="15"/>
  <c r="AK609" i="15" s="1"/>
  <c r="AN609" i="15" s="1"/>
  <c r="AD566" i="15"/>
  <c r="Z609" i="15" s="1"/>
  <c r="K566" i="15"/>
  <c r="AA566" i="15"/>
  <c r="BA609" i="15" s="1"/>
  <c r="J566" i="15"/>
  <c r="AE609" i="15" s="1"/>
  <c r="AH609" i="15" s="1"/>
  <c r="Y566" i="15"/>
  <c r="T609" i="15" s="1"/>
  <c r="W609" i="15" s="1"/>
  <c r="H566" i="15"/>
  <c r="X566" i="15"/>
  <c r="X609" i="15" s="1"/>
  <c r="F566" i="15"/>
  <c r="F609" i="15" s="1"/>
  <c r="U661" i="15"/>
  <c r="Y704" i="15" s="1"/>
  <c r="H661" i="15"/>
  <c r="C704" i="15" s="1"/>
  <c r="G661" i="15"/>
  <c r="N704" i="15" s="1"/>
  <c r="F661" i="15"/>
  <c r="B704" i="15" s="1"/>
  <c r="P661" i="15"/>
  <c r="K704" i="15" s="1"/>
  <c r="P29" i="14"/>
  <c r="F54" i="14"/>
  <c r="T54" i="14"/>
  <c r="I55" i="14"/>
  <c r="U55" i="14"/>
  <c r="E59" i="14"/>
  <c r="Q59" i="14"/>
  <c r="O62" i="14"/>
  <c r="E63" i="14"/>
  <c r="Q63" i="14"/>
  <c r="H70" i="14"/>
  <c r="L70" i="14" s="1"/>
  <c r="M71" i="14"/>
  <c r="E72" i="14"/>
  <c r="G74" i="14"/>
  <c r="M75" i="14"/>
  <c r="M79" i="14"/>
  <c r="N83" i="14"/>
  <c r="R87" i="14"/>
  <c r="V87" i="14" s="1"/>
  <c r="G270" i="15"/>
  <c r="E270" i="15"/>
  <c r="D270" i="15"/>
  <c r="K270" i="15" s="1"/>
  <c r="E287" i="15"/>
  <c r="G287" i="15"/>
  <c r="F287" i="15"/>
  <c r="V287" i="15" s="1"/>
  <c r="G296" i="15"/>
  <c r="F296" i="15"/>
  <c r="V296" i="15" s="1"/>
  <c r="E296" i="15"/>
  <c r="D296" i="15"/>
  <c r="K296" i="15" s="1"/>
  <c r="M321" i="15"/>
  <c r="K321" i="15"/>
  <c r="J321" i="15"/>
  <c r="E321" i="15"/>
  <c r="D321" i="15"/>
  <c r="M336" i="15"/>
  <c r="L336" i="15"/>
  <c r="F336" i="15"/>
  <c r="E336" i="15"/>
  <c r="D336" i="15"/>
  <c r="C336" i="15"/>
  <c r="K348" i="15"/>
  <c r="L348" i="15"/>
  <c r="E348" i="15"/>
  <c r="D348" i="15"/>
  <c r="L351" i="15"/>
  <c r="P367" i="15"/>
  <c r="I367" i="15"/>
  <c r="B410" i="15" s="1"/>
  <c r="R410" i="15" s="1"/>
  <c r="F369" i="15"/>
  <c r="C412" i="15" s="1"/>
  <c r="F412" i="15" s="1"/>
  <c r="L373" i="15"/>
  <c r="T416" i="15" s="1"/>
  <c r="W416" i="15" s="1"/>
  <c r="O385" i="15"/>
  <c r="S428" i="15" s="1"/>
  <c r="AI428" i="15" s="1"/>
  <c r="AJ557" i="15"/>
  <c r="AC600" i="15" s="1"/>
  <c r="AC564" i="15"/>
  <c r="AJ564" i="15"/>
  <c r="AC607" i="15" s="1"/>
  <c r="U564" i="15"/>
  <c r="AU607" i="15" s="1"/>
  <c r="AI564" i="15"/>
  <c r="X564" i="15"/>
  <c r="X607" i="15" s="1"/>
  <c r="K564" i="15"/>
  <c r="J564" i="15"/>
  <c r="AE607" i="15" s="1"/>
  <c r="AH607" i="15" s="1"/>
  <c r="S566" i="15"/>
  <c r="N609" i="15" s="1"/>
  <c r="Q609" i="15" s="1"/>
  <c r="Q630" i="15"/>
  <c r="W673" i="15" s="1"/>
  <c r="S658" i="15"/>
  <c r="X701" i="15" s="1"/>
  <c r="D52" i="14"/>
  <c r="F53" i="14"/>
  <c r="G54" i="14"/>
  <c r="U54" i="14"/>
  <c r="K55" i="14"/>
  <c r="E57" i="14"/>
  <c r="G59" i="14"/>
  <c r="R59" i="14"/>
  <c r="V59" i="14" s="1"/>
  <c r="N60" i="14"/>
  <c r="C62" i="14"/>
  <c r="P62" i="14"/>
  <c r="G63" i="14"/>
  <c r="R63" i="14"/>
  <c r="V63" i="14" s="1"/>
  <c r="M67" i="14"/>
  <c r="D68" i="14"/>
  <c r="K70" i="14"/>
  <c r="C71" i="14"/>
  <c r="N71" i="14"/>
  <c r="I72" i="14"/>
  <c r="H74" i="14"/>
  <c r="L74" i="14" s="1"/>
  <c r="C75" i="14"/>
  <c r="N75" i="14"/>
  <c r="I76" i="14"/>
  <c r="H78" i="14"/>
  <c r="L78" i="14" s="1"/>
  <c r="C79" i="14"/>
  <c r="N79" i="14"/>
  <c r="I80" i="14"/>
  <c r="H82" i="14"/>
  <c r="L82" i="14" s="1"/>
  <c r="D83" i="14"/>
  <c r="P83" i="14"/>
  <c r="K86" i="14"/>
  <c r="H87" i="14"/>
  <c r="L87" i="14" s="1"/>
  <c r="T87" i="14"/>
  <c r="E274" i="15"/>
  <c r="D287" i="15"/>
  <c r="K287" i="15" s="1"/>
  <c r="G300" i="15"/>
  <c r="F300" i="15"/>
  <c r="V300" i="15" s="1"/>
  <c r="E302" i="15"/>
  <c r="C321" i="15"/>
  <c r="E325" i="15"/>
  <c r="L325" i="15"/>
  <c r="J325" i="15"/>
  <c r="F325" i="15"/>
  <c r="D325" i="15"/>
  <c r="C325" i="15"/>
  <c r="K336" i="15"/>
  <c r="M352" i="15"/>
  <c r="L352" i="15"/>
  <c r="F352" i="15"/>
  <c r="E352" i="15"/>
  <c r="D352" i="15"/>
  <c r="C352" i="15"/>
  <c r="L367" i="15"/>
  <c r="T410" i="15" s="1"/>
  <c r="W410" i="15" s="1"/>
  <c r="N369" i="15"/>
  <c r="O373" i="15"/>
  <c r="S416" i="15" s="1"/>
  <c r="AI416" i="15" s="1"/>
  <c r="P385" i="15"/>
  <c r="P389" i="15"/>
  <c r="L389" i="15"/>
  <c r="T432" i="15" s="1"/>
  <c r="W432" i="15" s="1"/>
  <c r="K389" i="15"/>
  <c r="J389" i="15"/>
  <c r="I389" i="15"/>
  <c r="B432" i="15" s="1"/>
  <c r="R432" i="15" s="1"/>
  <c r="G389" i="15"/>
  <c r="P432" i="15" s="1"/>
  <c r="Q389" i="15"/>
  <c r="F389" i="15"/>
  <c r="C432" i="15" s="1"/>
  <c r="F432" i="15" s="1"/>
  <c r="P567" i="15"/>
  <c r="AK610" i="15" s="1"/>
  <c r="AN610" i="15" s="1"/>
  <c r="AE567" i="15"/>
  <c r="BC610" i="15" s="1"/>
  <c r="AC567" i="15"/>
  <c r="Q567" i="15"/>
  <c r="E276" i="15"/>
  <c r="D283" i="15"/>
  <c r="K283" i="15" s="1"/>
  <c r="G289" i="15"/>
  <c r="G294" i="15"/>
  <c r="G303" i="15"/>
  <c r="G308" i="15"/>
  <c r="K317" i="15"/>
  <c r="K328" i="15"/>
  <c r="K333" i="15"/>
  <c r="K344" i="15"/>
  <c r="K349" i="15"/>
  <c r="P360" i="15"/>
  <c r="O361" i="15"/>
  <c r="S404" i="15" s="1"/>
  <c r="AI404" i="15" s="1"/>
  <c r="L365" i="15"/>
  <c r="T408" i="15" s="1"/>
  <c r="W408" i="15" s="1"/>
  <c r="K372" i="15"/>
  <c r="N377" i="15"/>
  <c r="O380" i="15"/>
  <c r="S423" i="15" s="1"/>
  <c r="AI423" i="15" s="1"/>
  <c r="K381" i="15"/>
  <c r="I382" i="15"/>
  <c r="B425" i="15" s="1"/>
  <c r="R425" i="15" s="1"/>
  <c r="Q383" i="15"/>
  <c r="I388" i="15"/>
  <c r="B431" i="15" s="1"/>
  <c r="R431" i="15" s="1"/>
  <c r="Q390" i="15"/>
  <c r="L392" i="15"/>
  <c r="T435" i="15" s="1"/>
  <c r="W435" i="15" s="1"/>
  <c r="K393" i="15"/>
  <c r="N396" i="15"/>
  <c r="AG439" i="15" s="1"/>
  <c r="J397" i="15"/>
  <c r="G398" i="15"/>
  <c r="I441" i="15" s="1"/>
  <c r="L399" i="15"/>
  <c r="T442" i="15" s="1"/>
  <c r="W442" i="15" s="1"/>
  <c r="P450" i="15"/>
  <c r="L452" i="15"/>
  <c r="T495" i="15" s="1"/>
  <c r="W495" i="15" s="1"/>
  <c r="Q453" i="15"/>
  <c r="N454" i="15"/>
  <c r="AF497" i="15" s="1"/>
  <c r="G456" i="15"/>
  <c r="P499" i="15" s="1"/>
  <c r="H458" i="15"/>
  <c r="O501" i="15" s="1"/>
  <c r="O459" i="15"/>
  <c r="S502" i="15" s="1"/>
  <c r="AI502" i="15" s="1"/>
  <c r="H462" i="15"/>
  <c r="O505" i="15" s="1"/>
  <c r="J464" i="15"/>
  <c r="J465" i="15"/>
  <c r="H468" i="15"/>
  <c r="N511" i="15" s="1"/>
  <c r="Q511" i="15" s="1"/>
  <c r="K469" i="15"/>
  <c r="O472" i="15"/>
  <c r="S515" i="15" s="1"/>
  <c r="AI515" i="15" s="1"/>
  <c r="N478" i="15"/>
  <c r="AF521" i="15" s="1"/>
  <c r="N479" i="15"/>
  <c r="AG522" i="15" s="1"/>
  <c r="L480" i="15"/>
  <c r="T523" i="15" s="1"/>
  <c r="W523" i="15" s="1"/>
  <c r="J481" i="15"/>
  <c r="M482" i="15"/>
  <c r="L486" i="15"/>
  <c r="T529" i="15" s="1"/>
  <c r="W529" i="15" s="1"/>
  <c r="L487" i="15"/>
  <c r="T530" i="15" s="1"/>
  <c r="W530" i="15" s="1"/>
  <c r="AI537" i="15"/>
  <c r="T538" i="15"/>
  <c r="T539" i="15"/>
  <c r="AJ539" i="15"/>
  <c r="AC582" i="15" s="1"/>
  <c r="X540" i="15"/>
  <c r="X583" i="15" s="1"/>
  <c r="I541" i="15"/>
  <c r="AI584" i="15" s="1"/>
  <c r="Y541" i="15"/>
  <c r="T584" i="15" s="1"/>
  <c r="W584" i="15" s="1"/>
  <c r="L544" i="15"/>
  <c r="L587" i="15" s="1"/>
  <c r="W544" i="15"/>
  <c r="AG544" i="15"/>
  <c r="T547" i="15"/>
  <c r="AL547" i="15"/>
  <c r="AD590" i="15" s="1"/>
  <c r="X548" i="15"/>
  <c r="X591" i="15" s="1"/>
  <c r="G549" i="15"/>
  <c r="B592" i="15" s="1"/>
  <c r="E592" i="15" s="1"/>
  <c r="R549" i="15"/>
  <c r="R592" i="15" s="1"/>
  <c r="AB549" i="15"/>
  <c r="AW592" i="15" s="1"/>
  <c r="AZ592" i="15" s="1"/>
  <c r="J551" i="15"/>
  <c r="AE594" i="15" s="1"/>
  <c r="AH594" i="15" s="1"/>
  <c r="W551" i="15"/>
  <c r="AH551" i="15"/>
  <c r="AB594" i="15" s="1"/>
  <c r="L552" i="15"/>
  <c r="L595" i="15" s="1"/>
  <c r="W552" i="15"/>
  <c r="AG552" i="15"/>
  <c r="K553" i="15"/>
  <c r="AA553" i="15"/>
  <c r="BA596" i="15" s="1"/>
  <c r="U556" i="15"/>
  <c r="AU599" i="15" s="1"/>
  <c r="Y558" i="15"/>
  <c r="T601" i="15" s="1"/>
  <c r="W601" i="15" s="1"/>
  <c r="I559" i="15"/>
  <c r="AI602" i="15" s="1"/>
  <c r="U559" i="15"/>
  <c r="AU602" i="15" s="1"/>
  <c r="AG559" i="15"/>
  <c r="BD602" i="15" s="1"/>
  <c r="K560" i="15"/>
  <c r="W560" i="15"/>
  <c r="M562" i="15"/>
  <c r="H605" i="15" s="1"/>
  <c r="K605" i="15" s="1"/>
  <c r="K565" i="15"/>
  <c r="Z565" i="15"/>
  <c r="S573" i="15"/>
  <c r="N616" i="15" s="1"/>
  <c r="Q616" i="15" s="1"/>
  <c r="F639" i="15"/>
  <c r="B682" i="15" s="1"/>
  <c r="R639" i="15"/>
  <c r="L682" i="15" s="1"/>
  <c r="I639" i="15"/>
  <c r="O682" i="15" s="1"/>
  <c r="Q639" i="15"/>
  <c r="W682" i="15" s="1"/>
  <c r="H639" i="15"/>
  <c r="C682" i="15" s="1"/>
  <c r="P639" i="15"/>
  <c r="K682" i="15" s="1"/>
  <c r="G639" i="15"/>
  <c r="N682" i="15" s="1"/>
  <c r="H640" i="15"/>
  <c r="C683" i="15" s="1"/>
  <c r="G646" i="15"/>
  <c r="N689" i="15" s="1"/>
  <c r="S646" i="15"/>
  <c r="X689" i="15" s="1"/>
  <c r="K646" i="15"/>
  <c r="R689" i="15" s="1"/>
  <c r="S689" i="15" s="1"/>
  <c r="R646" i="15"/>
  <c r="L689" i="15" s="1"/>
  <c r="J646" i="15"/>
  <c r="G689" i="15" s="1"/>
  <c r="F646" i="15"/>
  <c r="B689" i="15" s="1"/>
  <c r="Q646" i="15"/>
  <c r="W689" i="15" s="1"/>
  <c r="F660" i="15"/>
  <c r="B703" i="15" s="1"/>
  <c r="I660" i="15"/>
  <c r="O703" i="15" s="1"/>
  <c r="Q660" i="15"/>
  <c r="W703" i="15" s="1"/>
  <c r="G660" i="15"/>
  <c r="N703" i="15" s="1"/>
  <c r="G290" i="15"/>
  <c r="P361" i="15"/>
  <c r="K388" i="15"/>
  <c r="O392" i="15"/>
  <c r="S435" i="15" s="1"/>
  <c r="AI435" i="15" s="1"/>
  <c r="N393" i="15"/>
  <c r="O396" i="15"/>
  <c r="S439" i="15" s="1"/>
  <c r="AI439" i="15" s="1"/>
  <c r="K397" i="15"/>
  <c r="I398" i="15"/>
  <c r="B441" i="15" s="1"/>
  <c r="R441" i="15" s="1"/>
  <c r="Q399" i="15"/>
  <c r="M452" i="15"/>
  <c r="P454" i="15"/>
  <c r="J458" i="15"/>
  <c r="I462" i="15"/>
  <c r="B505" i="15" s="1"/>
  <c r="R505" i="15" s="1"/>
  <c r="K463" i="15"/>
  <c r="L464" i="15"/>
  <c r="T507" i="15" s="1"/>
  <c r="W507" i="15" s="1"/>
  <c r="J468" i="15"/>
  <c r="P469" i="15"/>
  <c r="F472" i="15"/>
  <c r="C515" i="15" s="1"/>
  <c r="F515" i="15" s="1"/>
  <c r="P472" i="15"/>
  <c r="P478" i="15"/>
  <c r="Q479" i="15"/>
  <c r="N480" i="15"/>
  <c r="AF523" i="15" s="1"/>
  <c r="L481" i="15"/>
  <c r="T524" i="15" s="1"/>
  <c r="W524" i="15" s="1"/>
  <c r="K485" i="15"/>
  <c r="N486" i="15"/>
  <c r="N487" i="15"/>
  <c r="AF530" i="15" s="1"/>
  <c r="W538" i="15"/>
  <c r="F539" i="15"/>
  <c r="F582" i="15" s="1"/>
  <c r="V539" i="15"/>
  <c r="AQ582" i="15" s="1"/>
  <c r="AT582" i="15" s="1"/>
  <c r="Z540" i="15"/>
  <c r="J541" i="15"/>
  <c r="AE584" i="15" s="1"/>
  <c r="AH584" i="15" s="1"/>
  <c r="Z541" i="15"/>
  <c r="N544" i="15"/>
  <c r="X544" i="15"/>
  <c r="X587" i="15" s="1"/>
  <c r="AH544" i="15"/>
  <c r="AB587" i="15" s="1"/>
  <c r="Z548" i="15"/>
  <c r="I549" i="15"/>
  <c r="AI592" i="15" s="1"/>
  <c r="S549" i="15"/>
  <c r="N592" i="15" s="1"/>
  <c r="Q592" i="15" s="1"/>
  <c r="AD549" i="15"/>
  <c r="Z592" i="15" s="1"/>
  <c r="L551" i="15"/>
  <c r="L594" i="15" s="1"/>
  <c r="X551" i="15"/>
  <c r="X594" i="15" s="1"/>
  <c r="AJ551" i="15"/>
  <c r="AC594" i="15" s="1"/>
  <c r="N552" i="15"/>
  <c r="X552" i="15"/>
  <c r="X595" i="15" s="1"/>
  <c r="AI552" i="15"/>
  <c r="X556" i="15"/>
  <c r="X599" i="15" s="1"/>
  <c r="J559" i="15"/>
  <c r="AE602" i="15" s="1"/>
  <c r="AH602" i="15" s="1"/>
  <c r="W559" i="15"/>
  <c r="AH559" i="15"/>
  <c r="AB602" i="15" s="1"/>
  <c r="O562" i="15"/>
  <c r="AO605" i="15" s="1"/>
  <c r="L565" i="15"/>
  <c r="L608" i="15" s="1"/>
  <c r="AA565" i="15"/>
  <c r="BA608" i="15" s="1"/>
  <c r="AC571" i="15"/>
  <c r="Q571" i="15"/>
  <c r="U624" i="15"/>
  <c r="Y667" i="15" s="1"/>
  <c r="T624" i="15"/>
  <c r="M667" i="15" s="1"/>
  <c r="K624" i="15"/>
  <c r="R667" i="15" s="1"/>
  <c r="S667" i="15" s="1"/>
  <c r="S624" i="15"/>
  <c r="X667" i="15" s="1"/>
  <c r="I624" i="15"/>
  <c r="O667" i="15" s="1"/>
  <c r="F624" i="15"/>
  <c r="B667" i="15" s="1"/>
  <c r="Q624" i="15"/>
  <c r="W667" i="15" s="1"/>
  <c r="H646" i="15"/>
  <c r="C689" i="15" s="1"/>
  <c r="H660" i="15"/>
  <c r="C703" i="15" s="1"/>
  <c r="D292" i="15"/>
  <c r="K292" i="15" s="1"/>
  <c r="D294" i="15"/>
  <c r="K294" i="15" s="1"/>
  <c r="D308" i="15"/>
  <c r="K308" i="15" s="1"/>
  <c r="E323" i="15"/>
  <c r="D330" i="15"/>
  <c r="E339" i="15"/>
  <c r="D346" i="15"/>
  <c r="E355" i="15"/>
  <c r="F361" i="15"/>
  <c r="C404" i="15" s="1"/>
  <c r="F404" i="15" s="1"/>
  <c r="O365" i="15"/>
  <c r="S408" i="15" s="1"/>
  <c r="AI408" i="15" s="1"/>
  <c r="P377" i="15"/>
  <c r="G384" i="15"/>
  <c r="P427" i="15" s="1"/>
  <c r="L388" i="15"/>
  <c r="T431" i="15" s="1"/>
  <c r="W431" i="15" s="1"/>
  <c r="L397" i="15"/>
  <c r="T440" i="15" s="1"/>
  <c r="W440" i="15" s="1"/>
  <c r="J398" i="15"/>
  <c r="J462" i="15"/>
  <c r="L468" i="15"/>
  <c r="T511" i="15" s="1"/>
  <c r="W511" i="15" s="1"/>
  <c r="Q469" i="15"/>
  <c r="O480" i="15"/>
  <c r="S523" i="15" s="1"/>
  <c r="AI523" i="15" s="1"/>
  <c r="P486" i="15"/>
  <c r="Q487" i="15"/>
  <c r="L541" i="15"/>
  <c r="L584" i="15" s="1"/>
  <c r="AB541" i="15"/>
  <c r="AW584" i="15" s="1"/>
  <c r="AZ584" i="15" s="1"/>
  <c r="O544" i="15"/>
  <c r="AO587" i="15" s="1"/>
  <c r="Y544" i="15"/>
  <c r="T587" i="15" s="1"/>
  <c r="W587" i="15" s="1"/>
  <c r="AJ544" i="15"/>
  <c r="AC587" i="15" s="1"/>
  <c r="J549" i="15"/>
  <c r="AE592" i="15" s="1"/>
  <c r="AH592" i="15" s="1"/>
  <c r="T549" i="15"/>
  <c r="AE549" i="15"/>
  <c r="BC592" i="15" s="1"/>
  <c r="M551" i="15"/>
  <c r="H594" i="15" s="1"/>
  <c r="K594" i="15" s="1"/>
  <c r="Y551" i="15"/>
  <c r="T594" i="15" s="1"/>
  <c r="W594" i="15" s="1"/>
  <c r="O552" i="15"/>
  <c r="AO595" i="15" s="1"/>
  <c r="Y552" i="15"/>
  <c r="T595" i="15" s="1"/>
  <c r="W595" i="15" s="1"/>
  <c r="AJ552" i="15"/>
  <c r="AC595" i="15" s="1"/>
  <c r="Z556" i="15"/>
  <c r="U562" i="15"/>
  <c r="AU605" i="15" s="1"/>
  <c r="O565" i="15"/>
  <c r="AO608" i="15" s="1"/>
  <c r="AB565" i="15"/>
  <c r="AW608" i="15" s="1"/>
  <c r="AZ608" i="15" s="1"/>
  <c r="AB570" i="15"/>
  <c r="AW613" i="15" s="1"/>
  <c r="AZ613" i="15" s="1"/>
  <c r="O570" i="15"/>
  <c r="AO613" i="15" s="1"/>
  <c r="AL570" i="15"/>
  <c r="AD613" i="15" s="1"/>
  <c r="L570" i="15"/>
  <c r="L613" i="15" s="1"/>
  <c r="Z570" i="15"/>
  <c r="AF573" i="15"/>
  <c r="AA616" i="15" s="1"/>
  <c r="AH573" i="15"/>
  <c r="AB616" i="15" s="1"/>
  <c r="W573" i="15"/>
  <c r="L573" i="15"/>
  <c r="L616" i="15" s="1"/>
  <c r="AG573" i="15"/>
  <c r="V573" i="15"/>
  <c r="AQ616" i="15" s="1"/>
  <c r="AT616" i="15" s="1"/>
  <c r="K573" i="15"/>
  <c r="AE573" i="15"/>
  <c r="BC616" i="15" s="1"/>
  <c r="T573" i="15"/>
  <c r="J573" i="15"/>
  <c r="AE616" i="15" s="1"/>
  <c r="AH616" i="15" s="1"/>
  <c r="AA573" i="15"/>
  <c r="BA616" i="15" s="1"/>
  <c r="Q573" i="15"/>
  <c r="F573" i="15"/>
  <c r="F616" i="15" s="1"/>
  <c r="Z573" i="15"/>
  <c r="T650" i="15"/>
  <c r="M693" i="15" s="1"/>
  <c r="G650" i="15"/>
  <c r="N693" i="15" s="1"/>
  <c r="S663" i="15"/>
  <c r="X706" i="15" s="1"/>
  <c r="F663" i="15"/>
  <c r="B706" i="15" s="1"/>
  <c r="F275" i="15"/>
  <c r="V275" i="15" s="1"/>
  <c r="G277" i="15"/>
  <c r="G282" i="15"/>
  <c r="G284" i="15"/>
  <c r="D290" i="15"/>
  <c r="K290" i="15" s="1"/>
  <c r="E292" i="15"/>
  <c r="G297" i="15"/>
  <c r="F299" i="15"/>
  <c r="V299" i="15" s="1"/>
  <c r="G302" i="15"/>
  <c r="D306" i="15"/>
  <c r="K306" i="15" s="1"/>
  <c r="E308" i="15"/>
  <c r="C329" i="15"/>
  <c r="F330" i="15"/>
  <c r="C345" i="15"/>
  <c r="F346" i="15"/>
  <c r="G361" i="15"/>
  <c r="P404" i="15" s="1"/>
  <c r="F365" i="15"/>
  <c r="C408" i="15" s="1"/>
  <c r="F408" i="15" s="1"/>
  <c r="Q365" i="15"/>
  <c r="L368" i="15"/>
  <c r="T411" i="15" s="1"/>
  <c r="W411" i="15" s="1"/>
  <c r="O372" i="15"/>
  <c r="S415" i="15" s="1"/>
  <c r="AI415" i="15" s="1"/>
  <c r="I374" i="15"/>
  <c r="B417" i="15" s="1"/>
  <c r="R417" i="15" s="1"/>
  <c r="Q375" i="15"/>
  <c r="F377" i="15"/>
  <c r="C420" i="15" s="1"/>
  <c r="F420" i="15" s="1"/>
  <c r="H380" i="15"/>
  <c r="N423" i="15" s="1"/>
  <c r="Q423" i="15" s="1"/>
  <c r="O381" i="15"/>
  <c r="S424" i="15" s="1"/>
  <c r="AI424" i="15" s="1"/>
  <c r="O382" i="15"/>
  <c r="S425" i="15" s="1"/>
  <c r="AI425" i="15" s="1"/>
  <c r="H384" i="15"/>
  <c r="P387" i="15"/>
  <c r="N388" i="15"/>
  <c r="G390" i="15"/>
  <c r="P433" i="15" s="1"/>
  <c r="L391" i="15"/>
  <c r="T434" i="15" s="1"/>
  <c r="W434" i="15" s="1"/>
  <c r="P393" i="15"/>
  <c r="G396" i="15"/>
  <c r="P439" i="15" s="1"/>
  <c r="Q396" i="15"/>
  <c r="N397" i="15"/>
  <c r="N398" i="15"/>
  <c r="AG441" i="15" s="1"/>
  <c r="G448" i="15"/>
  <c r="G450" i="15"/>
  <c r="P493" i="15" s="1"/>
  <c r="O451" i="15"/>
  <c r="S494" i="15" s="1"/>
  <c r="AI494" i="15" s="1"/>
  <c r="F453" i="15"/>
  <c r="C496" i="15" s="1"/>
  <c r="F496" i="15" s="1"/>
  <c r="M458" i="15"/>
  <c r="Z501" i="15" s="1"/>
  <c r="H460" i="15"/>
  <c r="N503" i="15" s="1"/>
  <c r="Q503" i="15" s="1"/>
  <c r="K462" i="15"/>
  <c r="O464" i="15"/>
  <c r="S507" i="15" s="1"/>
  <c r="AI507" i="15" s="1"/>
  <c r="M468" i="15"/>
  <c r="H478" i="15"/>
  <c r="N521" i="15" s="1"/>
  <c r="Q521" i="15" s="1"/>
  <c r="F480" i="15"/>
  <c r="C523" i="15" s="1"/>
  <c r="F523" i="15" s="1"/>
  <c r="P480" i="15"/>
  <c r="Q481" i="15"/>
  <c r="H484" i="15"/>
  <c r="N527" i="15" s="1"/>
  <c r="Q527" i="15" s="1"/>
  <c r="F486" i="15"/>
  <c r="C529" i="15" s="1"/>
  <c r="F529" i="15" s="1"/>
  <c r="Q486" i="15"/>
  <c r="J538" i="15"/>
  <c r="AE581" i="15" s="1"/>
  <c r="AH581" i="15" s="1"/>
  <c r="AB538" i="15"/>
  <c r="AW581" i="15" s="1"/>
  <c r="AZ581" i="15" s="1"/>
  <c r="K539" i="15"/>
  <c r="AA539" i="15"/>
  <c r="BA582" i="15" s="1"/>
  <c r="J540" i="15"/>
  <c r="AE583" i="15" s="1"/>
  <c r="AH583" i="15" s="1"/>
  <c r="AF540" i="15"/>
  <c r="AA583" i="15" s="1"/>
  <c r="O541" i="15"/>
  <c r="AO584" i="15" s="1"/>
  <c r="AE541" i="15"/>
  <c r="BC584" i="15" s="1"/>
  <c r="F544" i="15"/>
  <c r="F587" i="15" s="1"/>
  <c r="P544" i="15"/>
  <c r="AK587" i="15" s="1"/>
  <c r="AN587" i="15" s="1"/>
  <c r="Z544" i="15"/>
  <c r="K547" i="15"/>
  <c r="AA547" i="15"/>
  <c r="BA590" i="15" s="1"/>
  <c r="K548" i="15"/>
  <c r="AF548" i="15"/>
  <c r="AA591" i="15" s="1"/>
  <c r="K549" i="15"/>
  <c r="V549" i="15"/>
  <c r="AQ592" i="15" s="1"/>
  <c r="AT592" i="15" s="1"/>
  <c r="AG549" i="15"/>
  <c r="O551" i="15"/>
  <c r="AO594" i="15" s="1"/>
  <c r="AB551" i="15"/>
  <c r="AW594" i="15" s="1"/>
  <c r="AZ594" i="15" s="1"/>
  <c r="F552" i="15"/>
  <c r="F595" i="15" s="1"/>
  <c r="P552" i="15"/>
  <c r="AK595" i="15" s="1"/>
  <c r="AN595" i="15" s="1"/>
  <c r="AA552" i="15"/>
  <c r="BA595" i="15" s="1"/>
  <c r="R553" i="15"/>
  <c r="R596" i="15" s="1"/>
  <c r="AE553" i="15"/>
  <c r="BC596" i="15" s="1"/>
  <c r="G556" i="15"/>
  <c r="B599" i="15" s="1"/>
  <c r="E599" i="15" s="1"/>
  <c r="AB556" i="15"/>
  <c r="AW599" i="15" s="1"/>
  <c r="AZ599" i="15" s="1"/>
  <c r="K558" i="15"/>
  <c r="AG558" i="15"/>
  <c r="M559" i="15"/>
  <c r="H602" i="15" s="1"/>
  <c r="K602" i="15" s="1"/>
  <c r="Y559" i="15"/>
  <c r="T602" i="15" s="1"/>
  <c r="W602" i="15" s="1"/>
  <c r="AL560" i="15"/>
  <c r="AD603" i="15" s="1"/>
  <c r="AE560" i="15"/>
  <c r="BC603" i="15" s="1"/>
  <c r="T560" i="15"/>
  <c r="AA560" i="15"/>
  <c r="BA603" i="15" s="1"/>
  <c r="O560" i="15"/>
  <c r="AO603" i="15" s="1"/>
  <c r="AB560" i="15"/>
  <c r="AW603" i="15" s="1"/>
  <c r="AZ603" i="15" s="1"/>
  <c r="W562" i="15"/>
  <c r="Q565" i="15"/>
  <c r="AL568" i="15"/>
  <c r="AD611" i="15" s="1"/>
  <c r="AG568" i="15"/>
  <c r="AE568" i="15"/>
  <c r="BC611" i="15" s="1"/>
  <c r="T568" i="15"/>
  <c r="I568" i="15"/>
  <c r="AI611" i="15" s="1"/>
  <c r="AA568" i="15"/>
  <c r="BA611" i="15" s="1"/>
  <c r="P568" i="15"/>
  <c r="AK611" i="15" s="1"/>
  <c r="AN611" i="15" s="1"/>
  <c r="F568" i="15"/>
  <c r="F611" i="15" s="1"/>
  <c r="S568" i="15"/>
  <c r="N611" i="15" s="1"/>
  <c r="Q611" i="15" s="1"/>
  <c r="AI568" i="15"/>
  <c r="G570" i="15"/>
  <c r="B613" i="15" s="1"/>
  <c r="E613" i="15" s="1"/>
  <c r="AD571" i="15"/>
  <c r="Z614" i="15" s="1"/>
  <c r="G573" i="15"/>
  <c r="B616" i="15" s="1"/>
  <c r="E616" i="15" s="1"/>
  <c r="AB573" i="15"/>
  <c r="AW616" i="15" s="1"/>
  <c r="AZ616" i="15" s="1"/>
  <c r="H624" i="15"/>
  <c r="C667" i="15" s="1"/>
  <c r="U648" i="15"/>
  <c r="Y691" i="15" s="1"/>
  <c r="S648" i="15"/>
  <c r="X691" i="15" s="1"/>
  <c r="I648" i="15"/>
  <c r="O691" i="15" s="1"/>
  <c r="Q648" i="15"/>
  <c r="W691" i="15" s="1"/>
  <c r="H648" i="15"/>
  <c r="C691" i="15" s="1"/>
  <c r="P648" i="15"/>
  <c r="K691" i="15" s="1"/>
  <c r="G648" i="15"/>
  <c r="N691" i="15" s="1"/>
  <c r="G649" i="15"/>
  <c r="N692" i="15" s="1"/>
  <c r="F649" i="15"/>
  <c r="B692" i="15" s="1"/>
  <c r="O388" i="15"/>
  <c r="S431" i="15" s="1"/>
  <c r="AI431" i="15" s="1"/>
  <c r="O397" i="15"/>
  <c r="S440" i="15" s="1"/>
  <c r="AI440" i="15" s="1"/>
  <c r="O398" i="15"/>
  <c r="S441" i="15" s="1"/>
  <c r="AI441" i="15" s="1"/>
  <c r="L462" i="15"/>
  <c r="T505" i="15" s="1"/>
  <c r="W505" i="15" s="1"/>
  <c r="Q541" i="15"/>
  <c r="AG541" i="15"/>
  <c r="BD584" i="15" s="1"/>
  <c r="L549" i="15"/>
  <c r="L592" i="15" s="1"/>
  <c r="W549" i="15"/>
  <c r="AH549" i="15"/>
  <c r="AB592" i="15" s="1"/>
  <c r="Q551" i="15"/>
  <c r="AC551" i="15"/>
  <c r="AC562" i="15"/>
  <c r="AF565" i="15"/>
  <c r="AA608" i="15" s="1"/>
  <c r="AI565" i="15"/>
  <c r="BE608" i="15" s="1"/>
  <c r="Y565" i="15"/>
  <c r="T608" i="15" s="1"/>
  <c r="W608" i="15" s="1"/>
  <c r="N565" i="15"/>
  <c r="AE565" i="15"/>
  <c r="BC608" i="15" s="1"/>
  <c r="T565" i="15"/>
  <c r="J565" i="15"/>
  <c r="AE608" i="15" s="1"/>
  <c r="AH608" i="15" s="1"/>
  <c r="R565" i="15"/>
  <c r="R608" i="15" s="1"/>
  <c r="AG565" i="15"/>
  <c r="U643" i="15"/>
  <c r="Y686" i="15" s="1"/>
  <c r="K643" i="15"/>
  <c r="R686" i="15" s="1"/>
  <c r="S686" i="15" s="1"/>
  <c r="F643" i="15"/>
  <c r="B686" i="15" s="1"/>
  <c r="G274" i="15"/>
  <c r="G276" i="15"/>
  <c r="D284" i="15"/>
  <c r="K284" i="15" s="1"/>
  <c r="E286" i="15"/>
  <c r="E288" i="15"/>
  <c r="E291" i="15"/>
  <c r="F295" i="15"/>
  <c r="V295" i="15" s="1"/>
  <c r="G298" i="15"/>
  <c r="E304" i="15"/>
  <c r="E307" i="15"/>
  <c r="D317" i="15"/>
  <c r="E324" i="15"/>
  <c r="D328" i="15"/>
  <c r="D333" i="15"/>
  <c r="E340" i="15"/>
  <c r="D344" i="15"/>
  <c r="E345" i="15"/>
  <c r="D349" i="15"/>
  <c r="H360" i="15"/>
  <c r="N403" i="15" s="1"/>
  <c r="Q403" i="15" s="1"/>
  <c r="J361" i="15"/>
  <c r="I365" i="15"/>
  <c r="B408" i="15" s="1"/>
  <c r="R408" i="15" s="1"/>
  <c r="P368" i="15"/>
  <c r="G372" i="15"/>
  <c r="G415" i="15" s="1"/>
  <c r="J415" i="15" s="1"/>
  <c r="M415" i="15" s="1"/>
  <c r="Q372" i="15"/>
  <c r="N374" i="15"/>
  <c r="H377" i="15"/>
  <c r="O420" i="15" s="1"/>
  <c r="O384" i="15"/>
  <c r="S427" i="15" s="1"/>
  <c r="AI427" i="15" s="1"/>
  <c r="F388" i="15"/>
  <c r="C431" i="15" s="1"/>
  <c r="F431" i="15" s="1"/>
  <c r="P388" i="15"/>
  <c r="J390" i="15"/>
  <c r="G393" i="15"/>
  <c r="G436" i="15" s="1"/>
  <c r="J436" i="15" s="1"/>
  <c r="M436" i="15" s="1"/>
  <c r="I396" i="15"/>
  <c r="B439" i="15" s="1"/>
  <c r="R439" i="15" s="1"/>
  <c r="F397" i="15"/>
  <c r="C440" i="15" s="1"/>
  <c r="F440" i="15" s="1"/>
  <c r="Q397" i="15"/>
  <c r="Q398" i="15"/>
  <c r="L448" i="15"/>
  <c r="T491" i="15" s="1"/>
  <c r="W491" i="15" s="1"/>
  <c r="F452" i="15"/>
  <c r="C495" i="15" s="1"/>
  <c r="F495" i="15" s="1"/>
  <c r="I453" i="15"/>
  <c r="B496" i="15" s="1"/>
  <c r="R496" i="15" s="1"/>
  <c r="J454" i="15"/>
  <c r="N455" i="15"/>
  <c r="L460" i="15"/>
  <c r="T503" i="15" s="1"/>
  <c r="W503" i="15" s="1"/>
  <c r="N462" i="15"/>
  <c r="G464" i="15"/>
  <c r="I507" i="15" s="1"/>
  <c r="Q464" i="15"/>
  <c r="O467" i="15"/>
  <c r="S510" i="15" s="1"/>
  <c r="AI510" i="15" s="1"/>
  <c r="F469" i="15"/>
  <c r="C512" i="15" s="1"/>
  <c r="F512" i="15" s="1"/>
  <c r="J472" i="15"/>
  <c r="J476" i="15"/>
  <c r="J478" i="15"/>
  <c r="I479" i="15"/>
  <c r="B522" i="15" s="1"/>
  <c r="R522" i="15" s="1"/>
  <c r="H480" i="15"/>
  <c r="N523" i="15" s="1"/>
  <c r="Q523" i="15" s="1"/>
  <c r="G482" i="15"/>
  <c r="G525" i="15" s="1"/>
  <c r="J525" i="15" s="1"/>
  <c r="M525" i="15" s="1"/>
  <c r="I486" i="15"/>
  <c r="B529" i="15" s="1"/>
  <c r="R529" i="15" s="1"/>
  <c r="F487" i="15"/>
  <c r="C530" i="15" s="1"/>
  <c r="F530" i="15" s="1"/>
  <c r="M538" i="15"/>
  <c r="H581" i="15" s="1"/>
  <c r="K581" i="15" s="1"/>
  <c r="N539" i="15"/>
  <c r="AD539" i="15"/>
  <c r="Z582" i="15" s="1"/>
  <c r="P540" i="15"/>
  <c r="AK583" i="15" s="1"/>
  <c r="AN583" i="15" s="1"/>
  <c r="AI540" i="15"/>
  <c r="R541" i="15"/>
  <c r="R584" i="15" s="1"/>
  <c r="AH541" i="15"/>
  <c r="AB584" i="15" s="1"/>
  <c r="H544" i="15"/>
  <c r="R544" i="15"/>
  <c r="R587" i="15" s="1"/>
  <c r="AD544" i="15"/>
  <c r="Z587" i="15" s="1"/>
  <c r="O548" i="15"/>
  <c r="AO591" i="15" s="1"/>
  <c r="N549" i="15"/>
  <c r="Y549" i="15"/>
  <c r="T592" i="15" s="1"/>
  <c r="W592" i="15" s="1"/>
  <c r="AI549" i="15"/>
  <c r="G551" i="15"/>
  <c r="B594" i="15" s="1"/>
  <c r="E594" i="15" s="1"/>
  <c r="R551" i="15"/>
  <c r="R594" i="15" s="1"/>
  <c r="H552" i="15"/>
  <c r="S552" i="15"/>
  <c r="N595" i="15" s="1"/>
  <c r="Q595" i="15" s="1"/>
  <c r="AD552" i="15"/>
  <c r="Z595" i="15" s="1"/>
  <c r="M556" i="15"/>
  <c r="H599" i="15" s="1"/>
  <c r="K599" i="15" s="1"/>
  <c r="Q559" i="15"/>
  <c r="F565" i="15"/>
  <c r="F608" i="15" s="1"/>
  <c r="S565" i="15"/>
  <c r="N608" i="15" s="1"/>
  <c r="Q608" i="15" s="1"/>
  <c r="AH565" i="15"/>
  <c r="AB608" i="15" s="1"/>
  <c r="U570" i="15"/>
  <c r="AU613" i="15" s="1"/>
  <c r="N573" i="15"/>
  <c r="AI573" i="15"/>
  <c r="U629" i="15"/>
  <c r="Y672" i="15" s="1"/>
  <c r="T629" i="15"/>
  <c r="M672" i="15" s="1"/>
  <c r="S629" i="15"/>
  <c r="X672" i="15" s="1"/>
  <c r="K629" i="15"/>
  <c r="R672" i="15" s="1"/>
  <c r="S672" i="15" s="1"/>
  <c r="R629" i="15"/>
  <c r="L672" i="15" s="1"/>
  <c r="J629" i="15"/>
  <c r="G672" i="15" s="1"/>
  <c r="G629" i="15"/>
  <c r="N672" i="15" s="1"/>
  <c r="P629" i="15"/>
  <c r="K672" i="15" s="1"/>
  <c r="U635" i="15"/>
  <c r="Y678" i="15" s="1"/>
  <c r="S635" i="15"/>
  <c r="X678" i="15" s="1"/>
  <c r="K635" i="15"/>
  <c r="R678" i="15" s="1"/>
  <c r="S678" i="15" s="1"/>
  <c r="K648" i="15"/>
  <c r="R691" i="15" s="1"/>
  <c r="S691" i="15" s="1"/>
  <c r="P462" i="15"/>
  <c r="T541" i="15"/>
  <c r="AJ541" i="15"/>
  <c r="AC584" i="15" s="1"/>
  <c r="O549" i="15"/>
  <c r="AO592" i="15" s="1"/>
  <c r="Z549" i="15"/>
  <c r="AJ549" i="15"/>
  <c r="AC592" i="15" s="1"/>
  <c r="AB562" i="15"/>
  <c r="AW605" i="15" s="1"/>
  <c r="AZ605" i="15" s="1"/>
  <c r="AL562" i="15"/>
  <c r="AD605" i="15" s="1"/>
  <c r="L562" i="15"/>
  <c r="L605" i="15" s="1"/>
  <c r="Z562" i="15"/>
  <c r="U640" i="15"/>
  <c r="Y683" i="15" s="1"/>
  <c r="T640" i="15"/>
  <c r="M683" i="15" s="1"/>
  <c r="K640" i="15"/>
  <c r="R683" i="15" s="1"/>
  <c r="S683" i="15" s="1"/>
  <c r="P640" i="15"/>
  <c r="K683" i="15" s="1"/>
  <c r="G640" i="15"/>
  <c r="N683" i="15" s="1"/>
  <c r="Q640" i="15"/>
  <c r="W683" i="15" s="1"/>
  <c r="U656" i="15"/>
  <c r="Y699" i="15" s="1"/>
  <c r="K656" i="15"/>
  <c r="R699" i="15" s="1"/>
  <c r="S699" i="15" s="1"/>
  <c r="U561" i="15"/>
  <c r="AU604" i="15" s="1"/>
  <c r="AL561" i="15"/>
  <c r="AD604" i="15" s="1"/>
  <c r="U569" i="15"/>
  <c r="AU612" i="15" s="1"/>
  <c r="AL569" i="15"/>
  <c r="AD612" i="15" s="1"/>
  <c r="Q574" i="15"/>
  <c r="AD574" i="15"/>
  <c r="Z617" i="15" s="1"/>
  <c r="I632" i="15"/>
  <c r="O675" i="15" s="1"/>
  <c r="S632" i="15"/>
  <c r="X675" i="15" s="1"/>
  <c r="I637" i="15"/>
  <c r="O680" i="15" s="1"/>
  <c r="Q637" i="15"/>
  <c r="W680" i="15" s="1"/>
  <c r="J638" i="15"/>
  <c r="F681" i="15" s="1"/>
  <c r="R638" i="15"/>
  <c r="L681" i="15" s="1"/>
  <c r="I647" i="15"/>
  <c r="O690" i="15" s="1"/>
  <c r="R647" i="15"/>
  <c r="L690" i="15" s="1"/>
  <c r="U662" i="15"/>
  <c r="Y705" i="15" s="1"/>
  <c r="H561" i="15"/>
  <c r="X561" i="15"/>
  <c r="X604" i="15" s="1"/>
  <c r="H569" i="15"/>
  <c r="X569" i="15"/>
  <c r="X612" i="15" s="1"/>
  <c r="U572" i="15"/>
  <c r="AU615" i="15" s="1"/>
  <c r="I574" i="15"/>
  <c r="AI617" i="15" s="1"/>
  <c r="V574" i="15"/>
  <c r="AQ617" i="15" s="1"/>
  <c r="AT617" i="15" s="1"/>
  <c r="AH574" i="15"/>
  <c r="AB617" i="15" s="1"/>
  <c r="P631" i="15"/>
  <c r="K674" i="15" s="1"/>
  <c r="T637" i="15"/>
  <c r="M680" i="15" s="1"/>
  <c r="P641" i="15"/>
  <c r="K684" i="15" s="1"/>
  <c r="P651" i="15"/>
  <c r="K694" i="15" s="1"/>
  <c r="U652" i="15"/>
  <c r="Y695" i="15" s="1"/>
  <c r="H657" i="15"/>
  <c r="C700" i="15" s="1"/>
  <c r="R657" i="15"/>
  <c r="L700" i="15" s="1"/>
  <c r="F659" i="15"/>
  <c r="B702" i="15" s="1"/>
  <c r="P653" i="15"/>
  <c r="K696" i="15" s="1"/>
  <c r="G659" i="15"/>
  <c r="N702" i="15" s="1"/>
  <c r="P659" i="15"/>
  <c r="K702" i="15" s="1"/>
  <c r="F632" i="15"/>
  <c r="B675" i="15" s="1"/>
  <c r="F637" i="15"/>
  <c r="B680" i="15" s="1"/>
  <c r="F638" i="15"/>
  <c r="B681" i="15" s="1"/>
  <c r="F641" i="15"/>
  <c r="B684" i="15" s="1"/>
  <c r="F653" i="15"/>
  <c r="B696" i="15" s="1"/>
  <c r="T653" i="15"/>
  <c r="M696" i="15" s="1"/>
  <c r="H659" i="15"/>
  <c r="C702" i="15" s="1"/>
  <c r="Q659" i="15"/>
  <c r="W702" i="15" s="1"/>
  <c r="AD9" i="13"/>
  <c r="C7" i="14"/>
  <c r="D7" i="14" s="1"/>
  <c r="C10" i="13"/>
  <c r="C12" i="14"/>
  <c r="D12" i="14" s="1"/>
  <c r="C16" i="14"/>
  <c r="D16" i="14" s="1"/>
  <c r="C20" i="14"/>
  <c r="D20" i="14" s="1"/>
  <c r="Q30" i="14"/>
  <c r="P30" i="14"/>
  <c r="Q34" i="14"/>
  <c r="P34" i="14"/>
  <c r="H42" i="14"/>
  <c r="I42" i="14" s="1"/>
  <c r="H38" i="14"/>
  <c r="I38" i="14" s="1"/>
  <c r="H34" i="14"/>
  <c r="I34" i="14" s="1"/>
  <c r="H30" i="14"/>
  <c r="I30" i="14" s="1"/>
  <c r="H44" i="14"/>
  <c r="I44" i="14" s="1"/>
  <c r="H40" i="14"/>
  <c r="I40" i="14" s="1"/>
  <c r="H36" i="14"/>
  <c r="I36" i="14" s="1"/>
  <c r="H32" i="14"/>
  <c r="I32" i="14" s="1"/>
  <c r="H28" i="14"/>
  <c r="I28" i="14" s="1"/>
  <c r="H43" i="14"/>
  <c r="I43" i="14" s="1"/>
  <c r="H39" i="14"/>
  <c r="I39" i="14" s="1"/>
  <c r="H35" i="14"/>
  <c r="I35" i="14" s="1"/>
  <c r="H31" i="14"/>
  <c r="I31" i="14" s="1"/>
  <c r="H27" i="14"/>
  <c r="I27" i="14" s="1"/>
  <c r="Q4" i="14"/>
  <c r="C5" i="14"/>
  <c r="D5" i="14" s="1"/>
  <c r="C6" i="14"/>
  <c r="D6" i="14" s="1"/>
  <c r="S6" i="14"/>
  <c r="V6" i="14" s="1"/>
  <c r="Q10" i="14"/>
  <c r="C11" i="14"/>
  <c r="D11" i="14" s="1"/>
  <c r="Q14" i="14"/>
  <c r="C15" i="14"/>
  <c r="D15" i="14" s="1"/>
  <c r="Q18" i="14"/>
  <c r="C19" i="14"/>
  <c r="D19" i="14" s="1"/>
  <c r="U66" i="14"/>
  <c r="M66" i="14"/>
  <c r="D66" i="14"/>
  <c r="T66" i="14"/>
  <c r="K66" i="14"/>
  <c r="C66" i="14"/>
  <c r="R66" i="14"/>
  <c r="V66" i="14" s="1"/>
  <c r="I66" i="14"/>
  <c r="Q66" i="14"/>
  <c r="H66" i="14"/>
  <c r="L66" i="14" s="1"/>
  <c r="P66" i="14"/>
  <c r="G66" i="14"/>
  <c r="O66" i="14"/>
  <c r="F66" i="14"/>
  <c r="N66" i="14"/>
  <c r="E66" i="14"/>
  <c r="U6" i="14"/>
  <c r="X8" i="14"/>
  <c r="AA8" i="14" s="1"/>
  <c r="P9" i="14"/>
  <c r="P13" i="14"/>
  <c r="P28" i="14"/>
  <c r="Q28" i="14"/>
  <c r="H29" i="14"/>
  <c r="I29" i="14" s="1"/>
  <c r="Q38" i="14"/>
  <c r="P38" i="14"/>
  <c r="C4" i="14"/>
  <c r="D4" i="14" s="1"/>
  <c r="Z8" i="14"/>
  <c r="C10" i="14"/>
  <c r="D10" i="14" s="1"/>
  <c r="C14" i="14"/>
  <c r="D14" i="14" s="1"/>
  <c r="C18" i="14"/>
  <c r="D18" i="14" s="1"/>
  <c r="Q25" i="14"/>
  <c r="P26" i="14"/>
  <c r="P32" i="14"/>
  <c r="Q32" i="14"/>
  <c r="H33" i="14"/>
  <c r="I33" i="14" s="1"/>
  <c r="Q8" i="14"/>
  <c r="C9" i="14"/>
  <c r="D9" i="14" s="1"/>
  <c r="Q12" i="14"/>
  <c r="C13" i="14"/>
  <c r="D13" i="14" s="1"/>
  <c r="Q16" i="14"/>
  <c r="C17" i="14"/>
  <c r="D17" i="14" s="1"/>
  <c r="Q20" i="14"/>
  <c r="C21" i="14"/>
  <c r="D21" i="14" s="1"/>
  <c r="P36" i="14"/>
  <c r="Q36" i="14"/>
  <c r="H37" i="14"/>
  <c r="I37" i="14" s="1"/>
  <c r="H41" i="14"/>
  <c r="I41" i="14" s="1"/>
  <c r="U58" i="14"/>
  <c r="M58" i="14"/>
  <c r="D58" i="14"/>
  <c r="T58" i="14"/>
  <c r="K58" i="14"/>
  <c r="C58" i="14"/>
  <c r="R58" i="14"/>
  <c r="V58" i="14" s="1"/>
  <c r="I58" i="14"/>
  <c r="Q58" i="14"/>
  <c r="H58" i="14"/>
  <c r="L58" i="14" s="1"/>
  <c r="P58" i="14"/>
  <c r="G58" i="14"/>
  <c r="O58" i="14"/>
  <c r="F58" i="14"/>
  <c r="N58" i="14"/>
  <c r="E58" i="14"/>
  <c r="Q40" i="14"/>
  <c r="G52" i="14"/>
  <c r="P52" i="14"/>
  <c r="D53" i="14"/>
  <c r="M53" i="14"/>
  <c r="U53" i="14"/>
  <c r="I54" i="14"/>
  <c r="R54" i="14"/>
  <c r="V54" i="14" s="1"/>
  <c r="F55" i="14"/>
  <c r="O55" i="14"/>
  <c r="C56" i="14"/>
  <c r="K56" i="14"/>
  <c r="T56" i="14"/>
  <c r="H57" i="14"/>
  <c r="L57" i="14" s="1"/>
  <c r="Q57" i="14"/>
  <c r="J59" i="14"/>
  <c r="S59" i="14"/>
  <c r="G60" i="14"/>
  <c r="P60" i="14"/>
  <c r="D61" i="14"/>
  <c r="M61" i="14"/>
  <c r="U61" i="14"/>
  <c r="I62" i="14"/>
  <c r="R62" i="14"/>
  <c r="V62" i="14" s="1"/>
  <c r="F63" i="14"/>
  <c r="O63" i="14"/>
  <c r="C64" i="14"/>
  <c r="K64" i="14"/>
  <c r="T64" i="14"/>
  <c r="H65" i="14"/>
  <c r="L65" i="14" s="1"/>
  <c r="Q65" i="14"/>
  <c r="J67" i="14"/>
  <c r="S67" i="14"/>
  <c r="G68" i="14"/>
  <c r="P68" i="14"/>
  <c r="D69" i="14"/>
  <c r="M69" i="14"/>
  <c r="U69" i="14"/>
  <c r="I70" i="14"/>
  <c r="R70" i="14"/>
  <c r="V70" i="14" s="1"/>
  <c r="F71" i="14"/>
  <c r="O71" i="14"/>
  <c r="C72" i="14"/>
  <c r="K72" i="14"/>
  <c r="T72" i="14"/>
  <c r="H73" i="14"/>
  <c r="L73" i="14" s="1"/>
  <c r="Q73" i="14"/>
  <c r="E74" i="14"/>
  <c r="N74" i="14"/>
  <c r="J75" i="14"/>
  <c r="S75" i="14"/>
  <c r="G76" i="14"/>
  <c r="P76" i="14"/>
  <c r="D77" i="14"/>
  <c r="M77" i="14"/>
  <c r="U77" i="14"/>
  <c r="I78" i="14"/>
  <c r="R78" i="14"/>
  <c r="V78" i="14" s="1"/>
  <c r="F79" i="14"/>
  <c r="O79" i="14"/>
  <c r="C80" i="14"/>
  <c r="K80" i="14"/>
  <c r="T80" i="14"/>
  <c r="H81" i="14"/>
  <c r="L81" i="14" s="1"/>
  <c r="Q81" i="14"/>
  <c r="E82" i="14"/>
  <c r="N82" i="14"/>
  <c r="J83" i="14"/>
  <c r="S83" i="14"/>
  <c r="G84" i="14"/>
  <c r="P84" i="14"/>
  <c r="D85" i="14"/>
  <c r="M85" i="14"/>
  <c r="U85" i="14"/>
  <c r="I86" i="14"/>
  <c r="R86" i="14"/>
  <c r="V86" i="14" s="1"/>
  <c r="F87" i="14"/>
  <c r="O87" i="14"/>
  <c r="C88" i="14"/>
  <c r="K88" i="14"/>
  <c r="T88" i="14"/>
  <c r="H89" i="14"/>
  <c r="L89" i="14" s="1"/>
  <c r="Q89" i="14"/>
  <c r="H52" i="14"/>
  <c r="L52" i="14" s="1"/>
  <c r="Q52" i="14"/>
  <c r="E53" i="14"/>
  <c r="N53" i="14"/>
  <c r="J54" i="14"/>
  <c r="S54" i="14"/>
  <c r="D56" i="14"/>
  <c r="M56" i="14"/>
  <c r="U56" i="14"/>
  <c r="I57" i="14"/>
  <c r="R57" i="14"/>
  <c r="V57" i="14" s="1"/>
  <c r="H60" i="14"/>
  <c r="L60" i="14" s="1"/>
  <c r="Q60" i="14"/>
  <c r="E61" i="14"/>
  <c r="N61" i="14"/>
  <c r="J62" i="14"/>
  <c r="S62" i="14"/>
  <c r="D64" i="14"/>
  <c r="M64" i="14"/>
  <c r="U64" i="14"/>
  <c r="I65" i="14"/>
  <c r="R65" i="14"/>
  <c r="V65" i="14" s="1"/>
  <c r="H68" i="14"/>
  <c r="L68" i="14" s="1"/>
  <c r="Q68" i="14"/>
  <c r="E69" i="14"/>
  <c r="N69" i="14"/>
  <c r="J70" i="14"/>
  <c r="S70" i="14"/>
  <c r="D72" i="14"/>
  <c r="M72" i="14"/>
  <c r="U72" i="14"/>
  <c r="I73" i="14"/>
  <c r="R73" i="14"/>
  <c r="V73" i="14" s="1"/>
  <c r="F74" i="14"/>
  <c r="O74" i="14"/>
  <c r="H76" i="14"/>
  <c r="L76" i="14" s="1"/>
  <c r="Q76" i="14"/>
  <c r="E77" i="14"/>
  <c r="N77" i="14"/>
  <c r="J78" i="14"/>
  <c r="S78" i="14"/>
  <c r="D80" i="14"/>
  <c r="M80" i="14"/>
  <c r="U80" i="14"/>
  <c r="I81" i="14"/>
  <c r="R81" i="14"/>
  <c r="V81" i="14" s="1"/>
  <c r="F82" i="14"/>
  <c r="O82" i="14"/>
  <c r="H84" i="14"/>
  <c r="L84" i="14" s="1"/>
  <c r="Q84" i="14"/>
  <c r="E85" i="14"/>
  <c r="N85" i="14"/>
  <c r="J86" i="14"/>
  <c r="S86" i="14"/>
  <c r="D88" i="14"/>
  <c r="M88" i="14"/>
  <c r="U88" i="14"/>
  <c r="I89" i="14"/>
  <c r="R89" i="14"/>
  <c r="V89" i="14" s="1"/>
  <c r="J57" i="14"/>
  <c r="S57" i="14"/>
  <c r="O61" i="14"/>
  <c r="J65" i="14"/>
  <c r="S65" i="14"/>
  <c r="F69" i="14"/>
  <c r="O69" i="14"/>
  <c r="J73" i="14"/>
  <c r="S73" i="14"/>
  <c r="F77" i="14"/>
  <c r="O77" i="14"/>
  <c r="J81" i="14"/>
  <c r="S81" i="14"/>
  <c r="F85" i="14"/>
  <c r="O85" i="14"/>
  <c r="J89" i="14"/>
  <c r="S89" i="14"/>
  <c r="P42" i="14"/>
  <c r="J52" i="14"/>
  <c r="S52" i="14"/>
  <c r="G53" i="14"/>
  <c r="P53" i="14"/>
  <c r="F56" i="14"/>
  <c r="O56" i="14"/>
  <c r="C57" i="14"/>
  <c r="K57" i="14"/>
  <c r="T57" i="14"/>
  <c r="J60" i="14"/>
  <c r="S60" i="14"/>
  <c r="G61" i="14"/>
  <c r="P61" i="14"/>
  <c r="F64" i="14"/>
  <c r="O64" i="14"/>
  <c r="C65" i="14"/>
  <c r="K65" i="14"/>
  <c r="T65" i="14"/>
  <c r="J68" i="14"/>
  <c r="S68" i="14"/>
  <c r="G69" i="14"/>
  <c r="P69" i="14"/>
  <c r="F72" i="14"/>
  <c r="O72" i="14"/>
  <c r="C73" i="14"/>
  <c r="K73" i="14"/>
  <c r="T73" i="14"/>
  <c r="J76" i="14"/>
  <c r="S76" i="14"/>
  <c r="G77" i="14"/>
  <c r="P77" i="14"/>
  <c r="F80" i="14"/>
  <c r="O80" i="14"/>
  <c r="C81" i="14"/>
  <c r="K81" i="14"/>
  <c r="T81" i="14"/>
  <c r="J84" i="14"/>
  <c r="S84" i="14"/>
  <c r="G85" i="14"/>
  <c r="P85" i="14"/>
  <c r="M86" i="14"/>
  <c r="U86" i="14"/>
  <c r="F88" i="14"/>
  <c r="O88" i="14"/>
  <c r="C89" i="14"/>
  <c r="K89" i="14"/>
  <c r="T89" i="14"/>
  <c r="C52" i="14"/>
  <c r="K52" i="14"/>
  <c r="T52" i="14"/>
  <c r="H53" i="14"/>
  <c r="L53" i="14" s="1"/>
  <c r="Q53" i="14"/>
  <c r="E54" i="14"/>
  <c r="J55" i="14"/>
  <c r="G56" i="14"/>
  <c r="P56" i="14"/>
  <c r="D57" i="14"/>
  <c r="M57" i="14"/>
  <c r="U57" i="14"/>
  <c r="F59" i="14"/>
  <c r="C60" i="14"/>
  <c r="K60" i="14"/>
  <c r="T60" i="14"/>
  <c r="H61" i="14"/>
  <c r="L61" i="14" s="1"/>
  <c r="Q61" i="14"/>
  <c r="E62" i="14"/>
  <c r="J63" i="14"/>
  <c r="G64" i="14"/>
  <c r="P64" i="14"/>
  <c r="D65" i="14"/>
  <c r="M65" i="14"/>
  <c r="U65" i="14"/>
  <c r="F67" i="14"/>
  <c r="C68" i="14"/>
  <c r="K68" i="14"/>
  <c r="T68" i="14"/>
  <c r="H69" i="14"/>
  <c r="L69" i="14" s="1"/>
  <c r="Q69" i="14"/>
  <c r="E70" i="14"/>
  <c r="J71" i="14"/>
  <c r="G72" i="14"/>
  <c r="P72" i="14"/>
  <c r="D73" i="14"/>
  <c r="M73" i="14"/>
  <c r="U73" i="14"/>
  <c r="I74" i="14"/>
  <c r="R74" i="14"/>
  <c r="V74" i="14" s="1"/>
  <c r="F75" i="14"/>
  <c r="C76" i="14"/>
  <c r="K76" i="14"/>
  <c r="T76" i="14"/>
  <c r="H77" i="14"/>
  <c r="L77" i="14" s="1"/>
  <c r="Q77" i="14"/>
  <c r="E78" i="14"/>
  <c r="N78" i="14"/>
  <c r="J79" i="14"/>
  <c r="G80" i="14"/>
  <c r="P80" i="14"/>
  <c r="D81" i="14"/>
  <c r="M81" i="14"/>
  <c r="U81" i="14"/>
  <c r="I82" i="14"/>
  <c r="R82" i="14"/>
  <c r="V82" i="14" s="1"/>
  <c r="F83" i="14"/>
  <c r="C84" i="14"/>
  <c r="K84" i="14"/>
  <c r="T84" i="14"/>
  <c r="H85" i="14"/>
  <c r="L85" i="14" s="1"/>
  <c r="Q85" i="14"/>
  <c r="E86" i="14"/>
  <c r="N86" i="14"/>
  <c r="J87" i="14"/>
  <c r="G88" i="14"/>
  <c r="P88" i="14"/>
  <c r="D89" i="14"/>
  <c r="M89" i="14"/>
  <c r="U89" i="14"/>
  <c r="H72" i="14"/>
  <c r="L72" i="14" s="1"/>
  <c r="Q72" i="14"/>
  <c r="E73" i="14"/>
  <c r="N73" i="14"/>
  <c r="J74" i="14"/>
  <c r="D76" i="14"/>
  <c r="M76" i="14"/>
  <c r="U76" i="14"/>
  <c r="I77" i="14"/>
  <c r="R77" i="14"/>
  <c r="V77" i="14" s="1"/>
  <c r="F78" i="14"/>
  <c r="H80" i="14"/>
  <c r="L80" i="14" s="1"/>
  <c r="Q80" i="14"/>
  <c r="E81" i="14"/>
  <c r="N81" i="14"/>
  <c r="J82" i="14"/>
  <c r="S82" i="14"/>
  <c r="D84" i="14"/>
  <c r="M84" i="14"/>
  <c r="U84" i="14"/>
  <c r="I85" i="14"/>
  <c r="R85" i="14"/>
  <c r="V85" i="14" s="1"/>
  <c r="F86" i="14"/>
  <c r="O86" i="14"/>
  <c r="H88" i="14"/>
  <c r="L88" i="14" s="1"/>
  <c r="Q88" i="14"/>
  <c r="E89" i="14"/>
  <c r="N89" i="14"/>
  <c r="J53" i="14"/>
  <c r="S53" i="14"/>
  <c r="F57" i="14"/>
  <c r="O57" i="14"/>
  <c r="J61" i="14"/>
  <c r="S61" i="14"/>
  <c r="F65" i="14"/>
  <c r="O65" i="14"/>
  <c r="J69" i="14"/>
  <c r="S69" i="14"/>
  <c r="F73" i="14"/>
  <c r="O73" i="14"/>
  <c r="J77" i="14"/>
  <c r="S77" i="14"/>
  <c r="F81" i="14"/>
  <c r="O81" i="14"/>
  <c r="J85" i="14"/>
  <c r="S85" i="14"/>
  <c r="F89" i="14"/>
  <c r="O89" i="14"/>
  <c r="F52" i="14"/>
  <c r="C53" i="14"/>
  <c r="K53" i="14"/>
  <c r="J56" i="14"/>
  <c r="G57" i="14"/>
  <c r="F60" i="14"/>
  <c r="C61" i="14"/>
  <c r="K61" i="14"/>
  <c r="J64" i="14"/>
  <c r="G65" i="14"/>
  <c r="F68" i="14"/>
  <c r="C69" i="14"/>
  <c r="K69" i="14"/>
  <c r="J72" i="14"/>
  <c r="G73" i="14"/>
  <c r="F76" i="14"/>
  <c r="C77" i="14"/>
  <c r="K77" i="14"/>
  <c r="J80" i="14"/>
  <c r="G81" i="14"/>
  <c r="F84" i="14"/>
  <c r="C85" i="14"/>
  <c r="K85" i="14"/>
  <c r="J88" i="14"/>
  <c r="G89" i="14"/>
  <c r="G301" i="15"/>
  <c r="F301" i="15"/>
  <c r="V301" i="15" s="1"/>
  <c r="E301" i="15"/>
  <c r="D301" i="15"/>
  <c r="K301" i="15" s="1"/>
  <c r="J386" i="15"/>
  <c r="Q386" i="15"/>
  <c r="I386" i="15"/>
  <c r="B429" i="15" s="1"/>
  <c r="R429" i="15" s="1"/>
  <c r="P386" i="15"/>
  <c r="H386" i="15"/>
  <c r="O429" i="15" s="1"/>
  <c r="O386" i="15"/>
  <c r="S429" i="15" s="1"/>
  <c r="AI429" i="15" s="1"/>
  <c r="G386" i="15"/>
  <c r="I429" i="15" s="1"/>
  <c r="N386" i="15"/>
  <c r="F386" i="15"/>
  <c r="C429" i="15" s="1"/>
  <c r="F429" i="15" s="1"/>
  <c r="L386" i="15"/>
  <c r="T429" i="15" s="1"/>
  <c r="W429" i="15" s="1"/>
  <c r="K386" i="15"/>
  <c r="M386" i="15"/>
  <c r="F273" i="15"/>
  <c r="V273" i="15" s="1"/>
  <c r="E273" i="15"/>
  <c r="D273" i="15"/>
  <c r="K273" i="15" s="1"/>
  <c r="F277" i="15"/>
  <c r="V277" i="15" s="1"/>
  <c r="E277" i="15"/>
  <c r="D277" i="15"/>
  <c r="K277" i="15" s="1"/>
  <c r="F281" i="15"/>
  <c r="V281" i="15" s="1"/>
  <c r="E281" i="15"/>
  <c r="D281" i="15"/>
  <c r="K281" i="15" s="1"/>
  <c r="F285" i="15"/>
  <c r="V285" i="15" s="1"/>
  <c r="E285" i="15"/>
  <c r="D285" i="15"/>
  <c r="K285" i="15" s="1"/>
  <c r="F289" i="15"/>
  <c r="V289" i="15" s="1"/>
  <c r="E289" i="15"/>
  <c r="D289" i="15"/>
  <c r="K289" i="15" s="1"/>
  <c r="G291" i="15"/>
  <c r="D291" i="15"/>
  <c r="K291" i="15" s="1"/>
  <c r="J378" i="15"/>
  <c r="Q378" i="15"/>
  <c r="I378" i="15"/>
  <c r="B421" i="15" s="1"/>
  <c r="R421" i="15" s="1"/>
  <c r="P378" i="15"/>
  <c r="H378" i="15"/>
  <c r="O421" i="15" s="1"/>
  <c r="O378" i="15"/>
  <c r="S421" i="15" s="1"/>
  <c r="AI421" i="15" s="1"/>
  <c r="G378" i="15"/>
  <c r="I421" i="15" s="1"/>
  <c r="N378" i="15"/>
  <c r="AG421" i="15" s="1"/>
  <c r="F378" i="15"/>
  <c r="C421" i="15" s="1"/>
  <c r="F421" i="15" s="1"/>
  <c r="L378" i="15"/>
  <c r="T421" i="15" s="1"/>
  <c r="W421" i="15" s="1"/>
  <c r="K378" i="15"/>
  <c r="G309" i="15"/>
  <c r="F309" i="15"/>
  <c r="V309" i="15" s="1"/>
  <c r="E309" i="15"/>
  <c r="D309" i="15"/>
  <c r="K309" i="15" s="1"/>
  <c r="J326" i="15"/>
  <c r="F326" i="15"/>
  <c r="E326" i="15"/>
  <c r="D326" i="15"/>
  <c r="C326" i="15"/>
  <c r="L326" i="15"/>
  <c r="K326" i="15"/>
  <c r="J342" i="15"/>
  <c r="F342" i="15"/>
  <c r="E342" i="15"/>
  <c r="D342" i="15"/>
  <c r="C342" i="15"/>
  <c r="L342" i="15"/>
  <c r="K342" i="15"/>
  <c r="J394" i="15"/>
  <c r="Q394" i="15"/>
  <c r="I394" i="15"/>
  <c r="B437" i="15" s="1"/>
  <c r="R437" i="15" s="1"/>
  <c r="P394" i="15"/>
  <c r="H394" i="15"/>
  <c r="O437" i="15" s="1"/>
  <c r="O394" i="15"/>
  <c r="S437" i="15" s="1"/>
  <c r="AI437" i="15" s="1"/>
  <c r="G394" i="15"/>
  <c r="P437" i="15" s="1"/>
  <c r="N394" i="15"/>
  <c r="AF437" i="15" s="1"/>
  <c r="F394" i="15"/>
  <c r="C437" i="15" s="1"/>
  <c r="F437" i="15" s="1"/>
  <c r="L394" i="15"/>
  <c r="T437" i="15" s="1"/>
  <c r="W437" i="15" s="1"/>
  <c r="K394" i="15"/>
  <c r="G305" i="15"/>
  <c r="F305" i="15"/>
  <c r="V305" i="15" s="1"/>
  <c r="E305" i="15"/>
  <c r="D305" i="15"/>
  <c r="K305" i="15" s="1"/>
  <c r="J370" i="15"/>
  <c r="Q370" i="15"/>
  <c r="I370" i="15"/>
  <c r="B413" i="15" s="1"/>
  <c r="R413" i="15" s="1"/>
  <c r="P370" i="15"/>
  <c r="H370" i="15"/>
  <c r="O413" i="15" s="1"/>
  <c r="O370" i="15"/>
  <c r="S413" i="15" s="1"/>
  <c r="AI413" i="15" s="1"/>
  <c r="G370" i="15"/>
  <c r="G413" i="15" s="1"/>
  <c r="J413" i="15" s="1"/>
  <c r="M413" i="15" s="1"/>
  <c r="N370" i="15"/>
  <c r="AG413" i="15" s="1"/>
  <c r="F370" i="15"/>
  <c r="C413" i="15" s="1"/>
  <c r="F413" i="15" s="1"/>
  <c r="L370" i="15"/>
  <c r="T413" i="15" s="1"/>
  <c r="W413" i="15" s="1"/>
  <c r="K370" i="15"/>
  <c r="M370" i="15"/>
  <c r="E295" i="15"/>
  <c r="F297" i="15"/>
  <c r="V297" i="15" s="1"/>
  <c r="E297" i="15"/>
  <c r="D297" i="15"/>
  <c r="K297" i="15" s="1"/>
  <c r="G299" i="15"/>
  <c r="D299" i="15"/>
  <c r="K299" i="15" s="1"/>
  <c r="J318" i="15"/>
  <c r="F318" i="15"/>
  <c r="E318" i="15"/>
  <c r="D318" i="15"/>
  <c r="C318" i="15"/>
  <c r="L318" i="15"/>
  <c r="K318" i="15"/>
  <c r="J334" i="15"/>
  <c r="F334" i="15"/>
  <c r="E334" i="15"/>
  <c r="D334" i="15"/>
  <c r="C334" i="15"/>
  <c r="L334" i="15"/>
  <c r="K334" i="15"/>
  <c r="J350" i="15"/>
  <c r="F350" i="15"/>
  <c r="E350" i="15"/>
  <c r="D350" i="15"/>
  <c r="C350" i="15"/>
  <c r="L350" i="15"/>
  <c r="K350" i="15"/>
  <c r="J362" i="15"/>
  <c r="Q362" i="15"/>
  <c r="I362" i="15"/>
  <c r="B405" i="15" s="1"/>
  <c r="R405" i="15" s="1"/>
  <c r="P362" i="15"/>
  <c r="H362" i="15"/>
  <c r="N405" i="15" s="1"/>
  <c r="Q405" i="15" s="1"/>
  <c r="O362" i="15"/>
  <c r="S405" i="15" s="1"/>
  <c r="AI405" i="15" s="1"/>
  <c r="G362" i="15"/>
  <c r="I405" i="15" s="1"/>
  <c r="N362" i="15"/>
  <c r="F362" i="15"/>
  <c r="C405" i="15" s="1"/>
  <c r="F405" i="15" s="1"/>
  <c r="L362" i="15"/>
  <c r="T405" i="15" s="1"/>
  <c r="W405" i="15" s="1"/>
  <c r="K362" i="15"/>
  <c r="L477" i="15"/>
  <c r="T520" i="15" s="1"/>
  <c r="W520" i="15" s="1"/>
  <c r="J477" i="15"/>
  <c r="Q477" i="15"/>
  <c r="I477" i="15"/>
  <c r="B520" i="15" s="1"/>
  <c r="R520" i="15" s="1"/>
  <c r="O477" i="15"/>
  <c r="S520" i="15" s="1"/>
  <c r="AI520" i="15" s="1"/>
  <c r="G477" i="15"/>
  <c r="N477" i="15"/>
  <c r="M477" i="15"/>
  <c r="K477" i="15"/>
  <c r="H477" i="15"/>
  <c r="F477" i="15"/>
  <c r="C520" i="15" s="1"/>
  <c r="F520" i="15" s="1"/>
  <c r="P477" i="15"/>
  <c r="AD543" i="15"/>
  <c r="Z586" i="15" s="1"/>
  <c r="V543" i="15"/>
  <c r="AQ586" i="15" s="1"/>
  <c r="AT586" i="15" s="1"/>
  <c r="N543" i="15"/>
  <c r="F543" i="15"/>
  <c r="F586" i="15" s="1"/>
  <c r="AJ543" i="15"/>
  <c r="AC586" i="15" s="1"/>
  <c r="AB543" i="15"/>
  <c r="AW586" i="15" s="1"/>
  <c r="AZ586" i="15" s="1"/>
  <c r="T543" i="15"/>
  <c r="L543" i="15"/>
  <c r="L586" i="15" s="1"/>
  <c r="AI543" i="15"/>
  <c r="AA543" i="15"/>
  <c r="BA586" i="15" s="1"/>
  <c r="S543" i="15"/>
  <c r="N586" i="15" s="1"/>
  <c r="Q586" i="15" s="1"/>
  <c r="K543" i="15"/>
  <c r="AH543" i="15"/>
  <c r="AB586" i="15" s="1"/>
  <c r="Z543" i="15"/>
  <c r="R543" i="15"/>
  <c r="R586" i="15" s="1"/>
  <c r="J543" i="15"/>
  <c r="AE586" i="15" s="1"/>
  <c r="AH586" i="15" s="1"/>
  <c r="AG543" i="15"/>
  <c r="Y543" i="15"/>
  <c r="T586" i="15" s="1"/>
  <c r="W586" i="15" s="1"/>
  <c r="Q543" i="15"/>
  <c r="I543" i="15"/>
  <c r="AI586" i="15" s="1"/>
  <c r="P543" i="15"/>
  <c r="AK586" i="15" s="1"/>
  <c r="AN586" i="15" s="1"/>
  <c r="AL543" i="15"/>
  <c r="AD586" i="15" s="1"/>
  <c r="O543" i="15"/>
  <c r="AO586" i="15" s="1"/>
  <c r="AF543" i="15"/>
  <c r="AA586" i="15" s="1"/>
  <c r="M543" i="15"/>
  <c r="H586" i="15" s="1"/>
  <c r="K586" i="15" s="1"/>
  <c r="AE543" i="15"/>
  <c r="BC586" i="15" s="1"/>
  <c r="H543" i="15"/>
  <c r="AC543" i="15"/>
  <c r="G543" i="15"/>
  <c r="B586" i="15" s="1"/>
  <c r="E586" i="15" s="1"/>
  <c r="W543" i="15"/>
  <c r="U543" i="15"/>
  <c r="AU586" i="15" s="1"/>
  <c r="F293" i="15"/>
  <c r="V293" i="15" s="1"/>
  <c r="E293" i="15"/>
  <c r="D293" i="15"/>
  <c r="K293" i="15" s="1"/>
  <c r="G295" i="15"/>
  <c r="D295" i="15"/>
  <c r="K295" i="15" s="1"/>
  <c r="N483" i="15"/>
  <c r="AE526" i="15" s="1"/>
  <c r="AH526" i="15" s="1"/>
  <c r="F483" i="15"/>
  <c r="C526" i="15" s="1"/>
  <c r="F526" i="15" s="1"/>
  <c r="L483" i="15"/>
  <c r="T526" i="15" s="1"/>
  <c r="W526" i="15" s="1"/>
  <c r="K483" i="15"/>
  <c r="Q483" i="15"/>
  <c r="I483" i="15"/>
  <c r="B526" i="15" s="1"/>
  <c r="R526" i="15" s="1"/>
  <c r="O483" i="15"/>
  <c r="S526" i="15" s="1"/>
  <c r="AI526" i="15" s="1"/>
  <c r="M483" i="15"/>
  <c r="J483" i="15"/>
  <c r="H483" i="15"/>
  <c r="O526" i="15" s="1"/>
  <c r="G483" i="15"/>
  <c r="P483" i="15"/>
  <c r="AH563" i="15"/>
  <c r="AB606" i="15" s="1"/>
  <c r="Z563" i="15"/>
  <c r="R563" i="15"/>
  <c r="R606" i="15" s="1"/>
  <c r="J563" i="15"/>
  <c r="AE606" i="15" s="1"/>
  <c r="AH606" i="15" s="1"/>
  <c r="AF563" i="15"/>
  <c r="AA606" i="15" s="1"/>
  <c r="X563" i="15"/>
  <c r="X606" i="15" s="1"/>
  <c r="P563" i="15"/>
  <c r="AK606" i="15" s="1"/>
  <c r="AN606" i="15" s="1"/>
  <c r="H563" i="15"/>
  <c r="AE563" i="15"/>
  <c r="BC606" i="15" s="1"/>
  <c r="W563" i="15"/>
  <c r="O563" i="15"/>
  <c r="AO606" i="15" s="1"/>
  <c r="G563" i="15"/>
  <c r="B606" i="15" s="1"/>
  <c r="E606" i="15" s="1"/>
  <c r="AB563" i="15"/>
  <c r="AW606" i="15" s="1"/>
  <c r="AZ606" i="15" s="1"/>
  <c r="N563" i="15"/>
  <c r="AA563" i="15"/>
  <c r="BA606" i="15" s="1"/>
  <c r="M563" i="15"/>
  <c r="H606" i="15" s="1"/>
  <c r="K606" i="15" s="1"/>
  <c r="AL563" i="15"/>
  <c r="AD606" i="15" s="1"/>
  <c r="Y563" i="15"/>
  <c r="T606" i="15" s="1"/>
  <c r="W606" i="15" s="1"/>
  <c r="L563" i="15"/>
  <c r="L606" i="15" s="1"/>
  <c r="AJ563" i="15"/>
  <c r="AC606" i="15" s="1"/>
  <c r="V563" i="15"/>
  <c r="AQ606" i="15" s="1"/>
  <c r="AT606" i="15" s="1"/>
  <c r="K563" i="15"/>
  <c r="AI563" i="15"/>
  <c r="BE606" i="15" s="1"/>
  <c r="U563" i="15"/>
  <c r="AU606" i="15" s="1"/>
  <c r="I563" i="15"/>
  <c r="AI606" i="15" s="1"/>
  <c r="AG563" i="15"/>
  <c r="BD606" i="15" s="1"/>
  <c r="T563" i="15"/>
  <c r="F563" i="15"/>
  <c r="F606" i="15" s="1"/>
  <c r="AD563" i="15"/>
  <c r="Z606" i="15" s="1"/>
  <c r="AC563" i="15"/>
  <c r="S563" i="15"/>
  <c r="N606" i="15" s="1"/>
  <c r="Q606" i="15" s="1"/>
  <c r="Q563" i="15"/>
  <c r="D303" i="15"/>
  <c r="K303" i="15" s="1"/>
  <c r="D307" i="15"/>
  <c r="K307" i="15" s="1"/>
  <c r="M316" i="15"/>
  <c r="J319" i="15"/>
  <c r="C323" i="15"/>
  <c r="M324" i="15"/>
  <c r="J327" i="15"/>
  <c r="C331" i="15"/>
  <c r="M332" i="15"/>
  <c r="J335" i="15"/>
  <c r="C339" i="15"/>
  <c r="M340" i="15"/>
  <c r="J343" i="15"/>
  <c r="C347" i="15"/>
  <c r="M348" i="15"/>
  <c r="J351" i="15"/>
  <c r="C355" i="15"/>
  <c r="M360" i="15"/>
  <c r="Z403" i="15" s="1"/>
  <c r="F363" i="15"/>
  <c r="C406" i="15" s="1"/>
  <c r="F406" i="15" s="1"/>
  <c r="N363" i="15"/>
  <c r="AG406" i="15" s="1"/>
  <c r="J367" i="15"/>
  <c r="M368" i="15"/>
  <c r="Y411" i="15" s="1"/>
  <c r="F371" i="15"/>
  <c r="C414" i="15" s="1"/>
  <c r="F414" i="15" s="1"/>
  <c r="N371" i="15"/>
  <c r="AG414" i="15" s="1"/>
  <c r="J375" i="15"/>
  <c r="M376" i="15"/>
  <c r="Y419" i="15" s="1"/>
  <c r="F379" i="15"/>
  <c r="C422" i="15" s="1"/>
  <c r="F422" i="15" s="1"/>
  <c r="N379" i="15"/>
  <c r="AE422" i="15" s="1"/>
  <c r="AH422" i="15" s="1"/>
  <c r="J383" i="15"/>
  <c r="M384" i="15"/>
  <c r="X427" i="15" s="1"/>
  <c r="AA427" i="15" s="1"/>
  <c r="AD427" i="15" s="1"/>
  <c r="F387" i="15"/>
  <c r="C430" i="15" s="1"/>
  <c r="F430" i="15" s="1"/>
  <c r="N387" i="15"/>
  <c r="J391" i="15"/>
  <c r="M392" i="15"/>
  <c r="X435" i="15" s="1"/>
  <c r="AA435" i="15" s="1"/>
  <c r="AD435" i="15" s="1"/>
  <c r="F395" i="15"/>
  <c r="C438" i="15" s="1"/>
  <c r="F438" i="15" s="1"/>
  <c r="N395" i="15"/>
  <c r="AF438" i="15" s="1"/>
  <c r="J399" i="15"/>
  <c r="M448" i="15"/>
  <c r="Y491" i="15" s="1"/>
  <c r="K451" i="15"/>
  <c r="L455" i="15"/>
  <c r="T498" i="15" s="1"/>
  <c r="W498" i="15" s="1"/>
  <c r="P457" i="15"/>
  <c r="H457" i="15"/>
  <c r="N500" i="15" s="1"/>
  <c r="Q500" i="15" s="1"/>
  <c r="N457" i="15"/>
  <c r="F457" i="15"/>
  <c r="C500" i="15" s="1"/>
  <c r="F500" i="15" s="1"/>
  <c r="Q457" i="15"/>
  <c r="K459" i="15"/>
  <c r="L463" i="15"/>
  <c r="T506" i="15" s="1"/>
  <c r="W506" i="15" s="1"/>
  <c r="P465" i="15"/>
  <c r="H465" i="15"/>
  <c r="N465" i="15"/>
  <c r="F465" i="15"/>
  <c r="C508" i="15" s="1"/>
  <c r="F508" i="15" s="1"/>
  <c r="Q465" i="15"/>
  <c r="K467" i="15"/>
  <c r="P473" i="15"/>
  <c r="H473" i="15"/>
  <c r="N473" i="15"/>
  <c r="F473" i="15"/>
  <c r="C516" i="15" s="1"/>
  <c r="F516" i="15" s="1"/>
  <c r="Q473" i="15"/>
  <c r="M475" i="15"/>
  <c r="Y518" i="15" s="1"/>
  <c r="F485" i="15"/>
  <c r="C528" i="15" s="1"/>
  <c r="F528" i="15" s="1"/>
  <c r="AJ537" i="15"/>
  <c r="AC580" i="15" s="1"/>
  <c r="AB537" i="15"/>
  <c r="AW580" i="15" s="1"/>
  <c r="AZ580" i="15" s="1"/>
  <c r="T537" i="15"/>
  <c r="L537" i="15"/>
  <c r="L580" i="15" s="1"/>
  <c r="AH537" i="15"/>
  <c r="AB580" i="15" s="1"/>
  <c r="Z537" i="15"/>
  <c r="R537" i="15"/>
  <c r="R580" i="15" s="1"/>
  <c r="J537" i="15"/>
  <c r="AE580" i="15" s="1"/>
  <c r="AH580" i="15" s="1"/>
  <c r="AG537" i="15"/>
  <c r="BD580" i="15" s="1"/>
  <c r="Y537" i="15"/>
  <c r="T580" i="15" s="1"/>
  <c r="W580" i="15" s="1"/>
  <c r="Q537" i="15"/>
  <c r="I537" i="15"/>
  <c r="AI580" i="15" s="1"/>
  <c r="AE537" i="15"/>
  <c r="BC580" i="15" s="1"/>
  <c r="W537" i="15"/>
  <c r="O537" i="15"/>
  <c r="AO580" i="15" s="1"/>
  <c r="G537" i="15"/>
  <c r="B580" i="15" s="1"/>
  <c r="E580" i="15" s="1"/>
  <c r="U537" i="15"/>
  <c r="AU580" i="15" s="1"/>
  <c r="AL537" i="15"/>
  <c r="AD580" i="15" s="1"/>
  <c r="AJ545" i="15"/>
  <c r="AC588" i="15" s="1"/>
  <c r="AB545" i="15"/>
  <c r="AW588" i="15" s="1"/>
  <c r="AZ588" i="15" s="1"/>
  <c r="T545" i="15"/>
  <c r="L545" i="15"/>
  <c r="L588" i="15" s="1"/>
  <c r="AH545" i="15"/>
  <c r="AB588" i="15" s="1"/>
  <c r="Z545" i="15"/>
  <c r="R545" i="15"/>
  <c r="R588" i="15" s="1"/>
  <c r="J545" i="15"/>
  <c r="AE588" i="15" s="1"/>
  <c r="AH588" i="15" s="1"/>
  <c r="AG545" i="15"/>
  <c r="BD588" i="15" s="1"/>
  <c r="Y545" i="15"/>
  <c r="T588" i="15" s="1"/>
  <c r="W588" i="15" s="1"/>
  <c r="Q545" i="15"/>
  <c r="I545" i="15"/>
  <c r="AI588" i="15" s="1"/>
  <c r="AF545" i="15"/>
  <c r="AA588" i="15" s="1"/>
  <c r="X545" i="15"/>
  <c r="X588" i="15" s="1"/>
  <c r="P545" i="15"/>
  <c r="AK588" i="15" s="1"/>
  <c r="AN588" i="15" s="1"/>
  <c r="H545" i="15"/>
  <c r="AE545" i="15"/>
  <c r="BC588" i="15" s="1"/>
  <c r="W545" i="15"/>
  <c r="O545" i="15"/>
  <c r="AO588" i="15" s="1"/>
  <c r="G545" i="15"/>
  <c r="B588" i="15" s="1"/>
  <c r="E588" i="15" s="1"/>
  <c r="AA545" i="15"/>
  <c r="BA588" i="15" s="1"/>
  <c r="AI554" i="15"/>
  <c r="AA554" i="15"/>
  <c r="BA597" i="15" s="1"/>
  <c r="S554" i="15"/>
  <c r="N597" i="15" s="1"/>
  <c r="Q597" i="15" s="1"/>
  <c r="K554" i="15"/>
  <c r="AF554" i="15"/>
  <c r="AA597" i="15" s="1"/>
  <c r="X554" i="15"/>
  <c r="X597" i="15" s="1"/>
  <c r="P554" i="15"/>
  <c r="AK597" i="15" s="1"/>
  <c r="AN597" i="15" s="1"/>
  <c r="H554" i="15"/>
  <c r="AJ554" i="15"/>
  <c r="AC597" i="15" s="1"/>
  <c r="Y554" i="15"/>
  <c r="T597" i="15" s="1"/>
  <c r="W597" i="15" s="1"/>
  <c r="N554" i="15"/>
  <c r="AG554" i="15"/>
  <c r="V554" i="15"/>
  <c r="AQ597" i="15" s="1"/>
  <c r="AT597" i="15" s="1"/>
  <c r="L554" i="15"/>
  <c r="L597" i="15" s="1"/>
  <c r="AE554" i="15"/>
  <c r="BC597" i="15" s="1"/>
  <c r="U554" i="15"/>
  <c r="AU597" i="15" s="1"/>
  <c r="J554" i="15"/>
  <c r="AE597" i="15" s="1"/>
  <c r="AH597" i="15" s="1"/>
  <c r="AD554" i="15"/>
  <c r="Z597" i="15" s="1"/>
  <c r="T554" i="15"/>
  <c r="I554" i="15"/>
  <c r="AI597" i="15" s="1"/>
  <c r="AC554" i="15"/>
  <c r="R554" i="15"/>
  <c r="R597" i="15" s="1"/>
  <c r="G554" i="15"/>
  <c r="B597" i="15" s="1"/>
  <c r="E597" i="15" s="1"/>
  <c r="AH554" i="15"/>
  <c r="AB597" i="15" s="1"/>
  <c r="AD575" i="15"/>
  <c r="Z618" i="15" s="1"/>
  <c r="V575" i="15"/>
  <c r="AQ618" i="15" s="1"/>
  <c r="AT618" i="15" s="1"/>
  <c r="N575" i="15"/>
  <c r="F575" i="15"/>
  <c r="F618" i="15" s="1"/>
  <c r="AJ575" i="15"/>
  <c r="AC618" i="15" s="1"/>
  <c r="AB575" i="15"/>
  <c r="AW618" i="15" s="1"/>
  <c r="AZ618" i="15" s="1"/>
  <c r="T575" i="15"/>
  <c r="L575" i="15"/>
  <c r="L618" i="15" s="1"/>
  <c r="AI575" i="15"/>
  <c r="AM575" i="15" s="1"/>
  <c r="BG618" i="15" s="1"/>
  <c r="AA575" i="15"/>
  <c r="BA618" i="15" s="1"/>
  <c r="S575" i="15"/>
  <c r="N618" i="15" s="1"/>
  <c r="Q618" i="15" s="1"/>
  <c r="K575" i="15"/>
  <c r="Z575" i="15"/>
  <c r="O575" i="15"/>
  <c r="AO618" i="15" s="1"/>
  <c r="Y575" i="15"/>
  <c r="T618" i="15" s="1"/>
  <c r="W618" i="15" s="1"/>
  <c r="M575" i="15"/>
  <c r="H618" i="15" s="1"/>
  <c r="K618" i="15" s="1"/>
  <c r="AL575" i="15"/>
  <c r="AD618" i="15" s="1"/>
  <c r="X575" i="15"/>
  <c r="X618" i="15" s="1"/>
  <c r="J575" i="15"/>
  <c r="AE618" i="15" s="1"/>
  <c r="AH618" i="15" s="1"/>
  <c r="AH575" i="15"/>
  <c r="AB618" i="15" s="1"/>
  <c r="W575" i="15"/>
  <c r="I575" i="15"/>
  <c r="AI618" i="15" s="1"/>
  <c r="AG575" i="15"/>
  <c r="BD618" i="15" s="1"/>
  <c r="U575" i="15"/>
  <c r="AU618" i="15" s="1"/>
  <c r="H575" i="15"/>
  <c r="AF575" i="15"/>
  <c r="AA618" i="15" s="1"/>
  <c r="R575" i="15"/>
  <c r="R618" i="15" s="1"/>
  <c r="G575" i="15"/>
  <c r="B618" i="15" s="1"/>
  <c r="E618" i="15" s="1"/>
  <c r="J636" i="15"/>
  <c r="E679" i="15" s="1"/>
  <c r="H679" i="15" s="1"/>
  <c r="C316" i="15"/>
  <c r="M317" i="15"/>
  <c r="K319" i="15"/>
  <c r="J320" i="15"/>
  <c r="F321" i="15"/>
  <c r="E322" i="15"/>
  <c r="D323" i="15"/>
  <c r="C324" i="15"/>
  <c r="M325" i="15"/>
  <c r="K327" i="15"/>
  <c r="J328" i="15"/>
  <c r="F329" i="15"/>
  <c r="E330" i="15"/>
  <c r="D331" i="15"/>
  <c r="C332" i="15"/>
  <c r="M333" i="15"/>
  <c r="K335" i="15"/>
  <c r="J336" i="15"/>
  <c r="F337" i="15"/>
  <c r="E338" i="15"/>
  <c r="D339" i="15"/>
  <c r="C340" i="15"/>
  <c r="M341" i="15"/>
  <c r="K343" i="15"/>
  <c r="J344" i="15"/>
  <c r="F345" i="15"/>
  <c r="E346" i="15"/>
  <c r="D347" i="15"/>
  <c r="C348" i="15"/>
  <c r="M349" i="15"/>
  <c r="K351" i="15"/>
  <c r="J352" i="15"/>
  <c r="F353" i="15"/>
  <c r="E354" i="15"/>
  <c r="D355" i="15"/>
  <c r="F360" i="15"/>
  <c r="C403" i="15" s="1"/>
  <c r="F403" i="15" s="1"/>
  <c r="N360" i="15"/>
  <c r="AG403" i="15" s="1"/>
  <c r="I361" i="15"/>
  <c r="B404" i="15" s="1"/>
  <c r="R404" i="15" s="1"/>
  <c r="Q361" i="15"/>
  <c r="G363" i="15"/>
  <c r="O363" i="15"/>
  <c r="S406" i="15" s="1"/>
  <c r="AI406" i="15" s="1"/>
  <c r="J364" i="15"/>
  <c r="M365" i="15"/>
  <c r="X408" i="15" s="1"/>
  <c r="AA408" i="15" s="1"/>
  <c r="AD408" i="15" s="1"/>
  <c r="H366" i="15"/>
  <c r="O409" i="15" s="1"/>
  <c r="P366" i="15"/>
  <c r="K367" i="15"/>
  <c r="F368" i="15"/>
  <c r="C411" i="15" s="1"/>
  <c r="F411" i="15" s="1"/>
  <c r="N368" i="15"/>
  <c r="AG411" i="15" s="1"/>
  <c r="I369" i="15"/>
  <c r="B412" i="15" s="1"/>
  <c r="R412" i="15" s="1"/>
  <c r="Q369" i="15"/>
  <c r="G371" i="15"/>
  <c r="O371" i="15"/>
  <c r="S414" i="15" s="1"/>
  <c r="AI414" i="15" s="1"/>
  <c r="J372" i="15"/>
  <c r="M373" i="15"/>
  <c r="Z416" i="15" s="1"/>
  <c r="H374" i="15"/>
  <c r="P374" i="15"/>
  <c r="K375" i="15"/>
  <c r="F376" i="15"/>
  <c r="C419" i="15" s="1"/>
  <c r="F419" i="15" s="1"/>
  <c r="N376" i="15"/>
  <c r="AG419" i="15" s="1"/>
  <c r="I377" i="15"/>
  <c r="B420" i="15" s="1"/>
  <c r="R420" i="15" s="1"/>
  <c r="Q377" i="15"/>
  <c r="G379" i="15"/>
  <c r="O379" i="15"/>
  <c r="S422" i="15" s="1"/>
  <c r="AI422" i="15" s="1"/>
  <c r="J380" i="15"/>
  <c r="M381" i="15"/>
  <c r="X424" i="15" s="1"/>
  <c r="AA424" i="15" s="1"/>
  <c r="AD424" i="15" s="1"/>
  <c r="H382" i="15"/>
  <c r="O425" i="15" s="1"/>
  <c r="P382" i="15"/>
  <c r="K383" i="15"/>
  <c r="F384" i="15"/>
  <c r="C427" i="15" s="1"/>
  <c r="F427" i="15" s="1"/>
  <c r="N384" i="15"/>
  <c r="AG427" i="15" s="1"/>
  <c r="I385" i="15"/>
  <c r="B428" i="15" s="1"/>
  <c r="R428" i="15" s="1"/>
  <c r="Q385" i="15"/>
  <c r="G387" i="15"/>
  <c r="O387" i="15"/>
  <c r="S430" i="15" s="1"/>
  <c r="AI430" i="15" s="1"/>
  <c r="J388" i="15"/>
  <c r="M389" i="15"/>
  <c r="X432" i="15" s="1"/>
  <c r="AA432" i="15" s="1"/>
  <c r="AD432" i="15" s="1"/>
  <c r="H390" i="15"/>
  <c r="O433" i="15" s="1"/>
  <c r="P390" i="15"/>
  <c r="K391" i="15"/>
  <c r="F392" i="15"/>
  <c r="C435" i="15" s="1"/>
  <c r="F435" i="15" s="1"/>
  <c r="N392" i="15"/>
  <c r="AG435" i="15" s="1"/>
  <c r="I393" i="15"/>
  <c r="B436" i="15" s="1"/>
  <c r="R436" i="15" s="1"/>
  <c r="Q393" i="15"/>
  <c r="G395" i="15"/>
  <c r="O395" i="15"/>
  <c r="S438" i="15" s="1"/>
  <c r="AI438" i="15" s="1"/>
  <c r="J396" i="15"/>
  <c r="M397" i="15"/>
  <c r="H398" i="15"/>
  <c r="N441" i="15" s="1"/>
  <c r="Q441" i="15" s="1"/>
  <c r="P398" i="15"/>
  <c r="K399" i="15"/>
  <c r="F448" i="15"/>
  <c r="C491" i="15" s="1"/>
  <c r="F491" i="15" s="1"/>
  <c r="N448" i="15"/>
  <c r="K450" i="15"/>
  <c r="Q450" i="15"/>
  <c r="I450" i="15"/>
  <c r="B493" i="15" s="1"/>
  <c r="R493" i="15" s="1"/>
  <c r="O450" i="15"/>
  <c r="S493" i="15" s="1"/>
  <c r="AI493" i="15" s="1"/>
  <c r="K452" i="15"/>
  <c r="H453" i="15"/>
  <c r="G457" i="15"/>
  <c r="I500" i="15" s="1"/>
  <c r="K458" i="15"/>
  <c r="H501" i="15" s="1"/>
  <c r="Q458" i="15"/>
  <c r="I458" i="15"/>
  <c r="B501" i="15" s="1"/>
  <c r="R501" i="15" s="1"/>
  <c r="O458" i="15"/>
  <c r="S501" i="15" s="1"/>
  <c r="AI501" i="15" s="1"/>
  <c r="K460" i="15"/>
  <c r="G465" i="15"/>
  <c r="K468" i="15"/>
  <c r="H469" i="15"/>
  <c r="G473" i="15"/>
  <c r="K474" i="15"/>
  <c r="Q474" i="15"/>
  <c r="I474" i="15"/>
  <c r="B517" i="15" s="1"/>
  <c r="R517" i="15" s="1"/>
  <c r="O474" i="15"/>
  <c r="S517" i="15" s="1"/>
  <c r="AI517" i="15" s="1"/>
  <c r="Q484" i="15"/>
  <c r="I484" i="15"/>
  <c r="B527" i="15" s="1"/>
  <c r="R527" i="15" s="1"/>
  <c r="O484" i="15"/>
  <c r="S527" i="15" s="1"/>
  <c r="AI527" i="15" s="1"/>
  <c r="G484" i="15"/>
  <c r="P527" i="15" s="1"/>
  <c r="N484" i="15"/>
  <c r="AF527" i="15" s="1"/>
  <c r="F484" i="15"/>
  <c r="C527" i="15" s="1"/>
  <c r="F527" i="15" s="1"/>
  <c r="L484" i="15"/>
  <c r="T527" i="15" s="1"/>
  <c r="W527" i="15" s="1"/>
  <c r="H485" i="15"/>
  <c r="O528" i="15" s="1"/>
  <c r="F537" i="15"/>
  <c r="F580" i="15" s="1"/>
  <c r="V537" i="15"/>
  <c r="AQ580" i="15" s="1"/>
  <c r="AT580" i="15" s="1"/>
  <c r="AI538" i="15"/>
  <c r="AA538" i="15"/>
  <c r="BA581" i="15" s="1"/>
  <c r="S538" i="15"/>
  <c r="N581" i="15" s="1"/>
  <c r="Q581" i="15" s="1"/>
  <c r="K538" i="15"/>
  <c r="AG538" i="15"/>
  <c r="Y538" i="15"/>
  <c r="T581" i="15" s="1"/>
  <c r="W581" i="15" s="1"/>
  <c r="Q538" i="15"/>
  <c r="I538" i="15"/>
  <c r="AI581" i="15" s="1"/>
  <c r="AF538" i="15"/>
  <c r="AA581" i="15" s="1"/>
  <c r="X538" i="15"/>
  <c r="X581" i="15" s="1"/>
  <c r="P538" i="15"/>
  <c r="AK581" i="15" s="1"/>
  <c r="AN581" i="15" s="1"/>
  <c r="H538" i="15"/>
  <c r="AD538" i="15"/>
  <c r="Z581" i="15" s="1"/>
  <c r="V538" i="15"/>
  <c r="AQ581" i="15" s="1"/>
  <c r="AT581" i="15" s="1"/>
  <c r="N538" i="15"/>
  <c r="F538" i="15"/>
  <c r="F581" i="15" s="1"/>
  <c r="U538" i="15"/>
  <c r="AU581" i="15" s="1"/>
  <c r="AL538" i="15"/>
  <c r="AD581" i="15" s="1"/>
  <c r="F545" i="15"/>
  <c r="F588" i="15" s="1"/>
  <c r="AC545" i="15"/>
  <c r="F554" i="15"/>
  <c r="F597" i="15" s="1"/>
  <c r="AL554" i="15"/>
  <c r="AD597" i="15" s="1"/>
  <c r="P575" i="15"/>
  <c r="AK618" i="15" s="1"/>
  <c r="AN618" i="15" s="1"/>
  <c r="M319" i="15"/>
  <c r="F323" i="15"/>
  <c r="M327" i="15"/>
  <c r="F331" i="15"/>
  <c r="M335" i="15"/>
  <c r="F339" i="15"/>
  <c r="M343" i="15"/>
  <c r="F347" i="15"/>
  <c r="M351" i="15"/>
  <c r="F355" i="15"/>
  <c r="I363" i="15"/>
  <c r="B406" i="15" s="1"/>
  <c r="R406" i="15" s="1"/>
  <c r="Q363" i="15"/>
  <c r="M367" i="15"/>
  <c r="X410" i="15" s="1"/>
  <c r="AA410" i="15" s="1"/>
  <c r="AD410" i="15" s="1"/>
  <c r="I371" i="15"/>
  <c r="B414" i="15" s="1"/>
  <c r="R414" i="15" s="1"/>
  <c r="Q371" i="15"/>
  <c r="M375" i="15"/>
  <c r="Y418" i="15" s="1"/>
  <c r="I379" i="15"/>
  <c r="B422" i="15" s="1"/>
  <c r="R422" i="15" s="1"/>
  <c r="Q379" i="15"/>
  <c r="M383" i="15"/>
  <c r="X426" i="15" s="1"/>
  <c r="AA426" i="15" s="1"/>
  <c r="AD426" i="15" s="1"/>
  <c r="I387" i="15"/>
  <c r="B430" i="15" s="1"/>
  <c r="R430" i="15" s="1"/>
  <c r="Q387" i="15"/>
  <c r="M391" i="15"/>
  <c r="I395" i="15"/>
  <c r="B438" i="15" s="1"/>
  <c r="R438" i="15" s="1"/>
  <c r="Q395" i="15"/>
  <c r="M399" i="15"/>
  <c r="X442" i="15" s="1"/>
  <c r="AA442" i="15" s="1"/>
  <c r="AD442" i="15" s="1"/>
  <c r="N451" i="15"/>
  <c r="AF494" i="15" s="1"/>
  <c r="F451" i="15"/>
  <c r="C494" i="15" s="1"/>
  <c r="F494" i="15" s="1"/>
  <c r="L451" i="15"/>
  <c r="T494" i="15" s="1"/>
  <c r="W494" i="15" s="1"/>
  <c r="P451" i="15"/>
  <c r="J455" i="15"/>
  <c r="P455" i="15"/>
  <c r="H455" i="15"/>
  <c r="O498" i="15" s="1"/>
  <c r="O455" i="15"/>
  <c r="S498" i="15" s="1"/>
  <c r="AI498" i="15" s="1"/>
  <c r="N459" i="15"/>
  <c r="F459" i="15"/>
  <c r="C502" i="15" s="1"/>
  <c r="F502" i="15" s="1"/>
  <c r="L459" i="15"/>
  <c r="T502" i="15" s="1"/>
  <c r="W502" i="15" s="1"/>
  <c r="P459" i="15"/>
  <c r="J463" i="15"/>
  <c r="P463" i="15"/>
  <c r="H463" i="15"/>
  <c r="O463" i="15"/>
  <c r="S506" i="15" s="1"/>
  <c r="AI506" i="15" s="1"/>
  <c r="N467" i="15"/>
  <c r="F467" i="15"/>
  <c r="C510" i="15" s="1"/>
  <c r="F510" i="15" s="1"/>
  <c r="L467" i="15"/>
  <c r="T510" i="15" s="1"/>
  <c r="W510" i="15" s="1"/>
  <c r="P467" i="15"/>
  <c r="N475" i="15"/>
  <c r="F475" i="15"/>
  <c r="C518" i="15" s="1"/>
  <c r="F518" i="15" s="1"/>
  <c r="L475" i="15"/>
  <c r="T518" i="15" s="1"/>
  <c r="W518" i="15" s="1"/>
  <c r="K475" i="15"/>
  <c r="Q475" i="15"/>
  <c r="M485" i="15"/>
  <c r="K537" i="15"/>
  <c r="AA537" i="15"/>
  <c r="BA580" i="15" s="1"/>
  <c r="M545" i="15"/>
  <c r="H588" i="15" s="1"/>
  <c r="K588" i="15" s="1"/>
  <c r="AI545" i="15"/>
  <c r="O554" i="15"/>
  <c r="AO597" i="15" s="1"/>
  <c r="AC575" i="15"/>
  <c r="F270" i="15"/>
  <c r="V270" i="15" s="1"/>
  <c r="F274" i="15"/>
  <c r="V274" i="15" s="1"/>
  <c r="F278" i="15"/>
  <c r="V278" i="15" s="1"/>
  <c r="F282" i="15"/>
  <c r="V282" i="15" s="1"/>
  <c r="F286" i="15"/>
  <c r="V286" i="15" s="1"/>
  <c r="F290" i="15"/>
  <c r="V290" i="15" s="1"/>
  <c r="F294" i="15"/>
  <c r="V294" i="15" s="1"/>
  <c r="F298" i="15"/>
  <c r="V298" i="15" s="1"/>
  <c r="F302" i="15"/>
  <c r="V302" i="15" s="1"/>
  <c r="F306" i="15"/>
  <c r="V306" i="15" s="1"/>
  <c r="F316" i="15"/>
  <c r="C319" i="15"/>
  <c r="L321" i="15"/>
  <c r="K322" i="15"/>
  <c r="J323" i="15"/>
  <c r="F324" i="15"/>
  <c r="C327" i="15"/>
  <c r="L329" i="15"/>
  <c r="K330" i="15"/>
  <c r="J331" i="15"/>
  <c r="F332" i="15"/>
  <c r="C335" i="15"/>
  <c r="L337" i="15"/>
  <c r="K338" i="15"/>
  <c r="J339" i="15"/>
  <c r="F340" i="15"/>
  <c r="C343" i="15"/>
  <c r="L345" i="15"/>
  <c r="K346" i="15"/>
  <c r="J347" i="15"/>
  <c r="F348" i="15"/>
  <c r="C351" i="15"/>
  <c r="L353" i="15"/>
  <c r="K354" i="15"/>
  <c r="J355" i="15"/>
  <c r="I360" i="15"/>
  <c r="B403" i="15" s="1"/>
  <c r="R403" i="15" s="1"/>
  <c r="Q360" i="15"/>
  <c r="L361" i="15"/>
  <c r="T404" i="15" s="1"/>
  <c r="W404" i="15" s="1"/>
  <c r="J363" i="15"/>
  <c r="H365" i="15"/>
  <c r="O408" i="15" s="1"/>
  <c r="K366" i="15"/>
  <c r="F367" i="15"/>
  <c r="C410" i="15" s="1"/>
  <c r="F410" i="15" s="1"/>
  <c r="N367" i="15"/>
  <c r="AF410" i="15" s="1"/>
  <c r="I368" i="15"/>
  <c r="B411" i="15" s="1"/>
  <c r="R411" i="15" s="1"/>
  <c r="Q368" i="15"/>
  <c r="L369" i="15"/>
  <c r="T412" i="15" s="1"/>
  <c r="W412" i="15" s="1"/>
  <c r="J371" i="15"/>
  <c r="H373" i="15"/>
  <c r="O416" i="15" s="1"/>
  <c r="K374" i="15"/>
  <c r="F375" i="15"/>
  <c r="C418" i="15" s="1"/>
  <c r="F418" i="15" s="1"/>
  <c r="N375" i="15"/>
  <c r="AF418" i="15" s="1"/>
  <c r="I376" i="15"/>
  <c r="B419" i="15" s="1"/>
  <c r="R419" i="15" s="1"/>
  <c r="Q376" i="15"/>
  <c r="L377" i="15"/>
  <c r="T420" i="15" s="1"/>
  <c r="W420" i="15" s="1"/>
  <c r="J379" i="15"/>
  <c r="H381" i="15"/>
  <c r="K382" i="15"/>
  <c r="F383" i="15"/>
  <c r="C426" i="15" s="1"/>
  <c r="F426" i="15" s="1"/>
  <c r="N383" i="15"/>
  <c r="AF426" i="15" s="1"/>
  <c r="I384" i="15"/>
  <c r="B427" i="15" s="1"/>
  <c r="R427" i="15" s="1"/>
  <c r="Q384" i="15"/>
  <c r="L385" i="15"/>
  <c r="T428" i="15" s="1"/>
  <c r="W428" i="15" s="1"/>
  <c r="J387" i="15"/>
  <c r="H389" i="15"/>
  <c r="K390" i="15"/>
  <c r="F391" i="15"/>
  <c r="C434" i="15" s="1"/>
  <c r="F434" i="15" s="1"/>
  <c r="N391" i="15"/>
  <c r="AG434" i="15" s="1"/>
  <c r="I392" i="15"/>
  <c r="B435" i="15" s="1"/>
  <c r="R435" i="15" s="1"/>
  <c r="Q392" i="15"/>
  <c r="L393" i="15"/>
  <c r="T436" i="15" s="1"/>
  <c r="W436" i="15" s="1"/>
  <c r="J395" i="15"/>
  <c r="H397" i="15"/>
  <c r="O440" i="15" s="1"/>
  <c r="K398" i="15"/>
  <c r="F399" i="15"/>
  <c r="C442" i="15" s="1"/>
  <c r="F442" i="15" s="1"/>
  <c r="N399" i="15"/>
  <c r="AG442" i="15" s="1"/>
  <c r="I448" i="15"/>
  <c r="B491" i="15" s="1"/>
  <c r="R491" i="15" s="1"/>
  <c r="Q448" i="15"/>
  <c r="H450" i="15"/>
  <c r="G451" i="15"/>
  <c r="P494" i="15" s="1"/>
  <c r="Q451" i="15"/>
  <c r="M453" i="15"/>
  <c r="F455" i="15"/>
  <c r="C498" i="15" s="1"/>
  <c r="F498" i="15" s="1"/>
  <c r="Q455" i="15"/>
  <c r="K457" i="15"/>
  <c r="H500" i="15" s="1"/>
  <c r="G459" i="15"/>
  <c r="Q459" i="15"/>
  <c r="F463" i="15"/>
  <c r="C506" i="15" s="1"/>
  <c r="F506" i="15" s="1"/>
  <c r="Q463" i="15"/>
  <c r="K465" i="15"/>
  <c r="G467" i="15"/>
  <c r="Q467" i="15"/>
  <c r="M469" i="15"/>
  <c r="Y512" i="15" s="1"/>
  <c r="K473" i="15"/>
  <c r="G475" i="15"/>
  <c r="Q476" i="15"/>
  <c r="I476" i="15"/>
  <c r="B519" i="15" s="1"/>
  <c r="R519" i="15" s="1"/>
  <c r="O476" i="15"/>
  <c r="S519" i="15" s="1"/>
  <c r="AI519" i="15" s="1"/>
  <c r="G476" i="15"/>
  <c r="G519" i="15" s="1"/>
  <c r="J519" i="15" s="1"/>
  <c r="M519" i="15" s="1"/>
  <c r="N476" i="15"/>
  <c r="F476" i="15"/>
  <c r="C519" i="15" s="1"/>
  <c r="F519" i="15" s="1"/>
  <c r="L476" i="15"/>
  <c r="T519" i="15" s="1"/>
  <c r="W519" i="15" s="1"/>
  <c r="K482" i="15"/>
  <c r="Q482" i="15"/>
  <c r="I482" i="15"/>
  <c r="B525" i="15" s="1"/>
  <c r="R525" i="15" s="1"/>
  <c r="P482" i="15"/>
  <c r="H482" i="15"/>
  <c r="O525" i="15" s="1"/>
  <c r="N482" i="15"/>
  <c r="AF525" i="15" s="1"/>
  <c r="F482" i="15"/>
  <c r="C525" i="15" s="1"/>
  <c r="F525" i="15" s="1"/>
  <c r="N485" i="15"/>
  <c r="AG528" i="15" s="1"/>
  <c r="M537" i="15"/>
  <c r="H580" i="15" s="1"/>
  <c r="K580" i="15" s="1"/>
  <c r="AC537" i="15"/>
  <c r="N545" i="15"/>
  <c r="AL545" i="15"/>
  <c r="AD588" i="15" s="1"/>
  <c r="Q554" i="15"/>
  <c r="AD567" i="15"/>
  <c r="Z610" i="15" s="1"/>
  <c r="V567" i="15"/>
  <c r="AQ610" i="15" s="1"/>
  <c r="AT610" i="15" s="1"/>
  <c r="N567" i="15"/>
  <c r="F567" i="15"/>
  <c r="F610" i="15" s="1"/>
  <c r="AJ567" i="15"/>
  <c r="AC610" i="15" s="1"/>
  <c r="AB567" i="15"/>
  <c r="AW610" i="15" s="1"/>
  <c r="AZ610" i="15" s="1"/>
  <c r="T567" i="15"/>
  <c r="L567" i="15"/>
  <c r="L610" i="15" s="1"/>
  <c r="AI567" i="15"/>
  <c r="AA567" i="15"/>
  <c r="BA610" i="15" s="1"/>
  <c r="S567" i="15"/>
  <c r="N610" i="15" s="1"/>
  <c r="Q610" i="15" s="1"/>
  <c r="K567" i="15"/>
  <c r="Z567" i="15"/>
  <c r="O567" i="15"/>
  <c r="AO610" i="15" s="1"/>
  <c r="Y567" i="15"/>
  <c r="T610" i="15" s="1"/>
  <c r="W610" i="15" s="1"/>
  <c r="M567" i="15"/>
  <c r="H610" i="15" s="1"/>
  <c r="K610" i="15" s="1"/>
  <c r="AL567" i="15"/>
  <c r="AD610" i="15" s="1"/>
  <c r="X567" i="15"/>
  <c r="X610" i="15" s="1"/>
  <c r="J567" i="15"/>
  <c r="AE610" i="15" s="1"/>
  <c r="AH610" i="15" s="1"/>
  <c r="AH567" i="15"/>
  <c r="AB610" i="15" s="1"/>
  <c r="W567" i="15"/>
  <c r="I567" i="15"/>
  <c r="AI610" i="15" s="1"/>
  <c r="AG567" i="15"/>
  <c r="BD610" i="15" s="1"/>
  <c r="U567" i="15"/>
  <c r="AU610" i="15" s="1"/>
  <c r="H567" i="15"/>
  <c r="AF567" i="15"/>
  <c r="AA610" i="15" s="1"/>
  <c r="R567" i="15"/>
  <c r="R610" i="15" s="1"/>
  <c r="G567" i="15"/>
  <c r="B610" i="15" s="1"/>
  <c r="E610" i="15" s="1"/>
  <c r="AE575" i="15"/>
  <c r="BC618" i="15" s="1"/>
  <c r="J316" i="15"/>
  <c r="D319" i="15"/>
  <c r="L322" i="15"/>
  <c r="K323" i="15"/>
  <c r="J324" i="15"/>
  <c r="D327" i="15"/>
  <c r="L330" i="15"/>
  <c r="K331" i="15"/>
  <c r="J332" i="15"/>
  <c r="D335" i="15"/>
  <c r="L338" i="15"/>
  <c r="K339" i="15"/>
  <c r="J340" i="15"/>
  <c r="D343" i="15"/>
  <c r="L346" i="15"/>
  <c r="K347" i="15"/>
  <c r="J348" i="15"/>
  <c r="D351" i="15"/>
  <c r="L354" i="15"/>
  <c r="K355" i="15"/>
  <c r="J360" i="15"/>
  <c r="K363" i="15"/>
  <c r="L366" i="15"/>
  <c r="T409" i="15" s="1"/>
  <c r="W409" i="15" s="1"/>
  <c r="G367" i="15"/>
  <c r="O367" i="15"/>
  <c r="S410" i="15" s="1"/>
  <c r="AI410" i="15" s="1"/>
  <c r="J368" i="15"/>
  <c r="K371" i="15"/>
  <c r="L374" i="15"/>
  <c r="T417" i="15" s="1"/>
  <c r="W417" i="15" s="1"/>
  <c r="G375" i="15"/>
  <c r="O375" i="15"/>
  <c r="S418" i="15" s="1"/>
  <c r="AI418" i="15" s="1"/>
  <c r="J376" i="15"/>
  <c r="K379" i="15"/>
  <c r="L382" i="15"/>
  <c r="T425" i="15" s="1"/>
  <c r="W425" i="15" s="1"/>
  <c r="G383" i="15"/>
  <c r="O383" i="15"/>
  <c r="S426" i="15" s="1"/>
  <c r="AI426" i="15" s="1"/>
  <c r="J384" i="15"/>
  <c r="K387" i="15"/>
  <c r="L390" i="15"/>
  <c r="T433" i="15" s="1"/>
  <c r="W433" i="15" s="1"/>
  <c r="G391" i="15"/>
  <c r="O391" i="15"/>
  <c r="S434" i="15" s="1"/>
  <c r="AI434" i="15" s="1"/>
  <c r="J392" i="15"/>
  <c r="K395" i="15"/>
  <c r="L398" i="15"/>
  <c r="T441" i="15" s="1"/>
  <c r="W441" i="15" s="1"/>
  <c r="G399" i="15"/>
  <c r="O399" i="15"/>
  <c r="S442" i="15" s="1"/>
  <c r="AI442" i="15" s="1"/>
  <c r="J448" i="15"/>
  <c r="H451" i="15"/>
  <c r="O494" i="15" s="1"/>
  <c r="Q452" i="15"/>
  <c r="I452" i="15"/>
  <c r="B495" i="15" s="1"/>
  <c r="R495" i="15" s="1"/>
  <c r="O452" i="15"/>
  <c r="S495" i="15" s="1"/>
  <c r="AI495" i="15" s="1"/>
  <c r="G452" i="15"/>
  <c r="P495" i="15" s="1"/>
  <c r="P452" i="15"/>
  <c r="G455" i="15"/>
  <c r="L457" i="15"/>
  <c r="T500" i="15" s="1"/>
  <c r="W500" i="15" s="1"/>
  <c r="H459" i="15"/>
  <c r="Q460" i="15"/>
  <c r="I460" i="15"/>
  <c r="B503" i="15" s="1"/>
  <c r="R503" i="15" s="1"/>
  <c r="O460" i="15"/>
  <c r="S503" i="15" s="1"/>
  <c r="AI503" i="15" s="1"/>
  <c r="G460" i="15"/>
  <c r="I503" i="15" s="1"/>
  <c r="P460" i="15"/>
  <c r="G463" i="15"/>
  <c r="L465" i="15"/>
  <c r="T508" i="15" s="1"/>
  <c r="W508" i="15" s="1"/>
  <c r="H467" i="15"/>
  <c r="Q468" i="15"/>
  <c r="I468" i="15"/>
  <c r="B511" i="15" s="1"/>
  <c r="R511" i="15" s="1"/>
  <c r="O468" i="15"/>
  <c r="S511" i="15" s="1"/>
  <c r="AI511" i="15" s="1"/>
  <c r="G468" i="15"/>
  <c r="I511" i="15" s="1"/>
  <c r="P468" i="15"/>
  <c r="G471" i="15"/>
  <c r="K471" i="15" s="1"/>
  <c r="L473" i="15"/>
  <c r="T516" i="15" s="1"/>
  <c r="W516" i="15" s="1"/>
  <c r="H475" i="15"/>
  <c r="N537" i="15"/>
  <c r="AD537" i="15"/>
  <c r="Z580" i="15" s="1"/>
  <c r="S545" i="15"/>
  <c r="N588" i="15" s="1"/>
  <c r="Q588" i="15" s="1"/>
  <c r="W554" i="15"/>
  <c r="S636" i="15"/>
  <c r="X679" i="15" s="1"/>
  <c r="T644" i="15"/>
  <c r="M687" i="15" s="1"/>
  <c r="S644" i="15"/>
  <c r="X687" i="15" s="1"/>
  <c r="K644" i="15"/>
  <c r="R687" i="15" s="1"/>
  <c r="S687" i="15" s="1"/>
  <c r="R644" i="15"/>
  <c r="L687" i="15" s="1"/>
  <c r="J644" i="15"/>
  <c r="E687" i="15" s="1"/>
  <c r="H687" i="15" s="1"/>
  <c r="Q644" i="15"/>
  <c r="W687" i="15" s="1"/>
  <c r="I644" i="15"/>
  <c r="O687" i="15" s="1"/>
  <c r="P644" i="15"/>
  <c r="K687" i="15" s="1"/>
  <c r="H644" i="15"/>
  <c r="C687" i="15" s="1"/>
  <c r="G644" i="15"/>
  <c r="N687" i="15" s="1"/>
  <c r="F644" i="15"/>
  <c r="B687" i="15" s="1"/>
  <c r="U644" i="15"/>
  <c r="Y687" i="15" s="1"/>
  <c r="L323" i="15"/>
  <c r="L331" i="15"/>
  <c r="L339" i="15"/>
  <c r="L347" i="15"/>
  <c r="L355" i="15"/>
  <c r="L363" i="15"/>
  <c r="T406" i="15" s="1"/>
  <c r="W406" i="15" s="1"/>
  <c r="H367" i="15"/>
  <c r="L371" i="15"/>
  <c r="T414" i="15" s="1"/>
  <c r="W414" i="15" s="1"/>
  <c r="H375" i="15"/>
  <c r="L379" i="15"/>
  <c r="T422" i="15" s="1"/>
  <c r="W422" i="15" s="1"/>
  <c r="H383" i="15"/>
  <c r="L387" i="15"/>
  <c r="T430" i="15" s="1"/>
  <c r="W430" i="15" s="1"/>
  <c r="H391" i="15"/>
  <c r="L395" i="15"/>
  <c r="T438" i="15" s="1"/>
  <c r="W438" i="15" s="1"/>
  <c r="H399" i="15"/>
  <c r="I451" i="15"/>
  <c r="B494" i="15" s="1"/>
  <c r="R494" i="15" s="1"/>
  <c r="L453" i="15"/>
  <c r="T496" i="15" s="1"/>
  <c r="W496" i="15" s="1"/>
  <c r="J453" i="15"/>
  <c r="O453" i="15"/>
  <c r="S496" i="15" s="1"/>
  <c r="AI496" i="15" s="1"/>
  <c r="I455" i="15"/>
  <c r="B498" i="15" s="1"/>
  <c r="R498" i="15" s="1"/>
  <c r="M457" i="15"/>
  <c r="Y500" i="15" s="1"/>
  <c r="I459" i="15"/>
  <c r="B502" i="15" s="1"/>
  <c r="R502" i="15" s="1"/>
  <c r="I463" i="15"/>
  <c r="B506" i="15" s="1"/>
  <c r="R506" i="15" s="1"/>
  <c r="M465" i="15"/>
  <c r="Y508" i="15" s="1"/>
  <c r="I467" i="15"/>
  <c r="B510" i="15" s="1"/>
  <c r="R510" i="15" s="1"/>
  <c r="L469" i="15"/>
  <c r="T512" i="15" s="1"/>
  <c r="W512" i="15" s="1"/>
  <c r="J469" i="15"/>
  <c r="O469" i="15"/>
  <c r="S512" i="15" s="1"/>
  <c r="AI512" i="15" s="1"/>
  <c r="M473" i="15"/>
  <c r="X516" i="15" s="1"/>
  <c r="AA516" i="15" s="1"/>
  <c r="AD516" i="15" s="1"/>
  <c r="I475" i="15"/>
  <c r="B518" i="15" s="1"/>
  <c r="R518" i="15" s="1"/>
  <c r="P537" i="15"/>
  <c r="AK580" i="15" s="1"/>
  <c r="AN580" i="15" s="1"/>
  <c r="AF537" i="15"/>
  <c r="AA580" i="15" s="1"/>
  <c r="U545" i="15"/>
  <c r="AU588" i="15" s="1"/>
  <c r="Z554" i="15"/>
  <c r="AH571" i="15"/>
  <c r="AB614" i="15" s="1"/>
  <c r="Z571" i="15"/>
  <c r="R571" i="15"/>
  <c r="R614" i="15" s="1"/>
  <c r="J571" i="15"/>
  <c r="AE614" i="15" s="1"/>
  <c r="AH614" i="15" s="1"/>
  <c r="AF571" i="15"/>
  <c r="AA614" i="15" s="1"/>
  <c r="X571" i="15"/>
  <c r="X614" i="15" s="1"/>
  <c r="P571" i="15"/>
  <c r="AK614" i="15" s="1"/>
  <c r="AN614" i="15" s="1"/>
  <c r="H571" i="15"/>
  <c r="AE571" i="15"/>
  <c r="BC614" i="15" s="1"/>
  <c r="W571" i="15"/>
  <c r="O571" i="15"/>
  <c r="AO614" i="15" s="1"/>
  <c r="G571" i="15"/>
  <c r="B614" i="15" s="1"/>
  <c r="E614" i="15" s="1"/>
  <c r="AB571" i="15"/>
  <c r="AW614" i="15" s="1"/>
  <c r="AZ614" i="15" s="1"/>
  <c r="N571" i="15"/>
  <c r="AA571" i="15"/>
  <c r="BA614" i="15" s="1"/>
  <c r="M571" i="15"/>
  <c r="H614" i="15" s="1"/>
  <c r="K614" i="15" s="1"/>
  <c r="AL571" i="15"/>
  <c r="AD614" i="15" s="1"/>
  <c r="Y571" i="15"/>
  <c r="T614" i="15" s="1"/>
  <c r="W614" i="15" s="1"/>
  <c r="L571" i="15"/>
  <c r="L614" i="15" s="1"/>
  <c r="AJ571" i="15"/>
  <c r="AC614" i="15" s="1"/>
  <c r="V571" i="15"/>
  <c r="AQ614" i="15" s="1"/>
  <c r="AT614" i="15" s="1"/>
  <c r="K571" i="15"/>
  <c r="AI571" i="15"/>
  <c r="AM571" i="15" s="1"/>
  <c r="BG614" i="15" s="1"/>
  <c r="U571" i="15"/>
  <c r="AU614" i="15" s="1"/>
  <c r="I571" i="15"/>
  <c r="AI614" i="15" s="1"/>
  <c r="AG571" i="15"/>
  <c r="AK571" i="15" s="1"/>
  <c r="BF614" i="15" s="1"/>
  <c r="T571" i="15"/>
  <c r="F571" i="15"/>
  <c r="F614" i="15" s="1"/>
  <c r="L485" i="15"/>
  <c r="T528" i="15" s="1"/>
  <c r="W528" i="15" s="1"/>
  <c r="J485" i="15"/>
  <c r="Q485" i="15"/>
  <c r="I485" i="15"/>
  <c r="B528" i="15" s="1"/>
  <c r="R528" i="15" s="1"/>
  <c r="O485" i="15"/>
  <c r="S528" i="15" s="1"/>
  <c r="AI528" i="15" s="1"/>
  <c r="G485" i="15"/>
  <c r="I528" i="15" s="1"/>
  <c r="T636" i="15"/>
  <c r="M679" i="15" s="1"/>
  <c r="Q636" i="15"/>
  <c r="W679" i="15" s="1"/>
  <c r="I636" i="15"/>
  <c r="O679" i="15" s="1"/>
  <c r="P636" i="15"/>
  <c r="K679" i="15" s="1"/>
  <c r="H636" i="15"/>
  <c r="C679" i="15" s="1"/>
  <c r="G636" i="15"/>
  <c r="N679" i="15" s="1"/>
  <c r="F636" i="15"/>
  <c r="B679" i="15" s="1"/>
  <c r="R636" i="15"/>
  <c r="L679" i="15" s="1"/>
  <c r="K636" i="15"/>
  <c r="R679" i="15" s="1"/>
  <c r="S679" i="15" s="1"/>
  <c r="M479" i="15"/>
  <c r="K481" i="15"/>
  <c r="M487" i="15"/>
  <c r="M539" i="15"/>
  <c r="H582" i="15" s="1"/>
  <c r="K582" i="15" s="1"/>
  <c r="U539" i="15"/>
  <c r="AU582" i="15" s="1"/>
  <c r="AC539" i="15"/>
  <c r="AL539" i="15"/>
  <c r="AD582" i="15" s="1"/>
  <c r="L540" i="15"/>
  <c r="L583" i="15" s="1"/>
  <c r="T540" i="15"/>
  <c r="AB540" i="15"/>
  <c r="AW583" i="15" s="1"/>
  <c r="AZ583" i="15" s="1"/>
  <c r="AJ540" i="15"/>
  <c r="AC583" i="15" s="1"/>
  <c r="K541" i="15"/>
  <c r="S541" i="15"/>
  <c r="N584" i="15" s="1"/>
  <c r="Q584" i="15" s="1"/>
  <c r="AA541" i="15"/>
  <c r="BA584" i="15" s="1"/>
  <c r="AI541" i="15"/>
  <c r="M547" i="15"/>
  <c r="H590" i="15" s="1"/>
  <c r="K590" i="15" s="1"/>
  <c r="U547" i="15"/>
  <c r="AU590" i="15" s="1"/>
  <c r="AC547" i="15"/>
  <c r="AG548" i="15"/>
  <c r="Y548" i="15"/>
  <c r="T591" i="15" s="1"/>
  <c r="W591" i="15" s="1"/>
  <c r="Q548" i="15"/>
  <c r="I548" i="15"/>
  <c r="AI591" i="15" s="1"/>
  <c r="AD548" i="15"/>
  <c r="Z591" i="15" s="1"/>
  <c r="V548" i="15"/>
  <c r="AQ591" i="15" s="1"/>
  <c r="AT591" i="15" s="1"/>
  <c r="N548" i="15"/>
  <c r="F548" i="15"/>
  <c r="F591" i="15" s="1"/>
  <c r="P548" i="15"/>
  <c r="AK591" i="15" s="1"/>
  <c r="AN591" i="15" s="1"/>
  <c r="AA548" i="15"/>
  <c r="BA591" i="15" s="1"/>
  <c r="AL548" i="15"/>
  <c r="AD591" i="15" s="1"/>
  <c r="AG556" i="15"/>
  <c r="Y556" i="15"/>
  <c r="T599" i="15" s="1"/>
  <c r="W599" i="15" s="1"/>
  <c r="Q556" i="15"/>
  <c r="I556" i="15"/>
  <c r="AI599" i="15" s="1"/>
  <c r="AD556" i="15"/>
  <c r="Z599" i="15" s="1"/>
  <c r="V556" i="15"/>
  <c r="AQ599" i="15" s="1"/>
  <c r="AT599" i="15" s="1"/>
  <c r="N556" i="15"/>
  <c r="F556" i="15"/>
  <c r="F599" i="15" s="1"/>
  <c r="P556" i="15"/>
  <c r="AK599" i="15" s="1"/>
  <c r="AN599" i="15" s="1"/>
  <c r="AA556" i="15"/>
  <c r="BA599" i="15" s="1"/>
  <c r="AL556" i="15"/>
  <c r="AD599" i="15" s="1"/>
  <c r="M558" i="15"/>
  <c r="H601" i="15" s="1"/>
  <c r="K601" i="15" s="1"/>
  <c r="X558" i="15"/>
  <c r="X601" i="15" s="1"/>
  <c r="N562" i="15"/>
  <c r="L564" i="15"/>
  <c r="L607" i="15" s="1"/>
  <c r="Z564" i="15"/>
  <c r="AL564" i="15"/>
  <c r="AD607" i="15" s="1"/>
  <c r="N570" i="15"/>
  <c r="L572" i="15"/>
  <c r="L615" i="15" s="1"/>
  <c r="Z572" i="15"/>
  <c r="AL572" i="15"/>
  <c r="AD615" i="15" s="1"/>
  <c r="F631" i="15"/>
  <c r="B674" i="15" s="1"/>
  <c r="U631" i="15"/>
  <c r="Y674" i="15" s="1"/>
  <c r="T631" i="15"/>
  <c r="M674" i="15" s="1"/>
  <c r="S631" i="15"/>
  <c r="X674" i="15" s="1"/>
  <c r="K631" i="15"/>
  <c r="R674" i="15" s="1"/>
  <c r="S674" i="15" s="1"/>
  <c r="M540" i="15"/>
  <c r="H583" i="15" s="1"/>
  <c r="K583" i="15" s="1"/>
  <c r="U540" i="15"/>
  <c r="AU583" i="15" s="1"/>
  <c r="AC540" i="15"/>
  <c r="AL540" i="15"/>
  <c r="AD583" i="15" s="1"/>
  <c r="M564" i="15"/>
  <c r="H607" i="15" s="1"/>
  <c r="K607" i="15" s="1"/>
  <c r="AA564" i="15"/>
  <c r="BA607" i="15" s="1"/>
  <c r="M572" i="15"/>
  <c r="H615" i="15" s="1"/>
  <c r="K615" i="15" s="1"/>
  <c r="AA572" i="15"/>
  <c r="BA615" i="15" s="1"/>
  <c r="R627" i="15"/>
  <c r="L670" i="15" s="1"/>
  <c r="J627" i="15"/>
  <c r="P627" i="15"/>
  <c r="K670" i="15" s="1"/>
  <c r="H627" i="15"/>
  <c r="C670" i="15" s="1"/>
  <c r="G627" i="15"/>
  <c r="N670" i="15" s="1"/>
  <c r="Q627" i="15"/>
  <c r="W670" i="15" s="1"/>
  <c r="G479" i="15"/>
  <c r="I522" i="15" s="1"/>
  <c r="O479" i="15"/>
  <c r="S522" i="15" s="1"/>
  <c r="AI522" i="15" s="1"/>
  <c r="M481" i="15"/>
  <c r="G487" i="15"/>
  <c r="O487" i="15"/>
  <c r="S530" i="15" s="1"/>
  <c r="AI530" i="15" s="1"/>
  <c r="G539" i="15"/>
  <c r="B582" i="15" s="1"/>
  <c r="E582" i="15" s="1"/>
  <c r="O539" i="15"/>
  <c r="AO582" i="15" s="1"/>
  <c r="W539" i="15"/>
  <c r="AE539" i="15"/>
  <c r="BC582" i="15" s="1"/>
  <c r="F540" i="15"/>
  <c r="F583" i="15" s="1"/>
  <c r="N540" i="15"/>
  <c r="V540" i="15"/>
  <c r="AQ583" i="15" s="1"/>
  <c r="AT583" i="15" s="1"/>
  <c r="AD540" i="15"/>
  <c r="Z583" i="15" s="1"/>
  <c r="M541" i="15"/>
  <c r="H584" i="15" s="1"/>
  <c r="K584" i="15" s="1"/>
  <c r="U541" i="15"/>
  <c r="AU584" i="15" s="1"/>
  <c r="AC541" i="15"/>
  <c r="AL541" i="15"/>
  <c r="AD584" i="15" s="1"/>
  <c r="G547" i="15"/>
  <c r="B590" i="15" s="1"/>
  <c r="E590" i="15" s="1"/>
  <c r="O547" i="15"/>
  <c r="AO590" i="15" s="1"/>
  <c r="W547" i="15"/>
  <c r="AE547" i="15"/>
  <c r="BC590" i="15" s="1"/>
  <c r="H548" i="15"/>
  <c r="S548" i="15"/>
  <c r="N591" i="15" s="1"/>
  <c r="Q591" i="15" s="1"/>
  <c r="AC548" i="15"/>
  <c r="H556" i="15"/>
  <c r="S556" i="15"/>
  <c r="N599" i="15" s="1"/>
  <c r="Q599" i="15" s="1"/>
  <c r="AC556" i="15"/>
  <c r="AE558" i="15"/>
  <c r="BC601" i="15" s="1"/>
  <c r="W558" i="15"/>
  <c r="O558" i="15"/>
  <c r="AO601" i="15" s="1"/>
  <c r="G558" i="15"/>
  <c r="B601" i="15" s="1"/>
  <c r="E601" i="15" s="1"/>
  <c r="AJ558" i="15"/>
  <c r="AC601" i="15" s="1"/>
  <c r="AB558" i="15"/>
  <c r="AW601" i="15" s="1"/>
  <c r="AZ601" i="15" s="1"/>
  <c r="T558" i="15"/>
  <c r="L558" i="15"/>
  <c r="L601" i="15" s="1"/>
  <c r="P558" i="15"/>
  <c r="AK601" i="15" s="1"/>
  <c r="AN601" i="15" s="1"/>
  <c r="Z558" i="15"/>
  <c r="AL558" i="15"/>
  <c r="AD601" i="15" s="1"/>
  <c r="AI562" i="15"/>
  <c r="AA562" i="15"/>
  <c r="BA605" i="15" s="1"/>
  <c r="S562" i="15"/>
  <c r="N605" i="15" s="1"/>
  <c r="Q605" i="15" s="1"/>
  <c r="K562" i="15"/>
  <c r="AG562" i="15"/>
  <c r="BD605" i="15" s="1"/>
  <c r="Y562" i="15"/>
  <c r="T605" i="15" s="1"/>
  <c r="W605" i="15" s="1"/>
  <c r="Q562" i="15"/>
  <c r="I562" i="15"/>
  <c r="AI605" i="15" s="1"/>
  <c r="AF562" i="15"/>
  <c r="AA605" i="15" s="1"/>
  <c r="X562" i="15"/>
  <c r="X605" i="15" s="1"/>
  <c r="P562" i="15"/>
  <c r="AK605" i="15" s="1"/>
  <c r="AN605" i="15" s="1"/>
  <c r="H562" i="15"/>
  <c r="R562" i="15"/>
  <c r="R605" i="15" s="1"/>
  <c r="AD562" i="15"/>
  <c r="Z605" i="15" s="1"/>
  <c r="P564" i="15"/>
  <c r="AK607" i="15" s="1"/>
  <c r="AN607" i="15" s="1"/>
  <c r="AB564" i="15"/>
  <c r="AW607" i="15" s="1"/>
  <c r="AZ607" i="15" s="1"/>
  <c r="AI570" i="15"/>
  <c r="AA570" i="15"/>
  <c r="BA613" i="15" s="1"/>
  <c r="S570" i="15"/>
  <c r="N613" i="15" s="1"/>
  <c r="Q613" i="15" s="1"/>
  <c r="K570" i="15"/>
  <c r="AG570" i="15"/>
  <c r="BD613" i="15" s="1"/>
  <c r="Y570" i="15"/>
  <c r="T613" i="15" s="1"/>
  <c r="W613" i="15" s="1"/>
  <c r="Q570" i="15"/>
  <c r="I570" i="15"/>
  <c r="AI613" i="15" s="1"/>
  <c r="AF570" i="15"/>
  <c r="AA613" i="15" s="1"/>
  <c r="X570" i="15"/>
  <c r="X613" i="15" s="1"/>
  <c r="P570" i="15"/>
  <c r="AK613" i="15" s="1"/>
  <c r="AN613" i="15" s="1"/>
  <c r="H570" i="15"/>
  <c r="R570" i="15"/>
  <c r="R613" i="15" s="1"/>
  <c r="AD570" i="15"/>
  <c r="Z613" i="15" s="1"/>
  <c r="P572" i="15"/>
  <c r="AK615" i="15" s="1"/>
  <c r="AN615" i="15" s="1"/>
  <c r="AB572" i="15"/>
  <c r="AW615" i="15" s="1"/>
  <c r="AZ615" i="15" s="1"/>
  <c r="T625" i="15"/>
  <c r="M668" i="15" s="1"/>
  <c r="R625" i="15"/>
  <c r="L668" i="15" s="1"/>
  <c r="J625" i="15"/>
  <c r="Q625" i="15"/>
  <c r="W668" i="15" s="1"/>
  <c r="I625" i="15"/>
  <c r="O668" i="15" s="1"/>
  <c r="F627" i="15"/>
  <c r="B670" i="15" s="1"/>
  <c r="S627" i="15"/>
  <c r="X670" i="15" s="1"/>
  <c r="H631" i="15"/>
  <c r="C674" i="15" s="1"/>
  <c r="Q631" i="15"/>
  <c r="W674" i="15" s="1"/>
  <c r="T633" i="15"/>
  <c r="M676" i="15" s="1"/>
  <c r="S633" i="15"/>
  <c r="X676" i="15" s="1"/>
  <c r="K633" i="15"/>
  <c r="R676" i="15" s="1"/>
  <c r="S676" i="15" s="1"/>
  <c r="R633" i="15"/>
  <c r="L676" i="15" s="1"/>
  <c r="J633" i="15"/>
  <c r="Q633" i="15"/>
  <c r="W676" i="15" s="1"/>
  <c r="I633" i="15"/>
  <c r="O676" i="15" s="1"/>
  <c r="P633" i="15"/>
  <c r="K676" i="15" s="1"/>
  <c r="G682" i="15"/>
  <c r="F682" i="15"/>
  <c r="G694" i="15"/>
  <c r="F694" i="15"/>
  <c r="M454" i="15"/>
  <c r="Z497" i="15" s="1"/>
  <c r="M462" i="15"/>
  <c r="K464" i="15"/>
  <c r="K472" i="15"/>
  <c r="M478" i="15"/>
  <c r="H479" i="15"/>
  <c r="O522" i="15" s="1"/>
  <c r="P479" i="15"/>
  <c r="K480" i="15"/>
  <c r="F481" i="15"/>
  <c r="C524" i="15" s="1"/>
  <c r="F524" i="15" s="1"/>
  <c r="N481" i="15"/>
  <c r="AG524" i="15" s="1"/>
  <c r="M486" i="15"/>
  <c r="H487" i="15"/>
  <c r="P487" i="15"/>
  <c r="H539" i="15"/>
  <c r="P539" i="15"/>
  <c r="AK582" i="15" s="1"/>
  <c r="AN582" i="15" s="1"/>
  <c r="X539" i="15"/>
  <c r="X582" i="15" s="1"/>
  <c r="AF539" i="15"/>
  <c r="AA582" i="15" s="1"/>
  <c r="G540" i="15"/>
  <c r="B583" i="15" s="1"/>
  <c r="E583" i="15" s="1"/>
  <c r="O540" i="15"/>
  <c r="AO583" i="15" s="1"/>
  <c r="W540" i="15"/>
  <c r="AE540" i="15"/>
  <c r="BC583" i="15" s="1"/>
  <c r="F541" i="15"/>
  <c r="F584" i="15" s="1"/>
  <c r="N541" i="15"/>
  <c r="V541" i="15"/>
  <c r="AQ584" i="15" s="1"/>
  <c r="AT584" i="15" s="1"/>
  <c r="AD541" i="15"/>
  <c r="Z584" i="15" s="1"/>
  <c r="K544" i="15"/>
  <c r="S544" i="15"/>
  <c r="N587" i="15" s="1"/>
  <c r="Q587" i="15" s="1"/>
  <c r="AA544" i="15"/>
  <c r="BA587" i="15" s="1"/>
  <c r="AI544" i="15"/>
  <c r="AM544" i="15" s="1"/>
  <c r="BG587" i="15" s="1"/>
  <c r="H547" i="15"/>
  <c r="P547" i="15"/>
  <c r="AK590" i="15" s="1"/>
  <c r="AN590" i="15" s="1"/>
  <c r="X547" i="15"/>
  <c r="X590" i="15" s="1"/>
  <c r="AF547" i="15"/>
  <c r="AA590" i="15" s="1"/>
  <c r="J548" i="15"/>
  <c r="AE591" i="15" s="1"/>
  <c r="AH591" i="15" s="1"/>
  <c r="T548" i="15"/>
  <c r="AE548" i="15"/>
  <c r="BC591" i="15" s="1"/>
  <c r="AD551" i="15"/>
  <c r="Z594" i="15" s="1"/>
  <c r="V551" i="15"/>
  <c r="AQ594" i="15" s="1"/>
  <c r="AT594" i="15" s="1"/>
  <c r="N551" i="15"/>
  <c r="F551" i="15"/>
  <c r="F594" i="15" s="1"/>
  <c r="AI551" i="15"/>
  <c r="AA551" i="15"/>
  <c r="BA594" i="15" s="1"/>
  <c r="S551" i="15"/>
  <c r="N594" i="15" s="1"/>
  <c r="Q594" i="15" s="1"/>
  <c r="K551" i="15"/>
  <c r="P551" i="15"/>
  <c r="AK594" i="15" s="1"/>
  <c r="AN594" i="15" s="1"/>
  <c r="Z551" i="15"/>
  <c r="AL551" i="15"/>
  <c r="AD594" i="15" s="1"/>
  <c r="M553" i="15"/>
  <c r="H596" i="15" s="1"/>
  <c r="K596" i="15" s="1"/>
  <c r="W553" i="15"/>
  <c r="J556" i="15"/>
  <c r="AE599" i="15" s="1"/>
  <c r="AH599" i="15" s="1"/>
  <c r="T556" i="15"/>
  <c r="AE556" i="15"/>
  <c r="BC599" i="15" s="1"/>
  <c r="F558" i="15"/>
  <c r="F601" i="15" s="1"/>
  <c r="Q558" i="15"/>
  <c r="AA558" i="15"/>
  <c r="BA601" i="15" s="1"/>
  <c r="AD559" i="15"/>
  <c r="Z602" i="15" s="1"/>
  <c r="V559" i="15"/>
  <c r="AQ602" i="15" s="1"/>
  <c r="AT602" i="15" s="1"/>
  <c r="N559" i="15"/>
  <c r="F559" i="15"/>
  <c r="F602" i="15" s="1"/>
  <c r="AI559" i="15"/>
  <c r="AA559" i="15"/>
  <c r="BA602" i="15" s="1"/>
  <c r="S559" i="15"/>
  <c r="N602" i="15" s="1"/>
  <c r="Q602" i="15" s="1"/>
  <c r="K559" i="15"/>
  <c r="P559" i="15"/>
  <c r="AK602" i="15" s="1"/>
  <c r="AN602" i="15" s="1"/>
  <c r="Z559" i="15"/>
  <c r="AL559" i="15"/>
  <c r="AD602" i="15" s="1"/>
  <c r="N561" i="15"/>
  <c r="F562" i="15"/>
  <c r="F605" i="15" s="1"/>
  <c r="T562" i="15"/>
  <c r="AE562" i="15"/>
  <c r="BC605" i="15" s="1"/>
  <c r="R564" i="15"/>
  <c r="R607" i="15" s="1"/>
  <c r="N569" i="15"/>
  <c r="F570" i="15"/>
  <c r="F613" i="15" s="1"/>
  <c r="T570" i="15"/>
  <c r="AE570" i="15"/>
  <c r="BC613" i="15" s="1"/>
  <c r="R572" i="15"/>
  <c r="R615" i="15" s="1"/>
  <c r="F625" i="15"/>
  <c r="B668" i="15" s="1"/>
  <c r="P625" i="15"/>
  <c r="K668" i="15" s="1"/>
  <c r="I627" i="15"/>
  <c r="O670" i="15" s="1"/>
  <c r="T627" i="15"/>
  <c r="M670" i="15" s="1"/>
  <c r="I631" i="15"/>
  <c r="O674" i="15" s="1"/>
  <c r="R631" i="15"/>
  <c r="L674" i="15" s="1"/>
  <c r="F633" i="15"/>
  <c r="B676" i="15" s="1"/>
  <c r="U633" i="15"/>
  <c r="Y676" i="15" s="1"/>
  <c r="T654" i="15"/>
  <c r="M697" i="15" s="1"/>
  <c r="S654" i="15"/>
  <c r="X697" i="15" s="1"/>
  <c r="K654" i="15"/>
  <c r="R697" i="15" s="1"/>
  <c r="S697" i="15" s="1"/>
  <c r="R654" i="15"/>
  <c r="L697" i="15" s="1"/>
  <c r="J654" i="15"/>
  <c r="E697" i="15" s="1"/>
  <c r="H697" i="15" s="1"/>
  <c r="Q654" i="15"/>
  <c r="W697" i="15" s="1"/>
  <c r="I654" i="15"/>
  <c r="O697" i="15" s="1"/>
  <c r="P654" i="15"/>
  <c r="K697" i="15" s="1"/>
  <c r="H654" i="15"/>
  <c r="C697" i="15" s="1"/>
  <c r="U654" i="15"/>
  <c r="Y697" i="15" s="1"/>
  <c r="G654" i="15"/>
  <c r="N697" i="15" s="1"/>
  <c r="F654" i="15"/>
  <c r="B697" i="15" s="1"/>
  <c r="AG564" i="15"/>
  <c r="Y564" i="15"/>
  <c r="T607" i="15" s="1"/>
  <c r="W607" i="15" s="1"/>
  <c r="Q564" i="15"/>
  <c r="I564" i="15"/>
  <c r="AI607" i="15" s="1"/>
  <c r="AE564" i="15"/>
  <c r="BC607" i="15" s="1"/>
  <c r="W564" i="15"/>
  <c r="O564" i="15"/>
  <c r="AO607" i="15" s="1"/>
  <c r="G564" i="15"/>
  <c r="B607" i="15" s="1"/>
  <c r="E607" i="15" s="1"/>
  <c r="AD564" i="15"/>
  <c r="Z607" i="15" s="1"/>
  <c r="V564" i="15"/>
  <c r="AQ607" i="15" s="1"/>
  <c r="AT607" i="15" s="1"/>
  <c r="N564" i="15"/>
  <c r="F564" i="15"/>
  <c r="F607" i="15" s="1"/>
  <c r="S564" i="15"/>
  <c r="N607" i="15" s="1"/>
  <c r="Q607" i="15" s="1"/>
  <c r="AF564" i="15"/>
  <c r="AA607" i="15" s="1"/>
  <c r="AG572" i="15"/>
  <c r="Y572" i="15"/>
  <c r="T615" i="15" s="1"/>
  <c r="W615" i="15" s="1"/>
  <c r="Q572" i="15"/>
  <c r="I572" i="15"/>
  <c r="AI615" i="15" s="1"/>
  <c r="AE572" i="15"/>
  <c r="BC615" i="15" s="1"/>
  <c r="W572" i="15"/>
  <c r="O572" i="15"/>
  <c r="AO615" i="15" s="1"/>
  <c r="G572" i="15"/>
  <c r="B615" i="15" s="1"/>
  <c r="E615" i="15" s="1"/>
  <c r="AD572" i="15"/>
  <c r="Z615" i="15" s="1"/>
  <c r="V572" i="15"/>
  <c r="AQ615" i="15" s="1"/>
  <c r="AT615" i="15" s="1"/>
  <c r="N572" i="15"/>
  <c r="F572" i="15"/>
  <c r="F615" i="15" s="1"/>
  <c r="S572" i="15"/>
  <c r="N615" i="15" s="1"/>
  <c r="Q615" i="15" s="1"/>
  <c r="AF572" i="15"/>
  <c r="AA615" i="15" s="1"/>
  <c r="S634" i="15"/>
  <c r="X677" i="15" s="1"/>
  <c r="K634" i="15"/>
  <c r="R677" i="15" s="1"/>
  <c r="S677" i="15" s="1"/>
  <c r="R634" i="15"/>
  <c r="L677" i="15" s="1"/>
  <c r="J634" i="15"/>
  <c r="Q634" i="15"/>
  <c r="W677" i="15" s="1"/>
  <c r="I634" i="15"/>
  <c r="O677" i="15" s="1"/>
  <c r="P634" i="15"/>
  <c r="K677" i="15" s="1"/>
  <c r="H634" i="15"/>
  <c r="C677" i="15" s="1"/>
  <c r="U634" i="15"/>
  <c r="Y677" i="15" s="1"/>
  <c r="G454" i="15"/>
  <c r="I497" i="15" s="1"/>
  <c r="G462" i="15"/>
  <c r="G470" i="15"/>
  <c r="G513" i="15" s="1"/>
  <c r="J513" i="15" s="1"/>
  <c r="M513" i="15" s="1"/>
  <c r="G478" i="15"/>
  <c r="G521" i="15" s="1"/>
  <c r="J521" i="15" s="1"/>
  <c r="M521" i="15" s="1"/>
  <c r="H481" i="15"/>
  <c r="O524" i="15" s="1"/>
  <c r="G486" i="15"/>
  <c r="J539" i="15"/>
  <c r="AE582" i="15" s="1"/>
  <c r="AH582" i="15" s="1"/>
  <c r="R539" i="15"/>
  <c r="R582" i="15" s="1"/>
  <c r="Z539" i="15"/>
  <c r="I540" i="15"/>
  <c r="AI583" i="15" s="1"/>
  <c r="Q540" i="15"/>
  <c r="Y540" i="15"/>
  <c r="T583" i="15" s="1"/>
  <c r="W583" i="15" s="1"/>
  <c r="H541" i="15"/>
  <c r="P541" i="15"/>
  <c r="AK584" i="15" s="1"/>
  <c r="AN584" i="15" s="1"/>
  <c r="X541" i="15"/>
  <c r="X584" i="15" s="1"/>
  <c r="M544" i="15"/>
  <c r="H587" i="15" s="1"/>
  <c r="K587" i="15" s="1"/>
  <c r="U544" i="15"/>
  <c r="AU587" i="15" s="1"/>
  <c r="AC544" i="15"/>
  <c r="J547" i="15"/>
  <c r="AE590" i="15" s="1"/>
  <c r="AH590" i="15" s="1"/>
  <c r="R547" i="15"/>
  <c r="R590" i="15" s="1"/>
  <c r="Z547" i="15"/>
  <c r="AI547" i="15"/>
  <c r="L548" i="15"/>
  <c r="L591" i="15" s="1"/>
  <c r="W548" i="15"/>
  <c r="AH548" i="15"/>
  <c r="AB591" i="15" s="1"/>
  <c r="AJ553" i="15"/>
  <c r="AC596" i="15" s="1"/>
  <c r="AB553" i="15"/>
  <c r="AW596" i="15" s="1"/>
  <c r="AZ596" i="15" s="1"/>
  <c r="T553" i="15"/>
  <c r="L553" i="15"/>
  <c r="L596" i="15" s="1"/>
  <c r="AG553" i="15"/>
  <c r="Y553" i="15"/>
  <c r="T596" i="15" s="1"/>
  <c r="W596" i="15" s="1"/>
  <c r="Q553" i="15"/>
  <c r="I553" i="15"/>
  <c r="AI596" i="15" s="1"/>
  <c r="O553" i="15"/>
  <c r="AO596" i="15" s="1"/>
  <c r="Z553" i="15"/>
  <c r="AL553" i="15"/>
  <c r="AD596" i="15" s="1"/>
  <c r="L556" i="15"/>
  <c r="L599" i="15" s="1"/>
  <c r="W556" i="15"/>
  <c r="AH556" i="15"/>
  <c r="AB599" i="15" s="1"/>
  <c r="I558" i="15"/>
  <c r="AI601" i="15" s="1"/>
  <c r="S558" i="15"/>
  <c r="N601" i="15" s="1"/>
  <c r="Q601" i="15" s="1"/>
  <c r="AD558" i="15"/>
  <c r="Z601" i="15" s="1"/>
  <c r="AJ561" i="15"/>
  <c r="AC604" i="15" s="1"/>
  <c r="AB561" i="15"/>
  <c r="AW604" i="15" s="1"/>
  <c r="AZ604" i="15" s="1"/>
  <c r="T561" i="15"/>
  <c r="L561" i="15"/>
  <c r="L604" i="15" s="1"/>
  <c r="AH561" i="15"/>
  <c r="AB604" i="15" s="1"/>
  <c r="Z561" i="15"/>
  <c r="R561" i="15"/>
  <c r="R604" i="15" s="1"/>
  <c r="J561" i="15"/>
  <c r="AE604" i="15" s="1"/>
  <c r="AH604" i="15" s="1"/>
  <c r="AG561" i="15"/>
  <c r="Y561" i="15"/>
  <c r="T604" i="15" s="1"/>
  <c r="W604" i="15" s="1"/>
  <c r="Q561" i="15"/>
  <c r="I561" i="15"/>
  <c r="AI604" i="15" s="1"/>
  <c r="P561" i="15"/>
  <c r="AK604" i="15" s="1"/>
  <c r="AN604" i="15" s="1"/>
  <c r="AD561" i="15"/>
  <c r="Z604" i="15" s="1"/>
  <c r="J562" i="15"/>
  <c r="AE605" i="15" s="1"/>
  <c r="AH605" i="15" s="1"/>
  <c r="V562" i="15"/>
  <c r="AQ605" i="15" s="1"/>
  <c r="AT605" i="15" s="1"/>
  <c r="AJ562" i="15"/>
  <c r="AC605" i="15" s="1"/>
  <c r="H564" i="15"/>
  <c r="T564" i="15"/>
  <c r="AH564" i="15"/>
  <c r="AB607" i="15" s="1"/>
  <c r="AJ569" i="15"/>
  <c r="AC612" i="15" s="1"/>
  <c r="AB569" i="15"/>
  <c r="AW612" i="15" s="1"/>
  <c r="AZ612" i="15" s="1"/>
  <c r="T569" i="15"/>
  <c r="L569" i="15"/>
  <c r="L612" i="15" s="1"/>
  <c r="AH569" i="15"/>
  <c r="AB612" i="15" s="1"/>
  <c r="Z569" i="15"/>
  <c r="R569" i="15"/>
  <c r="R612" i="15" s="1"/>
  <c r="J569" i="15"/>
  <c r="AE612" i="15" s="1"/>
  <c r="AH612" i="15" s="1"/>
  <c r="AG569" i="15"/>
  <c r="Y569" i="15"/>
  <c r="T612" i="15" s="1"/>
  <c r="W612" i="15" s="1"/>
  <c r="Q569" i="15"/>
  <c r="I569" i="15"/>
  <c r="AI612" i="15" s="1"/>
  <c r="P569" i="15"/>
  <c r="AK612" i="15" s="1"/>
  <c r="AN612" i="15" s="1"/>
  <c r="AD569" i="15"/>
  <c r="Z612" i="15" s="1"/>
  <c r="J570" i="15"/>
  <c r="AE613" i="15" s="1"/>
  <c r="AH613" i="15" s="1"/>
  <c r="V570" i="15"/>
  <c r="AQ613" i="15" s="1"/>
  <c r="AT613" i="15" s="1"/>
  <c r="AJ570" i="15"/>
  <c r="AC613" i="15" s="1"/>
  <c r="H572" i="15"/>
  <c r="T572" i="15"/>
  <c r="AH572" i="15"/>
  <c r="AB615" i="15" s="1"/>
  <c r="H625" i="15"/>
  <c r="C668" i="15" s="1"/>
  <c r="U625" i="15"/>
  <c r="Y668" i="15" s="1"/>
  <c r="Q628" i="15"/>
  <c r="W671" i="15" s="1"/>
  <c r="I628" i="15"/>
  <c r="O671" i="15" s="1"/>
  <c r="G628" i="15"/>
  <c r="N671" i="15" s="1"/>
  <c r="F628" i="15"/>
  <c r="B671" i="15" s="1"/>
  <c r="P628" i="15"/>
  <c r="K671" i="15" s="1"/>
  <c r="H633" i="15"/>
  <c r="C676" i="15" s="1"/>
  <c r="F634" i="15"/>
  <c r="B677" i="15" s="1"/>
  <c r="M549" i="15"/>
  <c r="H592" i="15" s="1"/>
  <c r="K592" i="15" s="1"/>
  <c r="U549" i="15"/>
  <c r="AU592" i="15" s="1"/>
  <c r="AC549" i="15"/>
  <c r="AL549" i="15"/>
  <c r="AD592" i="15" s="1"/>
  <c r="J552" i="15"/>
  <c r="AE595" i="15" s="1"/>
  <c r="AH595" i="15" s="1"/>
  <c r="R552" i="15"/>
  <c r="R595" i="15" s="1"/>
  <c r="Z552" i="15"/>
  <c r="AH552" i="15"/>
  <c r="AB595" i="15" s="1"/>
  <c r="M557" i="15"/>
  <c r="H600" i="15" s="1"/>
  <c r="K600" i="15" s="1"/>
  <c r="U557" i="15"/>
  <c r="AU600" i="15" s="1"/>
  <c r="AC557" i="15"/>
  <c r="AL557" i="15"/>
  <c r="AD600" i="15" s="1"/>
  <c r="J560" i="15"/>
  <c r="AE603" i="15" s="1"/>
  <c r="AH603" i="15" s="1"/>
  <c r="R560" i="15"/>
  <c r="R603" i="15" s="1"/>
  <c r="Z560" i="15"/>
  <c r="AH560" i="15"/>
  <c r="AB603" i="15" s="1"/>
  <c r="M565" i="15"/>
  <c r="H608" i="15" s="1"/>
  <c r="K608" i="15" s="1"/>
  <c r="U565" i="15"/>
  <c r="AU608" i="15" s="1"/>
  <c r="AC565" i="15"/>
  <c r="AL565" i="15"/>
  <c r="AD608" i="15" s="1"/>
  <c r="L566" i="15"/>
  <c r="L609" i="15" s="1"/>
  <c r="T566" i="15"/>
  <c r="AB566" i="15"/>
  <c r="AW609" i="15" s="1"/>
  <c r="AZ609" i="15" s="1"/>
  <c r="AJ566" i="15"/>
  <c r="AC609" i="15" s="1"/>
  <c r="J568" i="15"/>
  <c r="AE611" i="15" s="1"/>
  <c r="AH611" i="15" s="1"/>
  <c r="R568" i="15"/>
  <c r="R611" i="15" s="1"/>
  <c r="Z568" i="15"/>
  <c r="AH568" i="15"/>
  <c r="AB611" i="15" s="1"/>
  <c r="M573" i="15"/>
  <c r="H616" i="15" s="1"/>
  <c r="K616" i="15" s="1"/>
  <c r="U573" i="15"/>
  <c r="AU616" i="15" s="1"/>
  <c r="AC573" i="15"/>
  <c r="AL573" i="15"/>
  <c r="AD616" i="15" s="1"/>
  <c r="L574" i="15"/>
  <c r="L617" i="15" s="1"/>
  <c r="T574" i="15"/>
  <c r="AB574" i="15"/>
  <c r="AW617" i="15" s="1"/>
  <c r="AZ617" i="15" s="1"/>
  <c r="AJ574" i="15"/>
  <c r="AC617" i="15" s="1"/>
  <c r="J624" i="15"/>
  <c r="E667" i="15" s="1"/>
  <c r="H667" i="15" s="1"/>
  <c r="R624" i="15"/>
  <c r="L667" i="15" s="1"/>
  <c r="T630" i="15"/>
  <c r="M673" i="15" s="1"/>
  <c r="J632" i="15"/>
  <c r="E675" i="15" s="1"/>
  <c r="H675" i="15" s="1"/>
  <c r="R632" i="15"/>
  <c r="L675" i="15" s="1"/>
  <c r="G635" i="15"/>
  <c r="N678" i="15" s="1"/>
  <c r="T638" i="15"/>
  <c r="M681" i="15" s="1"/>
  <c r="K639" i="15"/>
  <c r="R682" i="15" s="1"/>
  <c r="S682" i="15" s="1"/>
  <c r="S639" i="15"/>
  <c r="X682" i="15" s="1"/>
  <c r="J640" i="15"/>
  <c r="E683" i="15" s="1"/>
  <c r="H683" i="15" s="1"/>
  <c r="R640" i="15"/>
  <c r="L683" i="15" s="1"/>
  <c r="I641" i="15"/>
  <c r="O684" i="15" s="1"/>
  <c r="Q641" i="15"/>
  <c r="W684" i="15" s="1"/>
  <c r="H642" i="15"/>
  <c r="C685" i="15" s="1"/>
  <c r="P642" i="15"/>
  <c r="K685" i="15" s="1"/>
  <c r="G643" i="15"/>
  <c r="N686" i="15" s="1"/>
  <c r="T646" i="15"/>
  <c r="M689" i="15" s="1"/>
  <c r="K647" i="15"/>
  <c r="R690" i="15" s="1"/>
  <c r="S690" i="15" s="1"/>
  <c r="S647" i="15"/>
  <c r="X690" i="15" s="1"/>
  <c r="J648" i="15"/>
  <c r="E691" i="15" s="1"/>
  <c r="H691" i="15" s="1"/>
  <c r="R648" i="15"/>
  <c r="L691" i="15" s="1"/>
  <c r="I649" i="15"/>
  <c r="O692" i="15" s="1"/>
  <c r="Q649" i="15"/>
  <c r="W692" i="15" s="1"/>
  <c r="H650" i="15"/>
  <c r="C693" i="15" s="1"/>
  <c r="P650" i="15"/>
  <c r="K693" i="15" s="1"/>
  <c r="H651" i="15"/>
  <c r="C694" i="15" s="1"/>
  <c r="Q651" i="15"/>
  <c r="W694" i="15" s="1"/>
  <c r="T662" i="15"/>
  <c r="M705" i="15" s="1"/>
  <c r="S662" i="15"/>
  <c r="X705" i="15" s="1"/>
  <c r="K662" i="15"/>
  <c r="R705" i="15" s="1"/>
  <c r="S705" i="15" s="1"/>
  <c r="R662" i="15"/>
  <c r="L705" i="15" s="1"/>
  <c r="J662" i="15"/>
  <c r="E705" i="15" s="1"/>
  <c r="H705" i="15" s="1"/>
  <c r="Q662" i="15"/>
  <c r="W705" i="15" s="1"/>
  <c r="I662" i="15"/>
  <c r="O705" i="15" s="1"/>
  <c r="P662" i="15"/>
  <c r="K705" i="15" s="1"/>
  <c r="H662" i="15"/>
  <c r="C705" i="15" s="1"/>
  <c r="F662" i="15"/>
  <c r="B705" i="15" s="1"/>
  <c r="M566" i="15"/>
  <c r="H609" i="15" s="1"/>
  <c r="K609" i="15" s="1"/>
  <c r="U566" i="15"/>
  <c r="AU609" i="15" s="1"/>
  <c r="AC566" i="15"/>
  <c r="AL566" i="15"/>
  <c r="AD609" i="15" s="1"/>
  <c r="M574" i="15"/>
  <c r="H617" i="15" s="1"/>
  <c r="K617" i="15" s="1"/>
  <c r="U574" i="15"/>
  <c r="AU617" i="15" s="1"/>
  <c r="AC574" i="15"/>
  <c r="AL574" i="15"/>
  <c r="AD617" i="15" s="1"/>
  <c r="U630" i="15"/>
  <c r="Y673" i="15" s="1"/>
  <c r="H635" i="15"/>
  <c r="C678" i="15" s="1"/>
  <c r="P635" i="15"/>
  <c r="K678" i="15" s="1"/>
  <c r="U638" i="15"/>
  <c r="Y681" i="15" s="1"/>
  <c r="T639" i="15"/>
  <c r="M682" i="15" s="1"/>
  <c r="J641" i="15"/>
  <c r="R641" i="15"/>
  <c r="L684" i="15" s="1"/>
  <c r="I642" i="15"/>
  <c r="O685" i="15" s="1"/>
  <c r="Q642" i="15"/>
  <c r="W685" i="15" s="1"/>
  <c r="H643" i="15"/>
  <c r="C686" i="15" s="1"/>
  <c r="P643" i="15"/>
  <c r="K686" i="15" s="1"/>
  <c r="U646" i="15"/>
  <c r="Y689" i="15" s="1"/>
  <c r="T647" i="15"/>
  <c r="M690" i="15" s="1"/>
  <c r="J649" i="15"/>
  <c r="R649" i="15"/>
  <c r="L692" i="15" s="1"/>
  <c r="I650" i="15"/>
  <c r="O693" i="15" s="1"/>
  <c r="Q650" i="15"/>
  <c r="W693" i="15" s="1"/>
  <c r="I651" i="15"/>
  <c r="O694" i="15" s="1"/>
  <c r="R651" i="15"/>
  <c r="L694" i="15" s="1"/>
  <c r="I635" i="15"/>
  <c r="O678" i="15" s="1"/>
  <c r="Q635" i="15"/>
  <c r="W678" i="15" s="1"/>
  <c r="U639" i="15"/>
  <c r="Y682" i="15" s="1"/>
  <c r="K641" i="15"/>
  <c r="R684" i="15" s="1"/>
  <c r="S684" i="15" s="1"/>
  <c r="S641" i="15"/>
  <c r="X684" i="15" s="1"/>
  <c r="J642" i="15"/>
  <c r="R642" i="15"/>
  <c r="L685" i="15" s="1"/>
  <c r="I643" i="15"/>
  <c r="O686" i="15" s="1"/>
  <c r="Q643" i="15"/>
  <c r="W686" i="15" s="1"/>
  <c r="U647" i="15"/>
  <c r="Y690" i="15" s="1"/>
  <c r="K649" i="15"/>
  <c r="R692" i="15" s="1"/>
  <c r="S692" i="15" s="1"/>
  <c r="S649" i="15"/>
  <c r="X692" i="15" s="1"/>
  <c r="J650" i="15"/>
  <c r="E693" i="15" s="1"/>
  <c r="H693" i="15" s="1"/>
  <c r="R650" i="15"/>
  <c r="L693" i="15" s="1"/>
  <c r="F652" i="15"/>
  <c r="B695" i="15" s="1"/>
  <c r="T652" i="15"/>
  <c r="M695" i="15" s="1"/>
  <c r="S652" i="15"/>
  <c r="X695" i="15" s="1"/>
  <c r="K652" i="15"/>
  <c r="R695" i="15" s="1"/>
  <c r="S695" i="15" s="1"/>
  <c r="R652" i="15"/>
  <c r="L695" i="15" s="1"/>
  <c r="J652" i="15"/>
  <c r="E695" i="15" s="1"/>
  <c r="H695" i="15" s="1"/>
  <c r="P652" i="15"/>
  <c r="K695" i="15" s="1"/>
  <c r="H549" i="15"/>
  <c r="P549" i="15"/>
  <c r="AK592" i="15" s="1"/>
  <c r="AN592" i="15" s="1"/>
  <c r="X549" i="15"/>
  <c r="X592" i="15" s="1"/>
  <c r="M552" i="15"/>
  <c r="H595" i="15" s="1"/>
  <c r="K595" i="15" s="1"/>
  <c r="U552" i="15"/>
  <c r="AU595" i="15" s="1"/>
  <c r="AC552" i="15"/>
  <c r="H557" i="15"/>
  <c r="P557" i="15"/>
  <c r="AK600" i="15" s="1"/>
  <c r="AN600" i="15" s="1"/>
  <c r="X557" i="15"/>
  <c r="X600" i="15" s="1"/>
  <c r="M560" i="15"/>
  <c r="H603" i="15" s="1"/>
  <c r="K603" i="15" s="1"/>
  <c r="U560" i="15"/>
  <c r="AU603" i="15" s="1"/>
  <c r="AC560" i="15"/>
  <c r="H565" i="15"/>
  <c r="P565" i="15"/>
  <c r="AK608" i="15" s="1"/>
  <c r="AN608" i="15" s="1"/>
  <c r="X565" i="15"/>
  <c r="X608" i="15" s="1"/>
  <c r="G566" i="15"/>
  <c r="B609" i="15" s="1"/>
  <c r="E609" i="15" s="1"/>
  <c r="O566" i="15"/>
  <c r="AO609" i="15" s="1"/>
  <c r="W566" i="15"/>
  <c r="M568" i="15"/>
  <c r="H611" i="15" s="1"/>
  <c r="K611" i="15" s="1"/>
  <c r="U568" i="15"/>
  <c r="AU611" i="15" s="1"/>
  <c r="AC568" i="15"/>
  <c r="H573" i="15"/>
  <c r="P573" i="15"/>
  <c r="AK616" i="15" s="1"/>
  <c r="AN616" i="15" s="1"/>
  <c r="X573" i="15"/>
  <c r="X616" i="15" s="1"/>
  <c r="G574" i="15"/>
  <c r="B617" i="15" s="1"/>
  <c r="E617" i="15" s="1"/>
  <c r="O574" i="15"/>
  <c r="AO617" i="15" s="1"/>
  <c r="W574" i="15"/>
  <c r="J635" i="15"/>
  <c r="R635" i="15"/>
  <c r="L678" i="15" s="1"/>
  <c r="T641" i="15"/>
  <c r="M684" i="15" s="1"/>
  <c r="K642" i="15"/>
  <c r="R685" i="15" s="1"/>
  <c r="S685" i="15" s="1"/>
  <c r="S642" i="15"/>
  <c r="X685" i="15" s="1"/>
  <c r="J643" i="15"/>
  <c r="R643" i="15"/>
  <c r="L686" i="15" s="1"/>
  <c r="T649" i="15"/>
  <c r="M692" i="15" s="1"/>
  <c r="K650" i="15"/>
  <c r="R693" i="15" s="1"/>
  <c r="S693" i="15" s="1"/>
  <c r="S650" i="15"/>
  <c r="X693" i="15" s="1"/>
  <c r="G652" i="15"/>
  <c r="N695" i="15" s="1"/>
  <c r="Q652" i="15"/>
  <c r="W695" i="15" s="1"/>
  <c r="U641" i="15"/>
  <c r="Y684" i="15" s="1"/>
  <c r="T642" i="15"/>
  <c r="M685" i="15" s="1"/>
  <c r="S643" i="15"/>
  <c r="X686" i="15" s="1"/>
  <c r="U649" i="15"/>
  <c r="Y692" i="15" s="1"/>
  <c r="U650" i="15"/>
  <c r="Y693" i="15" s="1"/>
  <c r="S656" i="15"/>
  <c r="X699" i="15" s="1"/>
  <c r="U642" i="15"/>
  <c r="Y685" i="15" s="1"/>
  <c r="U651" i="15"/>
  <c r="Y694" i="15" s="1"/>
  <c r="T651" i="15"/>
  <c r="M694" i="15" s="1"/>
  <c r="S651" i="15"/>
  <c r="X694" i="15" s="1"/>
  <c r="K651" i="15"/>
  <c r="R694" i="15" s="1"/>
  <c r="S694" i="15" s="1"/>
  <c r="F650" i="15"/>
  <c r="B693" i="15" s="1"/>
  <c r="F651" i="15"/>
  <c r="B694" i="15" s="1"/>
  <c r="R656" i="15"/>
  <c r="L699" i="15" s="1"/>
  <c r="J656" i="15"/>
  <c r="E699" i="15" s="1"/>
  <c r="H699" i="15" s="1"/>
  <c r="Q656" i="15"/>
  <c r="W699" i="15" s="1"/>
  <c r="I656" i="15"/>
  <c r="O699" i="15" s="1"/>
  <c r="P656" i="15"/>
  <c r="K699" i="15" s="1"/>
  <c r="H656" i="15"/>
  <c r="C699" i="15" s="1"/>
  <c r="G656" i="15"/>
  <c r="N699" i="15" s="1"/>
  <c r="F656" i="15"/>
  <c r="B699" i="15" s="1"/>
  <c r="T656" i="15"/>
  <c r="M699" i="15" s="1"/>
  <c r="U655" i="15"/>
  <c r="Y698" i="15" s="1"/>
  <c r="U663" i="15"/>
  <c r="Y706" i="15" s="1"/>
  <c r="I653" i="15"/>
  <c r="O696" i="15" s="1"/>
  <c r="Q653" i="15"/>
  <c r="W696" i="15" s="1"/>
  <c r="G655" i="15"/>
  <c r="N698" i="15" s="1"/>
  <c r="U657" i="15"/>
  <c r="Y700" i="15" s="1"/>
  <c r="T658" i="15"/>
  <c r="M701" i="15" s="1"/>
  <c r="K659" i="15"/>
  <c r="R702" i="15" s="1"/>
  <c r="S702" i="15" s="1"/>
  <c r="S659" i="15"/>
  <c r="X702" i="15" s="1"/>
  <c r="J660" i="15"/>
  <c r="E703" i="15" s="1"/>
  <c r="H703" i="15" s="1"/>
  <c r="R660" i="15"/>
  <c r="L703" i="15" s="1"/>
  <c r="I661" i="15"/>
  <c r="O704" i="15" s="1"/>
  <c r="Q661" i="15"/>
  <c r="W704" i="15" s="1"/>
  <c r="G663" i="15"/>
  <c r="N706" i="15" s="1"/>
  <c r="J653" i="15"/>
  <c r="E696" i="15" s="1"/>
  <c r="H696" i="15" s="1"/>
  <c r="R653" i="15"/>
  <c r="L696" i="15" s="1"/>
  <c r="H655" i="15"/>
  <c r="C698" i="15" s="1"/>
  <c r="P655" i="15"/>
  <c r="K698" i="15" s="1"/>
  <c r="U658" i="15"/>
  <c r="Y701" i="15" s="1"/>
  <c r="T659" i="15"/>
  <c r="M702" i="15" s="1"/>
  <c r="K660" i="15"/>
  <c r="S660" i="15"/>
  <c r="X703" i="15" s="1"/>
  <c r="J661" i="15"/>
  <c r="E704" i="15" s="1"/>
  <c r="H704" i="15" s="1"/>
  <c r="R661" i="15"/>
  <c r="L704" i="15" s="1"/>
  <c r="H663" i="15"/>
  <c r="C706" i="15" s="1"/>
  <c r="P663" i="15"/>
  <c r="K706" i="15" s="1"/>
  <c r="K653" i="15"/>
  <c r="R696" i="15" s="1"/>
  <c r="S696" i="15" s="1"/>
  <c r="S653" i="15"/>
  <c r="X696" i="15" s="1"/>
  <c r="I655" i="15"/>
  <c r="O698" i="15" s="1"/>
  <c r="Q655" i="15"/>
  <c r="W698" i="15" s="1"/>
  <c r="F658" i="15"/>
  <c r="B701" i="15" s="1"/>
  <c r="T660" i="15"/>
  <c r="M703" i="15" s="1"/>
  <c r="K661" i="15"/>
  <c r="R704" i="15" s="1"/>
  <c r="S704" i="15" s="1"/>
  <c r="S661" i="15"/>
  <c r="X704" i="15" s="1"/>
  <c r="I663" i="15"/>
  <c r="O706" i="15" s="1"/>
  <c r="Q663" i="15"/>
  <c r="W706" i="15" s="1"/>
  <c r="J655" i="15"/>
  <c r="E698" i="15" s="1"/>
  <c r="H698" i="15" s="1"/>
  <c r="R655" i="15"/>
  <c r="L698" i="15" s="1"/>
  <c r="U660" i="15"/>
  <c r="Y703" i="15" s="1"/>
  <c r="T661" i="15"/>
  <c r="M704" i="15" s="1"/>
  <c r="J663" i="15"/>
  <c r="E706" i="15" s="1"/>
  <c r="H706" i="15" s="1"/>
  <c r="R663" i="15"/>
  <c r="L706" i="15" s="1"/>
  <c r="K655" i="15"/>
  <c r="R698" i="15" s="1"/>
  <c r="S698" i="15" s="1"/>
  <c r="I657" i="15"/>
  <c r="O700" i="15" s="1"/>
  <c r="H658" i="15"/>
  <c r="C701" i="15" s="1"/>
  <c r="K663" i="15"/>
  <c r="R706" i="15" s="1"/>
  <c r="S706" i="15" s="1"/>
  <c r="AC8" i="13"/>
  <c r="G7" i="13"/>
  <c r="AC10" i="13"/>
  <c r="AD11" i="13"/>
  <c r="C12" i="13"/>
  <c r="F12" i="13" s="1"/>
  <c r="C41" i="13"/>
  <c r="F41" i="13" s="1"/>
  <c r="G6" i="13"/>
  <c r="AC9" i="13"/>
  <c r="AD10" i="13"/>
  <c r="C11" i="13"/>
  <c r="C186" i="13"/>
  <c r="C182" i="13"/>
  <c r="C178" i="13"/>
  <c r="C174" i="13"/>
  <c r="P138" i="13"/>
  <c r="P134" i="13"/>
  <c r="P130" i="13"/>
  <c r="C185" i="13"/>
  <c r="C181" i="13"/>
  <c r="C177" i="13"/>
  <c r="C173" i="13"/>
  <c r="P139" i="13"/>
  <c r="P135" i="13"/>
  <c r="P131" i="13"/>
  <c r="C188" i="13"/>
  <c r="C184" i="13"/>
  <c r="C180" i="13"/>
  <c r="C176" i="13"/>
  <c r="C172" i="13"/>
  <c r="P140" i="13"/>
  <c r="P136" i="13"/>
  <c r="P132" i="13"/>
  <c r="C187" i="13"/>
  <c r="C183" i="13"/>
  <c r="C179" i="13"/>
  <c r="C175" i="13"/>
  <c r="C171" i="13"/>
  <c r="P137" i="13"/>
  <c r="P133" i="13"/>
  <c r="P127" i="13"/>
  <c r="P123" i="13"/>
  <c r="P115" i="13"/>
  <c r="P128" i="13"/>
  <c r="P129" i="13"/>
  <c r="P125" i="13"/>
  <c r="P113" i="13"/>
  <c r="P112" i="13"/>
  <c r="P111" i="13"/>
  <c r="P107" i="13"/>
  <c r="P109" i="13"/>
  <c r="P105" i="13"/>
  <c r="P126" i="13"/>
  <c r="P110" i="13"/>
  <c r="P108" i="13"/>
  <c r="P106" i="13"/>
  <c r="P101" i="13"/>
  <c r="P124" i="13"/>
  <c r="P104" i="13"/>
  <c r="H92" i="13"/>
  <c r="H91" i="13"/>
  <c r="H90" i="13"/>
  <c r="H89" i="13"/>
  <c r="H88" i="13"/>
  <c r="H87" i="13"/>
  <c r="H86" i="13"/>
  <c r="H85" i="13"/>
  <c r="H84" i="13"/>
  <c r="H83" i="13"/>
  <c r="H82" i="13"/>
  <c r="H81" i="13"/>
  <c r="H80" i="13"/>
  <c r="H79" i="13"/>
  <c r="H78" i="13"/>
  <c r="H77" i="13"/>
  <c r="P100" i="13"/>
  <c r="P114" i="13"/>
  <c r="J91" i="13"/>
  <c r="J83" i="13"/>
  <c r="P116" i="13"/>
  <c r="P102" i="13"/>
  <c r="J86" i="13"/>
  <c r="J78" i="13"/>
  <c r="J75" i="13"/>
  <c r="P103" i="13"/>
  <c r="P99" i="13"/>
  <c r="J89" i="13"/>
  <c r="J81" i="13"/>
  <c r="H75" i="13"/>
  <c r="J87" i="13"/>
  <c r="J79" i="13"/>
  <c r="H76" i="13"/>
  <c r="J90" i="13"/>
  <c r="J82" i="13"/>
  <c r="G39" i="13"/>
  <c r="J39" i="13" s="1"/>
  <c r="G31" i="13"/>
  <c r="J31" i="13" s="1"/>
  <c r="AD24" i="13"/>
  <c r="G20" i="13"/>
  <c r="AD16" i="13"/>
  <c r="J76" i="13"/>
  <c r="G40" i="13"/>
  <c r="G32" i="13"/>
  <c r="AD25" i="13"/>
  <c r="G21" i="13"/>
  <c r="AD17" i="13"/>
  <c r="G13" i="13"/>
  <c r="J88" i="13"/>
  <c r="G41" i="13"/>
  <c r="G33" i="13"/>
  <c r="G22" i="13"/>
  <c r="AD18" i="13"/>
  <c r="G14" i="13"/>
  <c r="J92" i="13"/>
  <c r="J85" i="13"/>
  <c r="G42" i="13"/>
  <c r="G34" i="13"/>
  <c r="G23" i="13"/>
  <c r="AD19" i="13"/>
  <c r="G15" i="13"/>
  <c r="G43" i="13"/>
  <c r="G35" i="13"/>
  <c r="AD20" i="13"/>
  <c r="G45" i="13"/>
  <c r="J45" i="13" s="1"/>
  <c r="G37" i="13"/>
  <c r="J37" i="13" s="1"/>
  <c r="G29" i="13"/>
  <c r="J29" i="13" s="1"/>
  <c r="AD22" i="13"/>
  <c r="G18" i="13"/>
  <c r="J18" i="13" s="1"/>
  <c r="AD14" i="13"/>
  <c r="J84" i="13"/>
  <c r="G46" i="13"/>
  <c r="G38" i="13"/>
  <c r="G30" i="13"/>
  <c r="AD23" i="13"/>
  <c r="G19" i="13"/>
  <c r="AD15" i="13"/>
  <c r="AC7" i="13"/>
  <c r="AD8" i="13"/>
  <c r="C9" i="13"/>
  <c r="G12" i="13"/>
  <c r="G16" i="13"/>
  <c r="J16" i="13" s="1"/>
  <c r="G17" i="13"/>
  <c r="AC20" i="13"/>
  <c r="G36" i="13"/>
  <c r="J80" i="13"/>
  <c r="AC6" i="13"/>
  <c r="AD7" i="13"/>
  <c r="C8" i="13"/>
  <c r="G11" i="13"/>
  <c r="C14" i="13"/>
  <c r="F14" i="13" s="1"/>
  <c r="C33" i="13"/>
  <c r="F33" i="13" s="1"/>
  <c r="J77" i="13"/>
  <c r="AD6" i="13"/>
  <c r="C7" i="13"/>
  <c r="G10" i="13"/>
  <c r="C13" i="13"/>
  <c r="C22" i="13"/>
  <c r="F22" i="13" s="1"/>
  <c r="C6" i="13"/>
  <c r="F6" i="13" s="1"/>
  <c r="G9" i="13"/>
  <c r="AC12" i="13"/>
  <c r="C164" i="13"/>
  <c r="C162" i="13"/>
  <c r="C160" i="13"/>
  <c r="C158" i="13"/>
  <c r="C156" i="13"/>
  <c r="C154" i="13"/>
  <c r="C152" i="13"/>
  <c r="C150" i="13"/>
  <c r="C148" i="13"/>
  <c r="C137" i="13"/>
  <c r="C133" i="13"/>
  <c r="C138" i="13"/>
  <c r="C134" i="13"/>
  <c r="C130" i="13"/>
  <c r="C163" i="13"/>
  <c r="C161" i="13"/>
  <c r="C159" i="13"/>
  <c r="C157" i="13"/>
  <c r="C155" i="13"/>
  <c r="C153" i="13"/>
  <c r="C151" i="13"/>
  <c r="C149" i="13"/>
  <c r="C147" i="13"/>
  <c r="C139" i="13"/>
  <c r="C135" i="13"/>
  <c r="C131" i="13"/>
  <c r="C140" i="13"/>
  <c r="C127" i="13"/>
  <c r="C123" i="13"/>
  <c r="C115" i="13"/>
  <c r="C132" i="13"/>
  <c r="C128" i="13"/>
  <c r="C124" i="13"/>
  <c r="C116" i="13"/>
  <c r="C112" i="13"/>
  <c r="C129" i="13"/>
  <c r="C109" i="13"/>
  <c r="C105" i="13"/>
  <c r="C125" i="13"/>
  <c r="C136" i="13"/>
  <c r="C126" i="13"/>
  <c r="C110" i="13"/>
  <c r="C106" i="13"/>
  <c r="C114" i="13"/>
  <c r="C104" i="13"/>
  <c r="C100" i="13"/>
  <c r="C111" i="13"/>
  <c r="C107" i="13"/>
  <c r="C102" i="13"/>
  <c r="C113" i="13"/>
  <c r="C108" i="13"/>
  <c r="D92" i="13"/>
  <c r="D91" i="13"/>
  <c r="D90" i="13"/>
  <c r="D89" i="13"/>
  <c r="D88" i="13"/>
  <c r="D87" i="13"/>
  <c r="D86" i="13"/>
  <c r="D85" i="13"/>
  <c r="D84" i="13"/>
  <c r="D83" i="13"/>
  <c r="D82" i="13"/>
  <c r="D81" i="13"/>
  <c r="D80" i="13"/>
  <c r="D79" i="13"/>
  <c r="D78" i="13"/>
  <c r="D77" i="13"/>
  <c r="D76" i="13"/>
  <c r="D75" i="13"/>
  <c r="C101" i="13"/>
  <c r="C99" i="13"/>
  <c r="C44" i="13"/>
  <c r="C36" i="13"/>
  <c r="AC23" i="13"/>
  <c r="C17" i="13"/>
  <c r="AC15" i="13"/>
  <c r="C45" i="13"/>
  <c r="C37" i="13"/>
  <c r="C29" i="13"/>
  <c r="AC24" i="13"/>
  <c r="C18" i="13"/>
  <c r="AC16" i="13"/>
  <c r="C46" i="13"/>
  <c r="C38" i="13"/>
  <c r="C30" i="13"/>
  <c r="AC25" i="13"/>
  <c r="C19" i="13"/>
  <c r="AC17" i="13"/>
  <c r="C39" i="13"/>
  <c r="C31" i="13"/>
  <c r="C20" i="13"/>
  <c r="F20" i="13" s="1"/>
  <c r="AC18" i="13"/>
  <c r="C40" i="13"/>
  <c r="C32" i="13"/>
  <c r="C21" i="13"/>
  <c r="AC19" i="13"/>
  <c r="C103" i="13"/>
  <c r="C42" i="13"/>
  <c r="C34" i="13"/>
  <c r="C23" i="13"/>
  <c r="AC21" i="13"/>
  <c r="C15" i="13"/>
  <c r="C43" i="13"/>
  <c r="F43" i="13" s="1"/>
  <c r="C35" i="13"/>
  <c r="F35" i="13" s="1"/>
  <c r="AC22" i="13"/>
  <c r="C16" i="13"/>
  <c r="AC14" i="13"/>
  <c r="G8" i="13"/>
  <c r="J8" i="13" s="1"/>
  <c r="AC11" i="13"/>
  <c r="AD12" i="13"/>
  <c r="AD13" i="13"/>
  <c r="G44" i="13"/>
  <c r="I284" i="15"/>
  <c r="H284" i="15"/>
  <c r="J284" i="15"/>
  <c r="I331" i="15"/>
  <c r="I274" i="15"/>
  <c r="I276" i="15"/>
  <c r="J280" i="15"/>
  <c r="I322" i="15"/>
  <c r="H273" i="15"/>
  <c r="I277" i="15"/>
  <c r="H277" i="15"/>
  <c r="I280" i="15"/>
  <c r="H280" i="15"/>
  <c r="L280" i="15" s="1"/>
  <c r="J300" i="15"/>
  <c r="I300" i="15"/>
  <c r="H300" i="15"/>
  <c r="I270" i="15"/>
  <c r="J272" i="15"/>
  <c r="I273" i="15"/>
  <c r="H282" i="15"/>
  <c r="J279" i="15"/>
  <c r="I347" i="15"/>
  <c r="H274" i="15"/>
  <c r="I282" i="15"/>
  <c r="Z420" i="15"/>
  <c r="Y420" i="15"/>
  <c r="X420" i="15"/>
  <c r="AA420" i="15" s="1"/>
  <c r="AD420" i="15" s="1"/>
  <c r="J273" i="15"/>
  <c r="H275" i="15"/>
  <c r="I278" i="15"/>
  <c r="J281" i="15"/>
  <c r="H283" i="15"/>
  <c r="J286" i="15"/>
  <c r="H294" i="15"/>
  <c r="H297" i="15"/>
  <c r="J301" i="15"/>
  <c r="I303" i="15"/>
  <c r="I317" i="15"/>
  <c r="I324" i="15"/>
  <c r="I333" i="15"/>
  <c r="I339" i="15"/>
  <c r="I341" i="15"/>
  <c r="I343" i="15"/>
  <c r="J278" i="15"/>
  <c r="H290" i="15"/>
  <c r="J292" i="15"/>
  <c r="J295" i="15"/>
  <c r="H296" i="15"/>
  <c r="I297" i="15"/>
  <c r="I298" i="15"/>
  <c r="H298" i="15"/>
  <c r="I319" i="15"/>
  <c r="I326" i="15"/>
  <c r="I335" i="15"/>
  <c r="Z404" i="15"/>
  <c r="Y404" i="15"/>
  <c r="X404" i="15"/>
  <c r="AA404" i="15" s="1"/>
  <c r="AD404" i="15" s="1"/>
  <c r="H285" i="15"/>
  <c r="I293" i="15"/>
  <c r="H293" i="15"/>
  <c r="I308" i="15"/>
  <c r="I321" i="15"/>
  <c r="I328" i="15"/>
  <c r="I285" i="15"/>
  <c r="J296" i="15"/>
  <c r="I323" i="15"/>
  <c r="I330" i="15"/>
  <c r="Z436" i="15"/>
  <c r="Y436" i="15"/>
  <c r="X436" i="15"/>
  <c r="AA436" i="15" s="1"/>
  <c r="AD436" i="15" s="1"/>
  <c r="X506" i="15"/>
  <c r="AA506" i="15" s="1"/>
  <c r="AD506" i="15" s="1"/>
  <c r="Z506" i="15"/>
  <c r="Y506" i="15"/>
  <c r="J285" i="15"/>
  <c r="H303" i="15"/>
  <c r="I306" i="15"/>
  <c r="H306" i="15"/>
  <c r="I316" i="15"/>
  <c r="I325" i="15"/>
  <c r="I332" i="15"/>
  <c r="I318" i="15"/>
  <c r="I327" i="15"/>
  <c r="H286" i="15"/>
  <c r="I287" i="15"/>
  <c r="I290" i="15"/>
  <c r="J298" i="15"/>
  <c r="J305" i="15"/>
  <c r="I320" i="15"/>
  <c r="I329" i="15"/>
  <c r="I288" i="15"/>
  <c r="I296" i="15"/>
  <c r="H301" i="15"/>
  <c r="I304" i="15"/>
  <c r="H309" i="15"/>
  <c r="I348" i="15"/>
  <c r="I350" i="15"/>
  <c r="I352" i="15"/>
  <c r="I354" i="15"/>
  <c r="T419" i="15"/>
  <c r="W419" i="15" s="1"/>
  <c r="X415" i="15"/>
  <c r="AA415" i="15" s="1"/>
  <c r="AD415" i="15" s="1"/>
  <c r="X498" i="15"/>
  <c r="AA498" i="15" s="1"/>
  <c r="AD498" i="15" s="1"/>
  <c r="Z498" i="15"/>
  <c r="Y498" i="15"/>
  <c r="I301" i="15"/>
  <c r="I309" i="15"/>
  <c r="I340" i="15"/>
  <c r="Z415" i="15"/>
  <c r="Y422" i="15"/>
  <c r="X502" i="15"/>
  <c r="AA502" i="15" s="1"/>
  <c r="AD502" i="15" s="1"/>
  <c r="Z502" i="15"/>
  <c r="Y502" i="15"/>
  <c r="Z422" i="15"/>
  <c r="X430" i="15"/>
  <c r="AA430" i="15" s="1"/>
  <c r="AD430" i="15" s="1"/>
  <c r="Z430" i="15"/>
  <c r="Y430" i="15"/>
  <c r="Y414" i="15"/>
  <c r="X494" i="15"/>
  <c r="AA494" i="15" s="1"/>
  <c r="AD494" i="15" s="1"/>
  <c r="Z494" i="15"/>
  <c r="Y494" i="15"/>
  <c r="Z414" i="15"/>
  <c r="Z431" i="15"/>
  <c r="Y431" i="15"/>
  <c r="X431" i="15"/>
  <c r="AA431" i="15" s="1"/>
  <c r="AD431" i="15" s="1"/>
  <c r="X439" i="15"/>
  <c r="AA439" i="15" s="1"/>
  <c r="AD439" i="15" s="1"/>
  <c r="X510" i="15"/>
  <c r="AA510" i="15" s="1"/>
  <c r="AD510" i="15" s="1"/>
  <c r="Z510" i="15"/>
  <c r="Y510" i="15"/>
  <c r="P409" i="15"/>
  <c r="G409" i="15"/>
  <c r="J409" i="15" s="1"/>
  <c r="M409" i="15" s="1"/>
  <c r="AE407" i="15"/>
  <c r="AH407" i="15" s="1"/>
  <c r="X423" i="15"/>
  <c r="AA423" i="15" s="1"/>
  <c r="AD423" i="15" s="1"/>
  <c r="Z439" i="15"/>
  <c r="T493" i="15"/>
  <c r="W493" i="15" s="1"/>
  <c r="S508" i="15"/>
  <c r="AI508" i="15" s="1"/>
  <c r="S518" i="15"/>
  <c r="AI518" i="15" s="1"/>
  <c r="BC581" i="15"/>
  <c r="C507" i="15"/>
  <c r="F507" i="15" s="1"/>
  <c r="BC594" i="15"/>
  <c r="AB582" i="15"/>
  <c r="AM556" i="15"/>
  <c r="BG599" i="15" s="1"/>
  <c r="BE599" i="15"/>
  <c r="AA592" i="15"/>
  <c r="AD587" i="15"/>
  <c r="AA584" i="15"/>
  <c r="AB596" i="15"/>
  <c r="AA611" i="15"/>
  <c r="AB590" i="15"/>
  <c r="AD595" i="15"/>
  <c r="X586" i="15"/>
  <c r="T616" i="15"/>
  <c r="W616" i="15" s="1"/>
  <c r="AW597" i="15"/>
  <c r="AZ597" i="15" s="1"/>
  <c r="Z608" i="15"/>
  <c r="BA612" i="15"/>
  <c r="N681" i="15"/>
  <c r="AO600" i="15"/>
  <c r="BA604" i="15"/>
  <c r="N614" i="15"/>
  <c r="Q614" i="15" s="1"/>
  <c r="M678" i="15"/>
  <c r="M677" i="15"/>
  <c r="K667" i="15"/>
  <c r="N674" i="15"/>
  <c r="X668" i="15"/>
  <c r="O672" i="15"/>
  <c r="B690" i="15"/>
  <c r="Y675" i="15"/>
  <c r="K692" i="15"/>
  <c r="M686" i="15"/>
  <c r="M691" i="15"/>
  <c r="W700" i="15"/>
  <c r="X698" i="15"/>
  <c r="H48" i="14"/>
  <c r="L48" i="14"/>
  <c r="N48" i="14" s="1"/>
  <c r="P94" i="13"/>
  <c r="K167" i="13"/>
  <c r="H471" i="15" l="1"/>
  <c r="O514" i="15" s="1"/>
  <c r="H470" i="15"/>
  <c r="O513" i="15" s="1"/>
  <c r="K470" i="15"/>
  <c r="H513" i="15" s="1"/>
  <c r="K165" i="13"/>
  <c r="K466" i="15"/>
  <c r="H509" i="15" s="1"/>
  <c r="H466" i="15"/>
  <c r="N420" i="15"/>
  <c r="Q420" i="15" s="1"/>
  <c r="W294" i="15"/>
  <c r="X294" i="15" s="1"/>
  <c r="P441" i="15"/>
  <c r="O527" i="15"/>
  <c r="AM561" i="15"/>
  <c r="BG604" i="15" s="1"/>
  <c r="W286" i="15"/>
  <c r="X286" i="15" s="1"/>
  <c r="W299" i="15"/>
  <c r="X299" i="15" s="1"/>
  <c r="I417" i="15"/>
  <c r="X508" i="15"/>
  <c r="AA508" i="15" s="1"/>
  <c r="AD508" i="15" s="1"/>
  <c r="AG525" i="15"/>
  <c r="AE525" i="15"/>
  <c r="AH525" i="15" s="1"/>
  <c r="F701" i="15"/>
  <c r="I513" i="15"/>
  <c r="O436" i="15"/>
  <c r="G412" i="15"/>
  <c r="J412" i="15" s="1"/>
  <c r="M412" i="15" s="1"/>
  <c r="N428" i="15"/>
  <c r="Q428" i="15" s="1"/>
  <c r="L286" i="15"/>
  <c r="M286" i="15" s="1"/>
  <c r="W302" i="15"/>
  <c r="X302" i="15" s="1"/>
  <c r="H461" i="15"/>
  <c r="N504" i="15" s="1"/>
  <c r="Q504" i="15" s="1"/>
  <c r="K456" i="15"/>
  <c r="H499" i="15" s="1"/>
  <c r="H456" i="15"/>
  <c r="N499" i="15" s="1"/>
  <c r="Q499" i="15" s="1"/>
  <c r="P523" i="15"/>
  <c r="G523" i="15"/>
  <c r="J523" i="15" s="1"/>
  <c r="M523" i="15" s="1"/>
  <c r="I431" i="15"/>
  <c r="I509" i="15"/>
  <c r="N519" i="15"/>
  <c r="Q519" i="15" s="1"/>
  <c r="G424" i="15"/>
  <c r="J424" i="15" s="1"/>
  <c r="M424" i="15" s="1"/>
  <c r="Z508" i="15"/>
  <c r="W296" i="15"/>
  <c r="X296" i="15" s="1"/>
  <c r="O441" i="15"/>
  <c r="N429" i="15"/>
  <c r="Q429" i="15" s="1"/>
  <c r="P440" i="15"/>
  <c r="AM548" i="15"/>
  <c r="BG591" i="15" s="1"/>
  <c r="AE411" i="15"/>
  <c r="AH411" i="15" s="1"/>
  <c r="G440" i="15"/>
  <c r="J440" i="15" s="1"/>
  <c r="M440" i="15" s="1"/>
  <c r="N437" i="15"/>
  <c r="Q437" i="15" s="1"/>
  <c r="I525" i="15"/>
  <c r="G405" i="15"/>
  <c r="J405" i="15" s="1"/>
  <c r="M405" i="15" s="1"/>
  <c r="N529" i="15"/>
  <c r="Q529" i="15" s="1"/>
  <c r="P429" i="15"/>
  <c r="P405" i="15"/>
  <c r="W293" i="15"/>
  <c r="X293" i="15" s="1"/>
  <c r="G429" i="15"/>
  <c r="J429" i="15" s="1"/>
  <c r="M429" i="15" s="1"/>
  <c r="L273" i="15"/>
  <c r="M273" i="15" s="1"/>
  <c r="Q701" i="15"/>
  <c r="T701" i="15" s="1"/>
  <c r="Q667" i="15"/>
  <c r="T667" i="15" s="1"/>
  <c r="G416" i="15"/>
  <c r="J416" i="15" s="1"/>
  <c r="M416" i="15" s="1"/>
  <c r="O491" i="15"/>
  <c r="Q689" i="15"/>
  <c r="T689" i="15" s="1"/>
  <c r="Q686" i="15"/>
  <c r="T686" i="15" s="1"/>
  <c r="AF411" i="15"/>
  <c r="I416" i="15"/>
  <c r="G404" i="15"/>
  <c r="J404" i="15" s="1"/>
  <c r="M404" i="15" s="1"/>
  <c r="O405" i="15"/>
  <c r="AF427" i="15"/>
  <c r="P403" i="15"/>
  <c r="E700" i="15"/>
  <c r="H700" i="15" s="1"/>
  <c r="L275" i="15"/>
  <c r="M275" i="15" s="1"/>
  <c r="F700" i="15"/>
  <c r="O411" i="15"/>
  <c r="O439" i="15"/>
  <c r="I515" i="15"/>
  <c r="G403" i="15"/>
  <c r="J403" i="15" s="1"/>
  <c r="M403" i="15" s="1"/>
  <c r="O495" i="15"/>
  <c r="E165" i="13"/>
  <c r="P515" i="15"/>
  <c r="F690" i="15"/>
  <c r="L291" i="15"/>
  <c r="M291" i="15" s="1"/>
  <c r="W281" i="15"/>
  <c r="X281" i="15" s="1"/>
  <c r="Y281" i="15" s="1"/>
  <c r="I439" i="15"/>
  <c r="P507" i="15"/>
  <c r="G507" i="15"/>
  <c r="J507" i="15" s="1"/>
  <c r="M507" i="15" s="1"/>
  <c r="N501" i="15"/>
  <c r="Q501" i="15" s="1"/>
  <c r="O523" i="15"/>
  <c r="G439" i="15"/>
  <c r="J439" i="15" s="1"/>
  <c r="M439" i="15" s="1"/>
  <c r="AE423" i="15"/>
  <c r="AH423" i="15" s="1"/>
  <c r="G441" i="15"/>
  <c r="J441" i="15" s="1"/>
  <c r="M441" i="15" s="1"/>
  <c r="I404" i="15"/>
  <c r="N407" i="15"/>
  <c r="Q407" i="15" s="1"/>
  <c r="Z410" i="15"/>
  <c r="AE421" i="15"/>
  <c r="AH421" i="15" s="1"/>
  <c r="W283" i="15"/>
  <c r="X283" i="15" s="1"/>
  <c r="AM563" i="15"/>
  <c r="BG606" i="15" s="1"/>
  <c r="AF421" i="15"/>
  <c r="AM572" i="15"/>
  <c r="BG615" i="15" s="1"/>
  <c r="AE433" i="15"/>
  <c r="AH433" i="15" s="1"/>
  <c r="Q675" i="15"/>
  <c r="T675" i="15" s="1"/>
  <c r="O435" i="15"/>
  <c r="AF433" i="15"/>
  <c r="X416" i="15"/>
  <c r="AA416" i="15" s="1"/>
  <c r="AD416" i="15" s="1"/>
  <c r="P435" i="15"/>
  <c r="AE425" i="15"/>
  <c r="AH425" i="15" s="1"/>
  <c r="F672" i="15"/>
  <c r="N526" i="15"/>
  <c r="Q526" i="15" s="1"/>
  <c r="I435" i="15"/>
  <c r="W273" i="15"/>
  <c r="X273" i="15" s="1"/>
  <c r="N528" i="15"/>
  <c r="Q528" i="15" s="1"/>
  <c r="O423" i="15"/>
  <c r="W275" i="15"/>
  <c r="X275" i="15" s="1"/>
  <c r="Y275" i="15" s="1"/>
  <c r="W291" i="15"/>
  <c r="X291" i="15" s="1"/>
  <c r="W289" i="15"/>
  <c r="X289" i="15" s="1"/>
  <c r="G500" i="15"/>
  <c r="J500" i="15" s="1"/>
  <c r="M500" i="15" s="1"/>
  <c r="L283" i="15"/>
  <c r="M283" i="15" s="1"/>
  <c r="L288" i="15"/>
  <c r="M288" i="15" s="1"/>
  <c r="G437" i="15"/>
  <c r="J437" i="15" s="1"/>
  <c r="M437" i="15" s="1"/>
  <c r="I524" i="15"/>
  <c r="I437" i="15"/>
  <c r="P524" i="15"/>
  <c r="G527" i="15"/>
  <c r="J527" i="15" s="1"/>
  <c r="M527" i="15" s="1"/>
  <c r="G417" i="15"/>
  <c r="J417" i="15" s="1"/>
  <c r="M417" i="15" s="1"/>
  <c r="Y424" i="15"/>
  <c r="P413" i="15"/>
  <c r="L285" i="15"/>
  <c r="M285" i="15" s="1"/>
  <c r="Y403" i="15"/>
  <c r="G681" i="15"/>
  <c r="BD617" i="15"/>
  <c r="AG523" i="15"/>
  <c r="P521" i="15"/>
  <c r="Y435" i="15"/>
  <c r="O503" i="15"/>
  <c r="P497" i="15"/>
  <c r="W307" i="15"/>
  <c r="X307" i="15" s="1"/>
  <c r="G497" i="15"/>
  <c r="J497" i="15" s="1"/>
  <c r="M497" i="15" s="1"/>
  <c r="G522" i="15"/>
  <c r="J522" i="15" s="1"/>
  <c r="M522" i="15" s="1"/>
  <c r="P522" i="15"/>
  <c r="AK567" i="15"/>
  <c r="BF610" i="15" s="1"/>
  <c r="AK563" i="15"/>
  <c r="BF606" i="15" s="1"/>
  <c r="AM560" i="15"/>
  <c r="BG603" i="15" s="1"/>
  <c r="I521" i="15"/>
  <c r="AE523" i="15"/>
  <c r="AH523" i="15" s="1"/>
  <c r="I413" i="15"/>
  <c r="Z435" i="15"/>
  <c r="X406" i="15"/>
  <c r="AA406" i="15" s="1"/>
  <c r="AD406" i="15" s="1"/>
  <c r="G427" i="15"/>
  <c r="J427" i="15" s="1"/>
  <c r="M427" i="15" s="1"/>
  <c r="Z424" i="15"/>
  <c r="F702" i="15"/>
  <c r="Q683" i="15"/>
  <c r="T683" i="15" s="1"/>
  <c r="I427" i="15"/>
  <c r="AE435" i="15"/>
  <c r="AH435" i="15" s="1"/>
  <c r="W304" i="15"/>
  <c r="X304" i="15" s="1"/>
  <c r="AF441" i="15"/>
  <c r="G702" i="15"/>
  <c r="N498" i="15"/>
  <c r="Q498" i="15" s="1"/>
  <c r="O500" i="15"/>
  <c r="AE441" i="15"/>
  <c r="AH441" i="15" s="1"/>
  <c r="E689" i="15"/>
  <c r="H689" i="15" s="1"/>
  <c r="AM574" i="15"/>
  <c r="BG617" i="15" s="1"/>
  <c r="AE522" i="15"/>
  <c r="AH522" i="15" s="1"/>
  <c r="AF522" i="15"/>
  <c r="Y406" i="15"/>
  <c r="N416" i="15"/>
  <c r="Q416" i="15" s="1"/>
  <c r="W288" i="15"/>
  <c r="X288" i="15" s="1"/>
  <c r="N404" i="15"/>
  <c r="Q404" i="15" s="1"/>
  <c r="F689" i="15"/>
  <c r="Z419" i="15"/>
  <c r="O415" i="15"/>
  <c r="X419" i="15"/>
  <c r="AA419" i="15" s="1"/>
  <c r="AD419" i="15" s="1"/>
  <c r="G499" i="15"/>
  <c r="J499" i="15" s="1"/>
  <c r="M499" i="15" s="1"/>
  <c r="W278" i="15"/>
  <c r="X278" i="15" s="1"/>
  <c r="G493" i="15"/>
  <c r="J493" i="15" s="1"/>
  <c r="M493" i="15" s="1"/>
  <c r="Y416" i="15"/>
  <c r="Y516" i="15"/>
  <c r="Z516" i="15"/>
  <c r="Q679" i="15"/>
  <c r="T679" i="15" s="1"/>
  <c r="AE427" i="15"/>
  <c r="AH427" i="15" s="1"/>
  <c r="Y410" i="15"/>
  <c r="L304" i="15"/>
  <c r="M304" i="15" s="1"/>
  <c r="N304" i="15" s="1"/>
  <c r="E688" i="15"/>
  <c r="H688" i="15" s="1"/>
  <c r="P431" i="15"/>
  <c r="I493" i="15"/>
  <c r="I424" i="15"/>
  <c r="F688" i="15"/>
  <c r="O511" i="15"/>
  <c r="N515" i="15"/>
  <c r="Q515" i="15" s="1"/>
  <c r="G517" i="15"/>
  <c r="J517" i="15" s="1"/>
  <c r="M517" i="15" s="1"/>
  <c r="G494" i="15"/>
  <c r="J494" i="15" s="1"/>
  <c r="M494" i="15" s="1"/>
  <c r="G433" i="15"/>
  <c r="J433" i="15" s="1"/>
  <c r="M433" i="15" s="1"/>
  <c r="I432" i="15"/>
  <c r="N522" i="15"/>
  <c r="Q522" i="15" s="1"/>
  <c r="O403" i="15"/>
  <c r="P420" i="15"/>
  <c r="E701" i="15"/>
  <c r="H701" i="15" s="1"/>
  <c r="I517" i="15"/>
  <c r="I433" i="15"/>
  <c r="G411" i="15"/>
  <c r="J411" i="15" s="1"/>
  <c r="M411" i="15" s="1"/>
  <c r="P419" i="15"/>
  <c r="L293" i="15"/>
  <c r="M293" i="15" s="1"/>
  <c r="L308" i="15"/>
  <c r="M308" i="15" s="1"/>
  <c r="N308" i="15" s="1"/>
  <c r="O308" i="15" s="1"/>
  <c r="I499" i="15"/>
  <c r="G432" i="15"/>
  <c r="J432" i="15" s="1"/>
  <c r="M432" i="15" s="1"/>
  <c r="O507" i="15"/>
  <c r="G425" i="15"/>
  <c r="J425" i="15" s="1"/>
  <c r="M425" i="15" s="1"/>
  <c r="G428" i="15"/>
  <c r="J428" i="15" s="1"/>
  <c r="M428" i="15" s="1"/>
  <c r="G420" i="15"/>
  <c r="J420" i="15" s="1"/>
  <c r="M420" i="15" s="1"/>
  <c r="G408" i="15"/>
  <c r="J408" i="15" s="1"/>
  <c r="M408" i="15" s="1"/>
  <c r="N425" i="15"/>
  <c r="Q425" i="15" s="1"/>
  <c r="P411" i="15"/>
  <c r="G419" i="15"/>
  <c r="J419" i="15" s="1"/>
  <c r="M419" i="15" s="1"/>
  <c r="I412" i="15"/>
  <c r="P425" i="15"/>
  <c r="I428" i="15"/>
  <c r="I408" i="15"/>
  <c r="G509" i="15"/>
  <c r="J509" i="15" s="1"/>
  <c r="M509" i="15" s="1"/>
  <c r="I527" i="15"/>
  <c r="BE618" i="15"/>
  <c r="AG530" i="15"/>
  <c r="X497" i="15"/>
  <c r="AA497" i="15" s="1"/>
  <c r="AD497" i="15" s="1"/>
  <c r="F674" i="15"/>
  <c r="N505" i="15"/>
  <c r="Q505" i="15" s="1"/>
  <c r="F680" i="15"/>
  <c r="L299" i="15"/>
  <c r="M299" i="15" s="1"/>
  <c r="N299" i="15" s="1"/>
  <c r="O299" i="15" s="1"/>
  <c r="N494" i="15"/>
  <c r="Q494" i="15" s="1"/>
  <c r="W301" i="15"/>
  <c r="X301" i="15" s="1"/>
  <c r="N413" i="15"/>
  <c r="Q413" i="15" s="1"/>
  <c r="X512" i="15"/>
  <c r="AA512" i="15" s="1"/>
  <c r="AD512" i="15" s="1"/>
  <c r="W290" i="15"/>
  <c r="X290" i="15" s="1"/>
  <c r="L307" i="15"/>
  <c r="M307" i="15" s="1"/>
  <c r="N307" i="15" s="1"/>
  <c r="O307" i="15" s="1"/>
  <c r="P513" i="15"/>
  <c r="AG425" i="15"/>
  <c r="G166" i="13"/>
  <c r="Y432" i="15"/>
  <c r="AE530" i="15"/>
  <c r="AH530" i="15" s="1"/>
  <c r="AE497" i="15"/>
  <c r="AH497" i="15" s="1"/>
  <c r="BE614" i="15"/>
  <c r="BE587" i="15"/>
  <c r="Q695" i="15"/>
  <c r="T695" i="15" s="1"/>
  <c r="AF493" i="15"/>
  <c r="AE439" i="15"/>
  <c r="AH439" i="15" s="1"/>
  <c r="Z442" i="15"/>
  <c r="AG497" i="15"/>
  <c r="Q691" i="15"/>
  <c r="T691" i="15" s="1"/>
  <c r="AE493" i="15"/>
  <c r="AH493" i="15" s="1"/>
  <c r="AF439" i="15"/>
  <c r="Y442" i="15"/>
  <c r="AF435" i="15"/>
  <c r="AF528" i="15"/>
  <c r="X403" i="15"/>
  <c r="AA403" i="15" s="1"/>
  <c r="AD403" i="15" s="1"/>
  <c r="Q687" i="15"/>
  <c r="T687" i="15" s="1"/>
  <c r="AM565" i="15"/>
  <c r="BG608" i="15" s="1"/>
  <c r="X500" i="15"/>
  <c r="AA500" i="15" s="1"/>
  <c r="AD500" i="15" s="1"/>
  <c r="AE413" i="15"/>
  <c r="AH413" i="15" s="1"/>
  <c r="Y412" i="15"/>
  <c r="Q680" i="15"/>
  <c r="T680" i="15" s="1"/>
  <c r="AK575" i="15"/>
  <c r="BF618" i="15" s="1"/>
  <c r="Z500" i="15"/>
  <c r="Y438" i="15"/>
  <c r="AF413" i="15"/>
  <c r="AE528" i="15"/>
  <c r="AH528" i="15" s="1"/>
  <c r="K189" i="13"/>
  <c r="AG422" i="15"/>
  <c r="F190" i="13"/>
  <c r="H190" i="13"/>
  <c r="I189" i="13"/>
  <c r="G189" i="13"/>
  <c r="H189" i="13"/>
  <c r="J189" i="13"/>
  <c r="AF422" i="15"/>
  <c r="D189" i="13"/>
  <c r="E189" i="13"/>
  <c r="AE437" i="15"/>
  <c r="AH437" i="15" s="1"/>
  <c r="AE406" i="15"/>
  <c r="AH406" i="15" s="1"/>
  <c r="AG437" i="15"/>
  <c r="Y408" i="15"/>
  <c r="AF419" i="15"/>
  <c r="Z427" i="15"/>
  <c r="AE415" i="15"/>
  <c r="AH415" i="15" s="1"/>
  <c r="Z408" i="15"/>
  <c r="Z412" i="15"/>
  <c r="Q699" i="15"/>
  <c r="T699" i="15" s="1"/>
  <c r="AK541" i="15"/>
  <c r="BF584" i="15" s="1"/>
  <c r="AF415" i="15"/>
  <c r="AG494" i="15"/>
  <c r="AF406" i="15"/>
  <c r="AK559" i="15"/>
  <c r="BF602" i="15" s="1"/>
  <c r="Z438" i="15"/>
  <c r="AF423" i="15"/>
  <c r="AE494" i="15"/>
  <c r="AH494" i="15" s="1"/>
  <c r="AK570" i="15"/>
  <c r="BF613" i="15" s="1"/>
  <c r="AK562" i="15"/>
  <c r="BF605" i="15" s="1"/>
  <c r="AF526" i="15"/>
  <c r="AE419" i="15"/>
  <c r="AH419" i="15" s="1"/>
  <c r="AG527" i="15"/>
  <c r="Y427" i="15"/>
  <c r="G165" i="13"/>
  <c r="AG526" i="15"/>
  <c r="G680" i="15"/>
  <c r="H165" i="13"/>
  <c r="AE521" i="15"/>
  <c r="AH521" i="15" s="1"/>
  <c r="Z491" i="15"/>
  <c r="X501" i="15"/>
  <c r="AA501" i="15" s="1"/>
  <c r="AD501" i="15" s="1"/>
  <c r="I436" i="15"/>
  <c r="AG521" i="15"/>
  <c r="Y501" i="15"/>
  <c r="P436" i="15"/>
  <c r="D165" i="13"/>
  <c r="J165" i="13"/>
  <c r="Q671" i="15"/>
  <c r="T671" i="15" s="1"/>
  <c r="BD614" i="15"/>
  <c r="AK537" i="15"/>
  <c r="BF580" i="15" s="1"/>
  <c r="X491" i="15"/>
  <c r="AA491" i="15" s="1"/>
  <c r="AD491" i="15" s="1"/>
  <c r="Z411" i="15"/>
  <c r="X411" i="15"/>
  <c r="AA411" i="15" s="1"/>
  <c r="AD411" i="15" s="1"/>
  <c r="X428" i="15"/>
  <c r="AA428" i="15" s="1"/>
  <c r="AD428" i="15" s="1"/>
  <c r="W280" i="15"/>
  <c r="X280" i="15" s="1"/>
  <c r="X493" i="15"/>
  <c r="AA493" i="15" s="1"/>
  <c r="AD493" i="15" s="1"/>
  <c r="G421" i="15"/>
  <c r="J421" i="15" s="1"/>
  <c r="M421" i="15" s="1"/>
  <c r="O431" i="15"/>
  <c r="Z428" i="15"/>
  <c r="I165" i="13"/>
  <c r="F165" i="13"/>
  <c r="Y493" i="15"/>
  <c r="P421" i="15"/>
  <c r="G423" i="15"/>
  <c r="J423" i="15" s="1"/>
  <c r="M423" i="15" s="1"/>
  <c r="I423" i="15"/>
  <c r="O521" i="15"/>
  <c r="Y497" i="15"/>
  <c r="Z432" i="15"/>
  <c r="N524" i="15"/>
  <c r="Q524" i="15" s="1"/>
  <c r="Y426" i="15"/>
  <c r="AG418" i="15"/>
  <c r="AG426" i="15"/>
  <c r="AE434" i="15"/>
  <c r="AH434" i="15" s="1"/>
  <c r="L294" i="15"/>
  <c r="M294" i="15" s="1"/>
  <c r="Q692" i="15"/>
  <c r="T692" i="15" s="1"/>
  <c r="P525" i="15"/>
  <c r="Z426" i="15"/>
  <c r="AE418" i="15"/>
  <c r="AH418" i="15" s="1"/>
  <c r="AE426" i="15"/>
  <c r="AH426" i="15" s="1"/>
  <c r="AF434" i="15"/>
  <c r="AE442" i="15"/>
  <c r="AH442" i="15" s="1"/>
  <c r="Q693" i="15"/>
  <c r="T693" i="15" s="1"/>
  <c r="AF442" i="15"/>
  <c r="AE410" i="15"/>
  <c r="AH410" i="15" s="1"/>
  <c r="N409" i="15"/>
  <c r="Q409" i="15" s="1"/>
  <c r="P500" i="15"/>
  <c r="AG410" i="15"/>
  <c r="Q685" i="15"/>
  <c r="T685" i="15" s="1"/>
  <c r="Z512" i="15"/>
  <c r="AK545" i="15"/>
  <c r="BF588" i="15" s="1"/>
  <c r="H166" i="13"/>
  <c r="E166" i="13"/>
  <c r="I166" i="13"/>
  <c r="D166" i="13"/>
  <c r="J166" i="13"/>
  <c r="L46" i="14"/>
  <c r="P498" i="15"/>
  <c r="G498" i="15"/>
  <c r="J498" i="15" s="1"/>
  <c r="M498" i="15" s="1"/>
  <c r="I498" i="15"/>
  <c r="X434" i="15"/>
  <c r="AA434" i="15" s="1"/>
  <c r="AD434" i="15" s="1"/>
  <c r="Y434" i="15"/>
  <c r="Z434" i="15"/>
  <c r="X440" i="15"/>
  <c r="AA440" i="15" s="1"/>
  <c r="AD440" i="15" s="1"/>
  <c r="Z440" i="15"/>
  <c r="Y440" i="15"/>
  <c r="O417" i="15"/>
  <c r="N417" i="15"/>
  <c r="Q417" i="15" s="1"/>
  <c r="AE429" i="15"/>
  <c r="AH429" i="15" s="1"/>
  <c r="AG429" i="15"/>
  <c r="AF429" i="15"/>
  <c r="AF498" i="15"/>
  <c r="AE498" i="15"/>
  <c r="AH498" i="15" s="1"/>
  <c r="AG498" i="15"/>
  <c r="AE417" i="15"/>
  <c r="AH417" i="15" s="1"/>
  <c r="AG417" i="15"/>
  <c r="G491" i="15"/>
  <c r="J491" i="15" s="1"/>
  <c r="M491" i="15" s="1"/>
  <c r="P491" i="15"/>
  <c r="I491" i="15"/>
  <c r="AF431" i="15"/>
  <c r="AG431" i="15"/>
  <c r="AE431" i="15"/>
  <c r="AH431" i="15" s="1"/>
  <c r="Z495" i="15"/>
  <c r="Y495" i="15"/>
  <c r="X495" i="15"/>
  <c r="AA495" i="15" s="1"/>
  <c r="AD495" i="15" s="1"/>
  <c r="BE580" i="15"/>
  <c r="AM537" i="15"/>
  <c r="BG580" i="15" s="1"/>
  <c r="O412" i="15"/>
  <c r="N412" i="15"/>
  <c r="Q412" i="15" s="1"/>
  <c r="E671" i="15"/>
  <c r="H671" i="15" s="1"/>
  <c r="G671" i="15"/>
  <c r="F671" i="15"/>
  <c r="AF409" i="15"/>
  <c r="AE409" i="15"/>
  <c r="AH409" i="15" s="1"/>
  <c r="Y407" i="15"/>
  <c r="Z407" i="15"/>
  <c r="X407" i="15"/>
  <c r="AA407" i="15" s="1"/>
  <c r="AD407" i="15" s="1"/>
  <c r="G673" i="15"/>
  <c r="F673" i="15"/>
  <c r="N517" i="15"/>
  <c r="Q517" i="15" s="1"/>
  <c r="O517" i="15"/>
  <c r="G190" i="13"/>
  <c r="E190" i="13"/>
  <c r="D190" i="13"/>
  <c r="J190" i="13"/>
  <c r="K190" i="13"/>
  <c r="BD597" i="15"/>
  <c r="AK554" i="15"/>
  <c r="BF597" i="15" s="1"/>
  <c r="AF430" i="15"/>
  <c r="AE430" i="15"/>
  <c r="AH430" i="15" s="1"/>
  <c r="AG430" i="15"/>
  <c r="AF414" i="15"/>
  <c r="AE414" i="15"/>
  <c r="AH414" i="15" s="1"/>
  <c r="I526" i="15"/>
  <c r="P526" i="15"/>
  <c r="G526" i="15"/>
  <c r="J526" i="15" s="1"/>
  <c r="M526" i="15" s="1"/>
  <c r="BD586" i="15"/>
  <c r="AK543" i="15"/>
  <c r="BF586" i="15" s="1"/>
  <c r="AM543" i="15"/>
  <c r="BG586" i="15" s="1"/>
  <c r="BE586" i="15"/>
  <c r="AF405" i="15"/>
  <c r="AE405" i="15"/>
  <c r="AH405" i="15" s="1"/>
  <c r="AG405" i="15"/>
  <c r="P505" i="15"/>
  <c r="I505" i="15"/>
  <c r="G505" i="15"/>
  <c r="J505" i="15" s="1"/>
  <c r="M505" i="15" s="1"/>
  <c r="O530" i="15"/>
  <c r="N530" i="15"/>
  <c r="Q530" i="15" s="1"/>
  <c r="I530" i="15"/>
  <c r="P530" i="15"/>
  <c r="G530" i="15"/>
  <c r="J530" i="15" s="1"/>
  <c r="M530" i="15" s="1"/>
  <c r="G23" i="14"/>
  <c r="R703" i="15"/>
  <c r="S703" i="15" s="1"/>
  <c r="Q703" i="15"/>
  <c r="T703" i="15" s="1"/>
  <c r="AF417" i="15"/>
  <c r="I415" i="15"/>
  <c r="P415" i="15"/>
  <c r="N427" i="15"/>
  <c r="Q427" i="15" s="1"/>
  <c r="O427" i="15"/>
  <c r="P407" i="15"/>
  <c r="G407" i="15"/>
  <c r="J407" i="15" s="1"/>
  <c r="M407" i="15" s="1"/>
  <c r="I407" i="15"/>
  <c r="AK558" i="15"/>
  <c r="BF601" i="15" s="1"/>
  <c r="BD601" i="15"/>
  <c r="W306" i="15"/>
  <c r="X306" i="15" s="1"/>
  <c r="AF529" i="15"/>
  <c r="AE529" i="15"/>
  <c r="AH529" i="15" s="1"/>
  <c r="AG529" i="15"/>
  <c r="O419" i="15"/>
  <c r="N419" i="15"/>
  <c r="Q419" i="15" s="1"/>
  <c r="F48" i="13"/>
  <c r="F24" i="13"/>
  <c r="AE527" i="15"/>
  <c r="AH527" i="15" s="1"/>
  <c r="Z518" i="15"/>
  <c r="P528" i="15"/>
  <c r="P519" i="15"/>
  <c r="X518" i="15"/>
  <c r="AA518" i="15" s="1"/>
  <c r="AD518" i="15" s="1"/>
  <c r="AG438" i="15"/>
  <c r="G528" i="15"/>
  <c r="J528" i="15" s="1"/>
  <c r="M528" i="15" s="1"/>
  <c r="I519" i="15"/>
  <c r="N421" i="15"/>
  <c r="Q421" i="15" s="1"/>
  <c r="AE438" i="15"/>
  <c r="AH438" i="15" s="1"/>
  <c r="N525" i="15"/>
  <c r="Q525" i="15" s="1"/>
  <c r="G686" i="15"/>
  <c r="F686" i="15"/>
  <c r="G685" i="15"/>
  <c r="F685" i="15"/>
  <c r="G503" i="15"/>
  <c r="J503" i="15" s="1"/>
  <c r="M503" i="15" s="1"/>
  <c r="W298" i="15"/>
  <c r="X298" i="15" s="1"/>
  <c r="G704" i="15"/>
  <c r="F704" i="15"/>
  <c r="G696" i="15"/>
  <c r="F696" i="15"/>
  <c r="G692" i="15"/>
  <c r="F692" i="15"/>
  <c r="G684" i="15"/>
  <c r="F684" i="15"/>
  <c r="BE602" i="15"/>
  <c r="AM559" i="15"/>
  <c r="BG602" i="15" s="1"/>
  <c r="G676" i="15"/>
  <c r="F676" i="15"/>
  <c r="AE524" i="15"/>
  <c r="AH524" i="15" s="1"/>
  <c r="I495" i="15"/>
  <c r="G495" i="15"/>
  <c r="J495" i="15" s="1"/>
  <c r="M495" i="15" s="1"/>
  <c r="G683" i="15"/>
  <c r="F683" i="15"/>
  <c r="X418" i="15"/>
  <c r="AA418" i="15" s="1"/>
  <c r="AD418" i="15" s="1"/>
  <c r="Z418" i="15"/>
  <c r="N432" i="15"/>
  <c r="Q432" i="15" s="1"/>
  <c r="O432" i="15"/>
  <c r="Q705" i="15"/>
  <c r="T705" i="15" s="1"/>
  <c r="Q697" i="15"/>
  <c r="T697" i="15" s="1"/>
  <c r="AF524" i="15"/>
  <c r="P511" i="15"/>
  <c r="N408" i="15"/>
  <c r="Q408" i="15" s="1"/>
  <c r="G698" i="15"/>
  <c r="F698" i="15"/>
  <c r="G678" i="15"/>
  <c r="F678" i="15"/>
  <c r="G667" i="15"/>
  <c r="F667" i="15"/>
  <c r="G677" i="15"/>
  <c r="F677" i="15"/>
  <c r="G687" i="15"/>
  <c r="F687" i="15"/>
  <c r="G679" i="15"/>
  <c r="F679" i="15"/>
  <c r="G511" i="15"/>
  <c r="J511" i="15" s="1"/>
  <c r="M511" i="15" s="1"/>
  <c r="AE403" i="15"/>
  <c r="AH403" i="15" s="1"/>
  <c r="N433" i="15"/>
  <c r="Q433" i="15" s="1"/>
  <c r="G705" i="15"/>
  <c r="F705" i="15"/>
  <c r="G697" i="15"/>
  <c r="F697" i="15"/>
  <c r="G668" i="15"/>
  <c r="F668" i="15"/>
  <c r="G670" i="15"/>
  <c r="F670" i="15"/>
  <c r="E685" i="15"/>
  <c r="H685" i="15" s="1"/>
  <c r="I494" i="15"/>
  <c r="N440" i="15"/>
  <c r="Q440" i="15" s="1"/>
  <c r="N424" i="15"/>
  <c r="Q424" i="15" s="1"/>
  <c r="O424" i="15"/>
  <c r="P503" i="15"/>
  <c r="G706" i="15"/>
  <c r="F706" i="15"/>
  <c r="G699" i="15"/>
  <c r="F699" i="15"/>
  <c r="G693" i="15"/>
  <c r="F693" i="15"/>
  <c r="AM567" i="15"/>
  <c r="BG610" i="15" s="1"/>
  <c r="BE610" i="15"/>
  <c r="BE597" i="15"/>
  <c r="AM554" i="15"/>
  <c r="BG597" i="15" s="1"/>
  <c r="G703" i="15"/>
  <c r="F703" i="15"/>
  <c r="AF403" i="15"/>
  <c r="G695" i="15"/>
  <c r="F695" i="15"/>
  <c r="G691" i="15"/>
  <c r="F691" i="15"/>
  <c r="G675" i="15"/>
  <c r="F675" i="15"/>
  <c r="I529" i="15"/>
  <c r="P529" i="15"/>
  <c r="G529" i="15"/>
  <c r="J529" i="15" s="1"/>
  <c r="M529" i="15" s="1"/>
  <c r="F16" i="13"/>
  <c r="F31" i="13"/>
  <c r="J35" i="13"/>
  <c r="J20" i="13"/>
  <c r="F39" i="13"/>
  <c r="F15" i="13"/>
  <c r="J12" i="13"/>
  <c r="F8" i="13"/>
  <c r="J10" i="13"/>
  <c r="F7" i="13"/>
  <c r="Q681" i="15"/>
  <c r="T681" i="15" s="1"/>
  <c r="BE600" i="15"/>
  <c r="AM557" i="15"/>
  <c r="BG600" i="15" s="1"/>
  <c r="BD591" i="15"/>
  <c r="AK548" i="15"/>
  <c r="BF591" i="15" s="1"/>
  <c r="BE596" i="15"/>
  <c r="AM553" i="15"/>
  <c r="BG596" i="15" s="1"/>
  <c r="BD592" i="15"/>
  <c r="AK549" i="15"/>
  <c r="BF592" i="15" s="1"/>
  <c r="H504" i="15"/>
  <c r="H441" i="15"/>
  <c r="E684" i="15"/>
  <c r="H684" i="15" s="1"/>
  <c r="BD616" i="15"/>
  <c r="AK573" i="15"/>
  <c r="BF616" i="15" s="1"/>
  <c r="BD607" i="15"/>
  <c r="AK564" i="15"/>
  <c r="BF607" i="15" s="1"/>
  <c r="BE595" i="15"/>
  <c r="AM552" i="15"/>
  <c r="BG595" i="15" s="1"/>
  <c r="Y530" i="15"/>
  <c r="X530" i="15"/>
  <c r="AA530" i="15" s="1"/>
  <c r="AD530" i="15" s="1"/>
  <c r="Z530" i="15"/>
  <c r="Y522" i="15"/>
  <c r="X522" i="15"/>
  <c r="AA522" i="15" s="1"/>
  <c r="AD522" i="15" s="1"/>
  <c r="Z522" i="15"/>
  <c r="H528" i="15"/>
  <c r="Y507" i="15"/>
  <c r="Z507" i="15"/>
  <c r="X507" i="15"/>
  <c r="AA507" i="15" s="1"/>
  <c r="AD507" i="15" s="1"/>
  <c r="I516" i="15"/>
  <c r="P516" i="15"/>
  <c r="G516" i="15"/>
  <c r="J516" i="15" s="1"/>
  <c r="M516" i="15" s="1"/>
  <c r="P508" i="15"/>
  <c r="I508" i="15"/>
  <c r="G508" i="15"/>
  <c r="J508" i="15" s="1"/>
  <c r="M508" i="15" s="1"/>
  <c r="Z520" i="15"/>
  <c r="Y520" i="15"/>
  <c r="X520" i="15"/>
  <c r="AA520" i="15" s="1"/>
  <c r="AD520" i="15" s="1"/>
  <c r="AG508" i="15"/>
  <c r="AF508" i="15"/>
  <c r="AE508" i="15"/>
  <c r="AH508" i="15" s="1"/>
  <c r="O497" i="15"/>
  <c r="N497" i="15"/>
  <c r="Q497" i="15" s="1"/>
  <c r="H430" i="15"/>
  <c r="H414" i="15"/>
  <c r="H406" i="15"/>
  <c r="H433" i="15"/>
  <c r="H440" i="15"/>
  <c r="H436" i="15"/>
  <c r="H432" i="15"/>
  <c r="H428" i="15"/>
  <c r="H424" i="15"/>
  <c r="H408" i="15"/>
  <c r="O442" i="15"/>
  <c r="N442" i="15"/>
  <c r="Q442" i="15" s="1"/>
  <c r="Z421" i="15"/>
  <c r="Y421" i="15"/>
  <c r="X421" i="15"/>
  <c r="AA421" i="15" s="1"/>
  <c r="AD421" i="15" s="1"/>
  <c r="N410" i="15"/>
  <c r="Q410" i="15" s="1"/>
  <c r="O410" i="15"/>
  <c r="I442" i="15"/>
  <c r="P442" i="15"/>
  <c r="G442" i="15"/>
  <c r="J442" i="15" s="1"/>
  <c r="M442" i="15" s="1"/>
  <c r="P438" i="15"/>
  <c r="G438" i="15"/>
  <c r="J438" i="15" s="1"/>
  <c r="M438" i="15" s="1"/>
  <c r="I438" i="15"/>
  <c r="P434" i="15"/>
  <c r="G434" i="15"/>
  <c r="J434" i="15" s="1"/>
  <c r="M434" i="15" s="1"/>
  <c r="I434" i="15"/>
  <c r="P430" i="15"/>
  <c r="G430" i="15"/>
  <c r="J430" i="15" s="1"/>
  <c r="M430" i="15" s="1"/>
  <c r="I430" i="15"/>
  <c r="P426" i="15"/>
  <c r="G426" i="15"/>
  <c r="J426" i="15" s="1"/>
  <c r="M426" i="15" s="1"/>
  <c r="I426" i="15"/>
  <c r="P422" i="15"/>
  <c r="G422" i="15"/>
  <c r="J422" i="15" s="1"/>
  <c r="M422" i="15" s="1"/>
  <c r="I422" i="15"/>
  <c r="P418" i="15"/>
  <c r="G418" i="15"/>
  <c r="J418" i="15" s="1"/>
  <c r="M418" i="15" s="1"/>
  <c r="I418" i="15"/>
  <c r="P414" i="15"/>
  <c r="G414" i="15"/>
  <c r="J414" i="15" s="1"/>
  <c r="M414" i="15" s="1"/>
  <c r="I414" i="15"/>
  <c r="G410" i="15"/>
  <c r="J410" i="15" s="1"/>
  <c r="M410" i="15" s="1"/>
  <c r="P410" i="15"/>
  <c r="I410" i="15"/>
  <c r="I406" i="15"/>
  <c r="G406" i="15"/>
  <c r="J406" i="15" s="1"/>
  <c r="M406" i="15" s="1"/>
  <c r="P406" i="15"/>
  <c r="W297" i="15"/>
  <c r="W303" i="15"/>
  <c r="L287" i="15"/>
  <c r="W308" i="15"/>
  <c r="L305" i="15"/>
  <c r="L270" i="15"/>
  <c r="L277" i="15"/>
  <c r="E694" i="15"/>
  <c r="H694" i="15" s="1"/>
  <c r="I518" i="15"/>
  <c r="P518" i="15"/>
  <c r="G518" i="15"/>
  <c r="J518" i="15" s="1"/>
  <c r="M518" i="15" s="1"/>
  <c r="H506" i="15"/>
  <c r="Q706" i="15"/>
  <c r="T706" i="15" s="1"/>
  <c r="Q698" i="15"/>
  <c r="T698" i="15" s="1"/>
  <c r="Q688" i="15"/>
  <c r="T688" i="15" s="1"/>
  <c r="E668" i="15"/>
  <c r="H668" i="15" s="1"/>
  <c r="BD608" i="15"/>
  <c r="AK565" i="15"/>
  <c r="BF608" i="15" s="1"/>
  <c r="BD599" i="15"/>
  <c r="AK556" i="15"/>
  <c r="BF599" i="15" s="1"/>
  <c r="BD595" i="15"/>
  <c r="AK552" i="15"/>
  <c r="BF595" i="15" s="1"/>
  <c r="BE611" i="15"/>
  <c r="AM568" i="15"/>
  <c r="BG611" i="15" s="1"/>
  <c r="Z529" i="15"/>
  <c r="Y529" i="15"/>
  <c r="X529" i="15"/>
  <c r="AA529" i="15" s="1"/>
  <c r="AD529" i="15" s="1"/>
  <c r="Z521" i="15"/>
  <c r="Y521" i="15"/>
  <c r="X521" i="15"/>
  <c r="AA521" i="15" s="1"/>
  <c r="AD521" i="15" s="1"/>
  <c r="H527" i="15"/>
  <c r="H519" i="15"/>
  <c r="H515" i="15"/>
  <c r="H511" i="15"/>
  <c r="H507" i="15"/>
  <c r="H503" i="15"/>
  <c r="Z505" i="15"/>
  <c r="Y505" i="15"/>
  <c r="X505" i="15"/>
  <c r="AA505" i="15" s="1"/>
  <c r="AD505" i="15" s="1"/>
  <c r="H518" i="15"/>
  <c r="O512" i="15"/>
  <c r="N512" i="15"/>
  <c r="Q512" i="15" s="1"/>
  <c r="AF506" i="15"/>
  <c r="AE506" i="15"/>
  <c r="AH506" i="15" s="1"/>
  <c r="AG506" i="15"/>
  <c r="Y496" i="15"/>
  <c r="X496" i="15"/>
  <c r="AA496" i="15" s="1"/>
  <c r="AD496" i="15" s="1"/>
  <c r="Z496" i="15"/>
  <c r="AG495" i="15"/>
  <c r="AE495" i="15"/>
  <c r="AH495" i="15" s="1"/>
  <c r="AF495" i="15"/>
  <c r="H442" i="15"/>
  <c r="H410" i="15"/>
  <c r="H429" i="15"/>
  <c r="H425" i="15"/>
  <c r="Z441" i="15"/>
  <c r="Y441" i="15"/>
  <c r="X441" i="15"/>
  <c r="AA441" i="15" s="1"/>
  <c r="AD441" i="15" s="1"/>
  <c r="O430" i="15"/>
  <c r="N430" i="15"/>
  <c r="Q430" i="15" s="1"/>
  <c r="X409" i="15"/>
  <c r="AA409" i="15" s="1"/>
  <c r="AD409" i="15" s="1"/>
  <c r="Z409" i="15"/>
  <c r="Y409" i="15"/>
  <c r="L296" i="15"/>
  <c r="W295" i="15"/>
  <c r="W270" i="15"/>
  <c r="M280" i="15"/>
  <c r="W274" i="15"/>
  <c r="L274" i="15"/>
  <c r="L284" i="15"/>
  <c r="Q670" i="15"/>
  <c r="T670" i="15" s="1"/>
  <c r="H521" i="15"/>
  <c r="AF510" i="15"/>
  <c r="AE510" i="15"/>
  <c r="AH510" i="15" s="1"/>
  <c r="AG510" i="15"/>
  <c r="H418" i="15"/>
  <c r="O422" i="15"/>
  <c r="N422" i="15"/>
  <c r="Q422" i="15" s="1"/>
  <c r="Q684" i="15"/>
  <c r="T684" i="15" s="1"/>
  <c r="E672" i="15"/>
  <c r="H672" i="15" s="1"/>
  <c r="BD603" i="15"/>
  <c r="AK560" i="15"/>
  <c r="BF603" i="15" s="1"/>
  <c r="BD612" i="15"/>
  <c r="AK569" i="15"/>
  <c r="BF612" i="15" s="1"/>
  <c r="X528" i="15"/>
  <c r="AA528" i="15" s="1"/>
  <c r="AD528" i="15" s="1"/>
  <c r="Z528" i="15"/>
  <c r="Y528" i="15"/>
  <c r="BD596" i="15"/>
  <c r="AK553" i="15"/>
  <c r="BF596" i="15" s="1"/>
  <c r="H526" i="15"/>
  <c r="I501" i="15"/>
  <c r="G501" i="15"/>
  <c r="J501" i="15" s="1"/>
  <c r="M501" i="15" s="1"/>
  <c r="P501" i="15"/>
  <c r="X519" i="15"/>
  <c r="AA519" i="15" s="1"/>
  <c r="AD519" i="15" s="1"/>
  <c r="Y519" i="15"/>
  <c r="Z519" i="15"/>
  <c r="Z503" i="15"/>
  <c r="Y503" i="15"/>
  <c r="X503" i="15"/>
  <c r="AA503" i="15" s="1"/>
  <c r="AD503" i="15" s="1"/>
  <c r="H496" i="15"/>
  <c r="AE520" i="15"/>
  <c r="AH520" i="15" s="1"/>
  <c r="AF520" i="15"/>
  <c r="AG520" i="15"/>
  <c r="H516" i="15"/>
  <c r="O510" i="15"/>
  <c r="N510" i="15"/>
  <c r="Q510" i="15" s="1"/>
  <c r="O502" i="15"/>
  <c r="N502" i="15"/>
  <c r="Q502" i="15" s="1"/>
  <c r="AG496" i="15"/>
  <c r="AF496" i="15"/>
  <c r="AE496" i="15"/>
  <c r="AH496" i="15" s="1"/>
  <c r="AG491" i="15"/>
  <c r="AE491" i="15"/>
  <c r="AH491" i="15" s="1"/>
  <c r="AF491" i="15"/>
  <c r="H493" i="15"/>
  <c r="H421" i="15"/>
  <c r="H412" i="15"/>
  <c r="Z429" i="15"/>
  <c r="Y429" i="15"/>
  <c r="X429" i="15"/>
  <c r="AA429" i="15" s="1"/>
  <c r="AD429" i="15" s="1"/>
  <c r="O418" i="15"/>
  <c r="N418" i="15"/>
  <c r="Q418" i="15" s="1"/>
  <c r="AG440" i="15"/>
  <c r="AF440" i="15"/>
  <c r="AE440" i="15"/>
  <c r="AH440" i="15" s="1"/>
  <c r="AG436" i="15"/>
  <c r="AE436" i="15"/>
  <c r="AH436" i="15" s="1"/>
  <c r="AF436" i="15"/>
  <c r="AG432" i="15"/>
  <c r="AF432" i="15"/>
  <c r="AE432" i="15"/>
  <c r="AH432" i="15" s="1"/>
  <c r="AF428" i="15"/>
  <c r="AE428" i="15"/>
  <c r="AH428" i="15" s="1"/>
  <c r="AG428" i="15"/>
  <c r="AG424" i="15"/>
  <c r="AE424" i="15"/>
  <c r="AH424" i="15" s="1"/>
  <c r="AF424" i="15"/>
  <c r="AG420" i="15"/>
  <c r="AE420" i="15"/>
  <c r="AH420" i="15" s="1"/>
  <c r="AF420" i="15"/>
  <c r="AG416" i="15"/>
  <c r="AE416" i="15"/>
  <c r="AH416" i="15" s="1"/>
  <c r="AF416" i="15"/>
  <c r="AG412" i="15"/>
  <c r="AE412" i="15"/>
  <c r="AH412" i="15" s="1"/>
  <c r="AF412" i="15"/>
  <c r="AG408" i="15"/>
  <c r="AE408" i="15"/>
  <c r="AH408" i="15" s="1"/>
  <c r="AF408" i="15"/>
  <c r="AG404" i="15"/>
  <c r="AE404" i="15"/>
  <c r="AH404" i="15" s="1"/>
  <c r="AF404" i="15"/>
  <c r="L295" i="15"/>
  <c r="L289" i="15"/>
  <c r="W305" i="15"/>
  <c r="L279" i="15"/>
  <c r="W300" i="15"/>
  <c r="BD600" i="15"/>
  <c r="AK557" i="15"/>
  <c r="BF600" i="15" s="1"/>
  <c r="BE584" i="15"/>
  <c r="AM541" i="15"/>
  <c r="BG584" i="15" s="1"/>
  <c r="P502" i="15"/>
  <c r="G502" i="15"/>
  <c r="J502" i="15" s="1"/>
  <c r="M502" i="15" s="1"/>
  <c r="I502" i="15"/>
  <c r="O516" i="15"/>
  <c r="N516" i="15"/>
  <c r="Q516" i="15" s="1"/>
  <c r="AF502" i="15"/>
  <c r="AE502" i="15"/>
  <c r="AH502" i="15" s="1"/>
  <c r="AG502" i="15"/>
  <c r="Z433" i="15"/>
  <c r="Y433" i="15"/>
  <c r="X433" i="15"/>
  <c r="AA433" i="15" s="1"/>
  <c r="AD433" i="15" s="1"/>
  <c r="L298" i="15"/>
  <c r="Q704" i="15"/>
  <c r="T704" i="15" s="1"/>
  <c r="E690" i="15"/>
  <c r="H690" i="15" s="1"/>
  <c r="Q690" i="15"/>
  <c r="T690" i="15" s="1"/>
  <c r="E676" i="15"/>
  <c r="H676" i="15" s="1"/>
  <c r="Q668" i="15"/>
  <c r="T668" i="15" s="1"/>
  <c r="E678" i="15"/>
  <c r="H678" i="15" s="1"/>
  <c r="E673" i="15"/>
  <c r="H673" i="15" s="1"/>
  <c r="AM566" i="15"/>
  <c r="BG609" i="15" s="1"/>
  <c r="BE609" i="15"/>
  <c r="Z527" i="15"/>
  <c r="Y527" i="15"/>
  <c r="X527" i="15"/>
  <c r="AA527" i="15" s="1"/>
  <c r="AD527" i="15" s="1"/>
  <c r="H525" i="15"/>
  <c r="BD582" i="15"/>
  <c r="AK539" i="15"/>
  <c r="BF582" i="15" s="1"/>
  <c r="BE594" i="15"/>
  <c r="AM551" i="15"/>
  <c r="BG594" i="15" s="1"/>
  <c r="AE519" i="15"/>
  <c r="AH519" i="15" s="1"/>
  <c r="AF519" i="15"/>
  <c r="AG519" i="15"/>
  <c r="AE515" i="15"/>
  <c r="AH515" i="15" s="1"/>
  <c r="AF515" i="15"/>
  <c r="AG515" i="15"/>
  <c r="AF511" i="15"/>
  <c r="AE511" i="15"/>
  <c r="AH511" i="15" s="1"/>
  <c r="AG511" i="15"/>
  <c r="AG507" i="15"/>
  <c r="AE507" i="15"/>
  <c r="AH507" i="15" s="1"/>
  <c r="AF507" i="15"/>
  <c r="AE503" i="15"/>
  <c r="AH503" i="15" s="1"/>
  <c r="AF503" i="15"/>
  <c r="AG503" i="15"/>
  <c r="Z517" i="15"/>
  <c r="Y517" i="15"/>
  <c r="X517" i="15"/>
  <c r="AA517" i="15" s="1"/>
  <c r="AD517" i="15" s="1"/>
  <c r="I514" i="15"/>
  <c r="P514" i="15"/>
  <c r="G514" i="15"/>
  <c r="J514" i="15" s="1"/>
  <c r="M514" i="15" s="1"/>
  <c r="P506" i="15"/>
  <c r="G506" i="15"/>
  <c r="J506" i="15" s="1"/>
  <c r="M506" i="15" s="1"/>
  <c r="I506" i="15"/>
  <c r="AG518" i="15"/>
  <c r="AF518" i="15"/>
  <c r="AE518" i="15"/>
  <c r="AH518" i="15" s="1"/>
  <c r="H514" i="15"/>
  <c r="O508" i="15"/>
  <c r="N508" i="15"/>
  <c r="Q508" i="15" s="1"/>
  <c r="H498" i="15"/>
  <c r="H417" i="15"/>
  <c r="O438" i="15"/>
  <c r="N438" i="15"/>
  <c r="Q438" i="15" s="1"/>
  <c r="Z417" i="15"/>
  <c r="Y417" i="15"/>
  <c r="X417" i="15"/>
  <c r="AA417" i="15" s="1"/>
  <c r="AD417" i="15" s="1"/>
  <c r="N406" i="15"/>
  <c r="Q406" i="15" s="1"/>
  <c r="O406" i="15"/>
  <c r="L306" i="15"/>
  <c r="L292" i="15"/>
  <c r="L272" i="15"/>
  <c r="W276" i="15"/>
  <c r="W284" i="15"/>
  <c r="W282" i="15"/>
  <c r="E692" i="15"/>
  <c r="H692" i="15" s="1"/>
  <c r="Q682" i="15"/>
  <c r="T682" i="15" s="1"/>
  <c r="Q672" i="15"/>
  <c r="T672" i="15" s="1"/>
  <c r="E677" i="15"/>
  <c r="H677" i="15" s="1"/>
  <c r="BE613" i="15"/>
  <c r="AM570" i="15"/>
  <c r="BG613" i="15" s="1"/>
  <c r="E681" i="15"/>
  <c r="H681" i="15" s="1"/>
  <c r="BE612" i="15"/>
  <c r="AM569" i="15"/>
  <c r="BG612" i="15" s="1"/>
  <c r="BE601" i="15"/>
  <c r="AM558" i="15"/>
  <c r="BG601" i="15" s="1"/>
  <c r="BE616" i="15"/>
  <c r="AM573" i="15"/>
  <c r="BG616" i="15" s="1"/>
  <c r="BE607" i="15"/>
  <c r="AM564" i="15"/>
  <c r="BG607" i="15" s="1"/>
  <c r="BE605" i="15"/>
  <c r="AM562" i="15"/>
  <c r="BG605" i="15" s="1"/>
  <c r="BE590" i="15"/>
  <c r="AM547" i="15"/>
  <c r="BG590" i="15" s="1"/>
  <c r="Y526" i="15"/>
  <c r="X526" i="15"/>
  <c r="AA526" i="15" s="1"/>
  <c r="AD526" i="15" s="1"/>
  <c r="Z526" i="15"/>
  <c r="H524" i="15"/>
  <c r="BE582" i="15"/>
  <c r="AM539" i="15"/>
  <c r="BG582" i="15" s="1"/>
  <c r="BD594" i="15"/>
  <c r="AK551" i="15"/>
  <c r="BF594" i="15" s="1"/>
  <c r="Z515" i="15"/>
  <c r="Y515" i="15"/>
  <c r="X515" i="15"/>
  <c r="AA515" i="15" s="1"/>
  <c r="AD515" i="15" s="1"/>
  <c r="I520" i="15"/>
  <c r="G520" i="15"/>
  <c r="J520" i="15" s="1"/>
  <c r="M520" i="15" s="1"/>
  <c r="P520" i="15"/>
  <c r="I504" i="15"/>
  <c r="P504" i="15"/>
  <c r="G504" i="15"/>
  <c r="J504" i="15" s="1"/>
  <c r="M504" i="15" s="1"/>
  <c r="O520" i="15"/>
  <c r="N520" i="15"/>
  <c r="Q520" i="15" s="1"/>
  <c r="AG516" i="15"/>
  <c r="AE516" i="15"/>
  <c r="AH516" i="15" s="1"/>
  <c r="AF516" i="15"/>
  <c r="H512" i="15"/>
  <c r="O506" i="15"/>
  <c r="N506" i="15"/>
  <c r="Q506" i="15" s="1"/>
  <c r="O493" i="15"/>
  <c r="N493" i="15"/>
  <c r="Q493" i="15" s="1"/>
  <c r="H494" i="15"/>
  <c r="BD581" i="15"/>
  <c r="AK538" i="15"/>
  <c r="BF581" i="15" s="1"/>
  <c r="H497" i="15"/>
  <c r="H413" i="15"/>
  <c r="H409" i="15"/>
  <c r="H405" i="15"/>
  <c r="H416" i="15"/>
  <c r="Z437" i="15"/>
  <c r="Y437" i="15"/>
  <c r="X437" i="15"/>
  <c r="AA437" i="15" s="1"/>
  <c r="AD437" i="15" s="1"/>
  <c r="O426" i="15"/>
  <c r="N426" i="15"/>
  <c r="Q426" i="15" s="1"/>
  <c r="X405" i="15"/>
  <c r="AA405" i="15" s="1"/>
  <c r="AD405" i="15" s="1"/>
  <c r="Z405" i="15"/>
  <c r="Y405" i="15"/>
  <c r="L297" i="15"/>
  <c r="L302" i="15"/>
  <c r="L278" i="15"/>
  <c r="L301" i="15"/>
  <c r="W277" i="15"/>
  <c r="Q694" i="15"/>
  <c r="T694" i="15" s="1"/>
  <c r="BD609" i="15"/>
  <c r="AK566" i="15"/>
  <c r="BF609" i="15" s="1"/>
  <c r="Z523" i="15"/>
  <c r="X523" i="15"/>
  <c r="AA523" i="15" s="1"/>
  <c r="AD523" i="15" s="1"/>
  <c r="Y523" i="15"/>
  <c r="BE592" i="15"/>
  <c r="AM549" i="15"/>
  <c r="BG592" i="15" s="1"/>
  <c r="H529" i="15"/>
  <c r="AG517" i="15"/>
  <c r="AF517" i="15"/>
  <c r="AE517" i="15"/>
  <c r="AH517" i="15" s="1"/>
  <c r="P510" i="15"/>
  <c r="G510" i="15"/>
  <c r="J510" i="15" s="1"/>
  <c r="M510" i="15" s="1"/>
  <c r="I510" i="15"/>
  <c r="H520" i="15"/>
  <c r="H437" i="15"/>
  <c r="L290" i="15"/>
  <c r="L276" i="15"/>
  <c r="Q702" i="15"/>
  <c r="T702" i="15" s="1"/>
  <c r="Q676" i="15"/>
  <c r="T676" i="15" s="1"/>
  <c r="E674" i="15"/>
  <c r="H674" i="15" s="1"/>
  <c r="E670" i="15"/>
  <c r="H670" i="15" s="1"/>
  <c r="Q678" i="15"/>
  <c r="T678" i="15" s="1"/>
  <c r="Q673" i="15"/>
  <c r="T673" i="15" s="1"/>
  <c r="BD604" i="15"/>
  <c r="AK561" i="15"/>
  <c r="BF604" i="15" s="1"/>
  <c r="BD583" i="15"/>
  <c r="AK540" i="15"/>
  <c r="BF583" i="15" s="1"/>
  <c r="BE588" i="15"/>
  <c r="AM545" i="15"/>
  <c r="BG588" i="15" s="1"/>
  <c r="BE583" i="15"/>
  <c r="AM540" i="15"/>
  <c r="BG583" i="15" s="1"/>
  <c r="Z525" i="15"/>
  <c r="Y525" i="15"/>
  <c r="X525" i="15"/>
  <c r="AA525" i="15" s="1"/>
  <c r="AD525" i="15" s="1"/>
  <c r="H523" i="15"/>
  <c r="H517" i="15"/>
  <c r="H505" i="15"/>
  <c r="AG501" i="15"/>
  <c r="AE501" i="15"/>
  <c r="AH501" i="15" s="1"/>
  <c r="AF501" i="15"/>
  <c r="H510" i="15"/>
  <c r="H502" i="15"/>
  <c r="H495" i="15"/>
  <c r="H491" i="15"/>
  <c r="O496" i="15"/>
  <c r="N496" i="15"/>
  <c r="Q496" i="15" s="1"/>
  <c r="H438" i="15"/>
  <c r="H426" i="15"/>
  <c r="Z425" i="15"/>
  <c r="Y425" i="15"/>
  <c r="X425" i="15"/>
  <c r="AA425" i="15" s="1"/>
  <c r="AD425" i="15" s="1"/>
  <c r="O414" i="15"/>
  <c r="N414" i="15"/>
  <c r="Q414" i="15" s="1"/>
  <c r="L303" i="15"/>
  <c r="L281" i="15"/>
  <c r="W287" i="15"/>
  <c r="L309" i="15"/>
  <c r="L300" i="15"/>
  <c r="Q700" i="15"/>
  <c r="T700" i="15" s="1"/>
  <c r="Q674" i="15"/>
  <c r="T674" i="15" s="1"/>
  <c r="AG505" i="15"/>
  <c r="AF505" i="15"/>
  <c r="AE505" i="15"/>
  <c r="AH505" i="15" s="1"/>
  <c r="Q696" i="15"/>
  <c r="T696" i="15" s="1"/>
  <c r="E686" i="15"/>
  <c r="H686" i="15" s="1"/>
  <c r="E682" i="15"/>
  <c r="H682" i="15" s="1"/>
  <c r="Q677" i="15"/>
  <c r="T677" i="15" s="1"/>
  <c r="BD615" i="15"/>
  <c r="AK572" i="15"/>
  <c r="BF615" i="15" s="1"/>
  <c r="BD590" i="15"/>
  <c r="AK547" i="15"/>
  <c r="BF590" i="15" s="1"/>
  <c r="BD611" i="15"/>
  <c r="AK568" i="15"/>
  <c r="BF611" i="15" s="1"/>
  <c r="BD587" i="15"/>
  <c r="AK544" i="15"/>
  <c r="BF587" i="15" s="1"/>
  <c r="Z524" i="15"/>
  <c r="Y524" i="15"/>
  <c r="X524" i="15"/>
  <c r="AA524" i="15" s="1"/>
  <c r="AD524" i="15" s="1"/>
  <c r="H530" i="15"/>
  <c r="H522" i="15"/>
  <c r="AG500" i="15"/>
  <c r="AE500" i="15"/>
  <c r="AH500" i="15" s="1"/>
  <c r="AF500" i="15"/>
  <c r="Z511" i="15"/>
  <c r="Y511" i="15"/>
  <c r="X511" i="15"/>
  <c r="AA511" i="15" s="1"/>
  <c r="AD511" i="15" s="1"/>
  <c r="G512" i="15"/>
  <c r="J512" i="15" s="1"/>
  <c r="M512" i="15" s="1"/>
  <c r="P512" i="15"/>
  <c r="I512" i="15"/>
  <c r="O518" i="15"/>
  <c r="N518" i="15"/>
  <c r="Q518" i="15" s="1"/>
  <c r="AE512" i="15"/>
  <c r="AH512" i="15" s="1"/>
  <c r="AF512" i="15"/>
  <c r="AG512" i="15"/>
  <c r="H508" i="15"/>
  <c r="BE581" i="15"/>
  <c r="AM538" i="15"/>
  <c r="BG581" i="15" s="1"/>
  <c r="I496" i="15"/>
  <c r="G496" i="15"/>
  <c r="J496" i="15" s="1"/>
  <c r="M496" i="15" s="1"/>
  <c r="P496" i="15"/>
  <c r="H434" i="15"/>
  <c r="H422" i="15"/>
  <c r="H420" i="15"/>
  <c r="H404" i="15"/>
  <c r="O434" i="15"/>
  <c r="N434" i="15"/>
  <c r="Q434" i="15" s="1"/>
  <c r="Z413" i="15"/>
  <c r="Y413" i="15"/>
  <c r="X413" i="15"/>
  <c r="AA413" i="15" s="1"/>
  <c r="AD413" i="15" s="1"/>
  <c r="H439" i="15"/>
  <c r="H435" i="15"/>
  <c r="H431" i="15"/>
  <c r="H427" i="15"/>
  <c r="H423" i="15"/>
  <c r="H419" i="15"/>
  <c r="H415" i="15"/>
  <c r="H411" i="15"/>
  <c r="H407" i="15"/>
  <c r="H403" i="15"/>
  <c r="W292" i="15"/>
  <c r="W279" i="15"/>
  <c r="W309" i="15"/>
  <c r="W285" i="15"/>
  <c r="W272" i="15"/>
  <c r="L282" i="15"/>
  <c r="L33" i="14"/>
  <c r="L41" i="14"/>
  <c r="G5" i="14"/>
  <c r="G13" i="14"/>
  <c r="G21" i="14"/>
  <c r="G6" i="14"/>
  <c r="G14" i="14"/>
  <c r="G15" i="14"/>
  <c r="L31" i="14"/>
  <c r="L36" i="14"/>
  <c r="L44" i="14"/>
  <c r="G8" i="14"/>
  <c r="G16" i="14"/>
  <c r="L30" i="14"/>
  <c r="L34" i="14"/>
  <c r="L28" i="14"/>
  <c r="L37" i="14"/>
  <c r="G9" i="14"/>
  <c r="G17" i="14"/>
  <c r="L43" i="14"/>
  <c r="G7" i="14"/>
  <c r="L32" i="14"/>
  <c r="L38" i="14"/>
  <c r="G10" i="14"/>
  <c r="G18" i="14"/>
  <c r="L35" i="14"/>
  <c r="L29" i="14"/>
  <c r="L39" i="14"/>
  <c r="G11" i="14"/>
  <c r="G19" i="14"/>
  <c r="G4" i="14"/>
  <c r="L42" i="14"/>
  <c r="L27" i="14"/>
  <c r="L40" i="14"/>
  <c r="G12" i="14"/>
  <c r="G20" i="14"/>
  <c r="J188" i="13"/>
  <c r="I188" i="13"/>
  <c r="H188" i="13"/>
  <c r="G188" i="13"/>
  <c r="F188" i="13"/>
  <c r="E188" i="13"/>
  <c r="D188" i="13"/>
  <c r="K188" i="13"/>
  <c r="J183" i="13"/>
  <c r="G183" i="13"/>
  <c r="D183" i="13"/>
  <c r="I183" i="13"/>
  <c r="F183" i="13"/>
  <c r="E183" i="13"/>
  <c r="H183" i="13"/>
  <c r="K183" i="13"/>
  <c r="J41" i="13"/>
  <c r="F85" i="13"/>
  <c r="J184" i="13"/>
  <c r="G184" i="13"/>
  <c r="D184" i="13"/>
  <c r="I184" i="13"/>
  <c r="F184" i="13"/>
  <c r="E184" i="13"/>
  <c r="K184" i="13"/>
  <c r="H184" i="13"/>
  <c r="F19" i="13"/>
  <c r="F32" i="13"/>
  <c r="J23" i="13"/>
  <c r="F23" i="13"/>
  <c r="F171" i="13"/>
  <c r="E171" i="13"/>
  <c r="D171" i="13"/>
  <c r="I171" i="13"/>
  <c r="K171" i="13"/>
  <c r="J171" i="13"/>
  <c r="G171" i="13"/>
  <c r="H171" i="13"/>
  <c r="H177" i="13"/>
  <c r="F177" i="13"/>
  <c r="E177" i="13"/>
  <c r="D177" i="13"/>
  <c r="G177" i="13"/>
  <c r="K177" i="13"/>
  <c r="I177" i="13"/>
  <c r="J177" i="13"/>
  <c r="J185" i="13"/>
  <c r="G185" i="13"/>
  <c r="D185" i="13"/>
  <c r="I185" i="13"/>
  <c r="F185" i="13"/>
  <c r="E185" i="13"/>
  <c r="H185" i="13"/>
  <c r="K185" i="13"/>
  <c r="F37" i="13"/>
  <c r="J22" i="13"/>
  <c r="F10" i="13"/>
  <c r="J153" i="13"/>
  <c r="H153" i="13"/>
  <c r="G153" i="13"/>
  <c r="F153" i="13"/>
  <c r="I153" i="13"/>
  <c r="E153" i="13"/>
  <c r="D153" i="13"/>
  <c r="K153" i="13"/>
  <c r="D148" i="13"/>
  <c r="J148" i="13"/>
  <c r="I148" i="13"/>
  <c r="H148" i="13"/>
  <c r="K148" i="13"/>
  <c r="G148" i="13"/>
  <c r="E148" i="13"/>
  <c r="F148" i="13"/>
  <c r="H150" i="13"/>
  <c r="F150" i="13"/>
  <c r="E150" i="13"/>
  <c r="D150" i="13"/>
  <c r="G150" i="13"/>
  <c r="K150" i="13"/>
  <c r="J150" i="13"/>
  <c r="I150" i="13"/>
  <c r="F155" i="13"/>
  <c r="D155" i="13"/>
  <c r="K155" i="13"/>
  <c r="J155" i="13"/>
  <c r="H155" i="13"/>
  <c r="G155" i="13"/>
  <c r="E155" i="13"/>
  <c r="I155" i="13"/>
  <c r="J9" i="13"/>
  <c r="F81" i="13"/>
  <c r="F75" i="13"/>
  <c r="J21" i="13"/>
  <c r="H176" i="13"/>
  <c r="F176" i="13"/>
  <c r="E176" i="13"/>
  <c r="D176" i="13"/>
  <c r="G176" i="13"/>
  <c r="K176" i="13"/>
  <c r="I176" i="13"/>
  <c r="J176" i="13"/>
  <c r="J149" i="13"/>
  <c r="H149" i="13"/>
  <c r="G149" i="13"/>
  <c r="F149" i="13"/>
  <c r="I149" i="13"/>
  <c r="E149" i="13"/>
  <c r="D149" i="13"/>
  <c r="K149" i="13"/>
  <c r="F151" i="13"/>
  <c r="D151" i="13"/>
  <c r="K151" i="13"/>
  <c r="J151" i="13"/>
  <c r="H151" i="13"/>
  <c r="G151" i="13"/>
  <c r="E151" i="13"/>
  <c r="I151" i="13"/>
  <c r="F34" i="13"/>
  <c r="F76" i="13"/>
  <c r="K166" i="13"/>
  <c r="L167" i="13"/>
  <c r="L177" i="13" s="1"/>
  <c r="F172" i="13"/>
  <c r="E172" i="13"/>
  <c r="L172" i="13"/>
  <c r="D172" i="13"/>
  <c r="I172" i="13"/>
  <c r="K172" i="13"/>
  <c r="J172" i="13"/>
  <c r="G172" i="13"/>
  <c r="H172" i="13"/>
  <c r="H178" i="13"/>
  <c r="F178" i="13"/>
  <c r="E178" i="13"/>
  <c r="L178" i="13"/>
  <c r="D178" i="13"/>
  <c r="G178" i="13"/>
  <c r="K178" i="13"/>
  <c r="I178" i="13"/>
  <c r="J178" i="13"/>
  <c r="J186" i="13"/>
  <c r="G186" i="13"/>
  <c r="L186" i="13"/>
  <c r="D186" i="13"/>
  <c r="I186" i="13"/>
  <c r="F186" i="13"/>
  <c r="E186" i="13"/>
  <c r="H186" i="13"/>
  <c r="K186" i="13"/>
  <c r="F82" i="13"/>
  <c r="F78" i="13"/>
  <c r="F86" i="13"/>
  <c r="J157" i="13"/>
  <c r="H157" i="13"/>
  <c r="G157" i="13"/>
  <c r="F157" i="13"/>
  <c r="I157" i="13"/>
  <c r="E157" i="13"/>
  <c r="D157" i="13"/>
  <c r="K157" i="13"/>
  <c r="L157" i="13"/>
  <c r="L152" i="13"/>
  <c r="D152" i="13"/>
  <c r="J152" i="13"/>
  <c r="I152" i="13"/>
  <c r="H152" i="13"/>
  <c r="K152" i="13"/>
  <c r="G152" i="13"/>
  <c r="E152" i="13"/>
  <c r="F152" i="13"/>
  <c r="H154" i="13"/>
  <c r="F154" i="13"/>
  <c r="E154" i="13"/>
  <c r="L154" i="13"/>
  <c r="D154" i="13"/>
  <c r="G154" i="13"/>
  <c r="K154" i="13"/>
  <c r="J154" i="13"/>
  <c r="I154" i="13"/>
  <c r="F159" i="13"/>
  <c r="L159" i="13"/>
  <c r="D159" i="13"/>
  <c r="K159" i="13"/>
  <c r="J159" i="13"/>
  <c r="H159" i="13"/>
  <c r="G159" i="13"/>
  <c r="E159" i="13"/>
  <c r="I159" i="13"/>
  <c r="J30" i="13"/>
  <c r="F80" i="13"/>
  <c r="F44" i="13"/>
  <c r="F46" i="13"/>
  <c r="F17" i="13"/>
  <c r="F77" i="13"/>
  <c r="J7" i="13"/>
  <c r="F173" i="13"/>
  <c r="E173" i="13"/>
  <c r="L173" i="13"/>
  <c r="D173" i="13"/>
  <c r="I173" i="13"/>
  <c r="K173" i="13"/>
  <c r="J173" i="13"/>
  <c r="G173" i="13"/>
  <c r="H173" i="13"/>
  <c r="H179" i="13"/>
  <c r="F179" i="13"/>
  <c r="E179" i="13"/>
  <c r="L179" i="13"/>
  <c r="D179" i="13"/>
  <c r="G179" i="13"/>
  <c r="K179" i="13"/>
  <c r="I179" i="13"/>
  <c r="J179" i="13"/>
  <c r="J33" i="13"/>
  <c r="F18" i="13"/>
  <c r="F87" i="13"/>
  <c r="F83" i="13"/>
  <c r="L156" i="13"/>
  <c r="D156" i="13"/>
  <c r="J156" i="13"/>
  <c r="I156" i="13"/>
  <c r="H156" i="13"/>
  <c r="K156" i="13"/>
  <c r="G156" i="13"/>
  <c r="E156" i="13"/>
  <c r="F156" i="13"/>
  <c r="H158" i="13"/>
  <c r="F158" i="13"/>
  <c r="E158" i="13"/>
  <c r="L158" i="13"/>
  <c r="D158" i="13"/>
  <c r="G158" i="13"/>
  <c r="K158" i="13"/>
  <c r="J158" i="13"/>
  <c r="I158" i="13"/>
  <c r="F163" i="13"/>
  <c r="E163" i="13"/>
  <c r="L163" i="13"/>
  <c r="D163" i="13"/>
  <c r="I163" i="13"/>
  <c r="K163" i="13"/>
  <c r="H163" i="13"/>
  <c r="G163" i="13"/>
  <c r="J163" i="13"/>
  <c r="J46" i="13"/>
  <c r="J17" i="13"/>
  <c r="J43" i="13"/>
  <c r="J40" i="13"/>
  <c r="J15" i="13"/>
  <c r="J42" i="13"/>
  <c r="J44" i="13"/>
  <c r="J19" i="13"/>
  <c r="F174" i="13"/>
  <c r="E174" i="13"/>
  <c r="L174" i="13"/>
  <c r="D174" i="13"/>
  <c r="I174" i="13"/>
  <c r="K174" i="13"/>
  <c r="J174" i="13"/>
  <c r="G174" i="13"/>
  <c r="H174" i="13"/>
  <c r="H180" i="13"/>
  <c r="F180" i="13"/>
  <c r="E180" i="13"/>
  <c r="L180" i="13"/>
  <c r="D180" i="13"/>
  <c r="G180" i="13"/>
  <c r="K180" i="13"/>
  <c r="I180" i="13"/>
  <c r="J180" i="13"/>
  <c r="F90" i="13"/>
  <c r="L160" i="13"/>
  <c r="D160" i="13"/>
  <c r="J160" i="13"/>
  <c r="I160" i="13"/>
  <c r="H160" i="13"/>
  <c r="K160" i="13"/>
  <c r="G160" i="13"/>
  <c r="E160" i="13"/>
  <c r="F160" i="13"/>
  <c r="H162" i="13"/>
  <c r="G162" i="13"/>
  <c r="F162" i="13"/>
  <c r="K162" i="13"/>
  <c r="I162" i="13"/>
  <c r="D162" i="13"/>
  <c r="L162" i="13"/>
  <c r="J162" i="13"/>
  <c r="E162" i="13"/>
  <c r="F42" i="13"/>
  <c r="F36" i="13"/>
  <c r="F11" i="13"/>
  <c r="F38" i="13"/>
  <c r="F147" i="13"/>
  <c r="L147" i="13"/>
  <c r="D147" i="13"/>
  <c r="K147" i="13"/>
  <c r="J147" i="13"/>
  <c r="H147" i="13"/>
  <c r="G147" i="13"/>
  <c r="E147" i="13"/>
  <c r="I147" i="13"/>
  <c r="F21" i="13"/>
  <c r="J181" i="13"/>
  <c r="G181" i="13"/>
  <c r="L181" i="13"/>
  <c r="D181" i="13"/>
  <c r="I181" i="13"/>
  <c r="F181" i="13"/>
  <c r="E181" i="13"/>
  <c r="H181" i="13"/>
  <c r="K181" i="13"/>
  <c r="F29" i="13"/>
  <c r="J6" i="13"/>
  <c r="F84" i="13"/>
  <c r="F79" i="13"/>
  <c r="F89" i="13"/>
  <c r="L164" i="13"/>
  <c r="D164" i="13"/>
  <c r="K164" i="13"/>
  <c r="J164" i="13"/>
  <c r="I164" i="13"/>
  <c r="G164" i="13"/>
  <c r="E164" i="13"/>
  <c r="F164" i="13"/>
  <c r="H164" i="13"/>
  <c r="F13" i="13"/>
  <c r="J32" i="13"/>
  <c r="J34" i="13"/>
  <c r="J13" i="13"/>
  <c r="J187" i="13"/>
  <c r="I187" i="13"/>
  <c r="H187" i="13"/>
  <c r="G187" i="13"/>
  <c r="F187" i="13"/>
  <c r="E187" i="13"/>
  <c r="L187" i="13"/>
  <c r="D187" i="13"/>
  <c r="K187" i="13"/>
  <c r="J14" i="13"/>
  <c r="F40" i="13"/>
  <c r="J36" i="13"/>
  <c r="J11" i="13"/>
  <c r="E175" i="13"/>
  <c r="L175" i="13"/>
  <c r="D175" i="13"/>
  <c r="J175" i="13"/>
  <c r="I175" i="13"/>
  <c r="H175" i="13"/>
  <c r="K175" i="13"/>
  <c r="G175" i="13"/>
  <c r="F175" i="13"/>
  <c r="J182" i="13"/>
  <c r="G182" i="13"/>
  <c r="L182" i="13"/>
  <c r="D182" i="13"/>
  <c r="I182" i="13"/>
  <c r="F182" i="13"/>
  <c r="E182" i="13"/>
  <c r="H182" i="13"/>
  <c r="K182" i="13"/>
  <c r="F45" i="13"/>
  <c r="F92" i="13"/>
  <c r="F91" i="13"/>
  <c r="J161" i="13"/>
  <c r="I161" i="13"/>
  <c r="H161" i="13"/>
  <c r="E161" i="13"/>
  <c r="K161" i="13"/>
  <c r="F161" i="13"/>
  <c r="D161" i="13"/>
  <c r="G161" i="13"/>
  <c r="L161" i="13"/>
  <c r="J38" i="13"/>
  <c r="F88" i="13"/>
  <c r="F30" i="13"/>
  <c r="F9" i="13"/>
  <c r="N513" i="15" l="1"/>
  <c r="Q513" i="15" s="1"/>
  <c r="N514" i="15"/>
  <c r="Q514" i="15" s="1"/>
  <c r="L155" i="13"/>
  <c r="L151" i="13"/>
  <c r="L176" i="13"/>
  <c r="L148" i="13"/>
  <c r="L149" i="13"/>
  <c r="L171" i="13"/>
  <c r="N509" i="15"/>
  <c r="Q509" i="15" s="1"/>
  <c r="O509" i="15"/>
  <c r="O504" i="15"/>
  <c r="O499" i="15"/>
  <c r="P308" i="15"/>
  <c r="M303" i="15"/>
  <c r="N275" i="15"/>
  <c r="M274" i="15"/>
  <c r="X295" i="15"/>
  <c r="M277" i="15"/>
  <c r="X308" i="15"/>
  <c r="Y296" i="15"/>
  <c r="N273" i="15"/>
  <c r="X297" i="15"/>
  <c r="M300" i="15"/>
  <c r="Y294" i="15"/>
  <c r="N288" i="15"/>
  <c r="M302" i="15"/>
  <c r="X284" i="15"/>
  <c r="M296" i="15"/>
  <c r="Y304" i="15"/>
  <c r="Y280" i="15"/>
  <c r="X272" i="15"/>
  <c r="X279" i="15"/>
  <c r="M309" i="15"/>
  <c r="P307" i="15"/>
  <c r="M301" i="15"/>
  <c r="M289" i="15"/>
  <c r="M284" i="15"/>
  <c r="X274" i="15"/>
  <c r="M270" i="15"/>
  <c r="M287" i="15"/>
  <c r="Y288" i="15"/>
  <c r="N293" i="15"/>
  <c r="Y289" i="15"/>
  <c r="X292" i="15"/>
  <c r="O304" i="15"/>
  <c r="M276" i="15"/>
  <c r="M297" i="15"/>
  <c r="X276" i="15"/>
  <c r="M298" i="15"/>
  <c r="X270" i="15"/>
  <c r="Y302" i="15"/>
  <c r="Y273" i="15"/>
  <c r="X305" i="15"/>
  <c r="X287" i="15"/>
  <c r="X277" i="15"/>
  <c r="X282" i="15"/>
  <c r="M292" i="15"/>
  <c r="Z275" i="15"/>
  <c r="M295" i="15"/>
  <c r="N280" i="15"/>
  <c r="Y307" i="15"/>
  <c r="X303" i="15"/>
  <c r="N283" i="15"/>
  <c r="Y290" i="15"/>
  <c r="Y278" i="15"/>
  <c r="X309" i="15"/>
  <c r="N286" i="15"/>
  <c r="X285" i="15"/>
  <c r="M290" i="15"/>
  <c r="M278" i="15"/>
  <c r="Z281" i="15"/>
  <c r="Y286" i="15"/>
  <c r="M306" i="15"/>
  <c r="X300" i="15"/>
  <c r="N291" i="15"/>
  <c r="P299" i="15"/>
  <c r="Y306" i="15"/>
  <c r="N285" i="15"/>
  <c r="M272" i="15"/>
  <c r="M282" i="15"/>
  <c r="Y299" i="15"/>
  <c r="Y301" i="15"/>
  <c r="M281" i="15"/>
  <c r="Y283" i="15"/>
  <c r="N294" i="15"/>
  <c r="Y291" i="15"/>
  <c r="M279" i="15"/>
  <c r="M305" i="15"/>
  <c r="Y293" i="15"/>
  <c r="Y298" i="15"/>
  <c r="L188" i="13"/>
  <c r="L150" i="13"/>
  <c r="L153" i="13"/>
  <c r="M167" i="13"/>
  <c r="L166" i="13"/>
  <c r="L165" i="13"/>
  <c r="L190" i="13"/>
  <c r="L189" i="13"/>
  <c r="L185" i="13"/>
  <c r="L183" i="13"/>
  <c r="L184" i="13"/>
  <c r="Y300" i="15" l="1"/>
  <c r="Y292" i="15"/>
  <c r="N296" i="15"/>
  <c r="Z298" i="15"/>
  <c r="Z301" i="15"/>
  <c r="AA281" i="15"/>
  <c r="O283" i="15"/>
  <c r="N295" i="15"/>
  <c r="Y277" i="15"/>
  <c r="N297" i="15"/>
  <c r="O293" i="15"/>
  <c r="Y274" i="15"/>
  <c r="Q307" i="15"/>
  <c r="Z280" i="15"/>
  <c r="Z294" i="15"/>
  <c r="Z296" i="15"/>
  <c r="N274" i="15"/>
  <c r="Z283" i="15"/>
  <c r="O285" i="15"/>
  <c r="Z302" i="15"/>
  <c r="N279" i="15"/>
  <c r="N272" i="15"/>
  <c r="N278" i="15"/>
  <c r="Y287" i="15"/>
  <c r="N309" i="15"/>
  <c r="Y308" i="15"/>
  <c r="O275" i="15"/>
  <c r="Z293" i="15"/>
  <c r="Z299" i="15"/>
  <c r="Z306" i="15"/>
  <c r="N306" i="15"/>
  <c r="Y309" i="15"/>
  <c r="Y303" i="15"/>
  <c r="AA275" i="15"/>
  <c r="Y270" i="15"/>
  <c r="Z289" i="15"/>
  <c r="Z288" i="15"/>
  <c r="N284" i="15"/>
  <c r="Z304" i="15"/>
  <c r="Y284" i="15"/>
  <c r="N300" i="15"/>
  <c r="O286" i="15"/>
  <c r="N305" i="15"/>
  <c r="N282" i="15"/>
  <c r="Q299" i="15"/>
  <c r="Z307" i="15"/>
  <c r="Y305" i="15"/>
  <c r="N298" i="15"/>
  <c r="Y279" i="15"/>
  <c r="Y297" i="15"/>
  <c r="Z291" i="15"/>
  <c r="Z286" i="15"/>
  <c r="N290" i="15"/>
  <c r="Z278" i="15"/>
  <c r="N292" i="15"/>
  <c r="N276" i="15"/>
  <c r="N287" i="15"/>
  <c r="N289" i="15"/>
  <c r="N302" i="15"/>
  <c r="N277" i="15"/>
  <c r="N303" i="15"/>
  <c r="O294" i="15"/>
  <c r="O291" i="15"/>
  <c r="Z290" i="15"/>
  <c r="Y276" i="15"/>
  <c r="P304" i="15"/>
  <c r="N270" i="15"/>
  <c r="N301" i="15"/>
  <c r="Y272" i="15"/>
  <c r="Y295" i="15"/>
  <c r="Q308" i="15"/>
  <c r="N281" i="15"/>
  <c r="Y285" i="15"/>
  <c r="O280" i="15"/>
  <c r="Y282" i="15"/>
  <c r="Z273" i="15"/>
  <c r="O288" i="15"/>
  <c r="O273" i="15"/>
  <c r="N167" i="13"/>
  <c r="M189" i="13"/>
  <c r="M165" i="13"/>
  <c r="M166" i="13"/>
  <c r="M190" i="13"/>
  <c r="M177" i="13"/>
  <c r="M150" i="13"/>
  <c r="M178" i="13"/>
  <c r="M164" i="13"/>
  <c r="M175" i="13"/>
  <c r="M188" i="13"/>
  <c r="M185" i="13"/>
  <c r="M155" i="13"/>
  <c r="M151" i="13"/>
  <c r="M157" i="13"/>
  <c r="M180" i="13"/>
  <c r="M187" i="13"/>
  <c r="M179" i="13"/>
  <c r="M156" i="13"/>
  <c r="M183" i="13"/>
  <c r="M171" i="13"/>
  <c r="M172" i="13"/>
  <c r="M154" i="13"/>
  <c r="M160" i="13"/>
  <c r="M184" i="13"/>
  <c r="M148" i="13"/>
  <c r="M176" i="13"/>
  <c r="M159" i="13"/>
  <c r="M182" i="13"/>
  <c r="M174" i="13"/>
  <c r="M173" i="13"/>
  <c r="M163" i="13"/>
  <c r="M147" i="13"/>
  <c r="M181" i="13"/>
  <c r="M161" i="13"/>
  <c r="M153" i="13"/>
  <c r="M149" i="13"/>
  <c r="M186" i="13"/>
  <c r="M158" i="13"/>
  <c r="M162" i="13"/>
  <c r="M152" i="13"/>
  <c r="P280" i="15" l="1"/>
  <c r="P291" i="15"/>
  <c r="O292" i="15"/>
  <c r="AA291" i="15"/>
  <c r="O305" i="15"/>
  <c r="AA304" i="15"/>
  <c r="AA302" i="15"/>
  <c r="AA296" i="15"/>
  <c r="Z274" i="15"/>
  <c r="O295" i="15"/>
  <c r="Z287" i="15"/>
  <c r="Z276" i="15"/>
  <c r="P294" i="15"/>
  <c r="O289" i="15"/>
  <c r="AA278" i="15"/>
  <c r="Z297" i="15"/>
  <c r="P286" i="15"/>
  <c r="O306" i="15"/>
  <c r="P275" i="15"/>
  <c r="O278" i="15"/>
  <c r="P285" i="15"/>
  <c r="P283" i="15"/>
  <c r="AA298" i="15"/>
  <c r="P288" i="15"/>
  <c r="Z285" i="15"/>
  <c r="Z272" i="15"/>
  <c r="AA307" i="15"/>
  <c r="O284" i="15"/>
  <c r="Z270" i="15"/>
  <c r="AA294" i="15"/>
  <c r="P293" i="15"/>
  <c r="O296" i="15"/>
  <c r="Z295" i="15"/>
  <c r="O302" i="15"/>
  <c r="O281" i="15"/>
  <c r="O301" i="15"/>
  <c r="AA290" i="15"/>
  <c r="Z279" i="15"/>
  <c r="R299" i="15"/>
  <c r="AA306" i="15"/>
  <c r="O297" i="15"/>
  <c r="AB281" i="15"/>
  <c r="Z292" i="15"/>
  <c r="Z309" i="15"/>
  <c r="AA273" i="15"/>
  <c r="O303" i="15"/>
  <c r="O287" i="15"/>
  <c r="O290" i="15"/>
  <c r="O300" i="15"/>
  <c r="AA288" i="15"/>
  <c r="AB275" i="15"/>
  <c r="Z308" i="15"/>
  <c r="O272" i="15"/>
  <c r="AA283" i="15"/>
  <c r="AA280" i="15"/>
  <c r="P273" i="15"/>
  <c r="Q304" i="15"/>
  <c r="Z305" i="15"/>
  <c r="Z282" i="15"/>
  <c r="O270" i="15"/>
  <c r="O298" i="15"/>
  <c r="O282" i="15"/>
  <c r="Z303" i="15"/>
  <c r="R307" i="15"/>
  <c r="Z300" i="15"/>
  <c r="AA293" i="15"/>
  <c r="R308" i="15"/>
  <c r="O277" i="15"/>
  <c r="O276" i="15"/>
  <c r="AA286" i="15"/>
  <c r="Z284" i="15"/>
  <c r="AA289" i="15"/>
  <c r="AA299" i="15"/>
  <c r="O309" i="15"/>
  <c r="O279" i="15"/>
  <c r="O274" i="15"/>
  <c r="Z277" i="15"/>
  <c r="AA301" i="15"/>
  <c r="O167" i="13"/>
  <c r="N166" i="13"/>
  <c r="N165" i="13"/>
  <c r="N190" i="13"/>
  <c r="N189" i="13"/>
  <c r="N176" i="13"/>
  <c r="N157" i="13"/>
  <c r="N152" i="13"/>
  <c r="N154" i="13"/>
  <c r="N173" i="13"/>
  <c r="N163" i="13"/>
  <c r="N187" i="13"/>
  <c r="N158" i="13"/>
  <c r="N174" i="13"/>
  <c r="N171" i="13"/>
  <c r="N185" i="13"/>
  <c r="N184" i="13"/>
  <c r="N155" i="13"/>
  <c r="N151" i="13"/>
  <c r="N156" i="13"/>
  <c r="N162" i="13"/>
  <c r="N164" i="13"/>
  <c r="N182" i="13"/>
  <c r="N177" i="13"/>
  <c r="N150" i="13"/>
  <c r="N178" i="13"/>
  <c r="N160" i="13"/>
  <c r="N161" i="13"/>
  <c r="N147" i="13"/>
  <c r="N188" i="13"/>
  <c r="N153" i="13"/>
  <c r="N148" i="13"/>
  <c r="N149" i="13"/>
  <c r="N186" i="13"/>
  <c r="N181" i="13"/>
  <c r="N172" i="13"/>
  <c r="N175" i="13"/>
  <c r="N159" i="13"/>
  <c r="N179" i="13"/>
  <c r="N180" i="13"/>
  <c r="N183" i="13"/>
  <c r="P277" i="15" l="1"/>
  <c r="AA305" i="15"/>
  <c r="P303" i="15"/>
  <c r="AA279" i="15"/>
  <c r="AA272" i="15"/>
  <c r="P306" i="15"/>
  <c r="Q291" i="15"/>
  <c r="AA284" i="15"/>
  <c r="P270" i="15"/>
  <c r="P297" i="15"/>
  <c r="AA270" i="15"/>
  <c r="P305" i="15"/>
  <c r="P279" i="15"/>
  <c r="S307" i="15"/>
  <c r="R304" i="15"/>
  <c r="AB273" i="15"/>
  <c r="AA285" i="15"/>
  <c r="Q286" i="15"/>
  <c r="AA282" i="15"/>
  <c r="AA308" i="15"/>
  <c r="P301" i="15"/>
  <c r="AB286" i="15"/>
  <c r="P290" i="15"/>
  <c r="AA309" i="15"/>
  <c r="AB306" i="15"/>
  <c r="P296" i="15"/>
  <c r="P284" i="15"/>
  <c r="Q288" i="15"/>
  <c r="P278" i="15"/>
  <c r="AA297" i="15"/>
  <c r="AB296" i="15"/>
  <c r="AB291" i="15"/>
  <c r="AB288" i="15"/>
  <c r="P302" i="15"/>
  <c r="Q283" i="15"/>
  <c r="P289" i="15"/>
  <c r="P274" i="15"/>
  <c r="P298" i="15"/>
  <c r="AC281" i="15"/>
  <c r="AB294" i="15"/>
  <c r="AB304" i="15"/>
  <c r="AB290" i="15"/>
  <c r="Q280" i="15"/>
  <c r="P300" i="15"/>
  <c r="Q294" i="15"/>
  <c r="AB301" i="15"/>
  <c r="P309" i="15"/>
  <c r="AA303" i="15"/>
  <c r="Q273" i="15"/>
  <c r="AA277" i="15"/>
  <c r="AB293" i="15"/>
  <c r="AB280" i="15"/>
  <c r="P281" i="15"/>
  <c r="AB307" i="15"/>
  <c r="AB298" i="15"/>
  <c r="AA287" i="15"/>
  <c r="P292" i="15"/>
  <c r="AA300" i="15"/>
  <c r="AB289" i="15"/>
  <c r="AB283" i="15"/>
  <c r="P295" i="15"/>
  <c r="AA295" i="15"/>
  <c r="AA274" i="15"/>
  <c r="P272" i="15"/>
  <c r="Q285" i="15"/>
  <c r="S308" i="15"/>
  <c r="AA276" i="15"/>
  <c r="AB299" i="15"/>
  <c r="P276" i="15"/>
  <c r="P282" i="15"/>
  <c r="AC275" i="15"/>
  <c r="P287" i="15"/>
  <c r="AA292" i="15"/>
  <c r="S299" i="15"/>
  <c r="Q293" i="15"/>
  <c r="Q275" i="15"/>
  <c r="AB278" i="15"/>
  <c r="AB302" i="15"/>
  <c r="P167" i="13"/>
  <c r="O165" i="13"/>
  <c r="O166" i="13"/>
  <c r="O189" i="13"/>
  <c r="O190" i="13"/>
  <c r="O154" i="13"/>
  <c r="O173" i="13"/>
  <c r="O163" i="13"/>
  <c r="O180" i="13"/>
  <c r="O162" i="13"/>
  <c r="O174" i="13"/>
  <c r="O155" i="13"/>
  <c r="O151" i="13"/>
  <c r="O179" i="13"/>
  <c r="O156" i="13"/>
  <c r="O164" i="13"/>
  <c r="O188" i="13"/>
  <c r="O153" i="13"/>
  <c r="O149" i="13"/>
  <c r="O160" i="13"/>
  <c r="O187" i="13"/>
  <c r="O161" i="13"/>
  <c r="O175" i="13"/>
  <c r="O148" i="13"/>
  <c r="O176" i="13"/>
  <c r="O158" i="13"/>
  <c r="O184" i="13"/>
  <c r="O159" i="13"/>
  <c r="O181" i="13"/>
  <c r="O182" i="13"/>
  <c r="O178" i="13"/>
  <c r="O150" i="13"/>
  <c r="O157" i="13"/>
  <c r="O147" i="13"/>
  <c r="O183" i="13"/>
  <c r="O171" i="13"/>
  <c r="O185" i="13"/>
  <c r="O172" i="13"/>
  <c r="O186" i="13"/>
  <c r="O152" i="13"/>
  <c r="O177" i="13"/>
  <c r="Q287" i="15" l="1"/>
  <c r="R294" i="15"/>
  <c r="AB274" i="15"/>
  <c r="AC306" i="15"/>
  <c r="AB300" i="15"/>
  <c r="AB309" i="15"/>
  <c r="AB284" i="15"/>
  <c r="AC302" i="15"/>
  <c r="T299" i="15"/>
  <c r="Q282" i="15"/>
  <c r="T308" i="15"/>
  <c r="AB295" i="15"/>
  <c r="AC307" i="15"/>
  <c r="Q309" i="15"/>
  <c r="AC294" i="15"/>
  <c r="AC291" i="15"/>
  <c r="R288" i="15"/>
  <c r="AB308" i="15"/>
  <c r="AC273" i="15"/>
  <c r="AB279" i="15"/>
  <c r="AD275" i="15"/>
  <c r="AB303" i="15"/>
  <c r="AC288" i="15"/>
  <c r="Q289" i="15"/>
  <c r="Q305" i="15"/>
  <c r="Q276" i="15"/>
  <c r="Q295" i="15"/>
  <c r="Q292" i="15"/>
  <c r="AB277" i="15"/>
  <c r="AC301" i="15"/>
  <c r="R283" i="15"/>
  <c r="AC296" i="15"/>
  <c r="AB270" i="15"/>
  <c r="R291" i="15"/>
  <c r="AC298" i="15"/>
  <c r="Q300" i="15"/>
  <c r="AC293" i="15"/>
  <c r="AC278" i="15"/>
  <c r="AB292" i="15"/>
  <c r="R285" i="15"/>
  <c r="Q281" i="15"/>
  <c r="R280" i="15"/>
  <c r="AD281" i="15"/>
  <c r="Q284" i="15"/>
  <c r="Q290" i="15"/>
  <c r="AB282" i="15"/>
  <c r="S304" i="15"/>
  <c r="Q303" i="15"/>
  <c r="AC280" i="15"/>
  <c r="Q302" i="15"/>
  <c r="AB297" i="15"/>
  <c r="Q296" i="15"/>
  <c r="T307" i="15"/>
  <c r="Q297" i="15"/>
  <c r="Q306" i="15"/>
  <c r="AB305" i="15"/>
  <c r="R275" i="15"/>
  <c r="AC299" i="15"/>
  <c r="Q272" i="15"/>
  <c r="AC283" i="15"/>
  <c r="AB287" i="15"/>
  <c r="AC290" i="15"/>
  <c r="Q298" i="15"/>
  <c r="AC286" i="15"/>
  <c r="R286" i="15"/>
  <c r="R273" i="15"/>
  <c r="AC304" i="15"/>
  <c r="Q279" i="15"/>
  <c r="R293" i="15"/>
  <c r="AB276" i="15"/>
  <c r="AC289" i="15"/>
  <c r="Q274" i="15"/>
  <c r="Q278" i="15"/>
  <c r="Q301" i="15"/>
  <c r="AB285" i="15"/>
  <c r="Q270" i="15"/>
  <c r="AB272" i="15"/>
  <c r="Q277" i="15"/>
  <c r="Q167" i="13"/>
  <c r="P190" i="13"/>
  <c r="P165" i="13"/>
  <c r="P189" i="13"/>
  <c r="P166" i="13"/>
  <c r="P155" i="13"/>
  <c r="P151" i="13"/>
  <c r="P160" i="13"/>
  <c r="P153" i="13"/>
  <c r="P149" i="13"/>
  <c r="P156" i="13"/>
  <c r="P158" i="13"/>
  <c r="P187" i="13"/>
  <c r="P184" i="13"/>
  <c r="P177" i="13"/>
  <c r="P148" i="13"/>
  <c r="P150" i="13"/>
  <c r="P178" i="13"/>
  <c r="P181" i="13"/>
  <c r="P182" i="13"/>
  <c r="P157" i="13"/>
  <c r="P164" i="13"/>
  <c r="P173" i="13"/>
  <c r="P183" i="13"/>
  <c r="P185" i="13"/>
  <c r="P186" i="13"/>
  <c r="P159" i="13"/>
  <c r="P179" i="13"/>
  <c r="P180" i="13"/>
  <c r="P161" i="13"/>
  <c r="P152" i="13"/>
  <c r="P154" i="13"/>
  <c r="P147" i="13"/>
  <c r="P171" i="13"/>
  <c r="P176" i="13"/>
  <c r="P172" i="13"/>
  <c r="P162" i="13"/>
  <c r="P188" i="13"/>
  <c r="P163" i="13"/>
  <c r="P174" i="13"/>
  <c r="P175" i="13"/>
  <c r="AD283" i="15" l="1"/>
  <c r="AC292" i="15"/>
  <c r="AD288" i="15"/>
  <c r="AD278" i="15"/>
  <c r="AC308" i="15"/>
  <c r="U308" i="15"/>
  <c r="AC284" i="15"/>
  <c r="R277" i="15"/>
  <c r="R301" i="15"/>
  <c r="S273" i="15"/>
  <c r="AD290" i="15"/>
  <c r="R302" i="15"/>
  <c r="S280" i="15"/>
  <c r="S291" i="15"/>
  <c r="AC303" i="15"/>
  <c r="R284" i="15"/>
  <c r="R289" i="15"/>
  <c r="AC295" i="15"/>
  <c r="AD293" i="15"/>
  <c r="R305" i="15"/>
  <c r="AE275" i="15"/>
  <c r="R309" i="15"/>
  <c r="R282" i="15"/>
  <c r="AC274" i="15"/>
  <c r="S285" i="15"/>
  <c r="AC276" i="15"/>
  <c r="AD299" i="15"/>
  <c r="AC282" i="15"/>
  <c r="AD301" i="15"/>
  <c r="AC272" i="15"/>
  <c r="R278" i="15"/>
  <c r="S293" i="15"/>
  <c r="S286" i="15"/>
  <c r="AC287" i="15"/>
  <c r="S275" i="15"/>
  <c r="U307" i="15"/>
  <c r="AD280" i="15"/>
  <c r="R281" i="15"/>
  <c r="AC270" i="15"/>
  <c r="AC277" i="15"/>
  <c r="S288" i="15"/>
  <c r="AC309" i="15"/>
  <c r="AC305" i="15"/>
  <c r="AE281" i="15"/>
  <c r="R295" i="15"/>
  <c r="R287" i="15"/>
  <c r="R297" i="15"/>
  <c r="R276" i="15"/>
  <c r="R290" i="15"/>
  <c r="R274" i="15"/>
  <c r="R279" i="15"/>
  <c r="AD286" i="15"/>
  <c r="R303" i="15"/>
  <c r="R300" i="15"/>
  <c r="AD296" i="15"/>
  <c r="R292" i="15"/>
  <c r="AD291" i="15"/>
  <c r="AD307" i="15"/>
  <c r="AC300" i="15"/>
  <c r="R270" i="15"/>
  <c r="R296" i="15"/>
  <c r="U299" i="15"/>
  <c r="S294" i="15"/>
  <c r="AC279" i="15"/>
  <c r="AD304" i="15"/>
  <c r="AD294" i="15"/>
  <c r="AC285" i="15"/>
  <c r="AD289" i="15"/>
  <c r="R298" i="15"/>
  <c r="R272" i="15"/>
  <c r="R306" i="15"/>
  <c r="AC297" i="15"/>
  <c r="T304" i="15"/>
  <c r="AD298" i="15"/>
  <c r="S283" i="15"/>
  <c r="AD273" i="15"/>
  <c r="AD302" i="15"/>
  <c r="AD306" i="15"/>
  <c r="R167" i="13"/>
  <c r="Q190" i="13"/>
  <c r="Q165" i="13"/>
  <c r="Q189" i="13"/>
  <c r="Q166" i="13"/>
  <c r="Q183" i="13"/>
  <c r="Q185" i="13"/>
  <c r="Q186" i="13"/>
  <c r="Q179" i="13"/>
  <c r="Q161" i="13"/>
  <c r="Q180" i="13"/>
  <c r="Q153" i="13"/>
  <c r="Q149" i="13"/>
  <c r="Q152" i="13"/>
  <c r="Q171" i="13"/>
  <c r="Q176" i="13"/>
  <c r="Q172" i="13"/>
  <c r="Q159" i="13"/>
  <c r="Q158" i="13"/>
  <c r="Q164" i="13"/>
  <c r="Q174" i="13"/>
  <c r="Q147" i="13"/>
  <c r="Q188" i="13"/>
  <c r="Q150" i="13"/>
  <c r="Q157" i="13"/>
  <c r="Q173" i="13"/>
  <c r="Q156" i="13"/>
  <c r="Q163" i="13"/>
  <c r="Q187" i="13"/>
  <c r="Q162" i="13"/>
  <c r="Q154" i="13"/>
  <c r="Q160" i="13"/>
  <c r="Q184" i="13"/>
  <c r="Q177" i="13"/>
  <c r="Q148" i="13"/>
  <c r="Q178" i="13"/>
  <c r="Q181" i="13"/>
  <c r="Q175" i="13"/>
  <c r="Q182" i="13"/>
  <c r="Q155" i="13"/>
  <c r="Q151" i="13"/>
  <c r="S306" i="15" l="1"/>
  <c r="S278" i="15"/>
  <c r="S287" i="15"/>
  <c r="AE278" i="15"/>
  <c r="AE298" i="15"/>
  <c r="S272" i="15"/>
  <c r="AE307" i="15"/>
  <c r="S281" i="15"/>
  <c r="AD287" i="15"/>
  <c r="AD276" i="15"/>
  <c r="S309" i="15"/>
  <c r="AD295" i="15"/>
  <c r="AD303" i="15"/>
  <c r="AD284" i="15"/>
  <c r="AD270" i="15"/>
  <c r="S274" i="15"/>
  <c r="AD309" i="15"/>
  <c r="AD272" i="15"/>
  <c r="AE302" i="15"/>
  <c r="U304" i="15"/>
  <c r="S298" i="15"/>
  <c r="AE304" i="15"/>
  <c r="AE291" i="15"/>
  <c r="S303" i="15"/>
  <c r="S290" i="15"/>
  <c r="S295" i="15"/>
  <c r="T273" i="15"/>
  <c r="AE288" i="15"/>
  <c r="AD285" i="15"/>
  <c r="S282" i="15"/>
  <c r="AE306" i="15"/>
  <c r="AE294" i="15"/>
  <c r="S300" i="15"/>
  <c r="AE290" i="15"/>
  <c r="S296" i="15"/>
  <c r="T288" i="15"/>
  <c r="AE280" i="15"/>
  <c r="T286" i="15"/>
  <c r="AE301" i="15"/>
  <c r="T285" i="15"/>
  <c r="AF275" i="15"/>
  <c r="S289" i="15"/>
  <c r="T291" i="15"/>
  <c r="S270" i="15"/>
  <c r="AE286" i="15"/>
  <c r="AF281" i="15"/>
  <c r="T293" i="15"/>
  <c r="S305" i="15"/>
  <c r="S284" i="15"/>
  <c r="T280" i="15"/>
  <c r="AD279" i="15"/>
  <c r="S292" i="15"/>
  <c r="AD282" i="15"/>
  <c r="AE273" i="15"/>
  <c r="AD297" i="15"/>
  <c r="AE289" i="15"/>
  <c r="S276" i="15"/>
  <c r="AD277" i="15"/>
  <c r="AD274" i="15"/>
  <c r="S301" i="15"/>
  <c r="AD292" i="15"/>
  <c r="AE299" i="15"/>
  <c r="S277" i="15"/>
  <c r="AD305" i="15"/>
  <c r="T283" i="15"/>
  <c r="T294" i="15"/>
  <c r="AD300" i="15"/>
  <c r="AE296" i="15"/>
  <c r="S279" i="15"/>
  <c r="S297" i="15"/>
  <c r="T275" i="15"/>
  <c r="AE293" i="15"/>
  <c r="S302" i="15"/>
  <c r="AD308" i="15"/>
  <c r="AE283" i="15"/>
  <c r="S167" i="13"/>
  <c r="R166" i="13"/>
  <c r="R165" i="13"/>
  <c r="R189" i="13"/>
  <c r="R190" i="13"/>
  <c r="R159" i="13"/>
  <c r="R188" i="13"/>
  <c r="R184" i="13"/>
  <c r="R177" i="13"/>
  <c r="R150" i="13"/>
  <c r="R178" i="13"/>
  <c r="R156" i="13"/>
  <c r="R147" i="13"/>
  <c r="R181" i="13"/>
  <c r="R187" i="13"/>
  <c r="R182" i="13"/>
  <c r="R161" i="13"/>
  <c r="R180" i="13"/>
  <c r="R160" i="13"/>
  <c r="R175" i="13"/>
  <c r="R183" i="13"/>
  <c r="R185" i="13"/>
  <c r="R148" i="13"/>
  <c r="R186" i="13"/>
  <c r="R179" i="13"/>
  <c r="R171" i="13"/>
  <c r="R153" i="13"/>
  <c r="R149" i="13"/>
  <c r="R172" i="13"/>
  <c r="R154" i="13"/>
  <c r="R162" i="13"/>
  <c r="R174" i="13"/>
  <c r="R158" i="13"/>
  <c r="R163" i="13"/>
  <c r="R164" i="13"/>
  <c r="R155" i="13"/>
  <c r="R176" i="13"/>
  <c r="R151" i="13"/>
  <c r="R152" i="13"/>
  <c r="R173" i="13"/>
  <c r="R157" i="13"/>
  <c r="AE292" i="15" l="1"/>
  <c r="AE282" i="15"/>
  <c r="AE285" i="15"/>
  <c r="T298" i="15"/>
  <c r="T277" i="15"/>
  <c r="AE274" i="15"/>
  <c r="T305" i="15"/>
  <c r="T270" i="15"/>
  <c r="U288" i="15"/>
  <c r="AF294" i="15"/>
  <c r="T303" i="15"/>
  <c r="T274" i="15"/>
  <c r="T281" i="15"/>
  <c r="U275" i="15"/>
  <c r="AE300" i="15"/>
  <c r="T292" i="15"/>
  <c r="U285" i="15"/>
  <c r="AF288" i="15"/>
  <c r="AE295" i="15"/>
  <c r="AF278" i="15"/>
  <c r="U286" i="15"/>
  <c r="AF283" i="15"/>
  <c r="AF289" i="15"/>
  <c r="AF273" i="15"/>
  <c r="U293" i="15"/>
  <c r="T296" i="15"/>
  <c r="AF302" i="15"/>
  <c r="AE270" i="15"/>
  <c r="T309" i="15"/>
  <c r="AF307" i="15"/>
  <c r="U283" i="15"/>
  <c r="T284" i="15"/>
  <c r="AE308" i="15"/>
  <c r="AF299" i="15"/>
  <c r="T302" i="15"/>
  <c r="U294" i="15"/>
  <c r="AE277" i="15"/>
  <c r="AE279" i="15"/>
  <c r="AF301" i="15"/>
  <c r="AF306" i="15"/>
  <c r="U273" i="15"/>
  <c r="AF291" i="15"/>
  <c r="T287" i="15"/>
  <c r="T295" i="15"/>
  <c r="T301" i="15"/>
  <c r="T300" i="15"/>
  <c r="T290" i="15"/>
  <c r="AE297" i="15"/>
  <c r="U291" i="15"/>
  <c r="T297" i="15"/>
  <c r="U280" i="15"/>
  <c r="T289" i="15"/>
  <c r="AF304" i="15"/>
  <c r="T279" i="15"/>
  <c r="T282" i="15"/>
  <c r="AE272" i="15"/>
  <c r="AE284" i="15"/>
  <c r="AE276" i="15"/>
  <c r="T272" i="15"/>
  <c r="T278" i="15"/>
  <c r="AF286" i="15"/>
  <c r="T276" i="15"/>
  <c r="AF290" i="15"/>
  <c r="AF293" i="15"/>
  <c r="AF296" i="15"/>
  <c r="AE305" i="15"/>
  <c r="AF280" i="15"/>
  <c r="AE309" i="15"/>
  <c r="AE303" i="15"/>
  <c r="AE287" i="15"/>
  <c r="AF298" i="15"/>
  <c r="T306" i="15"/>
  <c r="T167" i="13"/>
  <c r="S166" i="13"/>
  <c r="S165" i="13"/>
  <c r="S190" i="13"/>
  <c r="S189" i="13"/>
  <c r="S188" i="13"/>
  <c r="S177" i="13"/>
  <c r="S153" i="13"/>
  <c r="S150" i="13"/>
  <c r="S149" i="13"/>
  <c r="S178" i="13"/>
  <c r="S160" i="13"/>
  <c r="S187" i="13"/>
  <c r="S175" i="13"/>
  <c r="S161" i="13"/>
  <c r="S148" i="13"/>
  <c r="S180" i="13"/>
  <c r="S155" i="13"/>
  <c r="S151" i="13"/>
  <c r="S179" i="13"/>
  <c r="S157" i="13"/>
  <c r="S154" i="13"/>
  <c r="S184" i="13"/>
  <c r="S176" i="13"/>
  <c r="S152" i="13"/>
  <c r="S181" i="13"/>
  <c r="S164" i="13"/>
  <c r="S182" i="13"/>
  <c r="S171" i="13"/>
  <c r="S172" i="13"/>
  <c r="S159" i="13"/>
  <c r="S173" i="13"/>
  <c r="S183" i="13"/>
  <c r="S185" i="13"/>
  <c r="S186" i="13"/>
  <c r="S158" i="13"/>
  <c r="S163" i="13"/>
  <c r="S174" i="13"/>
  <c r="S162" i="13"/>
  <c r="S147" i="13"/>
  <c r="S156" i="13"/>
  <c r="U290" i="15" l="1"/>
  <c r="U298" i="15"/>
  <c r="AF303" i="15"/>
  <c r="AF276" i="15"/>
  <c r="U302" i="15"/>
  <c r="U292" i="15"/>
  <c r="U270" i="15"/>
  <c r="U287" i="15"/>
  <c r="U306" i="15"/>
  <c r="AF309" i="15"/>
  <c r="U296" i="15"/>
  <c r="U303" i="15"/>
  <c r="AF285" i="15"/>
  <c r="U274" i="15"/>
  <c r="U279" i="15"/>
  <c r="U297" i="15"/>
  <c r="U300" i="15"/>
  <c r="AF279" i="15"/>
  <c r="AF295" i="15"/>
  <c r="AF300" i="15"/>
  <c r="U305" i="15"/>
  <c r="AF277" i="15"/>
  <c r="AF284" i="15"/>
  <c r="U301" i="15"/>
  <c r="AF308" i="15"/>
  <c r="U309" i="15"/>
  <c r="AF274" i="15"/>
  <c r="AF282" i="15"/>
  <c r="AF272" i="15"/>
  <c r="U284" i="15"/>
  <c r="AF270" i="15"/>
  <c r="AF292" i="15"/>
  <c r="U278" i="15"/>
  <c r="AF297" i="15"/>
  <c r="AF287" i="15"/>
  <c r="AF305" i="15"/>
  <c r="U276" i="15"/>
  <c r="U272" i="15"/>
  <c r="U282" i="15"/>
  <c r="U289" i="15"/>
  <c r="U295" i="15"/>
  <c r="U281" i="15"/>
  <c r="U277" i="15"/>
  <c r="U167" i="13"/>
  <c r="T165" i="13"/>
  <c r="T190" i="13"/>
  <c r="T189" i="13"/>
  <c r="T166" i="13"/>
  <c r="T173" i="13"/>
  <c r="T163" i="13"/>
  <c r="T164" i="13"/>
  <c r="T183" i="13"/>
  <c r="T185" i="13"/>
  <c r="T186" i="13"/>
  <c r="T159" i="13"/>
  <c r="T158" i="13"/>
  <c r="T161" i="13"/>
  <c r="T181" i="13"/>
  <c r="T182" i="13"/>
  <c r="T152" i="13"/>
  <c r="T162" i="13"/>
  <c r="T147" i="13"/>
  <c r="T176" i="13"/>
  <c r="T177" i="13"/>
  <c r="T153" i="13"/>
  <c r="T150" i="13"/>
  <c r="T149" i="13"/>
  <c r="T178" i="13"/>
  <c r="T175" i="13"/>
  <c r="T148" i="13"/>
  <c r="T188" i="13"/>
  <c r="T180" i="13"/>
  <c r="T187" i="13"/>
  <c r="T179" i="13"/>
  <c r="T156" i="13"/>
  <c r="T171" i="13"/>
  <c r="T155" i="13"/>
  <c r="T151" i="13"/>
  <c r="T172" i="13"/>
  <c r="T157" i="13"/>
  <c r="T154" i="13"/>
  <c r="T160" i="13"/>
  <c r="T184" i="13"/>
  <c r="T174" i="13"/>
  <c r="V167" i="13" l="1"/>
  <c r="U166" i="13"/>
  <c r="U165" i="13"/>
  <c r="U190" i="13"/>
  <c r="U189" i="13"/>
  <c r="U188" i="13"/>
  <c r="U185" i="13"/>
  <c r="U155" i="13"/>
  <c r="U151" i="13"/>
  <c r="U180" i="13"/>
  <c r="U187" i="13"/>
  <c r="U150" i="13"/>
  <c r="U183" i="13"/>
  <c r="U153" i="13"/>
  <c r="U149" i="13"/>
  <c r="U179" i="13"/>
  <c r="U164" i="13"/>
  <c r="U175" i="13"/>
  <c r="U184" i="13"/>
  <c r="U171" i="13"/>
  <c r="U172" i="13"/>
  <c r="U154" i="13"/>
  <c r="U156" i="13"/>
  <c r="U182" i="13"/>
  <c r="U176" i="13"/>
  <c r="U159" i="13"/>
  <c r="U160" i="13"/>
  <c r="U148" i="13"/>
  <c r="U186" i="13"/>
  <c r="U157" i="13"/>
  <c r="U173" i="13"/>
  <c r="U163" i="13"/>
  <c r="U174" i="13"/>
  <c r="U147" i="13"/>
  <c r="U152" i="13"/>
  <c r="U158" i="13"/>
  <c r="U162" i="13"/>
  <c r="U177" i="13"/>
  <c r="U178" i="13"/>
  <c r="U181" i="13"/>
  <c r="U161" i="13"/>
  <c r="V166" i="13" l="1"/>
  <c r="W167" i="13"/>
  <c r="V165" i="13"/>
  <c r="V190" i="13"/>
  <c r="V189" i="13"/>
  <c r="V173" i="13"/>
  <c r="V156" i="13"/>
  <c r="V163" i="13"/>
  <c r="V158" i="13"/>
  <c r="V174" i="13"/>
  <c r="V160" i="13"/>
  <c r="V164" i="13"/>
  <c r="V184" i="13"/>
  <c r="V148" i="13"/>
  <c r="V155" i="13"/>
  <c r="V151" i="13"/>
  <c r="V162" i="13"/>
  <c r="V181" i="13"/>
  <c r="V182" i="13"/>
  <c r="V177" i="13"/>
  <c r="V150" i="13"/>
  <c r="V178" i="13"/>
  <c r="V161" i="13"/>
  <c r="V188" i="13"/>
  <c r="V183" i="13"/>
  <c r="V185" i="13"/>
  <c r="V153" i="13"/>
  <c r="V149" i="13"/>
  <c r="V186" i="13"/>
  <c r="V187" i="13"/>
  <c r="V180" i="13"/>
  <c r="V157" i="13"/>
  <c r="V152" i="13"/>
  <c r="V159" i="13"/>
  <c r="V179" i="13"/>
  <c r="V171" i="13"/>
  <c r="V172" i="13"/>
  <c r="V154" i="13"/>
  <c r="V147" i="13"/>
  <c r="V175" i="13"/>
  <c r="V176" i="13"/>
  <c r="X167" i="13" l="1"/>
  <c r="W165" i="13"/>
  <c r="W166" i="13"/>
  <c r="W189" i="13"/>
  <c r="W190" i="13"/>
  <c r="W179" i="13"/>
  <c r="W148" i="13"/>
  <c r="W188" i="13"/>
  <c r="W153" i="13"/>
  <c r="W149" i="13"/>
  <c r="W154" i="13"/>
  <c r="W187" i="13"/>
  <c r="W161" i="13"/>
  <c r="W162" i="13"/>
  <c r="W176" i="13"/>
  <c r="W152" i="13"/>
  <c r="W159" i="13"/>
  <c r="W155" i="13"/>
  <c r="W151" i="13"/>
  <c r="W184" i="13"/>
  <c r="W171" i="13"/>
  <c r="W172" i="13"/>
  <c r="W147" i="13"/>
  <c r="W181" i="13"/>
  <c r="W182" i="13"/>
  <c r="W175" i="13"/>
  <c r="W157" i="13"/>
  <c r="W158" i="13"/>
  <c r="W174" i="13"/>
  <c r="W164" i="13"/>
  <c r="W183" i="13"/>
  <c r="W185" i="13"/>
  <c r="W186" i="13"/>
  <c r="W173" i="13"/>
  <c r="W156" i="13"/>
  <c r="W163" i="13"/>
  <c r="W177" i="13"/>
  <c r="W150" i="13"/>
  <c r="W178" i="13"/>
  <c r="W160" i="13"/>
  <c r="W180" i="13"/>
  <c r="Y167" i="13" l="1"/>
  <c r="X190" i="13"/>
  <c r="X165" i="13"/>
  <c r="X166" i="13"/>
  <c r="X189" i="13"/>
  <c r="X183" i="13"/>
  <c r="X177" i="13"/>
  <c r="X148" i="13"/>
  <c r="X150" i="13"/>
  <c r="X178" i="13"/>
  <c r="X173" i="13"/>
  <c r="X186" i="13"/>
  <c r="X157" i="13"/>
  <c r="X181" i="13"/>
  <c r="X184" i="13"/>
  <c r="X174" i="13"/>
  <c r="X164" i="13"/>
  <c r="X155" i="13"/>
  <c r="X151" i="13"/>
  <c r="X179" i="13"/>
  <c r="X180" i="13"/>
  <c r="X161" i="13"/>
  <c r="X185" i="13"/>
  <c r="X152" i="13"/>
  <c r="X154" i="13"/>
  <c r="X175" i="13"/>
  <c r="X176" i="13"/>
  <c r="X162" i="13"/>
  <c r="X159" i="13"/>
  <c r="X160" i="13"/>
  <c r="X182" i="13"/>
  <c r="X188" i="13"/>
  <c r="X171" i="13"/>
  <c r="X153" i="13"/>
  <c r="X149" i="13"/>
  <c r="X172" i="13"/>
  <c r="X156" i="13"/>
  <c r="X158" i="13"/>
  <c r="X163" i="13"/>
  <c r="X147" i="13"/>
  <c r="X187" i="13"/>
  <c r="Z167" i="13" l="1"/>
  <c r="Y190" i="13"/>
  <c r="Y165" i="13"/>
  <c r="Y189" i="13"/>
  <c r="Y166" i="13"/>
  <c r="Y150" i="13"/>
  <c r="Y152" i="13"/>
  <c r="Y162" i="13"/>
  <c r="Y171" i="13"/>
  <c r="Y176" i="13"/>
  <c r="Y172" i="13"/>
  <c r="Y164" i="13"/>
  <c r="Y182" i="13"/>
  <c r="Y155" i="13"/>
  <c r="Y151" i="13"/>
  <c r="Y186" i="13"/>
  <c r="Y157" i="13"/>
  <c r="Y174" i="13"/>
  <c r="Y153" i="13"/>
  <c r="Y179" i="13"/>
  <c r="Y188" i="13"/>
  <c r="Y173" i="13"/>
  <c r="Y156" i="13"/>
  <c r="Y163" i="13"/>
  <c r="Y187" i="13"/>
  <c r="Y154" i="13"/>
  <c r="Y160" i="13"/>
  <c r="Y181" i="13"/>
  <c r="Y175" i="13"/>
  <c r="Y177" i="13"/>
  <c r="Y148" i="13"/>
  <c r="Y178" i="13"/>
  <c r="Y159" i="13"/>
  <c r="Y149" i="13"/>
  <c r="Y161" i="13"/>
  <c r="Y183" i="13"/>
  <c r="Y184" i="13"/>
  <c r="Y185" i="13"/>
  <c r="Y158" i="13"/>
  <c r="Y180" i="13"/>
  <c r="Y147" i="13"/>
  <c r="Z166" i="13" l="1"/>
  <c r="AA167" i="13"/>
  <c r="Z165" i="13"/>
  <c r="Z189" i="13"/>
  <c r="Z190" i="13"/>
  <c r="Z188" i="13"/>
  <c r="Z184" i="13"/>
  <c r="Z176" i="13"/>
  <c r="Z156" i="13"/>
  <c r="Z147" i="13"/>
  <c r="Z181" i="13"/>
  <c r="Z187" i="13"/>
  <c r="Z182" i="13"/>
  <c r="Z158" i="13"/>
  <c r="Z171" i="13"/>
  <c r="Z150" i="13"/>
  <c r="Z172" i="13"/>
  <c r="Z163" i="13"/>
  <c r="Z160" i="13"/>
  <c r="Z183" i="13"/>
  <c r="Z185" i="13"/>
  <c r="Z148" i="13"/>
  <c r="Z186" i="13"/>
  <c r="Z174" i="13"/>
  <c r="Z153" i="13"/>
  <c r="Z149" i="13"/>
  <c r="Z154" i="13"/>
  <c r="Z173" i="13"/>
  <c r="Z162" i="13"/>
  <c r="Z175" i="13"/>
  <c r="Z177" i="13"/>
  <c r="Z155" i="13"/>
  <c r="Z151" i="13"/>
  <c r="Z178" i="13"/>
  <c r="Z161" i="13"/>
  <c r="Z159" i="13"/>
  <c r="Z152" i="13"/>
  <c r="Z180" i="13"/>
  <c r="Z157" i="13"/>
  <c r="Z179" i="13"/>
  <c r="Z164" i="13"/>
  <c r="AA166" i="13" l="1"/>
  <c r="AB167" i="13"/>
  <c r="AA190" i="13"/>
  <c r="AA165" i="13"/>
  <c r="AA189" i="13"/>
  <c r="AA152" i="13"/>
  <c r="AA158" i="13"/>
  <c r="AA174" i="13"/>
  <c r="AA153" i="13"/>
  <c r="AA186" i="13"/>
  <c r="AA155" i="13"/>
  <c r="AA151" i="13"/>
  <c r="AA173" i="13"/>
  <c r="AA163" i="13"/>
  <c r="AA175" i="13"/>
  <c r="AA161" i="13"/>
  <c r="AA177" i="13"/>
  <c r="AA150" i="13"/>
  <c r="AA178" i="13"/>
  <c r="AA157" i="13"/>
  <c r="AA182" i="13"/>
  <c r="AA187" i="13"/>
  <c r="AA156" i="13"/>
  <c r="AA180" i="13"/>
  <c r="AA181" i="13"/>
  <c r="AA164" i="13"/>
  <c r="AA149" i="13"/>
  <c r="AA159" i="13"/>
  <c r="AA179" i="13"/>
  <c r="AA160" i="13"/>
  <c r="AA171" i="13"/>
  <c r="AA183" i="13"/>
  <c r="AA184" i="13"/>
  <c r="AA185" i="13"/>
  <c r="AA148" i="13"/>
  <c r="AA154" i="13"/>
  <c r="AA162" i="13"/>
  <c r="AA147" i="13"/>
  <c r="AA172" i="13"/>
  <c r="AA176" i="13"/>
  <c r="AA188" i="13"/>
  <c r="AC167" i="13" l="1"/>
  <c r="AB190" i="13"/>
  <c r="AB189" i="13"/>
  <c r="AB165" i="13"/>
  <c r="AB166" i="13"/>
  <c r="AB183" i="13"/>
  <c r="AB185" i="13"/>
  <c r="AB186" i="13"/>
  <c r="AB159" i="13"/>
  <c r="AB158" i="13"/>
  <c r="AB174" i="13"/>
  <c r="AB161" i="13"/>
  <c r="AB152" i="13"/>
  <c r="AB180" i="13"/>
  <c r="AB162" i="13"/>
  <c r="AB147" i="13"/>
  <c r="AB177" i="13"/>
  <c r="AB150" i="13"/>
  <c r="AB178" i="13"/>
  <c r="AB175" i="13"/>
  <c r="AB163" i="13"/>
  <c r="AB164" i="13"/>
  <c r="AB188" i="13"/>
  <c r="AB153" i="13"/>
  <c r="AB149" i="13"/>
  <c r="AB187" i="13"/>
  <c r="AB179" i="13"/>
  <c r="AB156" i="13"/>
  <c r="AB171" i="13"/>
  <c r="AB155" i="13"/>
  <c r="AB151" i="13"/>
  <c r="AB172" i="13"/>
  <c r="AB154" i="13"/>
  <c r="AB160" i="13"/>
  <c r="AB173" i="13"/>
  <c r="AB184" i="13"/>
  <c r="AB148" i="13"/>
  <c r="AB176" i="13"/>
  <c r="AB157" i="13"/>
  <c r="AB181" i="13"/>
  <c r="AB182" i="13"/>
  <c r="AC165" i="13" l="1"/>
  <c r="AC190" i="13"/>
  <c r="AC166" i="13"/>
  <c r="AC189" i="13"/>
  <c r="AC184" i="13"/>
  <c r="AC157" i="13"/>
  <c r="AC179" i="13"/>
  <c r="AC181" i="13"/>
  <c r="AC182" i="13"/>
  <c r="AC164" i="13"/>
  <c r="AC187" i="13"/>
  <c r="AC171" i="13"/>
  <c r="AC172" i="13"/>
  <c r="AC154" i="13"/>
  <c r="AC159" i="13"/>
  <c r="AC156" i="13"/>
  <c r="AC183" i="13"/>
  <c r="AC185" i="13"/>
  <c r="AC176" i="13"/>
  <c r="AC186" i="13"/>
  <c r="AC160" i="13"/>
  <c r="AC162" i="13"/>
  <c r="AC147" i="13"/>
  <c r="AC174" i="13"/>
  <c r="AC148" i="13"/>
  <c r="AC173" i="13"/>
  <c r="AC163" i="13"/>
  <c r="AC180" i="13"/>
  <c r="AC158" i="13"/>
  <c r="AC161" i="13"/>
  <c r="AC153" i="13"/>
  <c r="AC149" i="13"/>
  <c r="AC177" i="13"/>
  <c r="AC150" i="13"/>
  <c r="AC155" i="13"/>
  <c r="AC151" i="13"/>
  <c r="AC178" i="13"/>
  <c r="AC152" i="13"/>
  <c r="AC175" i="13"/>
  <c r="AC188" i="13"/>
  <c r="AD186" i="13" l="1"/>
  <c r="AH186" i="13" s="1"/>
  <c r="AD171" i="13"/>
  <c r="AH171" i="13" s="1"/>
  <c r="AD176" i="13"/>
  <c r="AH176" i="13" s="1"/>
  <c r="AD187" i="13"/>
  <c r="AH187" i="13" s="1"/>
  <c r="AD189" i="13"/>
  <c r="AH189" i="13" s="1"/>
  <c r="AD178" i="13"/>
  <c r="AH178" i="13" s="1"/>
  <c r="AD184" i="13"/>
  <c r="AH184" i="13" s="1"/>
  <c r="AD180" i="13"/>
  <c r="AH180" i="13" s="1"/>
  <c r="AD177" i="13"/>
  <c r="AH177" i="13" s="1"/>
  <c r="AD183" i="13"/>
  <c r="AH183" i="13" s="1"/>
  <c r="AD182" i="13"/>
  <c r="AH182" i="13" s="1"/>
  <c r="AD190" i="13"/>
  <c r="AH190" i="13" s="1"/>
  <c r="AD173" i="13"/>
  <c r="AH173" i="13" s="1"/>
  <c r="AD188" i="13"/>
  <c r="AH188" i="13" s="1"/>
  <c r="AD174" i="13"/>
  <c r="AH174" i="13" s="1"/>
  <c r="AD181" i="13"/>
  <c r="AH181" i="13" s="1"/>
  <c r="AD172" i="13"/>
  <c r="AH172" i="13" s="1"/>
  <c r="AD185" i="13"/>
  <c r="AH185" i="13" s="1"/>
  <c r="AD175" i="13"/>
  <c r="AH175" i="13" s="1"/>
  <c r="AD179" i="13"/>
  <c r="AH179" i="13" s="1"/>
  <c r="AR46" i="22" l="1"/>
  <c r="AR1" i="22"/>
  <c r="AB1" i="22"/>
  <c r="AR1" i="21"/>
  <c r="AB1" i="21"/>
  <c r="O1" i="21"/>
  <c r="BH21" i="20"/>
  <c r="AR1" i="20"/>
  <c r="AB1" i="20"/>
  <c r="AR1" i="19"/>
  <c r="AB1" i="19"/>
  <c r="O1" i="19"/>
  <c r="AR1" i="18"/>
  <c r="AB1" i="18"/>
  <c r="O1" i="18"/>
  <c r="CB19" i="17"/>
  <c r="CB5" i="17"/>
  <c r="BO2" i="17"/>
  <c r="BB2" i="17"/>
  <c r="AI1" i="17"/>
  <c r="AF1" i="17"/>
  <c r="K4" i="16"/>
  <c r="M2" i="16"/>
  <c r="K2" i="16"/>
  <c r="M1" i="16"/>
  <c r="K1" i="16"/>
  <c r="E37" i="12"/>
  <c r="E36" i="12"/>
  <c r="D5" i="12"/>
  <c r="E37" i="11"/>
  <c r="E36" i="11"/>
  <c r="D5" i="11"/>
  <c r="E37" i="10"/>
  <c r="E36" i="10"/>
  <c r="D5" i="10"/>
  <c r="E37" i="9"/>
  <c r="E36" i="9"/>
  <c r="D5" i="9"/>
  <c r="E37" i="8"/>
  <c r="E36" i="8"/>
  <c r="D5" i="8"/>
  <c r="E37" i="7"/>
  <c r="E36" i="7"/>
  <c r="D5" i="7"/>
  <c r="N10" i="4"/>
  <c r="R7" i="4" s="1"/>
  <c r="M10" i="4"/>
  <c r="D7" i="4"/>
  <c r="C7" i="4"/>
  <c r="BE161" i="5"/>
  <c r="BC159" i="5"/>
  <c r="BF161" i="5"/>
  <c r="BF159" i="5"/>
  <c r="BF160" i="5"/>
  <c r="BE160" i="5"/>
  <c r="BC160" i="5"/>
  <c r="BE159" i="5"/>
  <c r="BC161" i="5"/>
  <c r="BE151" i="5"/>
  <c r="BF148" i="5"/>
  <c r="BE152" i="5"/>
  <c r="BF142" i="5"/>
  <c r="BC146" i="5"/>
  <c r="BE140" i="5"/>
  <c r="BE135" i="5"/>
  <c r="BF136" i="5"/>
  <c r="BC147" i="5"/>
  <c r="BC151" i="5"/>
  <c r="BF150" i="5"/>
  <c r="BE154" i="5"/>
  <c r="BC138" i="5"/>
  <c r="BC137" i="5"/>
  <c r="BE138" i="5"/>
  <c r="BF155" i="5"/>
  <c r="BC136" i="5"/>
  <c r="BE155" i="5"/>
  <c r="BC143" i="5"/>
  <c r="BF152" i="5"/>
  <c r="BE137" i="5"/>
  <c r="BF153" i="5"/>
  <c r="BE147" i="5"/>
  <c r="BF154" i="5"/>
  <c r="BF145" i="5"/>
  <c r="BE156" i="5"/>
  <c r="BC153" i="5"/>
  <c r="BC141" i="5"/>
  <c r="BF146" i="5"/>
  <c r="BF141" i="5"/>
  <c r="BC155" i="5"/>
  <c r="BE150" i="5"/>
  <c r="BE143" i="5"/>
  <c r="BF156" i="5"/>
  <c r="BF140" i="5"/>
  <c r="BC135" i="5"/>
  <c r="BF151" i="5"/>
  <c r="BE158" i="5"/>
  <c r="BE144" i="5"/>
  <c r="BC145" i="5"/>
  <c r="BE148" i="5"/>
  <c r="BC142" i="5"/>
  <c r="BE141" i="5"/>
  <c r="BF139" i="5"/>
  <c r="BF158" i="5"/>
  <c r="BF157" i="5"/>
  <c r="BF149" i="5"/>
  <c r="BE145" i="5"/>
  <c r="BE139" i="5"/>
  <c r="BF137" i="5"/>
  <c r="BF147" i="5"/>
  <c r="BC158" i="5"/>
  <c r="BC157" i="5"/>
  <c r="BE136" i="5"/>
  <c r="BC148" i="5"/>
  <c r="BF138" i="5"/>
  <c r="BE153" i="5"/>
  <c r="BF135" i="5"/>
  <c r="BE157" i="5"/>
  <c r="BC144" i="5"/>
  <c r="BC150" i="5"/>
  <c r="BE146" i="5"/>
  <c r="BC139" i="5"/>
  <c r="BC152" i="5"/>
  <c r="BE149" i="5"/>
  <c r="BC156" i="5"/>
  <c r="BE142" i="5"/>
  <c r="BF144" i="5"/>
  <c r="BC149" i="5"/>
  <c r="BC140" i="5"/>
  <c r="BC154" i="5"/>
  <c r="BF143" i="5"/>
  <c r="BC133" i="5"/>
  <c r="BE132" i="5"/>
  <c r="BF131" i="5"/>
  <c r="BF134" i="5"/>
  <c r="BD128" i="5"/>
  <c r="BD127" i="5"/>
  <c r="BC130" i="5"/>
  <c r="BF133" i="5"/>
  <c r="BF132" i="5"/>
  <c r="BE134" i="5"/>
  <c r="BC134" i="5"/>
  <c r="BC132" i="5"/>
  <c r="BF130" i="5"/>
  <c r="BE129" i="5"/>
  <c r="BE130" i="5"/>
  <c r="BF127" i="5"/>
  <c r="BE133" i="5"/>
  <c r="BF129" i="5"/>
  <c r="BE128" i="5"/>
  <c r="BE131" i="5"/>
  <c r="BF128" i="5"/>
  <c r="BC129" i="5"/>
  <c r="BC127" i="5"/>
  <c r="BC128" i="5"/>
  <c r="BE127" i="5"/>
  <c r="BC131" i="5"/>
  <c r="C16" i="4" a="1"/>
  <c r="J16" i="4" a="1"/>
  <c r="I44" i="4" a="1"/>
  <c r="BC123" i="5"/>
  <c r="I7" i="4"/>
  <c r="BD125" i="5"/>
  <c r="BC126" i="5"/>
  <c r="L7" i="4"/>
  <c r="BE124" i="5"/>
  <c r="BF124" i="5"/>
  <c r="K7" i="4"/>
  <c r="BF126" i="5"/>
  <c r="BD122" i="5"/>
  <c r="BC122" i="5"/>
  <c r="BD123" i="5"/>
  <c r="J7" i="4"/>
  <c r="M7" i="4"/>
  <c r="BF125" i="5"/>
  <c r="N7" i="4"/>
  <c r="BC124" i="5"/>
  <c r="BF122" i="5"/>
  <c r="BF123" i="5"/>
  <c r="BD124" i="5"/>
  <c r="BE125" i="5"/>
  <c r="BD126" i="5"/>
  <c r="BE122" i="5"/>
  <c r="BE126" i="5"/>
  <c r="BC125" i="5"/>
  <c r="BE123" i="5"/>
  <c r="F470" i="15" l="1"/>
  <c r="F471" i="15"/>
  <c r="F466" i="15"/>
  <c r="F449" i="15"/>
  <c r="G449" i="15"/>
  <c r="F456" i="15"/>
  <c r="F461" i="15"/>
  <c r="F626" i="15"/>
  <c r="H626" i="15"/>
  <c r="C669" i="15" s="1"/>
  <c r="AD1" i="17"/>
  <c r="AG17" i="3" s="1"/>
  <c r="AG19" i="3" s="1"/>
  <c r="R1" i="13" s="1"/>
  <c r="K3" i="16"/>
  <c r="O2" i="16" s="1"/>
  <c r="M3" i="16"/>
  <c r="BG161" i="5"/>
  <c r="BG157" i="5"/>
  <c r="BG159" i="5"/>
  <c r="BG155" i="5"/>
  <c r="BG153" i="5"/>
  <c r="BG151" i="5"/>
  <c r="BG149" i="5"/>
  <c r="BG147" i="5"/>
  <c r="BG160" i="5"/>
  <c r="BG158" i="5"/>
  <c r="BG146" i="5"/>
  <c r="BG156" i="5"/>
  <c r="BG154" i="5"/>
  <c r="BG152" i="5"/>
  <c r="BG150" i="5"/>
  <c r="BG148" i="5"/>
  <c r="E1" i="15"/>
  <c r="V48" i="14"/>
  <c r="D8" i="8"/>
  <c r="D9" i="8" s="1"/>
  <c r="D6" i="8" s="1"/>
  <c r="AF1" i="19" s="1"/>
  <c r="D8" i="12"/>
  <c r="D9" i="12" s="1"/>
  <c r="D6" i="12" s="1"/>
  <c r="AF46" i="22" s="1"/>
  <c r="D8" i="10"/>
  <c r="D9" i="10" s="1"/>
  <c r="D6" i="10" s="1"/>
  <c r="AF1" i="22" s="1"/>
  <c r="D8" i="9"/>
  <c r="D9" i="9" s="1"/>
  <c r="D6" i="9" s="1"/>
  <c r="AF1" i="18" s="1"/>
  <c r="E1" i="13"/>
  <c r="D8" i="7"/>
  <c r="D9" i="7" s="1"/>
  <c r="D6" i="7" s="1"/>
  <c r="AF1" i="20" s="1"/>
  <c r="E1" i="14"/>
  <c r="D8" i="11"/>
  <c r="D9" i="11" s="1"/>
  <c r="D6" i="11" s="1"/>
  <c r="AF1" i="21" s="1"/>
  <c r="CB22" i="17"/>
  <c r="CC10" i="17"/>
  <c r="CB10" i="17"/>
  <c r="CC9" i="17"/>
  <c r="CB9" i="17"/>
  <c r="CC8" i="17"/>
  <c r="CB7" i="17"/>
  <c r="CB8" i="17"/>
  <c r="CC7" i="17"/>
  <c r="CC22" i="17"/>
  <c r="CB23" i="17"/>
  <c r="CC21" i="17"/>
  <c r="CC23" i="17"/>
  <c r="CB24" i="17"/>
  <c r="CC24" i="17"/>
  <c r="CB21" i="17"/>
  <c r="O10" i="4"/>
  <c r="BE164" i="5"/>
  <c r="BE163" i="5"/>
  <c r="BG129" i="5"/>
  <c r="BG145" i="5"/>
  <c r="BG126" i="5"/>
  <c r="BG134" i="5"/>
  <c r="BG142" i="5"/>
  <c r="BG127" i="5"/>
  <c r="BG125" i="5"/>
  <c r="BG133" i="5"/>
  <c r="BG141" i="5"/>
  <c r="BC164" i="5"/>
  <c r="BG124" i="5"/>
  <c r="BG132" i="5"/>
  <c r="BG140" i="5"/>
  <c r="BG137" i="5"/>
  <c r="BG143" i="5"/>
  <c r="BC163" i="5"/>
  <c r="BG123" i="5"/>
  <c r="BG131" i="5"/>
  <c r="BG139" i="5"/>
  <c r="BG135" i="5"/>
  <c r="BG122" i="5"/>
  <c r="BG130" i="5"/>
  <c r="BG138" i="5"/>
  <c r="BG128" i="5"/>
  <c r="BG136" i="5"/>
  <c r="BG144" i="5"/>
  <c r="O7" i="4"/>
  <c r="Q7" i="4"/>
  <c r="N3" i="4"/>
  <c r="F3" i="4"/>
  <c r="M3" i="4"/>
  <c r="E3" i="4"/>
  <c r="K3" i="4"/>
  <c r="E36" i="4" s="1"/>
  <c r="J3" i="4"/>
  <c r="E35" i="4" s="1"/>
  <c r="O3" i="4"/>
  <c r="L3" i="4"/>
  <c r="E37" i="4" s="1"/>
  <c r="I3" i="4"/>
  <c r="H3" i="4"/>
  <c r="G3" i="4"/>
  <c r="H20" i="4"/>
  <c r="F19" i="4"/>
  <c r="D18" i="4"/>
  <c r="H16" i="4"/>
  <c r="H21" i="4"/>
  <c r="F20" i="4"/>
  <c r="D19" i="4"/>
  <c r="H17" i="4"/>
  <c r="F16" i="4"/>
  <c r="G20" i="4"/>
  <c r="E19" i="4"/>
  <c r="C18" i="4"/>
  <c r="G16" i="4"/>
  <c r="G21" i="4"/>
  <c r="E20" i="4"/>
  <c r="C19" i="4"/>
  <c r="G17" i="4"/>
  <c r="E16" i="4"/>
  <c r="C21" i="4"/>
  <c r="E18" i="4"/>
  <c r="F21" i="4"/>
  <c r="D20" i="4"/>
  <c r="H18" i="4"/>
  <c r="F17" i="4"/>
  <c r="D16" i="4"/>
  <c r="E21" i="4"/>
  <c r="C20" i="4"/>
  <c r="G18" i="4"/>
  <c r="E17" i="4"/>
  <c r="C16" i="4"/>
  <c r="D21" i="4"/>
  <c r="H19" i="4"/>
  <c r="F18" i="4"/>
  <c r="D17" i="4"/>
  <c r="G19" i="4"/>
  <c r="C17" i="4"/>
  <c r="J4" i="4"/>
  <c r="E38" i="4" s="1"/>
  <c r="H4" i="4"/>
  <c r="I4" i="4"/>
  <c r="O4" i="4"/>
  <c r="G4" i="4"/>
  <c r="N4" i="4"/>
  <c r="F4" i="4"/>
  <c r="K4" i="4"/>
  <c r="E39" i="4" s="1"/>
  <c r="M4" i="4"/>
  <c r="E4" i="4"/>
  <c r="L4" i="4"/>
  <c r="E40" i="4" s="1"/>
  <c r="J16" i="4"/>
  <c r="J21" i="4"/>
  <c r="J20" i="4"/>
  <c r="J19" i="4"/>
  <c r="J18" i="4"/>
  <c r="J17" i="4"/>
  <c r="I49" i="4"/>
  <c r="I48" i="4"/>
  <c r="I47" i="4"/>
  <c r="I46" i="4"/>
  <c r="I44" i="4"/>
  <c r="I45" i="4"/>
  <c r="P7" i="4"/>
  <c r="P3" i="16"/>
  <c r="H24" i="4"/>
  <c r="I27" i="4"/>
  <c r="C48" i="4"/>
  <c r="C46" i="4"/>
  <c r="C24" i="4"/>
  <c r="I29" i="4"/>
  <c r="C47" i="4"/>
  <c r="C49" i="4"/>
  <c r="I28" i="4"/>
  <c r="C45" i="4"/>
  <c r="I31" i="4"/>
  <c r="E24" i="4"/>
  <c r="C44" i="4"/>
  <c r="I26" i="4"/>
  <c r="I30" i="4"/>
  <c r="G24" i="4"/>
  <c r="D24" i="4"/>
  <c r="F24" i="4"/>
  <c r="Q50" i="14" l="1"/>
  <c r="J50" i="14"/>
  <c r="H50" i="14"/>
  <c r="P50" i="14"/>
  <c r="G50" i="14"/>
  <c r="O50" i="14"/>
  <c r="F50" i="14"/>
  <c r="N50" i="14"/>
  <c r="E50" i="14"/>
  <c r="M50" i="14"/>
  <c r="D50" i="14"/>
  <c r="T50" i="14"/>
  <c r="C50" i="14"/>
  <c r="R50" i="14"/>
  <c r="C514" i="15"/>
  <c r="F514" i="15" s="1"/>
  <c r="I471" i="15"/>
  <c r="B514" i="15" s="1"/>
  <c r="R514" i="15" s="1"/>
  <c r="J471" i="15"/>
  <c r="C513" i="15"/>
  <c r="F513" i="15" s="1"/>
  <c r="I470" i="15"/>
  <c r="B513" i="15" s="1"/>
  <c r="R513" i="15" s="1"/>
  <c r="J470" i="15"/>
  <c r="C509" i="15"/>
  <c r="F509" i="15" s="1"/>
  <c r="I466" i="15"/>
  <c r="B509" i="15" s="1"/>
  <c r="R509" i="15" s="1"/>
  <c r="J466" i="15"/>
  <c r="C504" i="15"/>
  <c r="F504" i="15" s="1"/>
  <c r="I461" i="15"/>
  <c r="B504" i="15" s="1"/>
  <c r="R504" i="15" s="1"/>
  <c r="J461" i="15"/>
  <c r="T1" i="15"/>
  <c r="K449" i="15"/>
  <c r="H492" i="15" s="1"/>
  <c r="H449" i="15"/>
  <c r="I492" i="15"/>
  <c r="G492" i="15"/>
  <c r="J492" i="15" s="1"/>
  <c r="M492" i="15" s="1"/>
  <c r="P492" i="15"/>
  <c r="C499" i="15"/>
  <c r="F499" i="15" s="1"/>
  <c r="I456" i="15"/>
  <c r="B499" i="15" s="1"/>
  <c r="R499" i="15" s="1"/>
  <c r="J456" i="15"/>
  <c r="C492" i="15"/>
  <c r="F492" i="15" s="1"/>
  <c r="J449" i="15"/>
  <c r="I449" i="15"/>
  <c r="B492" i="15" s="1"/>
  <c r="R492" i="15" s="1"/>
  <c r="O51" i="14"/>
  <c r="C51" i="14"/>
  <c r="N51" i="14"/>
  <c r="G51" i="14"/>
  <c r="D51" i="14"/>
  <c r="P51" i="14"/>
  <c r="H51" i="14"/>
  <c r="M51" i="14"/>
  <c r="J51" i="14"/>
  <c r="F51" i="14"/>
  <c r="R51" i="14"/>
  <c r="T51" i="14"/>
  <c r="Q51" i="14"/>
  <c r="E51" i="14"/>
  <c r="BB51" i="22"/>
  <c r="AT51" i="22"/>
  <c r="AJ51" i="22"/>
  <c r="AB51" i="22"/>
  <c r="BA51" i="22"/>
  <c r="AS51" i="22"/>
  <c r="AI51" i="22"/>
  <c r="AZ51" i="22"/>
  <c r="AR51" i="22"/>
  <c r="AH51" i="22"/>
  <c r="AY51" i="22"/>
  <c r="AG51" i="22"/>
  <c r="AX51" i="22"/>
  <c r="AF51" i="22"/>
  <c r="AW51" i="22"/>
  <c r="AE51" i="22"/>
  <c r="AV51" i="22"/>
  <c r="AL51" i="22"/>
  <c r="AD51" i="22"/>
  <c r="AU51" i="22"/>
  <c r="AK51" i="22"/>
  <c r="AC51" i="22"/>
  <c r="B669" i="15"/>
  <c r="J626" i="15"/>
  <c r="P2" i="16"/>
  <c r="AD3" i="13"/>
  <c r="AE13" i="13" s="1"/>
  <c r="BF1" i="17"/>
  <c r="BJ42" i="17" s="1"/>
  <c r="D119" i="15"/>
  <c r="B476" i="15" s="1"/>
  <c r="D207" i="15"/>
  <c r="D33" i="15"/>
  <c r="BJ150" i="5"/>
  <c r="BK150" i="5"/>
  <c r="BJ149" i="5"/>
  <c r="D206" i="15"/>
  <c r="D32" i="15"/>
  <c r="D118" i="15"/>
  <c r="B475" i="15" s="1"/>
  <c r="BK149" i="5"/>
  <c r="H70" i="13"/>
  <c r="C71" i="13"/>
  <c r="H71" i="13"/>
  <c r="C70" i="13"/>
  <c r="BJ152" i="5"/>
  <c r="D209" i="15"/>
  <c r="D35" i="15"/>
  <c r="D121" i="15"/>
  <c r="B478" i="15" s="1"/>
  <c r="BK152" i="5"/>
  <c r="D208" i="15"/>
  <c r="D120" i="15"/>
  <c r="B477" i="15" s="1"/>
  <c r="D34" i="15"/>
  <c r="BK151" i="5"/>
  <c r="BJ151" i="5"/>
  <c r="D30" i="15"/>
  <c r="D204" i="15"/>
  <c r="D116" i="15"/>
  <c r="B473" i="15" s="1"/>
  <c r="BK147" i="5"/>
  <c r="BJ147" i="5"/>
  <c r="AW42" i="20"/>
  <c r="AE42" i="20"/>
  <c r="BA41" i="20"/>
  <c r="AS41" i="20"/>
  <c r="AI41" i="20"/>
  <c r="AW40" i="20"/>
  <c r="AE40" i="20"/>
  <c r="BA39" i="20"/>
  <c r="AS39" i="20"/>
  <c r="AI39" i="20"/>
  <c r="AW38" i="20"/>
  <c r="AE38" i="20"/>
  <c r="BA37" i="20"/>
  <c r="AS37" i="20"/>
  <c r="AI37" i="20"/>
  <c r="AW36" i="20"/>
  <c r="AE36" i="20"/>
  <c r="BA35" i="20"/>
  <c r="AS35" i="20"/>
  <c r="AI35" i="20"/>
  <c r="AW34" i="20"/>
  <c r="AE34" i="20"/>
  <c r="BA33" i="20"/>
  <c r="AS33" i="20"/>
  <c r="AI33" i="20"/>
  <c r="AW32" i="20"/>
  <c r="AE32" i="20"/>
  <c r="BA31" i="20"/>
  <c r="AS31" i="20"/>
  <c r="AI31" i="20"/>
  <c r="AW30" i="20"/>
  <c r="AE30" i="20"/>
  <c r="BA29" i="20"/>
  <c r="AS29" i="20"/>
  <c r="AI29" i="20"/>
  <c r="AW28" i="20"/>
  <c r="AE28" i="20"/>
  <c r="BA27" i="20"/>
  <c r="AS27" i="20"/>
  <c r="AV42" i="20"/>
  <c r="AL42" i="20"/>
  <c r="AD42" i="20"/>
  <c r="AZ41" i="20"/>
  <c r="AR41" i="20"/>
  <c r="BE41" i="20" s="1"/>
  <c r="AH41" i="20"/>
  <c r="AV40" i="20"/>
  <c r="AL40" i="20"/>
  <c r="AD40" i="20"/>
  <c r="AZ39" i="20"/>
  <c r="AR39" i="20"/>
  <c r="BE39" i="20" s="1"/>
  <c r="AH39" i="20"/>
  <c r="AV38" i="20"/>
  <c r="AL38" i="20"/>
  <c r="AD38" i="20"/>
  <c r="AZ37" i="20"/>
  <c r="AR37" i="20"/>
  <c r="BE37" i="20" s="1"/>
  <c r="AH37" i="20"/>
  <c r="AV36" i="20"/>
  <c r="AL36" i="20"/>
  <c r="AD36" i="20"/>
  <c r="AZ35" i="20"/>
  <c r="AR35" i="20"/>
  <c r="BE35" i="20" s="1"/>
  <c r="AH35" i="20"/>
  <c r="AV34" i="20"/>
  <c r="AL34" i="20"/>
  <c r="AD34" i="20"/>
  <c r="AZ33" i="20"/>
  <c r="AR33" i="20"/>
  <c r="BE33" i="20" s="1"/>
  <c r="AH33" i="20"/>
  <c r="AV32" i="20"/>
  <c r="AL32" i="20"/>
  <c r="AD32" i="20"/>
  <c r="AZ31" i="20"/>
  <c r="AR31" i="20"/>
  <c r="BE31" i="20" s="1"/>
  <c r="AH31" i="20"/>
  <c r="AV30" i="20"/>
  <c r="AL30" i="20"/>
  <c r="AD30" i="20"/>
  <c r="AZ29" i="20"/>
  <c r="AR29" i="20"/>
  <c r="BE29" i="20" s="1"/>
  <c r="AH29" i="20"/>
  <c r="AV28" i="20"/>
  <c r="AL28" i="20"/>
  <c r="AD28" i="20"/>
  <c r="AZ27" i="20"/>
  <c r="AR27" i="20"/>
  <c r="BE27" i="20" s="1"/>
  <c r="AU42" i="20"/>
  <c r="AK42" i="20"/>
  <c r="AC42" i="20"/>
  <c r="AY41" i="20"/>
  <c r="AG41" i="20"/>
  <c r="AU40" i="20"/>
  <c r="AK40" i="20"/>
  <c r="AC40" i="20"/>
  <c r="AY39" i="20"/>
  <c r="AG39" i="20"/>
  <c r="AU38" i="20"/>
  <c r="AK38" i="20"/>
  <c r="AC38" i="20"/>
  <c r="AY37" i="20"/>
  <c r="AG37" i="20"/>
  <c r="AU36" i="20"/>
  <c r="AK36" i="20"/>
  <c r="AC36" i="20"/>
  <c r="AY35" i="20"/>
  <c r="AG35" i="20"/>
  <c r="AU34" i="20"/>
  <c r="AK34" i="20"/>
  <c r="AC34" i="20"/>
  <c r="AY33" i="20"/>
  <c r="AG33" i="20"/>
  <c r="AU32" i="20"/>
  <c r="AK32" i="20"/>
  <c r="AC32" i="20"/>
  <c r="AY31" i="20"/>
  <c r="AG31" i="20"/>
  <c r="AU30" i="20"/>
  <c r="AK30" i="20"/>
  <c r="AC30" i="20"/>
  <c r="AY29" i="20"/>
  <c r="AG29" i="20"/>
  <c r="AU28" i="20"/>
  <c r="AK28" i="20"/>
  <c r="AC28" i="20"/>
  <c r="AY27" i="20"/>
  <c r="BB42" i="20"/>
  <c r="AT42" i="20"/>
  <c r="AJ42" i="20"/>
  <c r="AB42" i="20"/>
  <c r="AO42" i="20" s="1"/>
  <c r="AX41" i="20"/>
  <c r="AF41" i="20"/>
  <c r="BB40" i="20"/>
  <c r="AT40" i="20"/>
  <c r="AJ40" i="20"/>
  <c r="AB40" i="20"/>
  <c r="AO40" i="20" s="1"/>
  <c r="AX39" i="20"/>
  <c r="AF39" i="20"/>
  <c r="BB38" i="20"/>
  <c r="AT38" i="20"/>
  <c r="AJ38" i="20"/>
  <c r="AB38" i="20"/>
  <c r="AO38" i="20" s="1"/>
  <c r="AX37" i="20"/>
  <c r="AF37" i="20"/>
  <c r="BB36" i="20"/>
  <c r="AT36" i="20"/>
  <c r="AJ36" i="20"/>
  <c r="AB36" i="20"/>
  <c r="AO36" i="20" s="1"/>
  <c r="AX35" i="20"/>
  <c r="AF35" i="20"/>
  <c r="BB34" i="20"/>
  <c r="AT34" i="20"/>
  <c r="AJ34" i="20"/>
  <c r="AB34" i="20"/>
  <c r="AO34" i="20" s="1"/>
  <c r="AX33" i="20"/>
  <c r="AF33" i="20"/>
  <c r="BB32" i="20"/>
  <c r="AT32" i="20"/>
  <c r="AJ32" i="20"/>
  <c r="AB32" i="20"/>
  <c r="AO32" i="20" s="1"/>
  <c r="AX31" i="20"/>
  <c r="AF31" i="20"/>
  <c r="BB30" i="20"/>
  <c r="AT30" i="20"/>
  <c r="AJ30" i="20"/>
  <c r="AB30" i="20"/>
  <c r="AO30" i="20" s="1"/>
  <c r="AX29" i="20"/>
  <c r="AF29" i="20"/>
  <c r="BB28" i="20"/>
  <c r="AT28" i="20"/>
  <c r="AJ28" i="20"/>
  <c r="AB28" i="20"/>
  <c r="AO28" i="20" s="1"/>
  <c r="AX27" i="20"/>
  <c r="AF27" i="20"/>
  <c r="BA42" i="20"/>
  <c r="AS42" i="20"/>
  <c r="AI42" i="20"/>
  <c r="AW41" i="20"/>
  <c r="AE41" i="20"/>
  <c r="BA40" i="20"/>
  <c r="AS40" i="20"/>
  <c r="AI40" i="20"/>
  <c r="AW39" i="20"/>
  <c r="AE39" i="20"/>
  <c r="BA38" i="20"/>
  <c r="AS38" i="20"/>
  <c r="AI38" i="20"/>
  <c r="AW37" i="20"/>
  <c r="AE37" i="20"/>
  <c r="BA36" i="20"/>
  <c r="AS36" i="20"/>
  <c r="AI36" i="20"/>
  <c r="AW35" i="20"/>
  <c r="AE35" i="20"/>
  <c r="BA34" i="20"/>
  <c r="AS34" i="20"/>
  <c r="AI34" i="20"/>
  <c r="AW33" i="20"/>
  <c r="AE33" i="20"/>
  <c r="BA32" i="20"/>
  <c r="AS32" i="20"/>
  <c r="AI32" i="20"/>
  <c r="AW31" i="20"/>
  <c r="AE31" i="20"/>
  <c r="BA30" i="20"/>
  <c r="AS30" i="20"/>
  <c r="AI30" i="20"/>
  <c r="AW29" i="20"/>
  <c r="AE29" i="20"/>
  <c r="BA28" i="20"/>
  <c r="AS28" i="20"/>
  <c r="AI28" i="20"/>
  <c r="AW27" i="20"/>
  <c r="AY42" i="20"/>
  <c r="AG42" i="20"/>
  <c r="AU41" i="20"/>
  <c r="AK41" i="20"/>
  <c r="AC41" i="20"/>
  <c r="AY40" i="20"/>
  <c r="AG40" i="20"/>
  <c r="AU39" i="20"/>
  <c r="AK39" i="20"/>
  <c r="AC39" i="20"/>
  <c r="AY38" i="20"/>
  <c r="AG38" i="20"/>
  <c r="AU37" i="20"/>
  <c r="AK37" i="20"/>
  <c r="AC37" i="20"/>
  <c r="AY36" i="20"/>
  <c r="AG36" i="20"/>
  <c r="AU35" i="20"/>
  <c r="AK35" i="20"/>
  <c r="AC35" i="20"/>
  <c r="AY34" i="20"/>
  <c r="AG34" i="20"/>
  <c r="AU33" i="20"/>
  <c r="AK33" i="20"/>
  <c r="AC33" i="20"/>
  <c r="AY32" i="20"/>
  <c r="AG32" i="20"/>
  <c r="AU31" i="20"/>
  <c r="AK31" i="20"/>
  <c r="AC31" i="20"/>
  <c r="AY30" i="20"/>
  <c r="AG30" i="20"/>
  <c r="AU29" i="20"/>
  <c r="AK29" i="20"/>
  <c r="AC29" i="20"/>
  <c r="AY28" i="20"/>
  <c r="AG28" i="20"/>
  <c r="AU27" i="20"/>
  <c r="AJ41" i="20"/>
  <c r="AT39" i="20"/>
  <c r="AJ37" i="20"/>
  <c r="AT35" i="20"/>
  <c r="AJ33" i="20"/>
  <c r="AT31" i="20"/>
  <c r="AJ29" i="20"/>
  <c r="AT27" i="20"/>
  <c r="AG27" i="20"/>
  <c r="AZ42" i="20"/>
  <c r="AD41" i="20"/>
  <c r="AZ38" i="20"/>
  <c r="AD37" i="20"/>
  <c r="AZ34" i="20"/>
  <c r="AD33" i="20"/>
  <c r="AZ30" i="20"/>
  <c r="AD29" i="20"/>
  <c r="AE27" i="20"/>
  <c r="AX42" i="20"/>
  <c r="BB41" i="20"/>
  <c r="AB41" i="20"/>
  <c r="AO41" i="20" s="1"/>
  <c r="AH40" i="20"/>
  <c r="AX38" i="20"/>
  <c r="BB37" i="20"/>
  <c r="AB37" i="20"/>
  <c r="AO37" i="20" s="1"/>
  <c r="AH36" i="20"/>
  <c r="AX34" i="20"/>
  <c r="BB33" i="20"/>
  <c r="AB33" i="20"/>
  <c r="AO33" i="20" s="1"/>
  <c r="AH32" i="20"/>
  <c r="AX30" i="20"/>
  <c r="BB29" i="20"/>
  <c r="AB29" i="20"/>
  <c r="AO29" i="20" s="1"/>
  <c r="AH28" i="20"/>
  <c r="AD27" i="20"/>
  <c r="AR42" i="20"/>
  <c r="BE42" i="20" s="1"/>
  <c r="AV41" i="20"/>
  <c r="AF40" i="20"/>
  <c r="AL39" i="20"/>
  <c r="AR38" i="20"/>
  <c r="BE38" i="20" s="1"/>
  <c r="AV37" i="20"/>
  <c r="AF36" i="20"/>
  <c r="AL35" i="20"/>
  <c r="AR34" i="20"/>
  <c r="BE34" i="20" s="1"/>
  <c r="AV33" i="20"/>
  <c r="AF32" i="20"/>
  <c r="AL31" i="20"/>
  <c r="AR30" i="20"/>
  <c r="BE30" i="20" s="1"/>
  <c r="AV29" i="20"/>
  <c r="AF28" i="20"/>
  <c r="AL27" i="20"/>
  <c r="AC27" i="20"/>
  <c r="AT41" i="20"/>
  <c r="AJ39" i="20"/>
  <c r="AT37" i="20"/>
  <c r="AJ35" i="20"/>
  <c r="AT33" i="20"/>
  <c r="AJ31" i="20"/>
  <c r="AT29" i="20"/>
  <c r="AK27" i="20"/>
  <c r="AB27" i="20"/>
  <c r="AO27" i="20" s="1"/>
  <c r="AH42" i="20"/>
  <c r="AX40" i="20"/>
  <c r="BB39" i="20"/>
  <c r="AB39" i="20"/>
  <c r="AO39" i="20" s="1"/>
  <c r="AH38" i="20"/>
  <c r="AX36" i="20"/>
  <c r="BB35" i="20"/>
  <c r="AB35" i="20"/>
  <c r="AO35" i="20" s="1"/>
  <c r="AH34" i="20"/>
  <c r="AX32" i="20"/>
  <c r="BB31" i="20"/>
  <c r="AB31" i="20"/>
  <c r="AO31" i="20" s="1"/>
  <c r="AH30" i="20"/>
  <c r="AX28" i="20"/>
  <c r="BB27" i="20"/>
  <c r="AI27" i="20"/>
  <c r="AR36" i="20"/>
  <c r="BE36" i="20" s="1"/>
  <c r="AD35" i="20"/>
  <c r="AL29" i="20"/>
  <c r="AF42" i="20"/>
  <c r="AZ40" i="20"/>
  <c r="AV27" i="20"/>
  <c r="AR40" i="20"/>
  <c r="BE40" i="20" s="1"/>
  <c r="AD39" i="20"/>
  <c r="AL33" i="20"/>
  <c r="AV31" i="20"/>
  <c r="AF30" i="20"/>
  <c r="AZ28" i="20"/>
  <c r="AL37" i="20"/>
  <c r="AR28" i="20"/>
  <c r="BE28" i="20" s="1"/>
  <c r="AJ27" i="20"/>
  <c r="AV35" i="20"/>
  <c r="AF34" i="20"/>
  <c r="AZ32" i="20"/>
  <c r="AH27" i="20"/>
  <c r="AL41" i="20"/>
  <c r="AR32" i="20"/>
  <c r="BE32" i="20" s="1"/>
  <c r="AD31" i="20"/>
  <c r="AZ36" i="20"/>
  <c r="AF38" i="20"/>
  <c r="AV39" i="20"/>
  <c r="D37" i="15"/>
  <c r="D211" i="15"/>
  <c r="D123" i="15"/>
  <c r="B480" i="15" s="1"/>
  <c r="BK154" i="5"/>
  <c r="BJ154" i="5"/>
  <c r="BK153" i="5"/>
  <c r="D122" i="15"/>
  <c r="B479" i="15" s="1"/>
  <c r="D210" i="15"/>
  <c r="D36" i="15"/>
  <c r="BJ153" i="5"/>
  <c r="R22" i="14"/>
  <c r="W27" i="14"/>
  <c r="X27" i="14" s="1"/>
  <c r="W22" i="14"/>
  <c r="W26" i="14"/>
  <c r="W31" i="14"/>
  <c r="X31" i="14" s="1"/>
  <c r="H23" i="14"/>
  <c r="C46" i="14"/>
  <c r="D46" i="14" s="1"/>
  <c r="H22" i="14"/>
  <c r="I22" i="14" s="1"/>
  <c r="R31" i="14"/>
  <c r="C45" i="14"/>
  <c r="R25" i="14"/>
  <c r="W35" i="14"/>
  <c r="X35" i="14" s="1"/>
  <c r="W33" i="14"/>
  <c r="W39" i="14"/>
  <c r="X39" i="14" s="1"/>
  <c r="W24" i="14"/>
  <c r="X24" i="14" s="1"/>
  <c r="W37" i="14"/>
  <c r="W43" i="14"/>
  <c r="X43" i="14" s="1"/>
  <c r="W29" i="14"/>
  <c r="W41" i="14"/>
  <c r="E22" i="14"/>
  <c r="F22" i="14" s="1"/>
  <c r="W42" i="14"/>
  <c r="R40" i="14"/>
  <c r="R38" i="14"/>
  <c r="S38" i="14" s="1"/>
  <c r="W32" i="14"/>
  <c r="X32" i="14" s="1"/>
  <c r="W40" i="14"/>
  <c r="X40" i="14" s="1"/>
  <c r="R27" i="14"/>
  <c r="S27" i="14" s="1"/>
  <c r="R23" i="14"/>
  <c r="S23" i="14" s="1"/>
  <c r="W34" i="14"/>
  <c r="J45" i="14"/>
  <c r="K45" i="14" s="1"/>
  <c r="W38" i="14"/>
  <c r="R24" i="14"/>
  <c r="S24" i="14" s="1"/>
  <c r="R26" i="14"/>
  <c r="W25" i="14"/>
  <c r="R36" i="14"/>
  <c r="R29" i="14"/>
  <c r="S29" i="14" s="1"/>
  <c r="R39" i="14"/>
  <c r="R37" i="14"/>
  <c r="S37" i="14" s="1"/>
  <c r="R35" i="14"/>
  <c r="R28" i="14"/>
  <c r="R41" i="14"/>
  <c r="S41" i="14" s="1"/>
  <c r="R32" i="14"/>
  <c r="W30" i="14"/>
  <c r="R42" i="14"/>
  <c r="S42" i="14" s="1"/>
  <c r="R43" i="14"/>
  <c r="R34" i="14"/>
  <c r="S34" i="14" s="1"/>
  <c r="W28" i="14"/>
  <c r="X28" i="14" s="1"/>
  <c r="R33" i="14"/>
  <c r="S33" i="14" s="1"/>
  <c r="E23" i="14"/>
  <c r="F23" i="14" s="1"/>
  <c r="J46" i="14"/>
  <c r="K46" i="14" s="1"/>
  <c r="W36" i="14"/>
  <c r="X36" i="14" s="1"/>
  <c r="R30" i="14"/>
  <c r="S30" i="14" s="1"/>
  <c r="W23" i="14"/>
  <c r="X23" i="14" s="1"/>
  <c r="BA42" i="22"/>
  <c r="AS42" i="22"/>
  <c r="AI42" i="22"/>
  <c r="AW41" i="22"/>
  <c r="AE41" i="22"/>
  <c r="BA40" i="22"/>
  <c r="AS40" i="22"/>
  <c r="AI40" i="22"/>
  <c r="AW39" i="22"/>
  <c r="AE39" i="22"/>
  <c r="BA38" i="22"/>
  <c r="AS38" i="22"/>
  <c r="AI38" i="22"/>
  <c r="AW37" i="22"/>
  <c r="AE37" i="22"/>
  <c r="BA36" i="22"/>
  <c r="AS36" i="22"/>
  <c r="AI36" i="22"/>
  <c r="AW35" i="22"/>
  <c r="AE35" i="22"/>
  <c r="BA34" i="22"/>
  <c r="AS34" i="22"/>
  <c r="AI34" i="22"/>
  <c r="AW33" i="22"/>
  <c r="AE33" i="22"/>
  <c r="BA32" i="22"/>
  <c r="AS32" i="22"/>
  <c r="AI32" i="22"/>
  <c r="AW31" i="22"/>
  <c r="AE31" i="22"/>
  <c r="BA30" i="22"/>
  <c r="AS30" i="22"/>
  <c r="AI30" i="22"/>
  <c r="AW29" i="22"/>
  <c r="AE29" i="22"/>
  <c r="BA28" i="22"/>
  <c r="AS28" i="22"/>
  <c r="AI28" i="22"/>
  <c r="AW27" i="22"/>
  <c r="AE27" i="22"/>
  <c r="AZ42" i="22"/>
  <c r="AR42" i="22"/>
  <c r="BE42" i="22" s="1"/>
  <c r="AH42" i="22"/>
  <c r="AV41" i="22"/>
  <c r="AL41" i="22"/>
  <c r="AD41" i="22"/>
  <c r="AZ40" i="22"/>
  <c r="AR40" i="22"/>
  <c r="BE40" i="22" s="1"/>
  <c r="AH40" i="22"/>
  <c r="AV39" i="22"/>
  <c r="AL39" i="22"/>
  <c r="AD39" i="22"/>
  <c r="AZ38" i="22"/>
  <c r="AR38" i="22"/>
  <c r="BE38" i="22" s="1"/>
  <c r="AH38" i="22"/>
  <c r="AV37" i="22"/>
  <c r="AL37" i="22"/>
  <c r="AD37" i="22"/>
  <c r="AZ36" i="22"/>
  <c r="AR36" i="22"/>
  <c r="BE36" i="22" s="1"/>
  <c r="AH36" i="22"/>
  <c r="AV35" i="22"/>
  <c r="AL35" i="22"/>
  <c r="AD35" i="22"/>
  <c r="AZ34" i="22"/>
  <c r="AR34" i="22"/>
  <c r="BE34" i="22" s="1"/>
  <c r="AH34" i="22"/>
  <c r="AV33" i="22"/>
  <c r="AL33" i="22"/>
  <c r="AD33" i="22"/>
  <c r="AZ32" i="22"/>
  <c r="AR32" i="22"/>
  <c r="BE32" i="22" s="1"/>
  <c r="AH32" i="22"/>
  <c r="AV31" i="22"/>
  <c r="AL31" i="22"/>
  <c r="AD31" i="22"/>
  <c r="AZ30" i="22"/>
  <c r="AR30" i="22"/>
  <c r="BE30" i="22" s="1"/>
  <c r="AH30" i="22"/>
  <c r="AV29" i="22"/>
  <c r="AL29" i="22"/>
  <c r="AD29" i="22"/>
  <c r="AZ28" i="22"/>
  <c r="AR28" i="22"/>
  <c r="BE28" i="22" s="1"/>
  <c r="AH28" i="22"/>
  <c r="AV27" i="22"/>
  <c r="AL27" i="22"/>
  <c r="AD27" i="22"/>
  <c r="AY42" i="22"/>
  <c r="AG42" i="22"/>
  <c r="AU41" i="22"/>
  <c r="AK41" i="22"/>
  <c r="AC41" i="22"/>
  <c r="AY40" i="22"/>
  <c r="AG40" i="22"/>
  <c r="AU39" i="22"/>
  <c r="AK39" i="22"/>
  <c r="AC39" i="22"/>
  <c r="AY38" i="22"/>
  <c r="AG38" i="22"/>
  <c r="AU37" i="22"/>
  <c r="AK37" i="22"/>
  <c r="AC37" i="22"/>
  <c r="AY36" i="22"/>
  <c r="AG36" i="22"/>
  <c r="AU35" i="22"/>
  <c r="AK35" i="22"/>
  <c r="AC35" i="22"/>
  <c r="AY34" i="22"/>
  <c r="AG34" i="22"/>
  <c r="AU33" i="22"/>
  <c r="AK33" i="22"/>
  <c r="AC33" i="22"/>
  <c r="AY32" i="22"/>
  <c r="AG32" i="22"/>
  <c r="AU31" i="22"/>
  <c r="AK31" i="22"/>
  <c r="AC31" i="22"/>
  <c r="AY30" i="22"/>
  <c r="AG30" i="22"/>
  <c r="AU29" i="22"/>
  <c r="AK29" i="22"/>
  <c r="AC29" i="22"/>
  <c r="AY28" i="22"/>
  <c r="AG28" i="22"/>
  <c r="AU27" i="22"/>
  <c r="AK27" i="22"/>
  <c r="AC27" i="22"/>
  <c r="AX42" i="22"/>
  <c r="AF42" i="22"/>
  <c r="BB41" i="22"/>
  <c r="AT41" i="22"/>
  <c r="AJ41" i="22"/>
  <c r="AB41" i="22"/>
  <c r="AO41" i="22" s="1"/>
  <c r="AX40" i="22"/>
  <c r="AF40" i="22"/>
  <c r="BB39" i="22"/>
  <c r="AT39" i="22"/>
  <c r="AJ39" i="22"/>
  <c r="AB39" i="22"/>
  <c r="AO39" i="22" s="1"/>
  <c r="AX38" i="22"/>
  <c r="AF38" i="22"/>
  <c r="BB37" i="22"/>
  <c r="AT37" i="22"/>
  <c r="AJ37" i="22"/>
  <c r="AB37" i="22"/>
  <c r="AO37" i="22" s="1"/>
  <c r="AX36" i="22"/>
  <c r="AF36" i="22"/>
  <c r="BB35" i="22"/>
  <c r="AT35" i="22"/>
  <c r="AJ35" i="22"/>
  <c r="AB35" i="22"/>
  <c r="AO35" i="22" s="1"/>
  <c r="AX34" i="22"/>
  <c r="AF34" i="22"/>
  <c r="BB33" i="22"/>
  <c r="AT33" i="22"/>
  <c r="AJ33" i="22"/>
  <c r="AB33" i="22"/>
  <c r="AO33" i="22" s="1"/>
  <c r="AX32" i="22"/>
  <c r="AF32" i="22"/>
  <c r="BB31" i="22"/>
  <c r="AT31" i="22"/>
  <c r="AJ31" i="22"/>
  <c r="AB31" i="22"/>
  <c r="AO31" i="22" s="1"/>
  <c r="AX30" i="22"/>
  <c r="AF30" i="22"/>
  <c r="BB29" i="22"/>
  <c r="AT29" i="22"/>
  <c r="AJ29" i="22"/>
  <c r="AB29" i="22"/>
  <c r="AO29" i="22" s="1"/>
  <c r="AX28" i="22"/>
  <c r="AF28" i="22"/>
  <c r="BB27" i="22"/>
  <c r="AT27" i="22"/>
  <c r="AJ27" i="22"/>
  <c r="AB27" i="22"/>
  <c r="AO27" i="22" s="1"/>
  <c r="AW42" i="22"/>
  <c r="AE42" i="22"/>
  <c r="BA41" i="22"/>
  <c r="AS41" i="22"/>
  <c r="AI41" i="22"/>
  <c r="AW40" i="22"/>
  <c r="AE40" i="22"/>
  <c r="BA39" i="22"/>
  <c r="AS39" i="22"/>
  <c r="AI39" i="22"/>
  <c r="AW38" i="22"/>
  <c r="AE38" i="22"/>
  <c r="BA37" i="22"/>
  <c r="AS37" i="22"/>
  <c r="AI37" i="22"/>
  <c r="AW36" i="22"/>
  <c r="AE36" i="22"/>
  <c r="BA35" i="22"/>
  <c r="AS35" i="22"/>
  <c r="AI35" i="22"/>
  <c r="AW34" i="22"/>
  <c r="AE34" i="22"/>
  <c r="BA33" i="22"/>
  <c r="AS33" i="22"/>
  <c r="AI33" i="22"/>
  <c r="AW32" i="22"/>
  <c r="AE32" i="22"/>
  <c r="BA31" i="22"/>
  <c r="AS31" i="22"/>
  <c r="AI31" i="22"/>
  <c r="AW30" i="22"/>
  <c r="AE30" i="22"/>
  <c r="BA29" i="22"/>
  <c r="AS29" i="22"/>
  <c r="AI29" i="22"/>
  <c r="AW28" i="22"/>
  <c r="AE28" i="22"/>
  <c r="BA27" i="22"/>
  <c r="AS27" i="22"/>
  <c r="AI27" i="22"/>
  <c r="AV42" i="22"/>
  <c r="AL42" i="22"/>
  <c r="AD42" i="22"/>
  <c r="AZ41" i="22"/>
  <c r="AR41" i="22"/>
  <c r="BE41" i="22" s="1"/>
  <c r="AH41" i="22"/>
  <c r="AV40" i="22"/>
  <c r="AL40" i="22"/>
  <c r="AD40" i="22"/>
  <c r="AZ39" i="22"/>
  <c r="AR39" i="22"/>
  <c r="BE39" i="22" s="1"/>
  <c r="AH39" i="22"/>
  <c r="AV38" i="22"/>
  <c r="AL38" i="22"/>
  <c r="AD38" i="22"/>
  <c r="AZ37" i="22"/>
  <c r="AR37" i="22"/>
  <c r="BE37" i="22" s="1"/>
  <c r="AH37" i="22"/>
  <c r="AV36" i="22"/>
  <c r="AL36" i="22"/>
  <c r="AD36" i="22"/>
  <c r="AZ35" i="22"/>
  <c r="AR35" i="22"/>
  <c r="BE35" i="22" s="1"/>
  <c r="AH35" i="22"/>
  <c r="AV34" i="22"/>
  <c r="AL34" i="22"/>
  <c r="AD34" i="22"/>
  <c r="AZ33" i="22"/>
  <c r="AR33" i="22"/>
  <c r="BE33" i="22" s="1"/>
  <c r="AH33" i="22"/>
  <c r="AV32" i="22"/>
  <c r="AL32" i="22"/>
  <c r="AD32" i="22"/>
  <c r="AZ31" i="22"/>
  <c r="AR31" i="22"/>
  <c r="BE31" i="22" s="1"/>
  <c r="AH31" i="22"/>
  <c r="AV30" i="22"/>
  <c r="AL30" i="22"/>
  <c r="AD30" i="22"/>
  <c r="AZ29" i="22"/>
  <c r="AR29" i="22"/>
  <c r="BE29" i="22" s="1"/>
  <c r="AH29" i="22"/>
  <c r="AV28" i="22"/>
  <c r="AL28" i="22"/>
  <c r="AD28" i="22"/>
  <c r="AZ27" i="22"/>
  <c r="AR27" i="22"/>
  <c r="BE27" i="22" s="1"/>
  <c r="AH27" i="22"/>
  <c r="AU42" i="22"/>
  <c r="AK42" i="22"/>
  <c r="AC42" i="22"/>
  <c r="AY41" i="22"/>
  <c r="AG41" i="22"/>
  <c r="AU40" i="22"/>
  <c r="AK40" i="22"/>
  <c r="AC40" i="22"/>
  <c r="AY39" i="22"/>
  <c r="AG39" i="22"/>
  <c r="AU38" i="22"/>
  <c r="AK38" i="22"/>
  <c r="AC38" i="22"/>
  <c r="AY37" i="22"/>
  <c r="AG37" i="22"/>
  <c r="AU36" i="22"/>
  <c r="AK36" i="22"/>
  <c r="AC36" i="22"/>
  <c r="AY35" i="22"/>
  <c r="AG35" i="22"/>
  <c r="AU34" i="22"/>
  <c r="AK34" i="22"/>
  <c r="AC34" i="22"/>
  <c r="AY33" i="22"/>
  <c r="AG33" i="22"/>
  <c r="AU32" i="22"/>
  <c r="AK32" i="22"/>
  <c r="AC32" i="22"/>
  <c r="AY31" i="22"/>
  <c r="AG31" i="22"/>
  <c r="AU30" i="22"/>
  <c r="AK30" i="22"/>
  <c r="AC30" i="22"/>
  <c r="AY29" i="22"/>
  <c r="AG29" i="22"/>
  <c r="AU28" i="22"/>
  <c r="AK28" i="22"/>
  <c r="AC28" i="22"/>
  <c r="AY27" i="22"/>
  <c r="AG27" i="22"/>
  <c r="AJ40" i="22"/>
  <c r="BB36" i="22"/>
  <c r="AX35" i="22"/>
  <c r="AJ32" i="22"/>
  <c r="BB28" i="22"/>
  <c r="AX27" i="22"/>
  <c r="AF41" i="22"/>
  <c r="AB40" i="22"/>
  <c r="AO40" i="22" s="1"/>
  <c r="AT36" i="22"/>
  <c r="AF33" i="22"/>
  <c r="AB32" i="22"/>
  <c r="AO32" i="22" s="1"/>
  <c r="AT28" i="22"/>
  <c r="AJ42" i="22"/>
  <c r="BB38" i="22"/>
  <c r="AX37" i="22"/>
  <c r="AJ34" i="22"/>
  <c r="BB30" i="22"/>
  <c r="AX29" i="22"/>
  <c r="AB42" i="22"/>
  <c r="AO42" i="22" s="1"/>
  <c r="AT38" i="22"/>
  <c r="AF35" i="22"/>
  <c r="AB34" i="22"/>
  <c r="AO34" i="22" s="1"/>
  <c r="AT30" i="22"/>
  <c r="AF27" i="22"/>
  <c r="BB40" i="22"/>
  <c r="AX39" i="22"/>
  <c r="AJ36" i="22"/>
  <c r="BB32" i="22"/>
  <c r="AX31" i="22"/>
  <c r="AJ28" i="22"/>
  <c r="BB42" i="22"/>
  <c r="AX41" i="22"/>
  <c r="AJ38" i="22"/>
  <c r="BB34" i="22"/>
  <c r="AX33" i="22"/>
  <c r="AJ30" i="22"/>
  <c r="AF37" i="22"/>
  <c r="AB30" i="22"/>
  <c r="AO30" i="22" s="1"/>
  <c r="AB38" i="22"/>
  <c r="AO38" i="22" s="1"/>
  <c r="AB28" i="22"/>
  <c r="AO28" i="22" s="1"/>
  <c r="AT34" i="22"/>
  <c r="AF31" i="22"/>
  <c r="AB36" i="22"/>
  <c r="AO36" i="22" s="1"/>
  <c r="AT32" i="22"/>
  <c r="AT42" i="22"/>
  <c r="AF39" i="22"/>
  <c r="AF29" i="22"/>
  <c r="AT40" i="22"/>
  <c r="BK156" i="5"/>
  <c r="D213" i="15"/>
  <c r="D39" i="15"/>
  <c r="D125" i="15"/>
  <c r="B482" i="15" s="1"/>
  <c r="BJ156" i="5"/>
  <c r="D212" i="15"/>
  <c r="D124" i="15"/>
  <c r="B481" i="15" s="1"/>
  <c r="D38" i="15"/>
  <c r="BJ155" i="5"/>
  <c r="BK155" i="5"/>
  <c r="BK148" i="5"/>
  <c r="D117" i="15"/>
  <c r="B474" i="15" s="1"/>
  <c r="D31" i="15"/>
  <c r="D205" i="15"/>
  <c r="BJ148" i="5"/>
  <c r="BB42" i="18"/>
  <c r="AT42" i="18"/>
  <c r="AJ42" i="18"/>
  <c r="AB42" i="18"/>
  <c r="AO42" i="18" s="1"/>
  <c r="AX41" i="18"/>
  <c r="BA42" i="18"/>
  <c r="AS42" i="18"/>
  <c r="AI42" i="18"/>
  <c r="AW41" i="18"/>
  <c r="AZ42" i="18"/>
  <c r="AR42" i="18"/>
  <c r="BE42" i="18" s="1"/>
  <c r="AH42" i="18"/>
  <c r="AV41" i="18"/>
  <c r="AL41" i="18"/>
  <c r="AX42" i="18"/>
  <c r="AF42" i="18"/>
  <c r="BB41" i="18"/>
  <c r="AT41" i="18"/>
  <c r="AJ41" i="18"/>
  <c r="AE41" i="18"/>
  <c r="BA40" i="18"/>
  <c r="AS40" i="18"/>
  <c r="AI40" i="18"/>
  <c r="AW39" i="18"/>
  <c r="AE39" i="18"/>
  <c r="BA38" i="18"/>
  <c r="AS38" i="18"/>
  <c r="AI38" i="18"/>
  <c r="AW37" i="18"/>
  <c r="AE37" i="18"/>
  <c r="BA36" i="18"/>
  <c r="AS36" i="18"/>
  <c r="AI36" i="18"/>
  <c r="AW35" i="18"/>
  <c r="AE35" i="18"/>
  <c r="BA34" i="18"/>
  <c r="AS34" i="18"/>
  <c r="AI34" i="18"/>
  <c r="AW33" i="18"/>
  <c r="AE33" i="18"/>
  <c r="BA32" i="18"/>
  <c r="AS32" i="18"/>
  <c r="AI32" i="18"/>
  <c r="AW31" i="18"/>
  <c r="AE31" i="18"/>
  <c r="BA30" i="18"/>
  <c r="AS30" i="18"/>
  <c r="AI30" i="18"/>
  <c r="AW29" i="18"/>
  <c r="AE29" i="18"/>
  <c r="BA28" i="18"/>
  <c r="AS28" i="18"/>
  <c r="AI28" i="18"/>
  <c r="AW27" i="18"/>
  <c r="AE27" i="18"/>
  <c r="AD41" i="18"/>
  <c r="AZ40" i="18"/>
  <c r="AR40" i="18"/>
  <c r="BE40" i="18" s="1"/>
  <c r="AH40" i="18"/>
  <c r="AV39" i="18"/>
  <c r="AL39" i="18"/>
  <c r="AD39" i="18"/>
  <c r="AZ38" i="18"/>
  <c r="AR38" i="18"/>
  <c r="BE38" i="18" s="1"/>
  <c r="AH38" i="18"/>
  <c r="AV37" i="18"/>
  <c r="AL37" i="18"/>
  <c r="AD37" i="18"/>
  <c r="AZ36" i="18"/>
  <c r="AR36" i="18"/>
  <c r="BE36" i="18" s="1"/>
  <c r="AH36" i="18"/>
  <c r="AV35" i="18"/>
  <c r="AL35" i="18"/>
  <c r="AD35" i="18"/>
  <c r="AZ34" i="18"/>
  <c r="AR34" i="18"/>
  <c r="BE34" i="18" s="1"/>
  <c r="AH34" i="18"/>
  <c r="AV33" i="18"/>
  <c r="AL33" i="18"/>
  <c r="AD33" i="18"/>
  <c r="AZ32" i="18"/>
  <c r="AR32" i="18"/>
  <c r="BE32" i="18" s="1"/>
  <c r="AH32" i="18"/>
  <c r="AV31" i="18"/>
  <c r="AL31" i="18"/>
  <c r="AD31" i="18"/>
  <c r="AZ30" i="18"/>
  <c r="AR30" i="18"/>
  <c r="BE30" i="18" s="1"/>
  <c r="AH30" i="18"/>
  <c r="AV29" i="18"/>
  <c r="AL29" i="18"/>
  <c r="AD29" i="18"/>
  <c r="AZ28" i="18"/>
  <c r="AR28" i="18"/>
  <c r="BE28" i="18" s="1"/>
  <c r="AH28" i="18"/>
  <c r="AV27" i="18"/>
  <c r="AL27" i="18"/>
  <c r="AD27" i="18"/>
  <c r="AL42" i="18"/>
  <c r="BA41" i="18"/>
  <c r="AC41" i="18"/>
  <c r="AY40" i="18"/>
  <c r="AG40" i="18"/>
  <c r="AU39" i="18"/>
  <c r="AK39" i="18"/>
  <c r="AC39" i="18"/>
  <c r="AY38" i="18"/>
  <c r="AG38" i="18"/>
  <c r="AU37" i="18"/>
  <c r="AK37" i="18"/>
  <c r="AC37" i="18"/>
  <c r="AY36" i="18"/>
  <c r="AG36" i="18"/>
  <c r="AU35" i="18"/>
  <c r="AK35" i="18"/>
  <c r="AC35" i="18"/>
  <c r="AY34" i="18"/>
  <c r="AG34" i="18"/>
  <c r="AU33" i="18"/>
  <c r="AK33" i="18"/>
  <c r="AC33" i="18"/>
  <c r="AY32" i="18"/>
  <c r="AG32" i="18"/>
  <c r="AU31" i="18"/>
  <c r="AK31" i="18"/>
  <c r="AC31" i="18"/>
  <c r="AY30" i="18"/>
  <c r="AG30" i="18"/>
  <c r="AU29" i="18"/>
  <c r="AK29" i="18"/>
  <c r="AC29" i="18"/>
  <c r="AY28" i="18"/>
  <c r="AG28" i="18"/>
  <c r="AU27" i="18"/>
  <c r="AK27" i="18"/>
  <c r="AC27" i="18"/>
  <c r="AY42" i="18"/>
  <c r="AK42" i="18"/>
  <c r="AZ41" i="18"/>
  <c r="AK41" i="18"/>
  <c r="AB41" i="18"/>
  <c r="AO41" i="18" s="1"/>
  <c r="AX40" i="18"/>
  <c r="AF40" i="18"/>
  <c r="BB39" i="18"/>
  <c r="AT39" i="18"/>
  <c r="AJ39" i="18"/>
  <c r="AB39" i="18"/>
  <c r="AO39" i="18" s="1"/>
  <c r="AX38" i="18"/>
  <c r="AF38" i="18"/>
  <c r="BB37" i="18"/>
  <c r="AT37" i="18"/>
  <c r="AJ37" i="18"/>
  <c r="AB37" i="18"/>
  <c r="AO37" i="18" s="1"/>
  <c r="AX36" i="18"/>
  <c r="AF36" i="18"/>
  <c r="BB35" i="18"/>
  <c r="AT35" i="18"/>
  <c r="AJ35" i="18"/>
  <c r="AB35" i="18"/>
  <c r="AO35" i="18" s="1"/>
  <c r="AX34" i="18"/>
  <c r="AF34" i="18"/>
  <c r="BB33" i="18"/>
  <c r="AT33" i="18"/>
  <c r="AJ33" i="18"/>
  <c r="AB33" i="18"/>
  <c r="AO33" i="18" s="1"/>
  <c r="AX32" i="18"/>
  <c r="AF32" i="18"/>
  <c r="BB31" i="18"/>
  <c r="AT31" i="18"/>
  <c r="AJ31" i="18"/>
  <c r="AB31" i="18"/>
  <c r="AO31" i="18" s="1"/>
  <c r="AX30" i="18"/>
  <c r="AF30" i="18"/>
  <c r="BB29" i="18"/>
  <c r="AT29" i="18"/>
  <c r="AJ29" i="18"/>
  <c r="AB29" i="18"/>
  <c r="AO29" i="18" s="1"/>
  <c r="AX28" i="18"/>
  <c r="AF28" i="18"/>
  <c r="BB27" i="18"/>
  <c r="AT27" i="18"/>
  <c r="AJ27" i="18"/>
  <c r="AB27" i="18"/>
  <c r="AO27" i="18" s="1"/>
  <c r="AV42" i="18"/>
  <c r="AE42" i="18"/>
  <c r="AU41" i="18"/>
  <c r="AH41" i="18"/>
  <c r="AV40" i="18"/>
  <c r="AL40" i="18"/>
  <c r="AD40" i="18"/>
  <c r="AZ39" i="18"/>
  <c r="AR39" i="18"/>
  <c r="BE39" i="18" s="1"/>
  <c r="AH39" i="18"/>
  <c r="AV38" i="18"/>
  <c r="AL38" i="18"/>
  <c r="AD38" i="18"/>
  <c r="AZ37" i="18"/>
  <c r="AR37" i="18"/>
  <c r="BE37" i="18" s="1"/>
  <c r="AH37" i="18"/>
  <c r="AV36" i="18"/>
  <c r="AL36" i="18"/>
  <c r="AD36" i="18"/>
  <c r="AZ35" i="18"/>
  <c r="AR35" i="18"/>
  <c r="BE35" i="18" s="1"/>
  <c r="AH35" i="18"/>
  <c r="AV34" i="18"/>
  <c r="AL34" i="18"/>
  <c r="AD34" i="18"/>
  <c r="AZ33" i="18"/>
  <c r="AR33" i="18"/>
  <c r="BE33" i="18" s="1"/>
  <c r="AH33" i="18"/>
  <c r="AV32" i="18"/>
  <c r="AL32" i="18"/>
  <c r="AD32" i="18"/>
  <c r="AZ31" i="18"/>
  <c r="AR31" i="18"/>
  <c r="BE31" i="18" s="1"/>
  <c r="AH31" i="18"/>
  <c r="AV30" i="18"/>
  <c r="AL30" i="18"/>
  <c r="AD30" i="18"/>
  <c r="AZ29" i="18"/>
  <c r="AR29" i="18"/>
  <c r="BE29" i="18" s="1"/>
  <c r="AH29" i="18"/>
  <c r="AV28" i="18"/>
  <c r="AL28" i="18"/>
  <c r="AD28" i="18"/>
  <c r="AZ27" i="18"/>
  <c r="AR27" i="18"/>
  <c r="BE27" i="18" s="1"/>
  <c r="AH27" i="18"/>
  <c r="AU42" i="18"/>
  <c r="AD42" i="18"/>
  <c r="AS41" i="18"/>
  <c r="AG41" i="18"/>
  <c r="AU40" i="18"/>
  <c r="AK40" i="18"/>
  <c r="AC40" i="18"/>
  <c r="AY39" i="18"/>
  <c r="AG39" i="18"/>
  <c r="AU38" i="18"/>
  <c r="AK38" i="18"/>
  <c r="AC38" i="18"/>
  <c r="AY37" i="18"/>
  <c r="AG37" i="18"/>
  <c r="AU36" i="18"/>
  <c r="AK36" i="18"/>
  <c r="AC36" i="18"/>
  <c r="AY35" i="18"/>
  <c r="AG35" i="18"/>
  <c r="AU34" i="18"/>
  <c r="AK34" i="18"/>
  <c r="AC34" i="18"/>
  <c r="AY33" i="18"/>
  <c r="AG33" i="18"/>
  <c r="AU32" i="18"/>
  <c r="AK32" i="18"/>
  <c r="AC32" i="18"/>
  <c r="AY31" i="18"/>
  <c r="AG31" i="18"/>
  <c r="AU30" i="18"/>
  <c r="AK30" i="18"/>
  <c r="AC30" i="18"/>
  <c r="AY29" i="18"/>
  <c r="AG29" i="18"/>
  <c r="AU28" i="18"/>
  <c r="AK28" i="18"/>
  <c r="AC28" i="18"/>
  <c r="AY27" i="18"/>
  <c r="AG27" i="18"/>
  <c r="AT40" i="18"/>
  <c r="BA39" i="18"/>
  <c r="AE38" i="18"/>
  <c r="AT36" i="18"/>
  <c r="BA35" i="18"/>
  <c r="AE34" i="18"/>
  <c r="AT32" i="18"/>
  <c r="BA31" i="18"/>
  <c r="AE30" i="18"/>
  <c r="AT28" i="18"/>
  <c r="BA27" i="18"/>
  <c r="AG42" i="18"/>
  <c r="AI41" i="18"/>
  <c r="AX39" i="18"/>
  <c r="AB38" i="18"/>
  <c r="AO38" i="18" s="1"/>
  <c r="AI37" i="18"/>
  <c r="AX35" i="18"/>
  <c r="AB34" i="18"/>
  <c r="AO34" i="18" s="1"/>
  <c r="AI33" i="18"/>
  <c r="AX31" i="18"/>
  <c r="AB30" i="18"/>
  <c r="AO30" i="18" s="1"/>
  <c r="AI29" i="18"/>
  <c r="AX27" i="18"/>
  <c r="AC42" i="18"/>
  <c r="AF41" i="18"/>
  <c r="AS39" i="18"/>
  <c r="BB38" i="18"/>
  <c r="AF37" i="18"/>
  <c r="AS35" i="18"/>
  <c r="BB34" i="18"/>
  <c r="AF33" i="18"/>
  <c r="AS31" i="18"/>
  <c r="BB30" i="18"/>
  <c r="AF29" i="18"/>
  <c r="AS27" i="18"/>
  <c r="AJ40" i="18"/>
  <c r="AW38" i="18"/>
  <c r="AJ36" i="18"/>
  <c r="AW34" i="18"/>
  <c r="AJ32" i="18"/>
  <c r="AW30" i="18"/>
  <c r="AJ28" i="18"/>
  <c r="AE40" i="18"/>
  <c r="AT38" i="18"/>
  <c r="BA37" i="18"/>
  <c r="AE36" i="18"/>
  <c r="AT34" i="18"/>
  <c r="BA33" i="18"/>
  <c r="AE32" i="18"/>
  <c r="AT30" i="18"/>
  <c r="BA29" i="18"/>
  <c r="AE28" i="18"/>
  <c r="AW42" i="18"/>
  <c r="AY41" i="18"/>
  <c r="AB40" i="18"/>
  <c r="AO40" i="18" s="1"/>
  <c r="AI39" i="18"/>
  <c r="AX37" i="18"/>
  <c r="AB36" i="18"/>
  <c r="AO36" i="18" s="1"/>
  <c r="AI35" i="18"/>
  <c r="AX33" i="18"/>
  <c r="AB32" i="18"/>
  <c r="AO32" i="18" s="1"/>
  <c r="AI31" i="18"/>
  <c r="AX29" i="18"/>
  <c r="AB28" i="18"/>
  <c r="AO28" i="18" s="1"/>
  <c r="AI27" i="18"/>
  <c r="AR41" i="18"/>
  <c r="BE41" i="18" s="1"/>
  <c r="BB40" i="18"/>
  <c r="AF39" i="18"/>
  <c r="AS37" i="18"/>
  <c r="BB36" i="18"/>
  <c r="AF35" i="18"/>
  <c r="AS33" i="18"/>
  <c r="BB32" i="18"/>
  <c r="AF31" i="18"/>
  <c r="AS29" i="18"/>
  <c r="BB28" i="18"/>
  <c r="AF27" i="18"/>
  <c r="AW40" i="18"/>
  <c r="AJ38" i="18"/>
  <c r="AW36" i="18"/>
  <c r="AJ34" i="18"/>
  <c r="AW32" i="18"/>
  <c r="AJ30" i="18"/>
  <c r="AW28" i="18"/>
  <c r="BK146" i="5"/>
  <c r="D115" i="15"/>
  <c r="B472" i="15" s="1"/>
  <c r="D203" i="15"/>
  <c r="D29" i="15"/>
  <c r="BJ146" i="5"/>
  <c r="D128" i="15"/>
  <c r="B485" i="15" s="1"/>
  <c r="D216" i="15"/>
  <c r="D42" i="15"/>
  <c r="BJ159" i="5"/>
  <c r="BK159" i="5"/>
  <c r="BB42" i="21"/>
  <c r="AT42" i="21"/>
  <c r="AJ42" i="21"/>
  <c r="AB42" i="21"/>
  <c r="AO42" i="21" s="1"/>
  <c r="AX41" i="21"/>
  <c r="AF41" i="21"/>
  <c r="BB40" i="21"/>
  <c r="AT40" i="21"/>
  <c r="AJ40" i="21"/>
  <c r="AB40" i="21"/>
  <c r="AO40" i="21" s="1"/>
  <c r="AX39" i="21"/>
  <c r="AF39" i="21"/>
  <c r="BB38" i="21"/>
  <c r="AT38" i="21"/>
  <c r="AJ38" i="21"/>
  <c r="AB38" i="21"/>
  <c r="AO38" i="21" s="1"/>
  <c r="AX37" i="21"/>
  <c r="AF37" i="21"/>
  <c r="BB36" i="21"/>
  <c r="AT36" i="21"/>
  <c r="AJ36" i="21"/>
  <c r="AB36" i="21"/>
  <c r="AO36" i="21" s="1"/>
  <c r="AX35" i="21"/>
  <c r="AF35" i="21"/>
  <c r="BB34" i="21"/>
  <c r="AT34" i="21"/>
  <c r="AJ34" i="21"/>
  <c r="AB34" i="21"/>
  <c r="AO34" i="21" s="1"/>
  <c r="AX33" i="21"/>
  <c r="AF33" i="21"/>
  <c r="BB32" i="21"/>
  <c r="AT32" i="21"/>
  <c r="AJ32" i="21"/>
  <c r="AB32" i="21"/>
  <c r="AO32" i="21" s="1"/>
  <c r="BA42" i="21"/>
  <c r="AS42" i="21"/>
  <c r="AI42" i="21"/>
  <c r="AW41" i="21"/>
  <c r="AE41" i="21"/>
  <c r="BA40" i="21"/>
  <c r="AS40" i="21"/>
  <c r="AI40" i="21"/>
  <c r="AW39" i="21"/>
  <c r="AE39" i="21"/>
  <c r="BA38" i="21"/>
  <c r="AS38" i="21"/>
  <c r="AI38" i="21"/>
  <c r="AZ42" i="21"/>
  <c r="AR42" i="21"/>
  <c r="BE42" i="21" s="1"/>
  <c r="AH42" i="21"/>
  <c r="AV41" i="21"/>
  <c r="AL41" i="21"/>
  <c r="AD41" i="21"/>
  <c r="AZ40" i="21"/>
  <c r="AR40" i="21"/>
  <c r="BE40" i="21" s="1"/>
  <c r="AH40" i="21"/>
  <c r="AV39" i="21"/>
  <c r="AL39" i="21"/>
  <c r="AD39" i="21"/>
  <c r="AZ38" i="21"/>
  <c r="AR38" i="21"/>
  <c r="BE38" i="21" s="1"/>
  <c r="AH38" i="21"/>
  <c r="AV37" i="21"/>
  <c r="AL37" i="21"/>
  <c r="AD37" i="21"/>
  <c r="AZ36" i="21"/>
  <c r="AR36" i="21"/>
  <c r="BE36" i="21" s="1"/>
  <c r="AH36" i="21"/>
  <c r="AV35" i="21"/>
  <c r="AL35" i="21"/>
  <c r="AD35" i="21"/>
  <c r="AZ34" i="21"/>
  <c r="AR34" i="21"/>
  <c r="BE34" i="21" s="1"/>
  <c r="AH34" i="21"/>
  <c r="AV33" i="21"/>
  <c r="AL33" i="21"/>
  <c r="AD33" i="21"/>
  <c r="AZ32" i="21"/>
  <c r="AR32" i="21"/>
  <c r="BE32" i="21" s="1"/>
  <c r="AY42" i="21"/>
  <c r="AG42" i="21"/>
  <c r="AU41" i="21"/>
  <c r="AK41" i="21"/>
  <c r="AC41" i="21"/>
  <c r="AY40" i="21"/>
  <c r="AG40" i="21"/>
  <c r="AU39" i="21"/>
  <c r="AK39" i="21"/>
  <c r="AC39" i="21"/>
  <c r="AY38" i="21"/>
  <c r="AG38" i="21"/>
  <c r="AU37" i="21"/>
  <c r="AK37" i="21"/>
  <c r="AC37" i="21"/>
  <c r="AY36" i="21"/>
  <c r="AG36" i="21"/>
  <c r="AU35" i="21"/>
  <c r="AK35" i="21"/>
  <c r="AC35" i="21"/>
  <c r="AY34" i="21"/>
  <c r="AG34" i="21"/>
  <c r="AU33" i="21"/>
  <c r="AK33" i="21"/>
  <c r="AC33" i="21"/>
  <c r="AY32" i="21"/>
  <c r="AX42" i="21"/>
  <c r="AF42" i="21"/>
  <c r="BB41" i="21"/>
  <c r="AT41" i="21"/>
  <c r="AJ41" i="21"/>
  <c r="AB41" i="21"/>
  <c r="AO41" i="21" s="1"/>
  <c r="AX40" i="21"/>
  <c r="AF40" i="21"/>
  <c r="BB39" i="21"/>
  <c r="AT39" i="21"/>
  <c r="AJ39" i="21"/>
  <c r="AB39" i="21"/>
  <c r="AO39" i="21" s="1"/>
  <c r="AX38" i="21"/>
  <c r="AF38" i="21"/>
  <c r="BB37" i="21"/>
  <c r="AT37" i="21"/>
  <c r="AJ37" i="21"/>
  <c r="AB37" i="21"/>
  <c r="AO37" i="21" s="1"/>
  <c r="AX36" i="21"/>
  <c r="AF36" i="21"/>
  <c r="BB35" i="21"/>
  <c r="AT35" i="21"/>
  <c r="AJ35" i="21"/>
  <c r="AB35" i="21"/>
  <c r="AO35" i="21" s="1"/>
  <c r="AX34" i="21"/>
  <c r="AF34" i="21"/>
  <c r="BB33" i="21"/>
  <c r="AT33" i="21"/>
  <c r="AJ33" i="21"/>
  <c r="AB33" i="21"/>
  <c r="AO33" i="21" s="1"/>
  <c r="AX32" i="21"/>
  <c r="AW42" i="21"/>
  <c r="AE42" i="21"/>
  <c r="BA41" i="21"/>
  <c r="AS41" i="21"/>
  <c r="AI41" i="21"/>
  <c r="AV42" i="21"/>
  <c r="AL42" i="21"/>
  <c r="AD42" i="21"/>
  <c r="AZ41" i="21"/>
  <c r="AR41" i="21"/>
  <c r="BE41" i="21" s="1"/>
  <c r="AH41" i="21"/>
  <c r="AV40" i="21"/>
  <c r="AL40" i="21"/>
  <c r="AD40" i="21"/>
  <c r="AZ39" i="21"/>
  <c r="AR39" i="21"/>
  <c r="BE39" i="21" s="1"/>
  <c r="AH39" i="21"/>
  <c r="AV38" i="21"/>
  <c r="AL38" i="21"/>
  <c r="AD38" i="21"/>
  <c r="AS39" i="21"/>
  <c r="AR37" i="21"/>
  <c r="BE37" i="21" s="1"/>
  <c r="AR35" i="21"/>
  <c r="BE35" i="21" s="1"/>
  <c r="AR33" i="21"/>
  <c r="BE33" i="21" s="1"/>
  <c r="AE32" i="21"/>
  <c r="AZ31" i="21"/>
  <c r="AR31" i="21"/>
  <c r="BE31" i="21" s="1"/>
  <c r="AH31" i="21"/>
  <c r="AV30" i="21"/>
  <c r="AL30" i="21"/>
  <c r="AD30" i="21"/>
  <c r="AZ29" i="21"/>
  <c r="AR29" i="21"/>
  <c r="BE29" i="21" s="1"/>
  <c r="AH29" i="21"/>
  <c r="AV28" i="21"/>
  <c r="AL28" i="21"/>
  <c r="AD28" i="21"/>
  <c r="AZ27" i="21"/>
  <c r="AR27" i="21"/>
  <c r="BE27" i="21" s="1"/>
  <c r="AH27" i="21"/>
  <c r="AK40" i="21"/>
  <c r="AW38" i="21"/>
  <c r="AD32" i="21"/>
  <c r="AY31" i="21"/>
  <c r="AG31" i="21"/>
  <c r="AU30" i="21"/>
  <c r="AK30" i="21"/>
  <c r="AC30" i="21"/>
  <c r="AY29" i="21"/>
  <c r="AG29" i="21"/>
  <c r="AU28" i="21"/>
  <c r="AK28" i="21"/>
  <c r="AC28" i="21"/>
  <c r="AY27" i="21"/>
  <c r="AG27" i="21"/>
  <c r="AK42" i="21"/>
  <c r="AG41" i="21"/>
  <c r="AE40" i="21"/>
  <c r="AU38" i="21"/>
  <c r="AL36" i="21"/>
  <c r="AL34" i="21"/>
  <c r="AL32" i="21"/>
  <c r="AC32" i="21"/>
  <c r="AX31" i="21"/>
  <c r="AF31" i="21"/>
  <c r="BB30" i="21"/>
  <c r="AT30" i="21"/>
  <c r="AJ30" i="21"/>
  <c r="AB30" i="21"/>
  <c r="AO30" i="21" s="1"/>
  <c r="AX29" i="21"/>
  <c r="AF29" i="21"/>
  <c r="BB28" i="21"/>
  <c r="AT28" i="21"/>
  <c r="AJ28" i="21"/>
  <c r="AB28" i="21"/>
  <c r="AO28" i="21" s="1"/>
  <c r="AX27" i="21"/>
  <c r="AF27" i="21"/>
  <c r="AC42" i="21"/>
  <c r="AC40" i="21"/>
  <c r="BA37" i="21"/>
  <c r="BA36" i="21"/>
  <c r="AK36" i="21"/>
  <c r="BA35" i="21"/>
  <c r="BA34" i="21"/>
  <c r="AK34" i="21"/>
  <c r="BA33" i="21"/>
  <c r="BA32" i="21"/>
  <c r="AK32" i="21"/>
  <c r="AW31" i="21"/>
  <c r="AE31" i="21"/>
  <c r="BA30" i="21"/>
  <c r="AS30" i="21"/>
  <c r="AI30" i="21"/>
  <c r="AW29" i="21"/>
  <c r="AE29" i="21"/>
  <c r="BA28" i="21"/>
  <c r="AS28" i="21"/>
  <c r="AI28" i="21"/>
  <c r="AW27" i="21"/>
  <c r="AE27" i="21"/>
  <c r="AI39" i="21"/>
  <c r="AZ37" i="21"/>
  <c r="AI37" i="21"/>
  <c r="AW36" i="21"/>
  <c r="AI36" i="21"/>
  <c r="AZ35" i="21"/>
  <c r="AI35" i="21"/>
  <c r="AW34" i="21"/>
  <c r="AI34" i="21"/>
  <c r="AZ33" i="21"/>
  <c r="AI33" i="21"/>
  <c r="AW32" i="21"/>
  <c r="AI32" i="21"/>
  <c r="AV31" i="21"/>
  <c r="AL31" i="21"/>
  <c r="AD31" i="21"/>
  <c r="AZ30" i="21"/>
  <c r="AR30" i="21"/>
  <c r="BE30" i="21" s="1"/>
  <c r="AH30" i="21"/>
  <c r="AV29" i="21"/>
  <c r="AL29" i="21"/>
  <c r="AD29" i="21"/>
  <c r="AZ28" i="21"/>
  <c r="AR28" i="21"/>
  <c r="BE28" i="21" s="1"/>
  <c r="AH28" i="21"/>
  <c r="AV27" i="21"/>
  <c r="AL27" i="21"/>
  <c r="AD27" i="21"/>
  <c r="AY41" i="21"/>
  <c r="AU40" i="21"/>
  <c r="BA39" i="21"/>
  <c r="AE38" i="21"/>
  <c r="AW37" i="21"/>
  <c r="AG37" i="21"/>
  <c r="AU36" i="21"/>
  <c r="AD36" i="21"/>
  <c r="AW35" i="21"/>
  <c r="AG35" i="21"/>
  <c r="AU34" i="21"/>
  <c r="AD34" i="21"/>
  <c r="AW33" i="21"/>
  <c r="AG33" i="21"/>
  <c r="AU32" i="21"/>
  <c r="AG32" i="21"/>
  <c r="BB31" i="21"/>
  <c r="AT31" i="21"/>
  <c r="AJ31" i="21"/>
  <c r="AB31" i="21"/>
  <c r="AO31" i="21" s="1"/>
  <c r="AX30" i="21"/>
  <c r="AF30" i="21"/>
  <c r="BB29" i="21"/>
  <c r="AT29" i="21"/>
  <c r="AJ29" i="21"/>
  <c r="AB29" i="21"/>
  <c r="AO29" i="21" s="1"/>
  <c r="AX28" i="21"/>
  <c r="AF28" i="21"/>
  <c r="BB27" i="21"/>
  <c r="AT27" i="21"/>
  <c r="AJ27" i="21"/>
  <c r="AB27" i="21"/>
  <c r="AO27" i="21" s="1"/>
  <c r="AS31" i="21"/>
  <c r="AI29" i="21"/>
  <c r="AS27" i="21"/>
  <c r="AY30" i="21"/>
  <c r="AC29" i="21"/>
  <c r="AY39" i="21"/>
  <c r="AK38" i="21"/>
  <c r="AH37" i="21"/>
  <c r="AE36" i="21"/>
  <c r="AH35" i="21"/>
  <c r="AE34" i="21"/>
  <c r="AH33" i="21"/>
  <c r="AH32" i="21"/>
  <c r="AW30" i="21"/>
  <c r="BA29" i="21"/>
  <c r="AG28" i="21"/>
  <c r="AU42" i="21"/>
  <c r="AC38" i="21"/>
  <c r="AE37" i="21"/>
  <c r="AC36" i="21"/>
  <c r="AE35" i="21"/>
  <c r="AC34" i="21"/>
  <c r="AE33" i="21"/>
  <c r="AF32" i="21"/>
  <c r="AK31" i="21"/>
  <c r="AU29" i="21"/>
  <c r="AE28" i="21"/>
  <c r="AK27" i="21"/>
  <c r="AI31" i="21"/>
  <c r="AS29" i="21"/>
  <c r="AI27" i="21"/>
  <c r="AW40" i="21"/>
  <c r="AG39" i="21"/>
  <c r="AY37" i="21"/>
  <c r="AV36" i="21"/>
  <c r="AY35" i="21"/>
  <c r="AV34" i="21"/>
  <c r="AY33" i="21"/>
  <c r="AV32" i="21"/>
  <c r="BA31" i="21"/>
  <c r="AG30" i="21"/>
  <c r="AW28" i="21"/>
  <c r="BA27" i="21"/>
  <c r="AS33" i="21"/>
  <c r="AU27" i="21"/>
  <c r="AS36" i="21"/>
  <c r="AU31" i="21"/>
  <c r="AE30" i="21"/>
  <c r="AY28" i="21"/>
  <c r="AS34" i="21"/>
  <c r="AC27" i="21"/>
  <c r="AS37" i="21"/>
  <c r="AS32" i="21"/>
  <c r="AC31" i="21"/>
  <c r="AS35" i="21"/>
  <c r="AK29" i="21"/>
  <c r="D215" i="15"/>
  <c r="D127" i="15"/>
  <c r="B484" i="15" s="1"/>
  <c r="D41" i="15"/>
  <c r="BK158" i="5"/>
  <c r="BJ158" i="5"/>
  <c r="D214" i="15"/>
  <c r="D126" i="15"/>
  <c r="B483" i="15" s="1"/>
  <c r="D40" i="15"/>
  <c r="BJ157" i="5"/>
  <c r="BK157" i="5"/>
  <c r="BA42" i="19"/>
  <c r="AS42" i="19"/>
  <c r="AI42" i="19"/>
  <c r="AW41" i="19"/>
  <c r="AE41" i="19"/>
  <c r="BA40" i="19"/>
  <c r="AS40" i="19"/>
  <c r="AI40" i="19"/>
  <c r="AW39" i="19"/>
  <c r="AE39" i="19"/>
  <c r="BA38" i="19"/>
  <c r="AS38" i="19"/>
  <c r="AI38" i="19"/>
  <c r="AW37" i="19"/>
  <c r="AE37" i="19"/>
  <c r="BA36" i="19"/>
  <c r="AS36" i="19"/>
  <c r="AI36" i="19"/>
  <c r="AW35" i="19"/>
  <c r="AE35" i="19"/>
  <c r="BA34" i="19"/>
  <c r="AS34" i="19"/>
  <c r="AI34" i="19"/>
  <c r="AW33" i="19"/>
  <c r="AE33" i="19"/>
  <c r="BA32" i="19"/>
  <c r="AS32" i="19"/>
  <c r="AI32" i="19"/>
  <c r="AW31" i="19"/>
  <c r="AE31" i="19"/>
  <c r="BA30" i="19"/>
  <c r="AS30" i="19"/>
  <c r="AI30" i="19"/>
  <c r="AW29" i="19"/>
  <c r="AE29" i="19"/>
  <c r="BA28" i="19"/>
  <c r="AS28" i="19"/>
  <c r="AI28" i="19"/>
  <c r="AW27" i="19"/>
  <c r="AE27" i="19"/>
  <c r="AZ42" i="19"/>
  <c r="AR42" i="19"/>
  <c r="BE42" i="19" s="1"/>
  <c r="AH42" i="19"/>
  <c r="AV41" i="19"/>
  <c r="AL41" i="19"/>
  <c r="AD41" i="19"/>
  <c r="AZ40" i="19"/>
  <c r="AR40" i="19"/>
  <c r="BE40" i="19" s="1"/>
  <c r="AH40" i="19"/>
  <c r="AV39" i="19"/>
  <c r="AL39" i="19"/>
  <c r="AD39" i="19"/>
  <c r="AZ38" i="19"/>
  <c r="AR38" i="19"/>
  <c r="BE38" i="19" s="1"/>
  <c r="AH38" i="19"/>
  <c r="AV37" i="19"/>
  <c r="AL37" i="19"/>
  <c r="AD37" i="19"/>
  <c r="AZ36" i="19"/>
  <c r="AR36" i="19"/>
  <c r="BE36" i="19" s="1"/>
  <c r="AH36" i="19"/>
  <c r="AV35" i="19"/>
  <c r="AL35" i="19"/>
  <c r="AD35" i="19"/>
  <c r="AZ34" i="19"/>
  <c r="AR34" i="19"/>
  <c r="BE34" i="19" s="1"/>
  <c r="AH34" i="19"/>
  <c r="AV33" i="19"/>
  <c r="AL33" i="19"/>
  <c r="AD33" i="19"/>
  <c r="AZ32" i="19"/>
  <c r="AR32" i="19"/>
  <c r="BE32" i="19" s="1"/>
  <c r="AH32" i="19"/>
  <c r="AV31" i="19"/>
  <c r="AL31" i="19"/>
  <c r="AD31" i="19"/>
  <c r="AZ30" i="19"/>
  <c r="AR30" i="19"/>
  <c r="BE30" i="19" s="1"/>
  <c r="AH30" i="19"/>
  <c r="AV29" i="19"/>
  <c r="AL29" i="19"/>
  <c r="AD29" i="19"/>
  <c r="AZ28" i="19"/>
  <c r="AR28" i="19"/>
  <c r="BE28" i="19" s="1"/>
  <c r="AH28" i="19"/>
  <c r="AV27" i="19"/>
  <c r="AL27" i="19"/>
  <c r="AD27" i="19"/>
  <c r="AY42" i="19"/>
  <c r="AG42" i="19"/>
  <c r="AU41" i="19"/>
  <c r="AK41" i="19"/>
  <c r="AC41" i="19"/>
  <c r="AY40" i="19"/>
  <c r="AG40" i="19"/>
  <c r="AU39" i="19"/>
  <c r="AK39" i="19"/>
  <c r="AC39" i="19"/>
  <c r="AY38" i="19"/>
  <c r="AG38" i="19"/>
  <c r="AU37" i="19"/>
  <c r="AK37" i="19"/>
  <c r="AC37" i="19"/>
  <c r="AY36" i="19"/>
  <c r="AG36" i="19"/>
  <c r="AU35" i="19"/>
  <c r="AK35" i="19"/>
  <c r="AC35" i="19"/>
  <c r="AY34" i="19"/>
  <c r="AG34" i="19"/>
  <c r="AU33" i="19"/>
  <c r="AK33" i="19"/>
  <c r="AC33" i="19"/>
  <c r="AY32" i="19"/>
  <c r="AG32" i="19"/>
  <c r="AU31" i="19"/>
  <c r="AK31" i="19"/>
  <c r="AC31" i="19"/>
  <c r="AY30" i="19"/>
  <c r="AG30" i="19"/>
  <c r="AU29" i="19"/>
  <c r="AK29" i="19"/>
  <c r="AC29" i="19"/>
  <c r="AY28" i="19"/>
  <c r="AG28" i="19"/>
  <c r="AU27" i="19"/>
  <c r="AK27" i="19"/>
  <c r="AC27" i="19"/>
  <c r="AW42" i="19"/>
  <c r="AE42" i="19"/>
  <c r="BA41" i="19"/>
  <c r="AS41" i="19"/>
  <c r="AI41" i="19"/>
  <c r="AW40" i="19"/>
  <c r="AE40" i="19"/>
  <c r="BA39" i="19"/>
  <c r="AS39" i="19"/>
  <c r="AI39" i="19"/>
  <c r="AW38" i="19"/>
  <c r="AE38" i="19"/>
  <c r="BA37" i="19"/>
  <c r="AS37" i="19"/>
  <c r="AI37" i="19"/>
  <c r="AW36" i="19"/>
  <c r="AE36" i="19"/>
  <c r="BA35" i="19"/>
  <c r="AS35" i="19"/>
  <c r="AI35" i="19"/>
  <c r="AW34" i="19"/>
  <c r="AE34" i="19"/>
  <c r="BA33" i="19"/>
  <c r="AS33" i="19"/>
  <c r="AI33" i="19"/>
  <c r="AW32" i="19"/>
  <c r="AE32" i="19"/>
  <c r="BA31" i="19"/>
  <c r="AS31" i="19"/>
  <c r="AI31" i="19"/>
  <c r="AW30" i="19"/>
  <c r="AE30" i="19"/>
  <c r="BA29" i="19"/>
  <c r="AS29" i="19"/>
  <c r="AI29" i="19"/>
  <c r="AW28" i="19"/>
  <c r="AE28" i="19"/>
  <c r="BA27" i="19"/>
  <c r="AS27" i="19"/>
  <c r="AI27" i="19"/>
  <c r="AL42" i="19"/>
  <c r="AL40" i="19"/>
  <c r="AL38" i="19"/>
  <c r="AL36" i="19"/>
  <c r="AL34" i="19"/>
  <c r="AL32" i="19"/>
  <c r="AL30" i="19"/>
  <c r="AL28" i="19"/>
  <c r="BB42" i="19"/>
  <c r="AK42" i="19"/>
  <c r="BB41" i="19"/>
  <c r="BB40" i="19"/>
  <c r="AK40" i="19"/>
  <c r="BB39" i="19"/>
  <c r="BB38" i="19"/>
  <c r="AK38" i="19"/>
  <c r="BB37" i="19"/>
  <c r="BB36" i="19"/>
  <c r="AK36" i="19"/>
  <c r="BB35" i="19"/>
  <c r="BB34" i="19"/>
  <c r="AK34" i="19"/>
  <c r="BB33" i="19"/>
  <c r="BB32" i="19"/>
  <c r="AK32" i="19"/>
  <c r="BB31" i="19"/>
  <c r="BB30" i="19"/>
  <c r="AK30" i="19"/>
  <c r="BB29" i="19"/>
  <c r="BB28" i="19"/>
  <c r="AK28" i="19"/>
  <c r="BB27" i="19"/>
  <c r="AX42" i="19"/>
  <c r="AJ42" i="19"/>
  <c r="AZ41" i="19"/>
  <c r="AJ41" i="19"/>
  <c r="AX40" i="19"/>
  <c r="AJ40" i="19"/>
  <c r="AZ39" i="19"/>
  <c r="AJ39" i="19"/>
  <c r="AX38" i="19"/>
  <c r="AJ38" i="19"/>
  <c r="AZ37" i="19"/>
  <c r="AJ37" i="19"/>
  <c r="AX36" i="19"/>
  <c r="AJ36" i="19"/>
  <c r="AZ35" i="19"/>
  <c r="AJ35" i="19"/>
  <c r="AX34" i="19"/>
  <c r="AJ34" i="19"/>
  <c r="AZ33" i="19"/>
  <c r="AJ33" i="19"/>
  <c r="AX32" i="19"/>
  <c r="AJ32" i="19"/>
  <c r="AZ31" i="19"/>
  <c r="AJ31" i="19"/>
  <c r="AX30" i="19"/>
  <c r="AJ30" i="19"/>
  <c r="AZ29" i="19"/>
  <c r="AJ29" i="19"/>
  <c r="AX28" i="19"/>
  <c r="AJ28" i="19"/>
  <c r="AZ27" i="19"/>
  <c r="AJ27" i="19"/>
  <c r="AV42" i="19"/>
  <c r="AF42" i="19"/>
  <c r="AY41" i="19"/>
  <c r="AH41" i="19"/>
  <c r="AV40" i="19"/>
  <c r="AF40" i="19"/>
  <c r="AY39" i="19"/>
  <c r="AH39" i="19"/>
  <c r="AV38" i="19"/>
  <c r="AF38" i="19"/>
  <c r="AY37" i="19"/>
  <c r="AH37" i="19"/>
  <c r="AV36" i="19"/>
  <c r="AF36" i="19"/>
  <c r="AY35" i="19"/>
  <c r="AH35" i="19"/>
  <c r="AV34" i="19"/>
  <c r="AF34" i="19"/>
  <c r="AY33" i="19"/>
  <c r="AH33" i="19"/>
  <c r="AV32" i="19"/>
  <c r="AF32" i="19"/>
  <c r="AY31" i="19"/>
  <c r="AH31" i="19"/>
  <c r="AV30" i="19"/>
  <c r="AF30" i="19"/>
  <c r="AY29" i="19"/>
  <c r="AH29" i="19"/>
  <c r="AV28" i="19"/>
  <c r="AF28" i="19"/>
  <c r="AY27" i="19"/>
  <c r="AH27" i="19"/>
  <c r="AU42" i="19"/>
  <c r="AD42" i="19"/>
  <c r="AX41" i="19"/>
  <c r="AG41" i="19"/>
  <c r="AU40" i="19"/>
  <c r="AD40" i="19"/>
  <c r="AX39" i="19"/>
  <c r="AG39" i="19"/>
  <c r="AU38" i="19"/>
  <c r="AD38" i="19"/>
  <c r="AX37" i="19"/>
  <c r="AG37" i="19"/>
  <c r="AU36" i="19"/>
  <c r="AD36" i="19"/>
  <c r="AX35" i="19"/>
  <c r="AG35" i="19"/>
  <c r="AU34" i="19"/>
  <c r="AD34" i="19"/>
  <c r="AX33" i="19"/>
  <c r="AG33" i="19"/>
  <c r="AU32" i="19"/>
  <c r="AD32" i="19"/>
  <c r="AX31" i="19"/>
  <c r="AG31" i="19"/>
  <c r="AU30" i="19"/>
  <c r="AT42" i="19"/>
  <c r="AC42" i="19"/>
  <c r="AT41" i="19"/>
  <c r="AF41" i="19"/>
  <c r="AT40" i="19"/>
  <c r="AC40" i="19"/>
  <c r="AT39" i="19"/>
  <c r="AF39" i="19"/>
  <c r="AT38" i="19"/>
  <c r="AC38" i="19"/>
  <c r="AT37" i="19"/>
  <c r="AF37" i="19"/>
  <c r="AT36" i="19"/>
  <c r="AC36" i="19"/>
  <c r="AT35" i="19"/>
  <c r="AF35" i="19"/>
  <c r="AT34" i="19"/>
  <c r="AC34" i="19"/>
  <c r="AT33" i="19"/>
  <c r="AF33" i="19"/>
  <c r="AT32" i="19"/>
  <c r="AC32" i="19"/>
  <c r="AT31" i="19"/>
  <c r="AF31" i="19"/>
  <c r="AT30" i="19"/>
  <c r="AC30" i="19"/>
  <c r="AT29" i="19"/>
  <c r="AF29" i="19"/>
  <c r="AT28" i="19"/>
  <c r="AC28" i="19"/>
  <c r="AT27" i="19"/>
  <c r="AF27" i="19"/>
  <c r="AB42" i="19"/>
  <c r="AO42" i="19" s="1"/>
  <c r="AR41" i="19"/>
  <c r="BE41" i="19" s="1"/>
  <c r="AB41" i="19"/>
  <c r="AO41" i="19" s="1"/>
  <c r="AB40" i="19"/>
  <c r="AO40" i="19" s="1"/>
  <c r="AR39" i="19"/>
  <c r="BE39" i="19" s="1"/>
  <c r="AB39" i="19"/>
  <c r="AO39" i="19" s="1"/>
  <c r="AB38" i="19"/>
  <c r="AO38" i="19" s="1"/>
  <c r="AR37" i="19"/>
  <c r="BE37" i="19" s="1"/>
  <c r="AB37" i="19"/>
  <c r="AO37" i="19" s="1"/>
  <c r="AB36" i="19"/>
  <c r="AO36" i="19" s="1"/>
  <c r="AR35" i="19"/>
  <c r="BE35" i="19" s="1"/>
  <c r="AB35" i="19"/>
  <c r="AO35" i="19" s="1"/>
  <c r="AB34" i="19"/>
  <c r="AO34" i="19" s="1"/>
  <c r="AR33" i="19"/>
  <c r="BE33" i="19" s="1"/>
  <c r="AB33" i="19"/>
  <c r="AO33" i="19" s="1"/>
  <c r="AB32" i="19"/>
  <c r="AO32" i="19" s="1"/>
  <c r="AR31" i="19"/>
  <c r="BE31" i="19" s="1"/>
  <c r="AB31" i="19"/>
  <c r="AO31" i="19" s="1"/>
  <c r="AB30" i="19"/>
  <c r="AO30" i="19" s="1"/>
  <c r="AR29" i="19"/>
  <c r="BE29" i="19" s="1"/>
  <c r="AB29" i="19"/>
  <c r="AO29" i="19" s="1"/>
  <c r="AB28" i="19"/>
  <c r="AO28" i="19" s="1"/>
  <c r="AR27" i="19"/>
  <c r="BE27" i="19" s="1"/>
  <c r="AB27" i="19"/>
  <c r="AO27" i="19" s="1"/>
  <c r="AX29" i="19"/>
  <c r="AG27" i="19"/>
  <c r="AD28" i="19"/>
  <c r="AG29" i="19"/>
  <c r="AD30" i="19"/>
  <c r="AX27" i="19"/>
  <c r="AU28" i="19"/>
  <c r="BJ160" i="5"/>
  <c r="D129" i="15"/>
  <c r="B486" i="15" s="1"/>
  <c r="D217" i="15"/>
  <c r="D43" i="15"/>
  <c r="BK160" i="5"/>
  <c r="BK161" i="5"/>
  <c r="D218" i="15"/>
  <c r="D130" i="15"/>
  <c r="B487" i="15" s="1"/>
  <c r="D44" i="15"/>
  <c r="BJ161" i="5"/>
  <c r="BJ136" i="5"/>
  <c r="D193" i="15"/>
  <c r="D105" i="15"/>
  <c r="B462" i="15" s="1"/>
  <c r="D19" i="15"/>
  <c r="E95" i="13"/>
  <c r="H55" i="13"/>
  <c r="H54" i="13"/>
  <c r="H68" i="13"/>
  <c r="C69" i="13"/>
  <c r="C55" i="13"/>
  <c r="C66" i="13"/>
  <c r="H64" i="13"/>
  <c r="C65" i="13"/>
  <c r="C64" i="13"/>
  <c r="R95" i="13"/>
  <c r="H60" i="13"/>
  <c r="H69" i="13"/>
  <c r="H56" i="13"/>
  <c r="C57" i="13"/>
  <c r="C60" i="13"/>
  <c r="H26" i="13"/>
  <c r="D26" i="13"/>
  <c r="H65" i="13"/>
  <c r="H52" i="13"/>
  <c r="C53" i="13"/>
  <c r="C58" i="13"/>
  <c r="H67" i="13"/>
  <c r="H61" i="13"/>
  <c r="H66" i="13"/>
  <c r="C67" i="13"/>
  <c r="C56" i="13"/>
  <c r="E143" i="13"/>
  <c r="C143" i="13"/>
  <c r="C62" i="13"/>
  <c r="D49" i="13"/>
  <c r="H63" i="13"/>
  <c r="H57" i="13"/>
  <c r="H62" i="13"/>
  <c r="C63" i="13"/>
  <c r="C54" i="13"/>
  <c r="H49" i="13"/>
  <c r="H59" i="13"/>
  <c r="H53" i="13"/>
  <c r="H58" i="13"/>
  <c r="C59" i="13"/>
  <c r="C68" i="13"/>
  <c r="C52" i="13"/>
  <c r="E119" i="13"/>
  <c r="C119" i="13"/>
  <c r="C61" i="13"/>
  <c r="AD147" i="13"/>
  <c r="AD166" i="13"/>
  <c r="AD150" i="13"/>
  <c r="AE183" i="13"/>
  <c r="AE178" i="13"/>
  <c r="AD155" i="13"/>
  <c r="AE176" i="13"/>
  <c r="AE173" i="13"/>
  <c r="AE172" i="13"/>
  <c r="AE187" i="13"/>
  <c r="AE190" i="13"/>
  <c r="AE181" i="13"/>
  <c r="AD149" i="13"/>
  <c r="AE177" i="13"/>
  <c r="AD156" i="13"/>
  <c r="AE186" i="13"/>
  <c r="AE189" i="13"/>
  <c r="AD161" i="13"/>
  <c r="AD151" i="13"/>
  <c r="AD163" i="13"/>
  <c r="AD148" i="13"/>
  <c r="AD152" i="13"/>
  <c r="AE188" i="13"/>
  <c r="AD162" i="13"/>
  <c r="AD158" i="13"/>
  <c r="AD154" i="13"/>
  <c r="AE180" i="13"/>
  <c r="AE175" i="13"/>
  <c r="AD160" i="13"/>
  <c r="AD165" i="13"/>
  <c r="AD157" i="13"/>
  <c r="AE179" i="13"/>
  <c r="AE174" i="13"/>
  <c r="AD164" i="13"/>
  <c r="AD153" i="13"/>
  <c r="AE171" i="13"/>
  <c r="AD159" i="13"/>
  <c r="AE184" i="13"/>
  <c r="AE182" i="13"/>
  <c r="AE185" i="13"/>
  <c r="BJ133" i="5"/>
  <c r="D190" i="15"/>
  <c r="D16" i="15"/>
  <c r="D102" i="15"/>
  <c r="B459" i="15" s="1"/>
  <c r="BJ143" i="5"/>
  <c r="D200" i="15"/>
  <c r="D26" i="15"/>
  <c r="D112" i="15"/>
  <c r="B469" i="15" s="1"/>
  <c r="BJ127" i="5"/>
  <c r="D184" i="15"/>
  <c r="D96" i="15"/>
  <c r="B453" i="15" s="1"/>
  <c r="D10" i="15"/>
  <c r="BJ122" i="5"/>
  <c r="D179" i="15"/>
  <c r="D91" i="15"/>
  <c r="B448" i="15" s="1"/>
  <c r="D5" i="15"/>
  <c r="BJ140" i="5"/>
  <c r="D109" i="15"/>
  <c r="B466" i="15" s="1"/>
  <c r="D197" i="15"/>
  <c r="D23" i="15"/>
  <c r="BJ142" i="5"/>
  <c r="D199" i="15"/>
  <c r="D111" i="15"/>
  <c r="B468" i="15" s="1"/>
  <c r="D25" i="15"/>
  <c r="AX26" i="20"/>
  <c r="AF26" i="20"/>
  <c r="BB25" i="20"/>
  <c r="AT25" i="20"/>
  <c r="AJ25" i="20"/>
  <c r="AB25" i="20"/>
  <c r="AO25" i="20" s="1"/>
  <c r="AX24" i="20"/>
  <c r="AF24" i="20"/>
  <c r="BB23" i="20"/>
  <c r="AT23" i="20"/>
  <c r="AJ23" i="20"/>
  <c r="AB23" i="20"/>
  <c r="AO23" i="20" s="1"/>
  <c r="AX22" i="20"/>
  <c r="AF22" i="20"/>
  <c r="BB21" i="20"/>
  <c r="AT21" i="20"/>
  <c r="AJ21" i="20"/>
  <c r="AB21" i="20"/>
  <c r="AO21" i="20" s="1"/>
  <c r="AX20" i="20"/>
  <c r="AF20" i="20"/>
  <c r="BB19" i="20"/>
  <c r="AT19" i="20"/>
  <c r="AJ19" i="20"/>
  <c r="AB19" i="20"/>
  <c r="AO19" i="20" s="1"/>
  <c r="AX18" i="20"/>
  <c r="AF18" i="20"/>
  <c r="BB17" i="20"/>
  <c r="AT17" i="20"/>
  <c r="AJ17" i="20"/>
  <c r="AB17" i="20"/>
  <c r="AO17" i="20" s="1"/>
  <c r="AX16" i="20"/>
  <c r="AV26" i="20"/>
  <c r="AL26" i="20"/>
  <c r="AD26" i="20"/>
  <c r="AZ25" i="20"/>
  <c r="AR25" i="20"/>
  <c r="BE25" i="20" s="1"/>
  <c r="AH25" i="20"/>
  <c r="AV24" i="20"/>
  <c r="AL24" i="20"/>
  <c r="AD24" i="20"/>
  <c r="AZ23" i="20"/>
  <c r="AR23" i="20"/>
  <c r="BE23" i="20" s="1"/>
  <c r="AH23" i="20"/>
  <c r="AV22" i="20"/>
  <c r="AL22" i="20"/>
  <c r="AD22" i="20"/>
  <c r="AZ21" i="20"/>
  <c r="AR21" i="20"/>
  <c r="BE21" i="20" s="1"/>
  <c r="AH21" i="20"/>
  <c r="AV20" i="20"/>
  <c r="AL20" i="20"/>
  <c r="AD20" i="20"/>
  <c r="AZ19" i="20"/>
  <c r="AR19" i="20"/>
  <c r="BE19" i="20" s="1"/>
  <c r="AH19" i="20"/>
  <c r="AV18" i="20"/>
  <c r="AL18" i="20"/>
  <c r="AD18" i="20"/>
  <c r="AZ17" i="20"/>
  <c r="AR17" i="20"/>
  <c r="BE17" i="20" s="1"/>
  <c r="AH17" i="20"/>
  <c r="AV16" i="20"/>
  <c r="AU26" i="20"/>
  <c r="AK26" i="20"/>
  <c r="AC26" i="20"/>
  <c r="AY25" i="20"/>
  <c r="AG25" i="20"/>
  <c r="AU24" i="20"/>
  <c r="AK24" i="20"/>
  <c r="AC24" i="20"/>
  <c r="AY23" i="20"/>
  <c r="AG23" i="20"/>
  <c r="AU22" i="20"/>
  <c r="AK22" i="20"/>
  <c r="AC22" i="20"/>
  <c r="AY21" i="20"/>
  <c r="AG21" i="20"/>
  <c r="AU20" i="20"/>
  <c r="AK20" i="20"/>
  <c r="AC20" i="20"/>
  <c r="AY19" i="20"/>
  <c r="AG19" i="20"/>
  <c r="AU18" i="20"/>
  <c r="AK18" i="20"/>
  <c r="AC18" i="20"/>
  <c r="AY17" i="20"/>
  <c r="BA26" i="20"/>
  <c r="AS26" i="20"/>
  <c r="AI26" i="20"/>
  <c r="AW25" i="20"/>
  <c r="AE25" i="20"/>
  <c r="BA24" i="20"/>
  <c r="AS24" i="20"/>
  <c r="AI24" i="20"/>
  <c r="AW23" i="20"/>
  <c r="AE23" i="20"/>
  <c r="BA22" i="20"/>
  <c r="AS22" i="20"/>
  <c r="AI22" i="20"/>
  <c r="AW21" i="20"/>
  <c r="AE21" i="20"/>
  <c r="BA20" i="20"/>
  <c r="AS20" i="20"/>
  <c r="AI20" i="20"/>
  <c r="AW19" i="20"/>
  <c r="AE19" i="20"/>
  <c r="BA18" i="20"/>
  <c r="AS18" i="20"/>
  <c r="AI18" i="20"/>
  <c r="AW17" i="20"/>
  <c r="AT26" i="20"/>
  <c r="AE26" i="20"/>
  <c r="AS25" i="20"/>
  <c r="AC25" i="20"/>
  <c r="AT24" i="20"/>
  <c r="AE24" i="20"/>
  <c r="AS23" i="20"/>
  <c r="AC23" i="20"/>
  <c r="AT22" i="20"/>
  <c r="AE22" i="20"/>
  <c r="AS21" i="20"/>
  <c r="AC21" i="20"/>
  <c r="AT20" i="20"/>
  <c r="AE20" i="20"/>
  <c r="AS19" i="20"/>
  <c r="AC19" i="20"/>
  <c r="AT18" i="20"/>
  <c r="AE18" i="20"/>
  <c r="AS17" i="20"/>
  <c r="AE17" i="20"/>
  <c r="AZ16" i="20"/>
  <c r="AF16" i="20"/>
  <c r="BB15" i="20"/>
  <c r="AT15" i="20"/>
  <c r="AJ15" i="20"/>
  <c r="AB15" i="20"/>
  <c r="AO15" i="20" s="1"/>
  <c r="AX14" i="20"/>
  <c r="AF14" i="20"/>
  <c r="BB13" i="20"/>
  <c r="AT13" i="20"/>
  <c r="AJ13" i="20"/>
  <c r="AB13" i="20"/>
  <c r="AO13" i="20" s="1"/>
  <c r="AX12" i="20"/>
  <c r="AF12" i="20"/>
  <c r="BB11" i="20"/>
  <c r="AT11" i="20"/>
  <c r="AJ11" i="20"/>
  <c r="AB11" i="20"/>
  <c r="AO11" i="20" s="1"/>
  <c r="AX10" i="20"/>
  <c r="AF10" i="20"/>
  <c r="BB9" i="20"/>
  <c r="AT9" i="20"/>
  <c r="AJ9" i="20"/>
  <c r="AB9" i="20"/>
  <c r="AO9" i="20" s="1"/>
  <c r="AX8" i="20"/>
  <c r="AF8" i="20"/>
  <c r="BB7" i="20"/>
  <c r="AT7" i="20"/>
  <c r="AJ7" i="20"/>
  <c r="AB7" i="20"/>
  <c r="AO7" i="20" s="1"/>
  <c r="AX6" i="20"/>
  <c r="AF6" i="20"/>
  <c r="AU5" i="20"/>
  <c r="AK5" i="20"/>
  <c r="AC5" i="20"/>
  <c r="AY4" i="20"/>
  <c r="AG4" i="20"/>
  <c r="AU3" i="20"/>
  <c r="AK3" i="20"/>
  <c r="AC3" i="20"/>
  <c r="AR26" i="20"/>
  <c r="BE26" i="20" s="1"/>
  <c r="AB26" i="20"/>
  <c r="AO26" i="20" s="1"/>
  <c r="AR24" i="20"/>
  <c r="BE24" i="20" s="1"/>
  <c r="AB24" i="20"/>
  <c r="AO24" i="20" s="1"/>
  <c r="AR22" i="20"/>
  <c r="BE22" i="20" s="1"/>
  <c r="AB22" i="20"/>
  <c r="AO22" i="20" s="1"/>
  <c r="AR20" i="20"/>
  <c r="BE20" i="20" s="1"/>
  <c r="AB20" i="20"/>
  <c r="AO20" i="20" s="1"/>
  <c r="AR18" i="20"/>
  <c r="BE18" i="20" s="1"/>
  <c r="AB18" i="20"/>
  <c r="AO18" i="20" s="1"/>
  <c r="AD17" i="20"/>
  <c r="AY16" i="20"/>
  <c r="AE16" i="20"/>
  <c r="BA15" i="20"/>
  <c r="AS15" i="20"/>
  <c r="AI15" i="20"/>
  <c r="AW14" i="20"/>
  <c r="AE14" i="20"/>
  <c r="BA13" i="20"/>
  <c r="AS13" i="20"/>
  <c r="AI13" i="20"/>
  <c r="AW12" i="20"/>
  <c r="AE12" i="20"/>
  <c r="BA11" i="20"/>
  <c r="AS11" i="20"/>
  <c r="AI11" i="20"/>
  <c r="AW10" i="20"/>
  <c r="AE10" i="20"/>
  <c r="BA9" i="20"/>
  <c r="AS9" i="20"/>
  <c r="AI9" i="20"/>
  <c r="AW8" i="20"/>
  <c r="AE8" i="20"/>
  <c r="BA7" i="20"/>
  <c r="AS7" i="20"/>
  <c r="AI7" i="20"/>
  <c r="AW6" i="20"/>
  <c r="AE6" i="20"/>
  <c r="BB5" i="20"/>
  <c r="AT5" i="20"/>
  <c r="AJ5" i="20"/>
  <c r="AB5" i="20"/>
  <c r="AO5" i="20" s="1"/>
  <c r="AX4" i="20"/>
  <c r="AF4" i="20"/>
  <c r="AC17" i="20"/>
  <c r="AW16" i="20"/>
  <c r="AL16" i="20"/>
  <c r="AD16" i="20"/>
  <c r="AZ15" i="20"/>
  <c r="AR15" i="20"/>
  <c r="BE15" i="20" s="1"/>
  <c r="AH15" i="20"/>
  <c r="AV14" i="20"/>
  <c r="AL14" i="20"/>
  <c r="AD14" i="20"/>
  <c r="AZ13" i="20"/>
  <c r="AR13" i="20"/>
  <c r="BE13" i="20" s="1"/>
  <c r="AH13" i="20"/>
  <c r="AV12" i="20"/>
  <c r="AL12" i="20"/>
  <c r="AD12" i="20"/>
  <c r="AZ11" i="20"/>
  <c r="AR11" i="20"/>
  <c r="BE11" i="20" s="1"/>
  <c r="AH11" i="20"/>
  <c r="AV10" i="20"/>
  <c r="AL10" i="20"/>
  <c r="AD10" i="20"/>
  <c r="AZ9" i="20"/>
  <c r="AR9" i="20"/>
  <c r="BE9" i="20" s="1"/>
  <c r="AH9" i="20"/>
  <c r="AV8" i="20"/>
  <c r="AL8" i="20"/>
  <c r="AD8" i="20"/>
  <c r="AZ7" i="20"/>
  <c r="AR7" i="20"/>
  <c r="BE7" i="20" s="1"/>
  <c r="AH7" i="20"/>
  <c r="AV6" i="20"/>
  <c r="AL6" i="20"/>
  <c r="AD6" i="20"/>
  <c r="BA5" i="20"/>
  <c r="AS5" i="20"/>
  <c r="AI5" i="20"/>
  <c r="AW4" i="20"/>
  <c r="AE4" i="20"/>
  <c r="BA3" i="20"/>
  <c r="AS3" i="20"/>
  <c r="AI3" i="20"/>
  <c r="AL25" i="20"/>
  <c r="AL23" i="20"/>
  <c r="AL21" i="20"/>
  <c r="AL19" i="20"/>
  <c r="AL17" i="20"/>
  <c r="AU16" i="20"/>
  <c r="AK16" i="20"/>
  <c r="AC16" i="20"/>
  <c r="AY15" i="20"/>
  <c r="AG15" i="20"/>
  <c r="AU14" i="20"/>
  <c r="AK14" i="20"/>
  <c r="AC14" i="20"/>
  <c r="AY13" i="20"/>
  <c r="AG13" i="20"/>
  <c r="AU12" i="20"/>
  <c r="AK12" i="20"/>
  <c r="AC12" i="20"/>
  <c r="AY11" i="20"/>
  <c r="AG11" i="20"/>
  <c r="AU10" i="20"/>
  <c r="AK10" i="20"/>
  <c r="AC10" i="20"/>
  <c r="AY9" i="20"/>
  <c r="AG9" i="20"/>
  <c r="AU8" i="20"/>
  <c r="AK8" i="20"/>
  <c r="AC8" i="20"/>
  <c r="AY7" i="20"/>
  <c r="AG7" i="20"/>
  <c r="AU6" i="20"/>
  <c r="AK6" i="20"/>
  <c r="AC6" i="20"/>
  <c r="AZ5" i="20"/>
  <c r="AR5" i="20"/>
  <c r="BE5" i="20" s="1"/>
  <c r="AH5" i="20"/>
  <c r="AV4" i="20"/>
  <c r="AL4" i="20"/>
  <c r="AD4" i="20"/>
  <c r="AZ3" i="20"/>
  <c r="AR3" i="20"/>
  <c r="BE3" i="20" s="1"/>
  <c r="AH3" i="20"/>
  <c r="BB26" i="20"/>
  <c r="BA25" i="20"/>
  <c r="AK25" i="20"/>
  <c r="BB24" i="20"/>
  <c r="BA23" i="20"/>
  <c r="AK23" i="20"/>
  <c r="BB22" i="20"/>
  <c r="BA21" i="20"/>
  <c r="AK21" i="20"/>
  <c r="BB20" i="20"/>
  <c r="BA19" i="20"/>
  <c r="AK19" i="20"/>
  <c r="BB18" i="20"/>
  <c r="BA17" i="20"/>
  <c r="AK17" i="20"/>
  <c r="AT16" i="20"/>
  <c r="AJ16" i="20"/>
  <c r="AB16" i="20"/>
  <c r="AO16" i="20" s="1"/>
  <c r="AX15" i="20"/>
  <c r="AF15" i="20"/>
  <c r="BB14" i="20"/>
  <c r="AT14" i="20"/>
  <c r="AJ14" i="20"/>
  <c r="AB14" i="20"/>
  <c r="AO14" i="20" s="1"/>
  <c r="AX13" i="20"/>
  <c r="AF13" i="20"/>
  <c r="BB12" i="20"/>
  <c r="AT12" i="20"/>
  <c r="AJ12" i="20"/>
  <c r="AB12" i="20"/>
  <c r="AO12" i="20" s="1"/>
  <c r="AX11" i="20"/>
  <c r="AF11" i="20"/>
  <c r="BB10" i="20"/>
  <c r="AT10" i="20"/>
  <c r="AJ10" i="20"/>
  <c r="AB10" i="20"/>
  <c r="AO10" i="20" s="1"/>
  <c r="AX9" i="20"/>
  <c r="AF9" i="20"/>
  <c r="BB8" i="20"/>
  <c r="AT8" i="20"/>
  <c r="AJ8" i="20"/>
  <c r="AB8" i="20"/>
  <c r="AO8" i="20" s="1"/>
  <c r="AX7" i="20"/>
  <c r="AF7" i="20"/>
  <c r="BB6" i="20"/>
  <c r="AT6" i="20"/>
  <c r="AJ6" i="20"/>
  <c r="AB6" i="20"/>
  <c r="AO6" i="20" s="1"/>
  <c r="AY5" i="20"/>
  <c r="AG5" i="20"/>
  <c r="AU4" i="20"/>
  <c r="AK4" i="20"/>
  <c r="AC4" i="20"/>
  <c r="AY3" i="20"/>
  <c r="AG3" i="20"/>
  <c r="AZ26" i="20"/>
  <c r="AJ26" i="20"/>
  <c r="AX25" i="20"/>
  <c r="AI25" i="20"/>
  <c r="AZ24" i="20"/>
  <c r="AJ24" i="20"/>
  <c r="AX23" i="20"/>
  <c r="AI23" i="20"/>
  <c r="AZ22" i="20"/>
  <c r="AJ22" i="20"/>
  <c r="AX21" i="20"/>
  <c r="AI21" i="20"/>
  <c r="AZ20" i="20"/>
  <c r="AJ20" i="20"/>
  <c r="AX19" i="20"/>
  <c r="AI19" i="20"/>
  <c r="AZ18" i="20"/>
  <c r="AJ18" i="20"/>
  <c r="AX17" i="20"/>
  <c r="AI17" i="20"/>
  <c r="AS16" i="20"/>
  <c r="AI16" i="20"/>
  <c r="AW15" i="20"/>
  <c r="AE15" i="20"/>
  <c r="BA14" i="20"/>
  <c r="AS14" i="20"/>
  <c r="AI14" i="20"/>
  <c r="AW13" i="20"/>
  <c r="AE13" i="20"/>
  <c r="BA12" i="20"/>
  <c r="AS12" i="20"/>
  <c r="AI12" i="20"/>
  <c r="AW11" i="20"/>
  <c r="AE11" i="20"/>
  <c r="BA10" i="20"/>
  <c r="AS10" i="20"/>
  <c r="AI10" i="20"/>
  <c r="AW9" i="20"/>
  <c r="AE9" i="20"/>
  <c r="BA8" i="20"/>
  <c r="AS8" i="20"/>
  <c r="AI8" i="20"/>
  <c r="AY26" i="20"/>
  <c r="AH26" i="20"/>
  <c r="AV25" i="20"/>
  <c r="AF25" i="20"/>
  <c r="AY24" i="20"/>
  <c r="AR16" i="20"/>
  <c r="BE16" i="20" s="1"/>
  <c r="AV15" i="20"/>
  <c r="AH14" i="20"/>
  <c r="AL13" i="20"/>
  <c r="AR12" i="20"/>
  <c r="BE12" i="20" s="1"/>
  <c r="AV11" i="20"/>
  <c r="AH10" i="20"/>
  <c r="AL9" i="20"/>
  <c r="AR8" i="20"/>
  <c r="BE8" i="20" s="1"/>
  <c r="AW7" i="20"/>
  <c r="AD7" i="20"/>
  <c r="AR6" i="20"/>
  <c r="BE6" i="20" s="1"/>
  <c r="AL5" i="20"/>
  <c r="AZ4" i="20"/>
  <c r="AH4" i="20"/>
  <c r="AV3" i="20"/>
  <c r="AD3" i="20"/>
  <c r="AU25" i="20"/>
  <c r="AU15" i="20"/>
  <c r="AG14" i="20"/>
  <c r="AK13" i="20"/>
  <c r="AU11" i="20"/>
  <c r="AG10" i="20"/>
  <c r="AK9" i="20"/>
  <c r="AV7" i="20"/>
  <c r="AC7" i="20"/>
  <c r="AF5" i="20"/>
  <c r="AT4" i="20"/>
  <c r="AB4" i="20"/>
  <c r="AO4" i="20" s="1"/>
  <c r="AT3" i="20"/>
  <c r="AH24" i="20"/>
  <c r="AF23" i="20"/>
  <c r="AH22" i="20"/>
  <c r="AF21" i="20"/>
  <c r="AH20" i="20"/>
  <c r="AF19" i="20"/>
  <c r="AH18" i="20"/>
  <c r="AG17" i="20"/>
  <c r="AZ14" i="20"/>
  <c r="AD13" i="20"/>
  <c r="AZ10" i="20"/>
  <c r="AD9" i="20"/>
  <c r="AU7" i="20"/>
  <c r="AE5" i="20"/>
  <c r="AS4" i="20"/>
  <c r="AW26" i="20"/>
  <c r="AG24" i="20"/>
  <c r="AD23" i="20"/>
  <c r="AG22" i="20"/>
  <c r="AD21" i="20"/>
  <c r="AG20" i="20"/>
  <c r="AD19" i="20"/>
  <c r="AG18" i="20"/>
  <c r="AF17" i="20"/>
  <c r="AY14" i="20"/>
  <c r="AC13" i="20"/>
  <c r="AY10" i="20"/>
  <c r="AC9" i="20"/>
  <c r="AX5" i="20"/>
  <c r="AD5" i="20"/>
  <c r="AR4" i="20"/>
  <c r="BE4" i="20" s="1"/>
  <c r="AD25" i="20"/>
  <c r="AH16" i="20"/>
  <c r="AL15" i="20"/>
  <c r="AR14" i="20"/>
  <c r="BE14" i="20" s="1"/>
  <c r="AV13" i="20"/>
  <c r="AH12" i="20"/>
  <c r="AL11" i="20"/>
  <c r="AR10" i="20"/>
  <c r="BE10" i="20" s="1"/>
  <c r="AV9" i="20"/>
  <c r="AH8" i="20"/>
  <c r="BA6" i="20"/>
  <c r="AI6" i="20"/>
  <c r="AW5" i="20"/>
  <c r="AL3" i="20"/>
  <c r="AG16" i="20"/>
  <c r="AK15" i="20"/>
  <c r="AU13" i="20"/>
  <c r="AG12" i="20"/>
  <c r="AK11" i="20"/>
  <c r="AU9" i="20"/>
  <c r="AG8" i="20"/>
  <c r="AL7" i="20"/>
  <c r="AZ6" i="20"/>
  <c r="AH6" i="20"/>
  <c r="AV5" i="20"/>
  <c r="BB3" i="20"/>
  <c r="AJ3" i="20"/>
  <c r="AW24" i="20"/>
  <c r="AW20" i="20"/>
  <c r="BA16" i="20"/>
  <c r="AG26" i="20"/>
  <c r="AV21" i="20"/>
  <c r="AV17" i="20"/>
  <c r="AU21" i="20"/>
  <c r="AU17" i="20"/>
  <c r="AY22" i="20"/>
  <c r="AY18" i="20"/>
  <c r="AZ12" i="20"/>
  <c r="AD11" i="20"/>
  <c r="AY6" i="20"/>
  <c r="AJ4" i="20"/>
  <c r="AF3" i="20"/>
  <c r="AW22" i="20"/>
  <c r="AW18" i="20"/>
  <c r="AY12" i="20"/>
  <c r="AC11" i="20"/>
  <c r="AS6" i="20"/>
  <c r="AI4" i="20"/>
  <c r="AE3" i="20"/>
  <c r="AV23" i="20"/>
  <c r="AV19" i="20"/>
  <c r="AB3" i="20"/>
  <c r="AO3" i="20" s="1"/>
  <c r="AU23" i="20"/>
  <c r="AU19" i="20"/>
  <c r="AG6" i="20"/>
  <c r="BB4" i="20"/>
  <c r="BA4" i="20"/>
  <c r="AZ8" i="20"/>
  <c r="AK7" i="20"/>
  <c r="AY8" i="20"/>
  <c r="AE7" i="20"/>
  <c r="AW3" i="20"/>
  <c r="AY20" i="20"/>
  <c r="AD15" i="20"/>
  <c r="BB16" i="20"/>
  <c r="AC15" i="20"/>
  <c r="AX3" i="20"/>
  <c r="BJ138" i="5"/>
  <c r="D195" i="15"/>
  <c r="D107" i="15"/>
  <c r="B464" i="15" s="1"/>
  <c r="D21" i="15"/>
  <c r="BJ135" i="5"/>
  <c r="D192" i="15"/>
  <c r="D104" i="15"/>
  <c r="B461" i="15" s="1"/>
  <c r="D18" i="15"/>
  <c r="BJ132" i="5"/>
  <c r="D189" i="15"/>
  <c r="D15" i="15"/>
  <c r="D101" i="15"/>
  <c r="B458" i="15" s="1"/>
  <c r="BJ134" i="5"/>
  <c r="D103" i="15"/>
  <c r="B460" i="15" s="1"/>
  <c r="D191" i="15"/>
  <c r="D17" i="15"/>
  <c r="AY26" i="22"/>
  <c r="AG26" i="22"/>
  <c r="AU25" i="22"/>
  <c r="AK25" i="22"/>
  <c r="AC25" i="22"/>
  <c r="AY24" i="22"/>
  <c r="AG24" i="22"/>
  <c r="AU23" i="22"/>
  <c r="AK23" i="22"/>
  <c r="AC23" i="22"/>
  <c r="AY22" i="22"/>
  <c r="AG22" i="22"/>
  <c r="AU21" i="22"/>
  <c r="AK21" i="22"/>
  <c r="AC21" i="22"/>
  <c r="AY20" i="22"/>
  <c r="AG20" i="22"/>
  <c r="AU19" i="22"/>
  <c r="AK19" i="22"/>
  <c r="AC19" i="22"/>
  <c r="AY18" i="22"/>
  <c r="AG18" i="22"/>
  <c r="AU17" i="22"/>
  <c r="AK17" i="22"/>
  <c r="AC17" i="22"/>
  <c r="AY16" i="22"/>
  <c r="AG16" i="22"/>
  <c r="AU15" i="22"/>
  <c r="AK15" i="22"/>
  <c r="AC15" i="22"/>
  <c r="AY14" i="22"/>
  <c r="AG14" i="22"/>
  <c r="AU13" i="22"/>
  <c r="AK13" i="22"/>
  <c r="AC13" i="22"/>
  <c r="AY12" i="22"/>
  <c r="AG12" i="22"/>
  <c r="AU11" i="22"/>
  <c r="AK11" i="22"/>
  <c r="AC11" i="22"/>
  <c r="AY10" i="22"/>
  <c r="AG10" i="22"/>
  <c r="AU9" i="22"/>
  <c r="AK9" i="22"/>
  <c r="AC9" i="22"/>
  <c r="AY8" i="22"/>
  <c r="AG8" i="22"/>
  <c r="AU7" i="22"/>
  <c r="AK7" i="22"/>
  <c r="AC7" i="22"/>
  <c r="AY6" i="22"/>
  <c r="AG6" i="22"/>
  <c r="AV5" i="22"/>
  <c r="AL5" i="22"/>
  <c r="AD5" i="22"/>
  <c r="AZ4" i="22"/>
  <c r="AR4" i="22"/>
  <c r="BE4" i="22" s="1"/>
  <c r="AH4" i="22"/>
  <c r="AV3" i="22"/>
  <c r="AL3" i="22"/>
  <c r="AD3" i="22"/>
  <c r="AX26" i="22"/>
  <c r="AF26" i="22"/>
  <c r="BB25" i="22"/>
  <c r="AT25" i="22"/>
  <c r="AJ25" i="22"/>
  <c r="AB25" i="22"/>
  <c r="AO25" i="22" s="1"/>
  <c r="AX24" i="22"/>
  <c r="AF24" i="22"/>
  <c r="BB23" i="22"/>
  <c r="AT23" i="22"/>
  <c r="AJ23" i="22"/>
  <c r="AB23" i="22"/>
  <c r="AO23" i="22" s="1"/>
  <c r="AX22" i="22"/>
  <c r="AF22" i="22"/>
  <c r="BB21" i="22"/>
  <c r="AT21" i="22"/>
  <c r="AJ21" i="22"/>
  <c r="AB21" i="22"/>
  <c r="AO21" i="22" s="1"/>
  <c r="AX20" i="22"/>
  <c r="AF20" i="22"/>
  <c r="BB19" i="22"/>
  <c r="AT19" i="22"/>
  <c r="AJ19" i="22"/>
  <c r="AB19" i="22"/>
  <c r="AO19" i="22" s="1"/>
  <c r="AX18" i="22"/>
  <c r="AF18" i="22"/>
  <c r="BB17" i="22"/>
  <c r="AT17" i="22"/>
  <c r="AJ17" i="22"/>
  <c r="AB17" i="22"/>
  <c r="AO17" i="22" s="1"/>
  <c r="AX16" i="22"/>
  <c r="AF16" i="22"/>
  <c r="BB15" i="22"/>
  <c r="AT15" i="22"/>
  <c r="AJ15" i="22"/>
  <c r="AB15" i="22"/>
  <c r="AO15" i="22" s="1"/>
  <c r="AX14" i="22"/>
  <c r="AF14" i="22"/>
  <c r="BB13" i="22"/>
  <c r="AT13" i="22"/>
  <c r="AJ13" i="22"/>
  <c r="AB13" i="22"/>
  <c r="AO13" i="22" s="1"/>
  <c r="AX12" i="22"/>
  <c r="AF12" i="22"/>
  <c r="BB11" i="22"/>
  <c r="AT11" i="22"/>
  <c r="AJ11" i="22"/>
  <c r="AB11" i="22"/>
  <c r="AO11" i="22" s="1"/>
  <c r="AX10" i="22"/>
  <c r="AF10" i="22"/>
  <c r="BB9" i="22"/>
  <c r="AT9" i="22"/>
  <c r="AJ9" i="22"/>
  <c r="AB9" i="22"/>
  <c r="AO9" i="22" s="1"/>
  <c r="AX8" i="22"/>
  <c r="AF8" i="22"/>
  <c r="BB7" i="22"/>
  <c r="AT7" i="22"/>
  <c r="AJ7" i="22"/>
  <c r="AB7" i="22"/>
  <c r="AO7" i="22" s="1"/>
  <c r="AX6" i="22"/>
  <c r="AF6" i="22"/>
  <c r="AU5" i="22"/>
  <c r="AK5" i="22"/>
  <c r="AC5" i="22"/>
  <c r="AY4" i="22"/>
  <c r="AG4" i="22"/>
  <c r="AU3" i="22"/>
  <c r="AK3" i="22"/>
  <c r="AC3" i="22"/>
  <c r="AW26" i="22"/>
  <c r="AE26" i="22"/>
  <c r="BA25" i="22"/>
  <c r="AS25" i="22"/>
  <c r="AI25" i="22"/>
  <c r="AW24" i="22"/>
  <c r="AE24" i="22"/>
  <c r="BA23" i="22"/>
  <c r="AS23" i="22"/>
  <c r="AI23" i="22"/>
  <c r="AW22" i="22"/>
  <c r="AE22" i="22"/>
  <c r="BA21" i="22"/>
  <c r="AS21" i="22"/>
  <c r="AI21" i="22"/>
  <c r="AW20" i="22"/>
  <c r="AE20" i="22"/>
  <c r="BA19" i="22"/>
  <c r="AS19" i="22"/>
  <c r="AI19" i="22"/>
  <c r="AW18" i="22"/>
  <c r="AE18" i="22"/>
  <c r="BA17" i="22"/>
  <c r="AS17" i="22"/>
  <c r="AI17" i="22"/>
  <c r="AW16" i="22"/>
  <c r="AE16" i="22"/>
  <c r="BA15" i="22"/>
  <c r="AS15" i="22"/>
  <c r="AI15" i="22"/>
  <c r="AW14" i="22"/>
  <c r="AE14" i="22"/>
  <c r="BA13" i="22"/>
  <c r="AS13" i="22"/>
  <c r="AI13" i="22"/>
  <c r="AW12" i="22"/>
  <c r="AE12" i="22"/>
  <c r="BA11" i="22"/>
  <c r="AS11" i="22"/>
  <c r="AI11" i="22"/>
  <c r="AW10" i="22"/>
  <c r="AE10" i="22"/>
  <c r="BA9" i="22"/>
  <c r="AS9" i="22"/>
  <c r="AI9" i="22"/>
  <c r="AW8" i="22"/>
  <c r="AE8" i="22"/>
  <c r="BA7" i="22"/>
  <c r="AS7" i="22"/>
  <c r="AI7" i="22"/>
  <c r="AW6" i="22"/>
  <c r="AE6" i="22"/>
  <c r="BB5" i="22"/>
  <c r="AT5" i="22"/>
  <c r="AJ5" i="22"/>
  <c r="AB5" i="22"/>
  <c r="AO5" i="22" s="1"/>
  <c r="AX4" i="22"/>
  <c r="AF4" i="22"/>
  <c r="BB3" i="22"/>
  <c r="AT3" i="22"/>
  <c r="AJ3" i="22"/>
  <c r="AB3" i="22"/>
  <c r="AO3" i="22" s="1"/>
  <c r="AV26" i="22"/>
  <c r="AL26" i="22"/>
  <c r="AD26" i="22"/>
  <c r="AZ25" i="22"/>
  <c r="AR25" i="22"/>
  <c r="BE25" i="22" s="1"/>
  <c r="AH25" i="22"/>
  <c r="AV24" i="22"/>
  <c r="AL24" i="22"/>
  <c r="AD24" i="22"/>
  <c r="AZ23" i="22"/>
  <c r="AR23" i="22"/>
  <c r="BE23" i="22" s="1"/>
  <c r="AH23" i="22"/>
  <c r="AV22" i="22"/>
  <c r="AL22" i="22"/>
  <c r="AD22" i="22"/>
  <c r="AZ21" i="22"/>
  <c r="AR21" i="22"/>
  <c r="BE21" i="22" s="1"/>
  <c r="AH21" i="22"/>
  <c r="AV20" i="22"/>
  <c r="AL20" i="22"/>
  <c r="AD20" i="22"/>
  <c r="AZ19" i="22"/>
  <c r="AR19" i="22"/>
  <c r="BE19" i="22" s="1"/>
  <c r="AH19" i="22"/>
  <c r="AV18" i="22"/>
  <c r="AL18" i="22"/>
  <c r="AD18" i="22"/>
  <c r="AZ17" i="22"/>
  <c r="AR17" i="22"/>
  <c r="BE17" i="22" s="1"/>
  <c r="AH17" i="22"/>
  <c r="AV16" i="22"/>
  <c r="AL16" i="22"/>
  <c r="AD16" i="22"/>
  <c r="AZ15" i="22"/>
  <c r="AR15" i="22"/>
  <c r="BE15" i="22" s="1"/>
  <c r="AH15" i="22"/>
  <c r="AV14" i="22"/>
  <c r="AL14" i="22"/>
  <c r="AD14" i="22"/>
  <c r="AZ13" i="22"/>
  <c r="AR13" i="22"/>
  <c r="BE13" i="22" s="1"/>
  <c r="AH13" i="22"/>
  <c r="AV12" i="22"/>
  <c r="AL12" i="22"/>
  <c r="AD12" i="22"/>
  <c r="AZ11" i="22"/>
  <c r="AR11" i="22"/>
  <c r="BE11" i="22" s="1"/>
  <c r="AH11" i="22"/>
  <c r="AV10" i="22"/>
  <c r="AL10" i="22"/>
  <c r="AD10" i="22"/>
  <c r="AZ9" i="22"/>
  <c r="AR9" i="22"/>
  <c r="BE9" i="22" s="1"/>
  <c r="AH9" i="22"/>
  <c r="AV8" i="22"/>
  <c r="AL8" i="22"/>
  <c r="AD8" i="22"/>
  <c r="AZ7" i="22"/>
  <c r="AR7" i="22"/>
  <c r="BE7" i="22" s="1"/>
  <c r="AH7" i="22"/>
  <c r="AV6" i="22"/>
  <c r="AL6" i="22"/>
  <c r="AD6" i="22"/>
  <c r="BA5" i="22"/>
  <c r="AS5" i="22"/>
  <c r="AI5" i="22"/>
  <c r="AW4" i="22"/>
  <c r="AE4" i="22"/>
  <c r="BA3" i="22"/>
  <c r="AS3" i="22"/>
  <c r="AI3" i="22"/>
  <c r="BA26" i="22"/>
  <c r="AS26" i="22"/>
  <c r="AI26" i="22"/>
  <c r="AW25" i="22"/>
  <c r="AE25" i="22"/>
  <c r="BA24" i="22"/>
  <c r="AS24" i="22"/>
  <c r="AI24" i="22"/>
  <c r="AW23" i="22"/>
  <c r="AE23" i="22"/>
  <c r="BA22" i="22"/>
  <c r="AS22" i="22"/>
  <c r="AI22" i="22"/>
  <c r="AW21" i="22"/>
  <c r="AE21" i="22"/>
  <c r="BA20" i="22"/>
  <c r="AS20" i="22"/>
  <c r="AI20" i="22"/>
  <c r="AW19" i="22"/>
  <c r="AE19" i="22"/>
  <c r="BA18" i="22"/>
  <c r="AS18" i="22"/>
  <c r="AI18" i="22"/>
  <c r="AW17" i="22"/>
  <c r="AE17" i="22"/>
  <c r="BA16" i="22"/>
  <c r="AS16" i="22"/>
  <c r="AI16" i="22"/>
  <c r="AW15" i="22"/>
  <c r="AE15" i="22"/>
  <c r="BA14" i="22"/>
  <c r="AS14" i="22"/>
  <c r="AI14" i="22"/>
  <c r="AW13" i="22"/>
  <c r="AE13" i="22"/>
  <c r="BA12" i="22"/>
  <c r="AS12" i="22"/>
  <c r="AI12" i="22"/>
  <c r="AW11" i="22"/>
  <c r="AE11" i="22"/>
  <c r="BA10" i="22"/>
  <c r="AS10" i="22"/>
  <c r="AI10" i="22"/>
  <c r="AW9" i="22"/>
  <c r="AE9" i="22"/>
  <c r="BA8" i="22"/>
  <c r="AS8" i="22"/>
  <c r="AI8" i="22"/>
  <c r="AW7" i="22"/>
  <c r="AE7" i="22"/>
  <c r="BA6" i="22"/>
  <c r="AS6" i="22"/>
  <c r="AI6" i="22"/>
  <c r="AX5" i="22"/>
  <c r="AF5" i="22"/>
  <c r="BB4" i="22"/>
  <c r="AT4" i="22"/>
  <c r="AJ4" i="22"/>
  <c r="AB4" i="22"/>
  <c r="AO4" i="22" s="1"/>
  <c r="AX3" i="22"/>
  <c r="AF3" i="22"/>
  <c r="AZ26" i="22"/>
  <c r="AR26" i="22"/>
  <c r="BE26" i="22" s="1"/>
  <c r="AH26" i="22"/>
  <c r="AV25" i="22"/>
  <c r="AL25" i="22"/>
  <c r="AD25" i="22"/>
  <c r="AZ24" i="22"/>
  <c r="AR24" i="22"/>
  <c r="BE24" i="22" s="1"/>
  <c r="AH24" i="22"/>
  <c r="AV23" i="22"/>
  <c r="AL23" i="22"/>
  <c r="AD23" i="22"/>
  <c r="AZ22" i="22"/>
  <c r="AR22" i="22"/>
  <c r="BE22" i="22" s="1"/>
  <c r="AH22" i="22"/>
  <c r="AV21" i="22"/>
  <c r="AL21" i="22"/>
  <c r="AD21" i="22"/>
  <c r="AZ20" i="22"/>
  <c r="AR20" i="22"/>
  <c r="BE20" i="22" s="1"/>
  <c r="AH20" i="22"/>
  <c r="AV19" i="22"/>
  <c r="AL19" i="22"/>
  <c r="AD19" i="22"/>
  <c r="AZ18" i="22"/>
  <c r="AR18" i="22"/>
  <c r="BE18" i="22" s="1"/>
  <c r="AH18" i="22"/>
  <c r="AV17" i="22"/>
  <c r="AL17" i="22"/>
  <c r="AD17" i="22"/>
  <c r="AZ16" i="22"/>
  <c r="AR16" i="22"/>
  <c r="BE16" i="22" s="1"/>
  <c r="AH16" i="22"/>
  <c r="AV15" i="22"/>
  <c r="AL15" i="22"/>
  <c r="AD15" i="22"/>
  <c r="AK26" i="22"/>
  <c r="AU24" i="22"/>
  <c r="AF23" i="22"/>
  <c r="AK22" i="22"/>
  <c r="AU20" i="22"/>
  <c r="AF19" i="22"/>
  <c r="AK18" i="22"/>
  <c r="AU16" i="22"/>
  <c r="AF15" i="22"/>
  <c r="AG13" i="22"/>
  <c r="AT12" i="22"/>
  <c r="AB12" i="22"/>
  <c r="AO12" i="22" s="1"/>
  <c r="AZ10" i="22"/>
  <c r="AH10" i="22"/>
  <c r="AK8" i="22"/>
  <c r="AX7" i="22"/>
  <c r="AD7" i="22"/>
  <c r="AV4" i="22"/>
  <c r="AD4" i="22"/>
  <c r="AR3" i="22"/>
  <c r="BE3" i="22" s="1"/>
  <c r="AJ26" i="22"/>
  <c r="AT24" i="22"/>
  <c r="AJ22" i="22"/>
  <c r="AT20" i="22"/>
  <c r="AJ18" i="22"/>
  <c r="AT16" i="22"/>
  <c r="AY13" i="22"/>
  <c r="AF13" i="22"/>
  <c r="AR12" i="22"/>
  <c r="BE12" i="22" s="1"/>
  <c r="AL11" i="22"/>
  <c r="AU10" i="22"/>
  <c r="AC10" i="22"/>
  <c r="BB8" i="22"/>
  <c r="AJ8" i="22"/>
  <c r="AV7" i="22"/>
  <c r="AU4" i="22"/>
  <c r="AC4" i="22"/>
  <c r="AC26" i="22"/>
  <c r="AY23" i="22"/>
  <c r="AC22" i="22"/>
  <c r="AY19" i="22"/>
  <c r="AC18" i="22"/>
  <c r="AY15" i="22"/>
  <c r="AK14" i="22"/>
  <c r="AX13" i="22"/>
  <c r="AD13" i="22"/>
  <c r="AG11" i="22"/>
  <c r="AT10" i="22"/>
  <c r="AB10" i="22"/>
  <c r="AO10" i="22" s="1"/>
  <c r="AZ8" i="22"/>
  <c r="AH8" i="22"/>
  <c r="AK6" i="22"/>
  <c r="AH5" i="22"/>
  <c r="AS4" i="22"/>
  <c r="BB26" i="22"/>
  <c r="AB26" i="22"/>
  <c r="AO26" i="22" s="1"/>
  <c r="AG25" i="22"/>
  <c r="AX23" i="22"/>
  <c r="BB22" i="22"/>
  <c r="AB22" i="22"/>
  <c r="AO22" i="22" s="1"/>
  <c r="AG21" i="22"/>
  <c r="AX19" i="22"/>
  <c r="BB18" i="22"/>
  <c r="AB18" i="22"/>
  <c r="AO18" i="22" s="1"/>
  <c r="AG17" i="22"/>
  <c r="AX15" i="22"/>
  <c r="BB14" i="22"/>
  <c r="AJ14" i="22"/>
  <c r="AV13" i="22"/>
  <c r="AY11" i="22"/>
  <c r="AF11" i="22"/>
  <c r="AR10" i="22"/>
  <c r="BE10" i="22" s="1"/>
  <c r="AL9" i="22"/>
  <c r="AU8" i="22"/>
  <c r="AC8" i="22"/>
  <c r="BB6" i="22"/>
  <c r="AJ6" i="22"/>
  <c r="AZ5" i="22"/>
  <c r="AG5" i="22"/>
  <c r="AU26" i="22"/>
  <c r="AF25" i="22"/>
  <c r="AK24" i="22"/>
  <c r="AU22" i="22"/>
  <c r="AF21" i="22"/>
  <c r="AK20" i="22"/>
  <c r="AU18" i="22"/>
  <c r="AF17" i="22"/>
  <c r="AK16" i="22"/>
  <c r="AZ14" i="22"/>
  <c r="AH14" i="22"/>
  <c r="AK12" i="22"/>
  <c r="AX11" i="22"/>
  <c r="AD11" i="22"/>
  <c r="AG9" i="22"/>
  <c r="AT8" i="22"/>
  <c r="AB8" i="22"/>
  <c r="AO8" i="22" s="1"/>
  <c r="AZ6" i="22"/>
  <c r="AH6" i="22"/>
  <c r="AY5" i="22"/>
  <c r="AE5" i="22"/>
  <c r="AH3" i="22"/>
  <c r="AT26" i="22"/>
  <c r="AJ24" i="22"/>
  <c r="AT22" i="22"/>
  <c r="AJ20" i="22"/>
  <c r="AY25" i="22"/>
  <c r="AC24" i="22"/>
  <c r="AY21" i="22"/>
  <c r="AC20" i="22"/>
  <c r="AY17" i="22"/>
  <c r="AC16" i="22"/>
  <c r="AT14" i="22"/>
  <c r="AB14" i="22"/>
  <c r="AO14" i="22" s="1"/>
  <c r="AZ12" i="22"/>
  <c r="AH12" i="22"/>
  <c r="AK10" i="22"/>
  <c r="AX9" i="22"/>
  <c r="AD9" i="22"/>
  <c r="AG7" i="22"/>
  <c r="AT6" i="22"/>
  <c r="AB6" i="22"/>
  <c r="AO6" i="22" s="1"/>
  <c r="AR5" i="22"/>
  <c r="BE5" i="22" s="1"/>
  <c r="AK4" i="22"/>
  <c r="AY3" i="22"/>
  <c r="AE3" i="22"/>
  <c r="AB16" i="22"/>
  <c r="AO16" i="22" s="1"/>
  <c r="AU14" i="22"/>
  <c r="AJ12" i="22"/>
  <c r="AV9" i="22"/>
  <c r="BA4" i="22"/>
  <c r="AW3" i="22"/>
  <c r="AR14" i="22"/>
  <c r="BE14" i="22" s="1"/>
  <c r="AL13" i="22"/>
  <c r="AC12" i="22"/>
  <c r="BB10" i="22"/>
  <c r="AX21" i="22"/>
  <c r="AB20" i="22"/>
  <c r="AO20" i="22" s="1"/>
  <c r="AT18" i="22"/>
  <c r="AU6" i="22"/>
  <c r="AW5" i="22"/>
  <c r="BB24" i="22"/>
  <c r="AG23" i="22"/>
  <c r="AF9" i="22"/>
  <c r="AY7" i="22"/>
  <c r="AR6" i="22"/>
  <c r="BE6" i="22" s="1"/>
  <c r="AL4" i="22"/>
  <c r="AG3" i="22"/>
  <c r="BB16" i="22"/>
  <c r="AC14" i="22"/>
  <c r="BB12" i="22"/>
  <c r="AV11" i="22"/>
  <c r="AJ10" i="22"/>
  <c r="AI4" i="22"/>
  <c r="AG15" i="22"/>
  <c r="AU12" i="22"/>
  <c r="AL7" i="22"/>
  <c r="AJ16" i="22"/>
  <c r="AR8" i="22"/>
  <c r="BE8" i="22" s="1"/>
  <c r="AF7" i="22"/>
  <c r="AX17" i="22"/>
  <c r="AZ3" i="22"/>
  <c r="AG19" i="22"/>
  <c r="BB20" i="22"/>
  <c r="AY9" i="22"/>
  <c r="AB24" i="22"/>
  <c r="AO24" i="22" s="1"/>
  <c r="AC6" i="22"/>
  <c r="AX25" i="22"/>
  <c r="BJ137" i="5"/>
  <c r="D194" i="15"/>
  <c r="D20" i="15"/>
  <c r="D106" i="15"/>
  <c r="B463" i="15" s="1"/>
  <c r="BJ139" i="5"/>
  <c r="D196" i="15"/>
  <c r="D108" i="15"/>
  <c r="B465" i="15" s="1"/>
  <c r="D22" i="15"/>
  <c r="BJ124" i="5"/>
  <c r="D181" i="15"/>
  <c r="D7" i="15"/>
  <c r="D93" i="15"/>
  <c r="B450" i="15" s="1"/>
  <c r="BJ126" i="5"/>
  <c r="D183" i="15"/>
  <c r="D95" i="15"/>
  <c r="B452" i="15" s="1"/>
  <c r="D9" i="15"/>
  <c r="AX26" i="18"/>
  <c r="AF26" i="18"/>
  <c r="BB25" i="18"/>
  <c r="AT25" i="18"/>
  <c r="AJ25" i="18"/>
  <c r="AB25" i="18"/>
  <c r="AO25" i="18" s="1"/>
  <c r="AX24" i="18"/>
  <c r="AF24" i="18"/>
  <c r="BB23" i="18"/>
  <c r="AT23" i="18"/>
  <c r="AJ23" i="18"/>
  <c r="AB23" i="18"/>
  <c r="AO23" i="18" s="1"/>
  <c r="AX22" i="18"/>
  <c r="AF22" i="18"/>
  <c r="BB21" i="18"/>
  <c r="AT21" i="18"/>
  <c r="AJ21" i="18"/>
  <c r="AB21" i="18"/>
  <c r="AO21" i="18" s="1"/>
  <c r="AX20" i="18"/>
  <c r="AF20" i="18"/>
  <c r="BB19" i="18"/>
  <c r="AT19" i="18"/>
  <c r="AJ19" i="18"/>
  <c r="AB19" i="18"/>
  <c r="AO19" i="18" s="1"/>
  <c r="AX18" i="18"/>
  <c r="AF18" i="18"/>
  <c r="BB17" i="18"/>
  <c r="AT17" i="18"/>
  <c r="AJ17" i="18"/>
  <c r="AB17" i="18"/>
  <c r="AO17" i="18" s="1"/>
  <c r="AX16" i="18"/>
  <c r="AF16" i="18"/>
  <c r="BB15" i="18"/>
  <c r="AT15" i="18"/>
  <c r="AJ15" i="18"/>
  <c r="AB15" i="18"/>
  <c r="AO15" i="18" s="1"/>
  <c r="AX14" i="18"/>
  <c r="AF14" i="18"/>
  <c r="BB13" i="18"/>
  <c r="AT13" i="18"/>
  <c r="AJ13" i="18"/>
  <c r="AB13" i="18"/>
  <c r="AO13" i="18" s="1"/>
  <c r="AV26" i="18"/>
  <c r="AL26" i="18"/>
  <c r="AD26" i="18"/>
  <c r="AZ25" i="18"/>
  <c r="AR25" i="18"/>
  <c r="BE25" i="18" s="1"/>
  <c r="AH25" i="18"/>
  <c r="AV24" i="18"/>
  <c r="AL24" i="18"/>
  <c r="AD24" i="18"/>
  <c r="AZ23" i="18"/>
  <c r="AR23" i="18"/>
  <c r="BE23" i="18" s="1"/>
  <c r="AH23" i="18"/>
  <c r="AV22" i="18"/>
  <c r="AL22" i="18"/>
  <c r="AD22" i="18"/>
  <c r="AZ21" i="18"/>
  <c r="AR21" i="18"/>
  <c r="BE21" i="18" s="1"/>
  <c r="AH21" i="18"/>
  <c r="AV20" i="18"/>
  <c r="AL20" i="18"/>
  <c r="AD20" i="18"/>
  <c r="AZ19" i="18"/>
  <c r="AR19" i="18"/>
  <c r="BE19" i="18" s="1"/>
  <c r="AH19" i="18"/>
  <c r="AV18" i="18"/>
  <c r="AL18" i="18"/>
  <c r="AD18" i="18"/>
  <c r="AZ17" i="18"/>
  <c r="AR17" i="18"/>
  <c r="BE17" i="18" s="1"/>
  <c r="AH17" i="18"/>
  <c r="AV16" i="18"/>
  <c r="AL16" i="18"/>
  <c r="AD16" i="18"/>
  <c r="AZ15" i="18"/>
  <c r="AR15" i="18"/>
  <c r="BE15" i="18" s="1"/>
  <c r="AH15" i="18"/>
  <c r="AV14" i="18"/>
  <c r="AL14" i="18"/>
  <c r="AD14" i="18"/>
  <c r="AZ13" i="18"/>
  <c r="AR13" i="18"/>
  <c r="BE13" i="18" s="1"/>
  <c r="AH13" i="18"/>
  <c r="AU26" i="18"/>
  <c r="AK26" i="18"/>
  <c r="AC26" i="18"/>
  <c r="AY25" i="18"/>
  <c r="AG25" i="18"/>
  <c r="AU24" i="18"/>
  <c r="AK24" i="18"/>
  <c r="AC24" i="18"/>
  <c r="AY23" i="18"/>
  <c r="AG23" i="18"/>
  <c r="AU22" i="18"/>
  <c r="AK22" i="18"/>
  <c r="AC22" i="18"/>
  <c r="AY21" i="18"/>
  <c r="AG21" i="18"/>
  <c r="AU20" i="18"/>
  <c r="AK20" i="18"/>
  <c r="AC20" i="18"/>
  <c r="AY19" i="18"/>
  <c r="AG19" i="18"/>
  <c r="AU18" i="18"/>
  <c r="AK18" i="18"/>
  <c r="AC18" i="18"/>
  <c r="AY17" i="18"/>
  <c r="AG17" i="18"/>
  <c r="AU16" i="18"/>
  <c r="AK16" i="18"/>
  <c r="AC16" i="18"/>
  <c r="AY15" i="18"/>
  <c r="AG15" i="18"/>
  <c r="AU14" i="18"/>
  <c r="AK14" i="18"/>
  <c r="AC14" i="18"/>
  <c r="AY13" i="18"/>
  <c r="AG13" i="18"/>
  <c r="AU12" i="18"/>
  <c r="BB26" i="18"/>
  <c r="AT26" i="18"/>
  <c r="AJ26" i="18"/>
  <c r="AB26" i="18"/>
  <c r="AO26" i="18" s="1"/>
  <c r="AX25" i="18"/>
  <c r="AF25" i="18"/>
  <c r="BB24" i="18"/>
  <c r="AT24" i="18"/>
  <c r="AJ24" i="18"/>
  <c r="AB24" i="18"/>
  <c r="AO24" i="18" s="1"/>
  <c r="AX23" i="18"/>
  <c r="AF23" i="18"/>
  <c r="BB22" i="18"/>
  <c r="AT22" i="18"/>
  <c r="AJ22" i="18"/>
  <c r="AB22" i="18"/>
  <c r="AO22" i="18" s="1"/>
  <c r="AX21" i="18"/>
  <c r="AF21" i="18"/>
  <c r="BB20" i="18"/>
  <c r="AT20" i="18"/>
  <c r="AJ20" i="18"/>
  <c r="AB20" i="18"/>
  <c r="AO20" i="18" s="1"/>
  <c r="AX19" i="18"/>
  <c r="AF19" i="18"/>
  <c r="BB18" i="18"/>
  <c r="AT18" i="18"/>
  <c r="AJ18" i="18"/>
  <c r="AB18" i="18"/>
  <c r="AO18" i="18" s="1"/>
  <c r="AX17" i="18"/>
  <c r="AF17" i="18"/>
  <c r="BB16" i="18"/>
  <c r="AT16" i="18"/>
  <c r="AJ16" i="18"/>
  <c r="AB16" i="18"/>
  <c r="AO16" i="18" s="1"/>
  <c r="AX15" i="18"/>
  <c r="AF15" i="18"/>
  <c r="BB14" i="18"/>
  <c r="AT14" i="18"/>
  <c r="AJ14" i="18"/>
  <c r="AB14" i="18"/>
  <c r="AO14" i="18" s="1"/>
  <c r="AX13" i="18"/>
  <c r="AF13" i="18"/>
  <c r="BA26" i="18"/>
  <c r="AS26" i="18"/>
  <c r="AI26" i="18"/>
  <c r="AW25" i="18"/>
  <c r="AE25" i="18"/>
  <c r="BA24" i="18"/>
  <c r="AS24" i="18"/>
  <c r="AI24" i="18"/>
  <c r="AW23" i="18"/>
  <c r="AE23" i="18"/>
  <c r="BA22" i="18"/>
  <c r="AS22" i="18"/>
  <c r="AI22" i="18"/>
  <c r="AW21" i="18"/>
  <c r="AE21" i="18"/>
  <c r="BA20" i="18"/>
  <c r="AS20" i="18"/>
  <c r="AI20" i="18"/>
  <c r="AW19" i="18"/>
  <c r="AE19" i="18"/>
  <c r="BA18" i="18"/>
  <c r="AS18" i="18"/>
  <c r="AI18" i="18"/>
  <c r="AW17" i="18"/>
  <c r="AE17" i="18"/>
  <c r="BA16" i="18"/>
  <c r="AS16" i="18"/>
  <c r="AI16" i="18"/>
  <c r="AW15" i="18"/>
  <c r="AE15" i="18"/>
  <c r="BA14" i="18"/>
  <c r="AS14" i="18"/>
  <c r="AI14" i="18"/>
  <c r="AW13" i="18"/>
  <c r="AE13" i="18"/>
  <c r="BA12" i="18"/>
  <c r="AS12" i="18"/>
  <c r="AW26" i="18"/>
  <c r="AL25" i="18"/>
  <c r="AZ24" i="18"/>
  <c r="AG24" i="18"/>
  <c r="AU21" i="18"/>
  <c r="AC21" i="18"/>
  <c r="BA19" i="18"/>
  <c r="AI19" i="18"/>
  <c r="AW18" i="18"/>
  <c r="AL17" i="18"/>
  <c r="AZ16" i="18"/>
  <c r="AG16" i="18"/>
  <c r="AU13" i="18"/>
  <c r="AC13" i="18"/>
  <c r="AW12" i="18"/>
  <c r="AK12" i="18"/>
  <c r="AC12" i="18"/>
  <c r="AY11" i="18"/>
  <c r="AG11" i="18"/>
  <c r="AU10" i="18"/>
  <c r="AK10" i="18"/>
  <c r="AC10" i="18"/>
  <c r="AY9" i="18"/>
  <c r="AG9" i="18"/>
  <c r="AU8" i="18"/>
  <c r="AK8" i="18"/>
  <c r="AC8" i="18"/>
  <c r="AY7" i="18"/>
  <c r="AG7" i="18"/>
  <c r="AU6" i="18"/>
  <c r="AK6" i="18"/>
  <c r="AC6" i="18"/>
  <c r="AZ5" i="18"/>
  <c r="AR5" i="18"/>
  <c r="BE5" i="18" s="1"/>
  <c r="AH5" i="18"/>
  <c r="AV4" i="18"/>
  <c r="AL4" i="18"/>
  <c r="AD4" i="18"/>
  <c r="AZ3" i="18"/>
  <c r="AR3" i="18"/>
  <c r="BE3" i="18" s="1"/>
  <c r="AH3" i="18"/>
  <c r="AR26" i="18"/>
  <c r="BE26" i="18" s="1"/>
  <c r="AK25" i="18"/>
  <c r="AY24" i="18"/>
  <c r="AE24" i="18"/>
  <c r="AH22" i="18"/>
  <c r="AS21" i="18"/>
  <c r="AV19" i="18"/>
  <c r="AD19" i="18"/>
  <c r="AR18" i="18"/>
  <c r="BE18" i="18" s="1"/>
  <c r="AK17" i="18"/>
  <c r="AY16" i="18"/>
  <c r="AE16" i="18"/>
  <c r="AH14" i="18"/>
  <c r="AS13" i="18"/>
  <c r="AV12" i="18"/>
  <c r="AJ12" i="18"/>
  <c r="AB12" i="18"/>
  <c r="AO12" i="18" s="1"/>
  <c r="AX11" i="18"/>
  <c r="AF11" i="18"/>
  <c r="BB10" i="18"/>
  <c r="AT10" i="18"/>
  <c r="AJ10" i="18"/>
  <c r="AB10" i="18"/>
  <c r="AO10" i="18" s="1"/>
  <c r="AX9" i="18"/>
  <c r="AF9" i="18"/>
  <c r="BB8" i="18"/>
  <c r="AT8" i="18"/>
  <c r="AJ8" i="18"/>
  <c r="AB8" i="18"/>
  <c r="AO8" i="18" s="1"/>
  <c r="AX7" i="18"/>
  <c r="AF7" i="18"/>
  <c r="BB6" i="18"/>
  <c r="AT6" i="18"/>
  <c r="AJ6" i="18"/>
  <c r="AB6" i="18"/>
  <c r="AO6" i="18" s="1"/>
  <c r="AY5" i="18"/>
  <c r="AG5" i="18"/>
  <c r="AU4" i="18"/>
  <c r="AK4" i="18"/>
  <c r="AC4" i="18"/>
  <c r="AY3" i="18"/>
  <c r="AG3" i="18"/>
  <c r="BA25" i="18"/>
  <c r="AI25" i="18"/>
  <c r="AW24" i="18"/>
  <c r="AL23" i="18"/>
  <c r="AZ22" i="18"/>
  <c r="AG22" i="18"/>
  <c r="AU19" i="18"/>
  <c r="AC19" i="18"/>
  <c r="BA17" i="18"/>
  <c r="AI17" i="18"/>
  <c r="AW16" i="18"/>
  <c r="AL15" i="18"/>
  <c r="AZ14" i="18"/>
  <c r="AG14" i="18"/>
  <c r="AT12" i="18"/>
  <c r="AI12" i="18"/>
  <c r="AW11" i="18"/>
  <c r="AE11" i="18"/>
  <c r="BA10" i="18"/>
  <c r="AS10" i="18"/>
  <c r="AI10" i="18"/>
  <c r="AW9" i="18"/>
  <c r="AE9" i="18"/>
  <c r="BA8" i="18"/>
  <c r="AS8" i="18"/>
  <c r="AI8" i="18"/>
  <c r="AW7" i="18"/>
  <c r="AE7" i="18"/>
  <c r="BA6" i="18"/>
  <c r="AS6" i="18"/>
  <c r="AI6" i="18"/>
  <c r="AX5" i="18"/>
  <c r="AF5" i="18"/>
  <c r="BB4" i="18"/>
  <c r="AT4" i="18"/>
  <c r="AJ4" i="18"/>
  <c r="AB4" i="18"/>
  <c r="AO4" i="18" s="1"/>
  <c r="AX3" i="18"/>
  <c r="AF3" i="18"/>
  <c r="AV25" i="18"/>
  <c r="AD25" i="18"/>
  <c r="AR24" i="18"/>
  <c r="BE24" i="18" s="1"/>
  <c r="AK23" i="18"/>
  <c r="AY22" i="18"/>
  <c r="AE22" i="18"/>
  <c r="AH20" i="18"/>
  <c r="AS19" i="18"/>
  <c r="AV17" i="18"/>
  <c r="AD17" i="18"/>
  <c r="AR16" i="18"/>
  <c r="BE16" i="18" s="1"/>
  <c r="AK15" i="18"/>
  <c r="AY14" i="18"/>
  <c r="AE14" i="18"/>
  <c r="AR12" i="18"/>
  <c r="BE12" i="18" s="1"/>
  <c r="AH12" i="18"/>
  <c r="AV11" i="18"/>
  <c r="AL11" i="18"/>
  <c r="AD11" i="18"/>
  <c r="AZ10" i="18"/>
  <c r="AR10" i="18"/>
  <c r="BE10" i="18" s="1"/>
  <c r="AH10" i="18"/>
  <c r="AV9" i="18"/>
  <c r="AL9" i="18"/>
  <c r="AD9" i="18"/>
  <c r="AZ8" i="18"/>
  <c r="AR8" i="18"/>
  <c r="BE8" i="18" s="1"/>
  <c r="AH8" i="18"/>
  <c r="AV7" i="18"/>
  <c r="AL7" i="18"/>
  <c r="AD7" i="18"/>
  <c r="AZ6" i="18"/>
  <c r="AR6" i="18"/>
  <c r="BE6" i="18" s="1"/>
  <c r="AH6" i="18"/>
  <c r="AW5" i="18"/>
  <c r="AE5" i="18"/>
  <c r="BA4" i="18"/>
  <c r="AS4" i="18"/>
  <c r="AI4" i="18"/>
  <c r="AW3" i="18"/>
  <c r="AE3" i="18"/>
  <c r="AU25" i="18"/>
  <c r="AC25" i="18"/>
  <c r="BA23" i="18"/>
  <c r="AI23" i="18"/>
  <c r="AW22" i="18"/>
  <c r="AL21" i="18"/>
  <c r="AZ20" i="18"/>
  <c r="AG20" i="18"/>
  <c r="AU17" i="18"/>
  <c r="AC17" i="18"/>
  <c r="BA15" i="18"/>
  <c r="AI15" i="18"/>
  <c r="AW14" i="18"/>
  <c r="AL13" i="18"/>
  <c r="BB12" i="18"/>
  <c r="AG12" i="18"/>
  <c r="AU11" i="18"/>
  <c r="AK11" i="18"/>
  <c r="AC11" i="18"/>
  <c r="AY10" i="18"/>
  <c r="AG10" i="18"/>
  <c r="AU9" i="18"/>
  <c r="AK9" i="18"/>
  <c r="AC9" i="18"/>
  <c r="AY8" i="18"/>
  <c r="AG8" i="18"/>
  <c r="AU7" i="18"/>
  <c r="AK7" i="18"/>
  <c r="AC7" i="18"/>
  <c r="AY6" i="18"/>
  <c r="AG6" i="18"/>
  <c r="AV5" i="18"/>
  <c r="AL5" i="18"/>
  <c r="AD5" i="18"/>
  <c r="AZ4" i="18"/>
  <c r="AR4" i="18"/>
  <c r="BE4" i="18" s="1"/>
  <c r="AH4" i="18"/>
  <c r="AV3" i="18"/>
  <c r="AL3" i="18"/>
  <c r="AD3" i="18"/>
  <c r="AH26" i="18"/>
  <c r="AS25" i="18"/>
  <c r="AV23" i="18"/>
  <c r="AD23" i="18"/>
  <c r="AR22" i="18"/>
  <c r="BE22" i="18" s="1"/>
  <c r="AK21" i="18"/>
  <c r="AY20" i="18"/>
  <c r="AE20" i="18"/>
  <c r="AH18" i="18"/>
  <c r="AS17" i="18"/>
  <c r="AV15" i="18"/>
  <c r="AD15" i="18"/>
  <c r="AR14" i="18"/>
  <c r="BE14" i="18" s="1"/>
  <c r="AK13" i="18"/>
  <c r="AZ12" i="18"/>
  <c r="AF12" i="18"/>
  <c r="BB11" i="18"/>
  <c r="AT11" i="18"/>
  <c r="AJ11" i="18"/>
  <c r="AB11" i="18"/>
  <c r="AO11" i="18" s="1"/>
  <c r="AX10" i="18"/>
  <c r="AF10" i="18"/>
  <c r="BB9" i="18"/>
  <c r="AT9" i="18"/>
  <c r="AJ9" i="18"/>
  <c r="AB9" i="18"/>
  <c r="AO9" i="18" s="1"/>
  <c r="AX8" i="18"/>
  <c r="AF8" i="18"/>
  <c r="BB7" i="18"/>
  <c r="AT7" i="18"/>
  <c r="AJ7" i="18"/>
  <c r="AB7" i="18"/>
  <c r="AO7" i="18" s="1"/>
  <c r="AX6" i="18"/>
  <c r="AF6" i="18"/>
  <c r="AU5" i="18"/>
  <c r="AK5" i="18"/>
  <c r="AC5" i="18"/>
  <c r="AY4" i="18"/>
  <c r="AG4" i="18"/>
  <c r="AU3" i="18"/>
  <c r="AK3" i="18"/>
  <c r="AC3" i="18"/>
  <c r="AD21" i="18"/>
  <c r="AY18" i="18"/>
  <c r="AU15" i="18"/>
  <c r="AS11" i="18"/>
  <c r="AI9" i="18"/>
  <c r="AS7" i="18"/>
  <c r="AW4" i="18"/>
  <c r="BA3" i="18"/>
  <c r="AG26" i="18"/>
  <c r="AS15" i="18"/>
  <c r="AI13" i="18"/>
  <c r="AL12" i="18"/>
  <c r="AR11" i="18"/>
  <c r="BE11" i="18" s="1"/>
  <c r="AW10" i="18"/>
  <c r="AH9" i="18"/>
  <c r="AL8" i="18"/>
  <c r="AR7" i="18"/>
  <c r="BE7" i="18" s="1"/>
  <c r="AW6" i="18"/>
  <c r="AJ5" i="18"/>
  <c r="AT3" i="18"/>
  <c r="AE26" i="18"/>
  <c r="AC23" i="18"/>
  <c r="AD13" i="18"/>
  <c r="AE12" i="18"/>
  <c r="AV10" i="18"/>
  <c r="BA9" i="18"/>
  <c r="AE8" i="18"/>
  <c r="AV6" i="18"/>
  <c r="AI5" i="18"/>
  <c r="AS3" i="18"/>
  <c r="AH24" i="18"/>
  <c r="BA21" i="18"/>
  <c r="AW20" i="18"/>
  <c r="AL19" i="18"/>
  <c r="AG18" i="18"/>
  <c r="AD12" i="18"/>
  <c r="AZ9" i="18"/>
  <c r="AD8" i="18"/>
  <c r="BB5" i="18"/>
  <c r="AB5" i="18"/>
  <c r="AO5" i="18" s="1"/>
  <c r="AF4" i="18"/>
  <c r="AV21" i="18"/>
  <c r="AR20" i="18"/>
  <c r="BE20" i="18" s="1"/>
  <c r="AK19" i="18"/>
  <c r="AE18" i="18"/>
  <c r="AC15" i="18"/>
  <c r="AI11" i="18"/>
  <c r="AS9" i="18"/>
  <c r="AI7" i="18"/>
  <c r="BA5" i="18"/>
  <c r="AE4" i="18"/>
  <c r="AY26" i="18"/>
  <c r="AU23" i="18"/>
  <c r="AV13" i="18"/>
  <c r="AX12" i="18"/>
  <c r="BA11" i="18"/>
  <c r="AE10" i="18"/>
  <c r="AV8" i="18"/>
  <c r="BA7" i="18"/>
  <c r="AE6" i="18"/>
  <c r="AS5" i="18"/>
  <c r="AI3" i="18"/>
  <c r="AS23" i="18"/>
  <c r="AI21" i="18"/>
  <c r="AZ18" i="18"/>
  <c r="AZ11" i="18"/>
  <c r="AD10" i="18"/>
  <c r="AZ7" i="18"/>
  <c r="AD6" i="18"/>
  <c r="AX4" i="18"/>
  <c r="BB3" i="18"/>
  <c r="AB3" i="18"/>
  <c r="AO3" i="18" s="1"/>
  <c r="AZ26" i="18"/>
  <c r="AL10" i="18"/>
  <c r="AW8" i="18"/>
  <c r="AT5" i="18"/>
  <c r="AH16" i="18"/>
  <c r="AH11" i="18"/>
  <c r="AR9" i="18"/>
  <c r="BE9" i="18" s="1"/>
  <c r="AJ3" i="18"/>
  <c r="AY12" i="18"/>
  <c r="AL6" i="18"/>
  <c r="BA13" i="18"/>
  <c r="AH7" i="18"/>
  <c r="BJ128" i="5"/>
  <c r="D185" i="15"/>
  <c r="D97" i="15"/>
  <c r="B454" i="15" s="1"/>
  <c r="D11" i="15"/>
  <c r="BJ125" i="5"/>
  <c r="D182" i="15"/>
  <c r="D94" i="15"/>
  <c r="B451" i="15" s="1"/>
  <c r="D8" i="15"/>
  <c r="BJ130" i="5"/>
  <c r="D187" i="15"/>
  <c r="D99" i="15"/>
  <c r="B456" i="15" s="1"/>
  <c r="D13" i="15"/>
  <c r="BJ144" i="5"/>
  <c r="D201" i="15"/>
  <c r="D113" i="15"/>
  <c r="B470" i="15" s="1"/>
  <c r="D27" i="15"/>
  <c r="BJ131" i="5"/>
  <c r="D188" i="15"/>
  <c r="D100" i="15"/>
  <c r="B457" i="15" s="1"/>
  <c r="D14" i="15"/>
  <c r="BJ145" i="5"/>
  <c r="D202" i="15"/>
  <c r="D28" i="15"/>
  <c r="D114" i="15"/>
  <c r="B471" i="15" s="1"/>
  <c r="AZ26" i="21"/>
  <c r="AR26" i="21"/>
  <c r="BE26" i="21" s="1"/>
  <c r="AH26" i="21"/>
  <c r="AV25" i="21"/>
  <c r="AL25" i="21"/>
  <c r="AD25" i="21"/>
  <c r="AZ24" i="21"/>
  <c r="AR24" i="21"/>
  <c r="BE24" i="21" s="1"/>
  <c r="AH24" i="21"/>
  <c r="AV23" i="21"/>
  <c r="AL23" i="21"/>
  <c r="AD23" i="21"/>
  <c r="AZ22" i="21"/>
  <c r="AY26" i="21"/>
  <c r="AG26" i="21"/>
  <c r="AU25" i="21"/>
  <c r="AK25" i="21"/>
  <c r="AC25" i="21"/>
  <c r="AY24" i="21"/>
  <c r="AG24" i="21"/>
  <c r="AX26" i="21"/>
  <c r="AF26" i="21"/>
  <c r="BB25" i="21"/>
  <c r="AT25" i="21"/>
  <c r="AJ25" i="21"/>
  <c r="AB25" i="21"/>
  <c r="AO25" i="21" s="1"/>
  <c r="AX24" i="21"/>
  <c r="AF24" i="21"/>
  <c r="AU26" i="21"/>
  <c r="AK26" i="21"/>
  <c r="AC26" i="21"/>
  <c r="AY25" i="21"/>
  <c r="AG25" i="21"/>
  <c r="AU24" i="21"/>
  <c r="AK24" i="21"/>
  <c r="AC24" i="21"/>
  <c r="AY23" i="21"/>
  <c r="AG23" i="21"/>
  <c r="AU22" i="21"/>
  <c r="AT23" i="21"/>
  <c r="AH23" i="21"/>
  <c r="BB22" i="21"/>
  <c r="AR22" i="21"/>
  <c r="BE22" i="21" s="1"/>
  <c r="AH22" i="21"/>
  <c r="AV21" i="21"/>
  <c r="AL21" i="21"/>
  <c r="AD21" i="21"/>
  <c r="AZ20" i="21"/>
  <c r="AR20" i="21"/>
  <c r="BE20" i="21" s="1"/>
  <c r="AH20" i="21"/>
  <c r="AV19" i="21"/>
  <c r="AL19" i="21"/>
  <c r="AD19" i="21"/>
  <c r="AZ18" i="21"/>
  <c r="BA26" i="21"/>
  <c r="AJ26" i="21"/>
  <c r="BA25" i="21"/>
  <c r="AI25" i="21"/>
  <c r="BA24" i="21"/>
  <c r="AJ24" i="21"/>
  <c r="BB23" i="21"/>
  <c r="AR23" i="21"/>
  <c r="BE23" i="21" s="1"/>
  <c r="AE23" i="21"/>
  <c r="AY22" i="21"/>
  <c r="AF22" i="21"/>
  <c r="BB21" i="21"/>
  <c r="AT21" i="21"/>
  <c r="AJ21" i="21"/>
  <c r="AB21" i="21"/>
  <c r="AO21" i="21" s="1"/>
  <c r="AX20" i="21"/>
  <c r="AF20" i="21"/>
  <c r="BB19" i="21"/>
  <c r="AT19" i="21"/>
  <c r="AJ19" i="21"/>
  <c r="AB19" i="21"/>
  <c r="AO19" i="21" s="1"/>
  <c r="AX18" i="21"/>
  <c r="AF18" i="21"/>
  <c r="BB17" i="21"/>
  <c r="AT17" i="21"/>
  <c r="AJ17" i="21"/>
  <c r="AB17" i="21"/>
  <c r="AO17" i="21" s="1"/>
  <c r="AX16" i="21"/>
  <c r="AF16" i="21"/>
  <c r="BB15" i="21"/>
  <c r="AT15" i="21"/>
  <c r="AJ15" i="21"/>
  <c r="AB15" i="21"/>
  <c r="AO15" i="21" s="1"/>
  <c r="AX14" i="21"/>
  <c r="AF14" i="21"/>
  <c r="BB13" i="21"/>
  <c r="AT13" i="21"/>
  <c r="AJ13" i="21"/>
  <c r="AB13" i="21"/>
  <c r="AO13" i="21" s="1"/>
  <c r="AX12" i="21"/>
  <c r="AF12" i="21"/>
  <c r="BB11" i="21"/>
  <c r="AT11" i="21"/>
  <c r="AJ11" i="21"/>
  <c r="AB11" i="21"/>
  <c r="AO11" i="21" s="1"/>
  <c r="AX10" i="21"/>
  <c r="AF10" i="21"/>
  <c r="BB9" i="21"/>
  <c r="AT9" i="21"/>
  <c r="AJ9" i="21"/>
  <c r="AB9" i="21"/>
  <c r="AO9" i="21" s="1"/>
  <c r="AT26" i="21"/>
  <c r="AD26" i="21"/>
  <c r="AW25" i="21"/>
  <c r="AE25" i="21"/>
  <c r="AT24" i="21"/>
  <c r="AD24" i="21"/>
  <c r="AX23" i="21"/>
  <c r="AK23" i="21"/>
  <c r="AV22" i="21"/>
  <c r="AK22" i="21"/>
  <c r="AC22" i="21"/>
  <c r="AY21" i="21"/>
  <c r="AG21" i="21"/>
  <c r="AU20" i="21"/>
  <c r="AK20" i="21"/>
  <c r="AC20" i="21"/>
  <c r="AY19" i="21"/>
  <c r="AG19" i="21"/>
  <c r="AU18" i="21"/>
  <c r="AK18" i="21"/>
  <c r="AC18" i="21"/>
  <c r="AY17" i="21"/>
  <c r="AG17" i="21"/>
  <c r="AU16" i="21"/>
  <c r="AK16" i="21"/>
  <c r="AC16" i="21"/>
  <c r="AY15" i="21"/>
  <c r="AG15" i="21"/>
  <c r="AU14" i="21"/>
  <c r="AK14" i="21"/>
  <c r="AC14" i="21"/>
  <c r="AY13" i="21"/>
  <c r="AG13" i="21"/>
  <c r="AU12" i="21"/>
  <c r="AK12" i="21"/>
  <c r="AC12" i="21"/>
  <c r="AY11" i="21"/>
  <c r="AG11" i="21"/>
  <c r="AU10" i="21"/>
  <c r="AK10" i="21"/>
  <c r="AC10" i="21"/>
  <c r="AY9" i="21"/>
  <c r="AG9" i="21"/>
  <c r="AU8" i="21"/>
  <c r="AK8" i="21"/>
  <c r="AC8" i="21"/>
  <c r="AY7" i="21"/>
  <c r="AG7" i="21"/>
  <c r="AU6" i="21"/>
  <c r="AK6" i="21"/>
  <c r="AC6" i="21"/>
  <c r="AZ5" i="21"/>
  <c r="AR5" i="21"/>
  <c r="BE5" i="21" s="1"/>
  <c r="AH5" i="21"/>
  <c r="AV4" i="21"/>
  <c r="AW26" i="21"/>
  <c r="AB26" i="21"/>
  <c r="AO26" i="21" s="1"/>
  <c r="AW24" i="21"/>
  <c r="AB24" i="21"/>
  <c r="AO24" i="21" s="1"/>
  <c r="AS23" i="21"/>
  <c r="AB22" i="21"/>
  <c r="AO22" i="21" s="1"/>
  <c r="AU21" i="21"/>
  <c r="AF21" i="21"/>
  <c r="AY20" i="21"/>
  <c r="AL20" i="21"/>
  <c r="AR19" i="21"/>
  <c r="BE19" i="21" s="1"/>
  <c r="AC19" i="21"/>
  <c r="AV18" i="21"/>
  <c r="AJ18" i="21"/>
  <c r="AS17" i="21"/>
  <c r="AF17" i="21"/>
  <c r="BA16" i="21"/>
  <c r="AE16" i="21"/>
  <c r="AX15" i="21"/>
  <c r="AL15" i="21"/>
  <c r="AV14" i="21"/>
  <c r="AJ14" i="21"/>
  <c r="AS13" i="21"/>
  <c r="AF13" i="21"/>
  <c r="BA12" i="21"/>
  <c r="AE12" i="21"/>
  <c r="AX11" i="21"/>
  <c r="AL11" i="21"/>
  <c r="AV10" i="21"/>
  <c r="AJ10" i="21"/>
  <c r="AS9" i="21"/>
  <c r="AF9" i="21"/>
  <c r="BA8" i="21"/>
  <c r="AR8" i="21"/>
  <c r="BE8" i="21" s="1"/>
  <c r="AG8" i="21"/>
  <c r="BB7" i="21"/>
  <c r="AS7" i="21"/>
  <c r="AH7" i="21"/>
  <c r="AT6" i="21"/>
  <c r="AI6" i="21"/>
  <c r="AV5" i="21"/>
  <c r="AK5" i="21"/>
  <c r="AB5" i="21"/>
  <c r="AO5" i="21" s="1"/>
  <c r="AX4" i="21"/>
  <c r="AE4" i="21"/>
  <c r="BA3" i="21"/>
  <c r="AS3" i="21"/>
  <c r="AI3" i="21"/>
  <c r="AV26" i="21"/>
  <c r="AV24" i="21"/>
  <c r="AS21" i="21"/>
  <c r="AE21" i="21"/>
  <c r="AW20" i="21"/>
  <c r="AJ20" i="21"/>
  <c r="AT18" i="21"/>
  <c r="AI18" i="21"/>
  <c r="AR17" i="21"/>
  <c r="BE17" i="21" s="1"/>
  <c r="AE17" i="21"/>
  <c r="AZ16" i="21"/>
  <c r="AD16" i="21"/>
  <c r="AW15" i="21"/>
  <c r="AK15" i="21"/>
  <c r="AT14" i="21"/>
  <c r="AI14" i="21"/>
  <c r="AR13" i="21"/>
  <c r="BE13" i="21" s="1"/>
  <c r="AE13" i="21"/>
  <c r="AZ12" i="21"/>
  <c r="AD12" i="21"/>
  <c r="AW11" i="21"/>
  <c r="AK11" i="21"/>
  <c r="AT10" i="21"/>
  <c r="AI10" i="21"/>
  <c r="AR9" i="21"/>
  <c r="BE9" i="21" s="1"/>
  <c r="AE9" i="21"/>
  <c r="AZ8" i="21"/>
  <c r="AS26" i="21"/>
  <c r="AH25" i="21"/>
  <c r="AS24" i="21"/>
  <c r="BA22" i="21"/>
  <c r="AL22" i="21"/>
  <c r="AR21" i="21"/>
  <c r="BE21" i="21" s="1"/>
  <c r="AC21" i="21"/>
  <c r="AV20" i="21"/>
  <c r="AI20" i="21"/>
  <c r="BA19" i="21"/>
  <c r="AS18" i="21"/>
  <c r="AH18" i="21"/>
  <c r="BA17" i="21"/>
  <c r="AD17" i="21"/>
  <c r="AY16" i="21"/>
  <c r="AB16" i="21"/>
  <c r="AO16" i="21" s="1"/>
  <c r="AV15" i="21"/>
  <c r="AI15" i="21"/>
  <c r="AS14" i="21"/>
  <c r="AH14" i="21"/>
  <c r="BA13" i="21"/>
  <c r="AD13" i="21"/>
  <c r="AY12" i="21"/>
  <c r="AB12" i="21"/>
  <c r="AO12" i="21" s="1"/>
  <c r="AV11" i="21"/>
  <c r="AI11" i="21"/>
  <c r="AS10" i="21"/>
  <c r="AH10" i="21"/>
  <c r="BA9" i="21"/>
  <c r="AD9" i="21"/>
  <c r="AY8" i="21"/>
  <c r="AE8" i="21"/>
  <c r="AZ7" i="21"/>
  <c r="AE7" i="21"/>
  <c r="BA6" i="21"/>
  <c r="AR6" i="21"/>
  <c r="BE6" i="21" s="1"/>
  <c r="AG6" i="21"/>
  <c r="AT5" i="21"/>
  <c r="AI5" i="21"/>
  <c r="AU4" i="21"/>
  <c r="AK4" i="21"/>
  <c r="AC4" i="21"/>
  <c r="AY3" i="21"/>
  <c r="AG3" i="21"/>
  <c r="AF25" i="21"/>
  <c r="AJ23" i="21"/>
  <c r="AX22" i="21"/>
  <c r="AJ22" i="21"/>
  <c r="AT20" i="21"/>
  <c r="AG20" i="21"/>
  <c r="AZ19" i="21"/>
  <c r="AK19" i="21"/>
  <c r="AR18" i="21"/>
  <c r="BE18" i="21" s="1"/>
  <c r="AG18" i="21"/>
  <c r="AZ17" i="21"/>
  <c r="AC17" i="21"/>
  <c r="AW16" i="21"/>
  <c r="AL16" i="21"/>
  <c r="AU15" i="21"/>
  <c r="AH15" i="21"/>
  <c r="BB14" i="21"/>
  <c r="AR14" i="21"/>
  <c r="BE14" i="21" s="1"/>
  <c r="AG14" i="21"/>
  <c r="AZ13" i="21"/>
  <c r="AC13" i="21"/>
  <c r="AW12" i="21"/>
  <c r="AL12" i="21"/>
  <c r="AU11" i="21"/>
  <c r="AH11" i="21"/>
  <c r="BB10" i="21"/>
  <c r="AR10" i="21"/>
  <c r="BE10" i="21" s="1"/>
  <c r="AG10" i="21"/>
  <c r="AZ9" i="21"/>
  <c r="AC9" i="21"/>
  <c r="AX8" i="21"/>
  <c r="AD8" i="21"/>
  <c r="AX7" i="21"/>
  <c r="AD7" i="21"/>
  <c r="AZ6" i="21"/>
  <c r="AF6" i="21"/>
  <c r="BB5" i="21"/>
  <c r="AS5" i="21"/>
  <c r="AG5" i="21"/>
  <c r="AT4" i="21"/>
  <c r="AJ4" i="21"/>
  <c r="AB4" i="21"/>
  <c r="AO4" i="21" s="1"/>
  <c r="AX3" i="21"/>
  <c r="AF3" i="21"/>
  <c r="AZ25" i="21"/>
  <c r="BA23" i="21"/>
  <c r="AI23" i="21"/>
  <c r="AW22" i="21"/>
  <c r="AI22" i="21"/>
  <c r="BA21" i="21"/>
  <c r="AS20" i="21"/>
  <c r="AE20" i="21"/>
  <c r="AX19" i="21"/>
  <c r="AI19" i="21"/>
  <c r="BB18" i="21"/>
  <c r="AE18" i="21"/>
  <c r="AX17" i="21"/>
  <c r="AL17" i="21"/>
  <c r="AV16" i="21"/>
  <c r="AJ16" i="21"/>
  <c r="AS15" i="21"/>
  <c r="AF15" i="21"/>
  <c r="BA14" i="21"/>
  <c r="AE14" i="21"/>
  <c r="AX13" i="21"/>
  <c r="AL13" i="21"/>
  <c r="AV12" i="21"/>
  <c r="AJ12" i="21"/>
  <c r="AS11" i="21"/>
  <c r="AF11" i="21"/>
  <c r="BA10" i="21"/>
  <c r="AE10" i="21"/>
  <c r="AX9" i="21"/>
  <c r="AL9" i="21"/>
  <c r="AW8" i="21"/>
  <c r="AL8" i="21"/>
  <c r="AB8" i="21"/>
  <c r="AO8" i="21" s="1"/>
  <c r="AW7" i="21"/>
  <c r="AL7" i="21"/>
  <c r="AC7" i="21"/>
  <c r="AY6" i="21"/>
  <c r="AE6" i="21"/>
  <c r="BA5" i="21"/>
  <c r="AF5" i="21"/>
  <c r="BB4" i="21"/>
  <c r="AS4" i="21"/>
  <c r="AI4" i="21"/>
  <c r="AW3" i="21"/>
  <c r="AE3" i="21"/>
  <c r="AL26" i="21"/>
  <c r="AX25" i="21"/>
  <c r="AL24" i="21"/>
  <c r="AZ23" i="21"/>
  <c r="AF23" i="21"/>
  <c r="AT22" i="21"/>
  <c r="AG22" i="21"/>
  <c r="AZ21" i="21"/>
  <c r="AK21" i="21"/>
  <c r="AD20" i="21"/>
  <c r="AW19" i="21"/>
  <c r="AH19" i="21"/>
  <c r="BA18" i="21"/>
  <c r="AD18" i="21"/>
  <c r="AW17" i="21"/>
  <c r="AK17" i="21"/>
  <c r="AT16" i="21"/>
  <c r="AI16" i="21"/>
  <c r="AR15" i="21"/>
  <c r="BE15" i="21" s="1"/>
  <c r="AE15" i="21"/>
  <c r="AZ14" i="21"/>
  <c r="AD14" i="21"/>
  <c r="AW13" i="21"/>
  <c r="AK13" i="21"/>
  <c r="AT12" i="21"/>
  <c r="AI12" i="21"/>
  <c r="AR11" i="21"/>
  <c r="BE11" i="21" s="1"/>
  <c r="AE11" i="21"/>
  <c r="AZ10" i="21"/>
  <c r="AD10" i="21"/>
  <c r="AW9" i="21"/>
  <c r="AK9" i="21"/>
  <c r="AV8" i="21"/>
  <c r="AJ8" i="21"/>
  <c r="AV7" i="21"/>
  <c r="AK7" i="21"/>
  <c r="AB7" i="21"/>
  <c r="AO7" i="21" s="1"/>
  <c r="AX6" i="21"/>
  <c r="AD6" i="21"/>
  <c r="AY5" i="21"/>
  <c r="AE5" i="21"/>
  <c r="BA4" i="21"/>
  <c r="AR4" i="21"/>
  <c r="BE4" i="21" s="1"/>
  <c r="AH4" i="21"/>
  <c r="AV3" i="21"/>
  <c r="AL3" i="21"/>
  <c r="AD3" i="21"/>
  <c r="BB26" i="21"/>
  <c r="AR25" i="21"/>
  <c r="BE25" i="21" s="1"/>
  <c r="AI24" i="21"/>
  <c r="AC23" i="21"/>
  <c r="AE22" i="21"/>
  <c r="AI21" i="21"/>
  <c r="AB20" i="21"/>
  <c r="AO20" i="21" s="1"/>
  <c r="AF19" i="21"/>
  <c r="AL18" i="21"/>
  <c r="AU13" i="21"/>
  <c r="AS12" i="21"/>
  <c r="BA11" i="21"/>
  <c r="AY10" i="21"/>
  <c r="AH8" i="21"/>
  <c r="BB6" i="21"/>
  <c r="AH6" i="21"/>
  <c r="AG4" i="21"/>
  <c r="AT3" i="21"/>
  <c r="AB3" i="21"/>
  <c r="AO3" i="21" s="1"/>
  <c r="AE24" i="21"/>
  <c r="AB23" i="21"/>
  <c r="AO23" i="21" s="1"/>
  <c r="AD22" i="21"/>
  <c r="AH21" i="21"/>
  <c r="AE19" i="21"/>
  <c r="AB18" i="21"/>
  <c r="AO18" i="21" s="1"/>
  <c r="AI17" i="21"/>
  <c r="AR12" i="21"/>
  <c r="BE12" i="21" s="1"/>
  <c r="AZ11" i="21"/>
  <c r="AW10" i="21"/>
  <c r="AV9" i="21"/>
  <c r="BB8" i="21"/>
  <c r="AF8" i="21"/>
  <c r="AW6" i="21"/>
  <c r="AB6" i="21"/>
  <c r="AO6" i="21" s="1"/>
  <c r="AZ4" i="21"/>
  <c r="AF4" i="21"/>
  <c r="AR3" i="21"/>
  <c r="BE3" i="21" s="1"/>
  <c r="AH17" i="21"/>
  <c r="AH16" i="21"/>
  <c r="AD15" i="21"/>
  <c r="AL14" i="21"/>
  <c r="AU9" i="21"/>
  <c r="AT8" i="21"/>
  <c r="AJ7" i="21"/>
  <c r="AV6" i="21"/>
  <c r="AL5" i="21"/>
  <c r="AY4" i="21"/>
  <c r="AD4" i="21"/>
  <c r="AI26" i="21"/>
  <c r="AG16" i="21"/>
  <c r="AC15" i="21"/>
  <c r="AB14" i="21"/>
  <c r="AO14" i="21" s="1"/>
  <c r="AI13" i="21"/>
  <c r="AS8" i="21"/>
  <c r="AI7" i="21"/>
  <c r="AS6" i="21"/>
  <c r="AJ5" i="21"/>
  <c r="AW4" i="21"/>
  <c r="AE26" i="21"/>
  <c r="AW23" i="21"/>
  <c r="AS22" i="21"/>
  <c r="AX21" i="21"/>
  <c r="BB20" i="21"/>
  <c r="AU19" i="21"/>
  <c r="AY18" i="21"/>
  <c r="AH13" i="21"/>
  <c r="AH12" i="21"/>
  <c r="AD11" i="21"/>
  <c r="AL10" i="21"/>
  <c r="BA7" i="21"/>
  <c r="AF7" i="21"/>
  <c r="AD5" i="21"/>
  <c r="AK3" i="21"/>
  <c r="BB24" i="21"/>
  <c r="AU23" i="21"/>
  <c r="AW21" i="21"/>
  <c r="BA20" i="21"/>
  <c r="AS19" i="21"/>
  <c r="AW18" i="21"/>
  <c r="AV17" i="21"/>
  <c r="BB16" i="21"/>
  <c r="AG12" i="21"/>
  <c r="AC11" i="21"/>
  <c r="AB10" i="21"/>
  <c r="AO10" i="21" s="1"/>
  <c r="AI9" i="21"/>
  <c r="AU7" i="21"/>
  <c r="AX5" i="21"/>
  <c r="AC5" i="21"/>
  <c r="BB3" i="21"/>
  <c r="AJ3" i="21"/>
  <c r="AU17" i="21"/>
  <c r="AS16" i="21"/>
  <c r="BA15" i="21"/>
  <c r="AY14" i="21"/>
  <c r="AH9" i="21"/>
  <c r="AT7" i="21"/>
  <c r="AL6" i="21"/>
  <c r="AW5" i="21"/>
  <c r="AZ3" i="21"/>
  <c r="AH3" i="21"/>
  <c r="AJ6" i="21"/>
  <c r="AW14" i="21"/>
  <c r="AR7" i="21"/>
  <c r="BE7" i="21" s="1"/>
  <c r="AC3" i="21"/>
  <c r="AS25" i="21"/>
  <c r="BB12" i="21"/>
  <c r="AL4" i="21"/>
  <c r="AZ15" i="21"/>
  <c r="AU5" i="21"/>
  <c r="AV13" i="21"/>
  <c r="AI8" i="21"/>
  <c r="AU3" i="21"/>
  <c r="AR16" i="21"/>
  <c r="BE16" i="21" s="1"/>
  <c r="BJ123" i="5"/>
  <c r="D92" i="15"/>
  <c r="B449" i="15" s="1"/>
  <c r="D180" i="15"/>
  <c r="D6" i="15"/>
  <c r="BJ141" i="5"/>
  <c r="D198" i="15"/>
  <c r="D110" i="15"/>
  <c r="B467" i="15" s="1"/>
  <c r="D24" i="15"/>
  <c r="BJ129" i="5"/>
  <c r="D186" i="15"/>
  <c r="D98" i="15"/>
  <c r="B455" i="15" s="1"/>
  <c r="D12" i="15"/>
  <c r="AZ26" i="19"/>
  <c r="AR26" i="19"/>
  <c r="BE26" i="19" s="1"/>
  <c r="AH26" i="19"/>
  <c r="AV25" i="19"/>
  <c r="AL25" i="19"/>
  <c r="AX26" i="19"/>
  <c r="AW26" i="19"/>
  <c r="AE26" i="19"/>
  <c r="BA25" i="19"/>
  <c r="AS25" i="19"/>
  <c r="AI25" i="19"/>
  <c r="AU26" i="19"/>
  <c r="AJ26" i="19"/>
  <c r="AT25" i="19"/>
  <c r="AG25" i="19"/>
  <c r="BB24" i="19"/>
  <c r="AT24" i="19"/>
  <c r="AJ24" i="19"/>
  <c r="AB24" i="19"/>
  <c r="AO24" i="19" s="1"/>
  <c r="AX23" i="19"/>
  <c r="AF23" i="19"/>
  <c r="BB22" i="19"/>
  <c r="AT22" i="19"/>
  <c r="AJ22" i="19"/>
  <c r="AB22" i="19"/>
  <c r="AO22" i="19" s="1"/>
  <c r="AX21" i="19"/>
  <c r="AF21" i="19"/>
  <c r="BB20" i="19"/>
  <c r="AT20" i="19"/>
  <c r="AJ20" i="19"/>
  <c r="AB20" i="19"/>
  <c r="AO20" i="19" s="1"/>
  <c r="AX19" i="19"/>
  <c r="AF19" i="19"/>
  <c r="BB18" i="19"/>
  <c r="AT18" i="19"/>
  <c r="AJ18" i="19"/>
  <c r="AB18" i="19"/>
  <c r="AO18" i="19" s="1"/>
  <c r="AX17" i="19"/>
  <c r="AF17" i="19"/>
  <c r="BB16" i="19"/>
  <c r="AT16" i="19"/>
  <c r="AJ16" i="19"/>
  <c r="AB16" i="19"/>
  <c r="AO16" i="19" s="1"/>
  <c r="AX15" i="19"/>
  <c r="AF15" i="19"/>
  <c r="BB14" i="19"/>
  <c r="AT14" i="19"/>
  <c r="AJ14" i="19"/>
  <c r="AB14" i="19"/>
  <c r="AO14" i="19" s="1"/>
  <c r="AX13" i="19"/>
  <c r="AF13" i="19"/>
  <c r="BB12" i="19"/>
  <c r="AT12" i="19"/>
  <c r="AJ12" i="19"/>
  <c r="AB12" i="19"/>
  <c r="AO12" i="19" s="1"/>
  <c r="AX11" i="19"/>
  <c r="AS26" i="19"/>
  <c r="AG26" i="19"/>
  <c r="BB25" i="19"/>
  <c r="AE25" i="19"/>
  <c r="AZ24" i="19"/>
  <c r="AR24" i="19"/>
  <c r="BE24" i="19" s="1"/>
  <c r="AH24" i="19"/>
  <c r="AV23" i="19"/>
  <c r="AL23" i="19"/>
  <c r="AD23" i="19"/>
  <c r="AZ22" i="19"/>
  <c r="AR22" i="19"/>
  <c r="BE22" i="19" s="1"/>
  <c r="AH22" i="19"/>
  <c r="AV21" i="19"/>
  <c r="AL21" i="19"/>
  <c r="AD21" i="19"/>
  <c r="AZ20" i="19"/>
  <c r="AR20" i="19"/>
  <c r="BE20" i="19" s="1"/>
  <c r="AH20" i="19"/>
  <c r="AV19" i="19"/>
  <c r="AL19" i="19"/>
  <c r="AD19" i="19"/>
  <c r="AZ18" i="19"/>
  <c r="AR18" i="19"/>
  <c r="BE18" i="19" s="1"/>
  <c r="AH18" i="19"/>
  <c r="AV17" i="19"/>
  <c r="AL17" i="19"/>
  <c r="AD17" i="19"/>
  <c r="AZ16" i="19"/>
  <c r="AR16" i="19"/>
  <c r="BE16" i="19" s="1"/>
  <c r="AH16" i="19"/>
  <c r="AV15" i="19"/>
  <c r="AL15" i="19"/>
  <c r="AD15" i="19"/>
  <c r="AZ14" i="19"/>
  <c r="AR14" i="19"/>
  <c r="BE14" i="19" s="1"/>
  <c r="AH14" i="19"/>
  <c r="AV13" i="19"/>
  <c r="AL13" i="19"/>
  <c r="AD13" i="19"/>
  <c r="AZ12" i="19"/>
  <c r="AR12" i="19"/>
  <c r="BE12" i="19" s="1"/>
  <c r="AH12" i="19"/>
  <c r="AV11" i="19"/>
  <c r="AL11" i="19"/>
  <c r="AD11" i="19"/>
  <c r="AZ10" i="19"/>
  <c r="AR10" i="19"/>
  <c r="BE10" i="19" s="1"/>
  <c r="AH10" i="19"/>
  <c r="AV9" i="19"/>
  <c r="AL9" i="19"/>
  <c r="AD9" i="19"/>
  <c r="AZ8" i="19"/>
  <c r="AR8" i="19"/>
  <c r="BE8" i="19" s="1"/>
  <c r="AH8" i="19"/>
  <c r="AV7" i="19"/>
  <c r="AL7" i="19"/>
  <c r="AD7" i="19"/>
  <c r="AZ6" i="19"/>
  <c r="AR6" i="19"/>
  <c r="BE6" i="19" s="1"/>
  <c r="AH6" i="19"/>
  <c r="AW5" i="19"/>
  <c r="AE5" i="19"/>
  <c r="BA4" i="19"/>
  <c r="AS4" i="19"/>
  <c r="AF26" i="19"/>
  <c r="AZ25" i="19"/>
  <c r="AD25" i="19"/>
  <c r="AY24" i="19"/>
  <c r="AG24" i="19"/>
  <c r="AU23" i="19"/>
  <c r="AK23" i="19"/>
  <c r="AC23" i="19"/>
  <c r="AY22" i="19"/>
  <c r="AG22" i="19"/>
  <c r="AU21" i="19"/>
  <c r="AK21" i="19"/>
  <c r="AC21" i="19"/>
  <c r="AY20" i="19"/>
  <c r="AG20" i="19"/>
  <c r="AU19" i="19"/>
  <c r="AK19" i="19"/>
  <c r="AC19" i="19"/>
  <c r="AY18" i="19"/>
  <c r="AG18" i="19"/>
  <c r="AU17" i="19"/>
  <c r="AK17" i="19"/>
  <c r="AC17" i="19"/>
  <c r="AY16" i="19"/>
  <c r="AG16" i="19"/>
  <c r="AU15" i="19"/>
  <c r="AK15" i="19"/>
  <c r="AC15" i="19"/>
  <c r="AY14" i="19"/>
  <c r="AG14" i="19"/>
  <c r="AU13" i="19"/>
  <c r="AK13" i="19"/>
  <c r="AC13" i="19"/>
  <c r="AY12" i="19"/>
  <c r="AG12" i="19"/>
  <c r="AU11" i="19"/>
  <c r="AK11" i="19"/>
  <c r="AC11" i="19"/>
  <c r="AY10" i="19"/>
  <c r="AG10" i="19"/>
  <c r="AU9" i="19"/>
  <c r="AK9" i="19"/>
  <c r="AC9" i="19"/>
  <c r="AY8" i="19"/>
  <c r="AG8" i="19"/>
  <c r="AU7" i="19"/>
  <c r="AK7" i="19"/>
  <c r="AC7" i="19"/>
  <c r="AY6" i="19"/>
  <c r="BB26" i="19"/>
  <c r="AD26" i="19"/>
  <c r="AY25" i="19"/>
  <c r="AC25" i="19"/>
  <c r="AX24" i="19"/>
  <c r="AF24" i="19"/>
  <c r="BB23" i="19"/>
  <c r="AT23" i="19"/>
  <c r="AJ23" i="19"/>
  <c r="AB23" i="19"/>
  <c r="AO23" i="19" s="1"/>
  <c r="AX22" i="19"/>
  <c r="AF22" i="19"/>
  <c r="BB21" i="19"/>
  <c r="AT21" i="19"/>
  <c r="AJ21" i="19"/>
  <c r="AB21" i="19"/>
  <c r="AO21" i="19" s="1"/>
  <c r="AX20" i="19"/>
  <c r="AF20" i="19"/>
  <c r="BB19" i="19"/>
  <c r="AT19" i="19"/>
  <c r="AJ19" i="19"/>
  <c r="AB19" i="19"/>
  <c r="AO19" i="19" s="1"/>
  <c r="AX18" i="19"/>
  <c r="AF18" i="19"/>
  <c r="BB17" i="19"/>
  <c r="AT17" i="19"/>
  <c r="AJ17" i="19"/>
  <c r="AB17" i="19"/>
  <c r="AO17" i="19" s="1"/>
  <c r="AX16" i="19"/>
  <c r="AF16" i="19"/>
  <c r="BB15" i="19"/>
  <c r="AT15" i="19"/>
  <c r="AJ15" i="19"/>
  <c r="BA26" i="19"/>
  <c r="AC26" i="19"/>
  <c r="AX25" i="19"/>
  <c r="AK25" i="19"/>
  <c r="AB25" i="19"/>
  <c r="AO25" i="19" s="1"/>
  <c r="AW24" i="19"/>
  <c r="AE24" i="19"/>
  <c r="BA23" i="19"/>
  <c r="AS23" i="19"/>
  <c r="AI23" i="19"/>
  <c r="AW22" i="19"/>
  <c r="AE22" i="19"/>
  <c r="BA21" i="19"/>
  <c r="AS21" i="19"/>
  <c r="AI21" i="19"/>
  <c r="AW20" i="19"/>
  <c r="AE20" i="19"/>
  <c r="BA19" i="19"/>
  <c r="AS19" i="19"/>
  <c r="AI19" i="19"/>
  <c r="AW18" i="19"/>
  <c r="AE18" i="19"/>
  <c r="BA17" i="19"/>
  <c r="AS17" i="19"/>
  <c r="AI17" i="19"/>
  <c r="AW16" i="19"/>
  <c r="AE16" i="19"/>
  <c r="BA15" i="19"/>
  <c r="AS15" i="19"/>
  <c r="AI15" i="19"/>
  <c r="AW14" i="19"/>
  <c r="AV26" i="19"/>
  <c r="AJ25" i="19"/>
  <c r="AS24" i="19"/>
  <c r="AV22" i="19"/>
  <c r="AD22" i="19"/>
  <c r="AR21" i="19"/>
  <c r="BE21" i="19" s="1"/>
  <c r="AK20" i="19"/>
  <c r="AY19" i="19"/>
  <c r="AE19" i="19"/>
  <c r="AH17" i="19"/>
  <c r="AS16" i="19"/>
  <c r="BA14" i="19"/>
  <c r="AK14" i="19"/>
  <c r="AR13" i="19"/>
  <c r="BE13" i="19" s="1"/>
  <c r="AE13" i="19"/>
  <c r="AV12" i="19"/>
  <c r="AF12" i="19"/>
  <c r="BA11" i="19"/>
  <c r="AB11" i="19"/>
  <c r="AO11" i="19" s="1"/>
  <c r="AV10" i="19"/>
  <c r="AJ10" i="19"/>
  <c r="AT9" i="19"/>
  <c r="AH9" i="19"/>
  <c r="BB8" i="19"/>
  <c r="AD8" i="19"/>
  <c r="AZ7" i="19"/>
  <c r="AB7" i="19"/>
  <c r="AO7" i="19" s="1"/>
  <c r="AV6" i="19"/>
  <c r="AJ6" i="19"/>
  <c r="AV5" i="19"/>
  <c r="AL5" i="19"/>
  <c r="AC5" i="19"/>
  <c r="AX4" i="19"/>
  <c r="AE4" i="19"/>
  <c r="BA3" i="19"/>
  <c r="AS3" i="19"/>
  <c r="AI3" i="19"/>
  <c r="AT26" i="19"/>
  <c r="AH25" i="19"/>
  <c r="AU22" i="19"/>
  <c r="AC22" i="19"/>
  <c r="BA20" i="19"/>
  <c r="AI20" i="19"/>
  <c r="AW19" i="19"/>
  <c r="AL18" i="19"/>
  <c r="AZ17" i="19"/>
  <c r="AG17" i="19"/>
  <c r="AX14" i="19"/>
  <c r="AI14" i="19"/>
  <c r="BB13" i="19"/>
  <c r="AB13" i="19"/>
  <c r="AO13" i="19" s="1"/>
  <c r="AU12" i="19"/>
  <c r="AE12" i="19"/>
  <c r="AZ11" i="19"/>
  <c r="AF25" i="19"/>
  <c r="AH23" i="19"/>
  <c r="AS22" i="19"/>
  <c r="AV20" i="19"/>
  <c r="AD20" i="19"/>
  <c r="AR19" i="19"/>
  <c r="BE19" i="19" s="1"/>
  <c r="AK18" i="19"/>
  <c r="AY17" i="19"/>
  <c r="AE17" i="19"/>
  <c r="AH15" i="19"/>
  <c r="AV14" i="19"/>
  <c r="AF14" i="19"/>
  <c r="BA13" i="19"/>
  <c r="AS12" i="19"/>
  <c r="AD12" i="19"/>
  <c r="AY11" i="19"/>
  <c r="AJ11" i="19"/>
  <c r="AT10" i="19"/>
  <c r="AF10" i="19"/>
  <c r="BB9" i="19"/>
  <c r="AR9" i="19"/>
  <c r="BE9" i="19" s="1"/>
  <c r="AF9" i="19"/>
  <c r="AX8" i="19"/>
  <c r="AL8" i="19"/>
  <c r="AB8" i="19"/>
  <c r="AO8" i="19" s="1"/>
  <c r="AX7" i="19"/>
  <c r="AJ7" i="19"/>
  <c r="AT6" i="19"/>
  <c r="AG6" i="19"/>
  <c r="AT5" i="19"/>
  <c r="AJ5" i="19"/>
  <c r="AV4" i="19"/>
  <c r="AK4" i="19"/>
  <c r="AC4" i="19"/>
  <c r="AY3" i="19"/>
  <c r="AG3" i="19"/>
  <c r="AW25" i="19"/>
  <c r="AL24" i="19"/>
  <c r="AZ23" i="19"/>
  <c r="AG23" i="19"/>
  <c r="AU20" i="19"/>
  <c r="AC20" i="19"/>
  <c r="BA18" i="19"/>
  <c r="AI18" i="19"/>
  <c r="AW17" i="19"/>
  <c r="AL16" i="19"/>
  <c r="AZ15" i="19"/>
  <c r="AG15" i="19"/>
  <c r="AU14" i="19"/>
  <c r="AE14" i="19"/>
  <c r="AZ13" i="19"/>
  <c r="AC12" i="19"/>
  <c r="AW11" i="19"/>
  <c r="AI11" i="19"/>
  <c r="AS10" i="19"/>
  <c r="AE10" i="19"/>
  <c r="BA9" i="19"/>
  <c r="AE9" i="19"/>
  <c r="AW8" i="19"/>
  <c r="AK8" i="19"/>
  <c r="AW7" i="19"/>
  <c r="AI7" i="19"/>
  <c r="AS6" i="19"/>
  <c r="AF6" i="19"/>
  <c r="BB5" i="19"/>
  <c r="AS5" i="19"/>
  <c r="AI5" i="19"/>
  <c r="AU4" i="19"/>
  <c r="AJ4" i="19"/>
  <c r="AB4" i="19"/>
  <c r="AO4" i="19" s="1"/>
  <c r="AX3" i="19"/>
  <c r="AF3" i="19"/>
  <c r="AL26" i="19"/>
  <c r="AU25" i="19"/>
  <c r="AK24" i="19"/>
  <c r="AY23" i="19"/>
  <c r="AE23" i="19"/>
  <c r="AH21" i="19"/>
  <c r="AS20" i="19"/>
  <c r="AV18" i="19"/>
  <c r="AD18" i="19"/>
  <c r="AR17" i="19"/>
  <c r="BE17" i="19" s="1"/>
  <c r="AK16" i="19"/>
  <c r="AY15" i="19"/>
  <c r="AE15" i="19"/>
  <c r="AS14" i="19"/>
  <c r="AD14" i="19"/>
  <c r="AY13" i="19"/>
  <c r="AJ13" i="19"/>
  <c r="AT11" i="19"/>
  <c r="AH11" i="19"/>
  <c r="BB10" i="19"/>
  <c r="AD10" i="19"/>
  <c r="AZ9" i="19"/>
  <c r="AB9" i="19"/>
  <c r="AO9" i="19" s="1"/>
  <c r="AV8" i="19"/>
  <c r="AJ8" i="19"/>
  <c r="AT7" i="19"/>
  <c r="AH7" i="19"/>
  <c r="BB6" i="19"/>
  <c r="AE6" i="19"/>
  <c r="BA5" i="19"/>
  <c r="AR5" i="19"/>
  <c r="BE5" i="19" s="1"/>
  <c r="AH5" i="19"/>
  <c r="AT4" i="19"/>
  <c r="AI4" i="19"/>
  <c r="AW3" i="19"/>
  <c r="AE3" i="19"/>
  <c r="AK26" i="19"/>
  <c r="AR25" i="19"/>
  <c r="BE25" i="19" s="1"/>
  <c r="BA24" i="19"/>
  <c r="AI24" i="19"/>
  <c r="AW23" i="19"/>
  <c r="AL22" i="19"/>
  <c r="AZ21" i="19"/>
  <c r="AG21" i="19"/>
  <c r="AU18" i="19"/>
  <c r="AC18" i="19"/>
  <c r="BA16" i="19"/>
  <c r="AI16" i="19"/>
  <c r="AW15" i="19"/>
  <c r="AB15" i="19"/>
  <c r="AO15" i="19" s="1"/>
  <c r="AC14" i="19"/>
  <c r="AW13" i="19"/>
  <c r="AI13" i="19"/>
  <c r="BA12" i="19"/>
  <c r="AL12" i="19"/>
  <c r="AS11" i="19"/>
  <c r="AG11" i="19"/>
  <c r="BA10" i="19"/>
  <c r="AC10" i="19"/>
  <c r="AY9" i="19"/>
  <c r="AU8" i="19"/>
  <c r="AI8" i="19"/>
  <c r="AS7" i="19"/>
  <c r="AG7" i="19"/>
  <c r="BA6" i="19"/>
  <c r="AD6" i="19"/>
  <c r="AZ5" i="19"/>
  <c r="AG5" i="19"/>
  <c r="BB4" i="19"/>
  <c r="AR4" i="19"/>
  <c r="BE4" i="19" s="1"/>
  <c r="AH4" i="19"/>
  <c r="AV3" i="19"/>
  <c r="AL3" i="19"/>
  <c r="AD3" i="19"/>
  <c r="AB26" i="19"/>
  <c r="AO26" i="19" s="1"/>
  <c r="AU24" i="19"/>
  <c r="AK22" i="19"/>
  <c r="AE21" i="19"/>
  <c r="AZ19" i="19"/>
  <c r="AW10" i="19"/>
  <c r="AJ9" i="19"/>
  <c r="BA7" i="19"/>
  <c r="AL6" i="19"/>
  <c r="AY5" i="19"/>
  <c r="AB5" i="19"/>
  <c r="AO5" i="19" s="1"/>
  <c r="AZ3" i="19"/>
  <c r="AH3" i="19"/>
  <c r="AI22" i="19"/>
  <c r="AV16" i="19"/>
  <c r="AR15" i="19"/>
  <c r="BE15" i="19" s="1"/>
  <c r="AL14" i="19"/>
  <c r="AH13" i="19"/>
  <c r="AK12" i="19"/>
  <c r="AU10" i="19"/>
  <c r="AI9" i="19"/>
  <c r="AY7" i="19"/>
  <c r="AK6" i="19"/>
  <c r="AX5" i="19"/>
  <c r="AL4" i="19"/>
  <c r="AU3" i="19"/>
  <c r="AC3" i="19"/>
  <c r="AU16" i="19"/>
  <c r="AG13" i="19"/>
  <c r="AI12" i="19"/>
  <c r="AF11" i="19"/>
  <c r="AG9" i="19"/>
  <c r="AF8" i="19"/>
  <c r="AR7" i="19"/>
  <c r="BE7" i="19" s="1"/>
  <c r="AI6" i="19"/>
  <c r="AU5" i="19"/>
  <c r="AG4" i="19"/>
  <c r="AT3" i="19"/>
  <c r="AB3" i="19"/>
  <c r="AO3" i="19" s="1"/>
  <c r="AD24" i="19"/>
  <c r="AH19" i="19"/>
  <c r="AE11" i="19"/>
  <c r="AX9" i="19"/>
  <c r="AE8" i="19"/>
  <c r="AX6" i="19"/>
  <c r="AC6" i="19"/>
  <c r="AZ4" i="19"/>
  <c r="AF4" i="19"/>
  <c r="AR3" i="19"/>
  <c r="BE3" i="19" s="1"/>
  <c r="AY26" i="19"/>
  <c r="AC24" i="19"/>
  <c r="AY21" i="19"/>
  <c r="AG19" i="19"/>
  <c r="AL10" i="19"/>
  <c r="AW9" i="19"/>
  <c r="AC8" i="19"/>
  <c r="AW6" i="19"/>
  <c r="AB6" i="19"/>
  <c r="AO6" i="19" s="1"/>
  <c r="AY4" i="19"/>
  <c r="AD4" i="19"/>
  <c r="BA22" i="19"/>
  <c r="AW21" i="19"/>
  <c r="AL20" i="19"/>
  <c r="AD16" i="19"/>
  <c r="AT13" i="19"/>
  <c r="AX12" i="19"/>
  <c r="BB11" i="19"/>
  <c r="AK10" i="19"/>
  <c r="AS9" i="19"/>
  <c r="BA8" i="19"/>
  <c r="AU6" i="19"/>
  <c r="AK5" i="19"/>
  <c r="AW4" i="19"/>
  <c r="AS18" i="19"/>
  <c r="AR11" i="19"/>
  <c r="BE11" i="19" s="1"/>
  <c r="AI10" i="19"/>
  <c r="AT8" i="19"/>
  <c r="AK3" i="19"/>
  <c r="AB10" i="19"/>
  <c r="AO10" i="19" s="1"/>
  <c r="AS8" i="19"/>
  <c r="AF7" i="19"/>
  <c r="AJ3" i="19"/>
  <c r="AR23" i="19"/>
  <c r="BE23" i="19" s="1"/>
  <c r="AC16" i="19"/>
  <c r="AW12" i="19"/>
  <c r="AE7" i="19"/>
  <c r="AV24" i="19"/>
  <c r="AS13" i="19"/>
  <c r="AX10" i="19"/>
  <c r="AD5" i="19"/>
  <c r="BB3" i="19"/>
  <c r="AI26" i="19"/>
  <c r="BB7" i="19"/>
  <c r="AF5" i="19"/>
  <c r="H21" i="14"/>
  <c r="I21" i="14" s="1"/>
  <c r="H17" i="14"/>
  <c r="I17" i="14" s="1"/>
  <c r="W13" i="14"/>
  <c r="X13" i="14" s="1"/>
  <c r="C35" i="14"/>
  <c r="D35" i="14" s="1"/>
  <c r="R16" i="14"/>
  <c r="S16" i="14" s="1"/>
  <c r="W19" i="14"/>
  <c r="X19" i="14" s="1"/>
  <c r="C38" i="14"/>
  <c r="D38" i="14" s="1"/>
  <c r="H11" i="14"/>
  <c r="I11" i="14" s="1"/>
  <c r="C27" i="14"/>
  <c r="D27" i="14" s="1"/>
  <c r="C37" i="14"/>
  <c r="D37" i="14" s="1"/>
  <c r="R10" i="14"/>
  <c r="S10" i="14" s="1"/>
  <c r="R15" i="14"/>
  <c r="S15" i="14" s="1"/>
  <c r="C34" i="14"/>
  <c r="D34" i="14" s="1"/>
  <c r="C41" i="14"/>
  <c r="D41" i="14" s="1"/>
  <c r="W17" i="14"/>
  <c r="X17" i="14" s="1"/>
  <c r="R18" i="14"/>
  <c r="S18" i="14" s="1"/>
  <c r="C30" i="14"/>
  <c r="D30" i="14" s="1"/>
  <c r="H20" i="14"/>
  <c r="I20" i="14" s="1"/>
  <c r="H15" i="14"/>
  <c r="I15" i="14" s="1"/>
  <c r="R20" i="14"/>
  <c r="S20" i="14" s="1"/>
  <c r="R19" i="14"/>
  <c r="S19" i="14" s="1"/>
  <c r="C31" i="14"/>
  <c r="D31" i="14" s="1"/>
  <c r="C44" i="14"/>
  <c r="D44" i="14" s="1"/>
  <c r="H16" i="14"/>
  <c r="I16" i="14" s="1"/>
  <c r="H7" i="14"/>
  <c r="I7" i="14" s="1"/>
  <c r="C39" i="14"/>
  <c r="D39" i="14" s="1"/>
  <c r="R14" i="14"/>
  <c r="S14" i="14" s="1"/>
  <c r="R12" i="14"/>
  <c r="S12" i="14" s="1"/>
  <c r="W11" i="14"/>
  <c r="X11" i="14" s="1"/>
  <c r="C40" i="14"/>
  <c r="D40" i="14" s="1"/>
  <c r="H18" i="14"/>
  <c r="I18" i="14" s="1"/>
  <c r="H12" i="14"/>
  <c r="I12" i="14" s="1"/>
  <c r="C29" i="14"/>
  <c r="D29" i="14" s="1"/>
  <c r="R17" i="14"/>
  <c r="S17" i="14" s="1"/>
  <c r="H19" i="14"/>
  <c r="I19" i="14" s="1"/>
  <c r="R11" i="14"/>
  <c r="S11" i="14" s="1"/>
  <c r="R4" i="14"/>
  <c r="S4" i="14" s="1"/>
  <c r="C36" i="14"/>
  <c r="D36" i="14" s="1"/>
  <c r="H14" i="14"/>
  <c r="I14" i="14" s="1"/>
  <c r="H8" i="14"/>
  <c r="I8" i="14" s="1"/>
  <c r="R21" i="14"/>
  <c r="S21" i="14" s="1"/>
  <c r="C33" i="14"/>
  <c r="D33" i="14" s="1"/>
  <c r="H5" i="14"/>
  <c r="I5" i="14" s="1"/>
  <c r="W21" i="14"/>
  <c r="X21" i="14" s="1"/>
  <c r="W9" i="14"/>
  <c r="X9" i="14" s="1"/>
  <c r="W15" i="14"/>
  <c r="X15" i="14" s="1"/>
  <c r="C43" i="14"/>
  <c r="D43" i="14" s="1"/>
  <c r="C32" i="14"/>
  <c r="D32" i="14" s="1"/>
  <c r="H10" i="14"/>
  <c r="I10" i="14" s="1"/>
  <c r="H4" i="14"/>
  <c r="I4" i="14" s="1"/>
  <c r="H9" i="14"/>
  <c r="I9" i="14" s="1"/>
  <c r="H13" i="14"/>
  <c r="I13" i="14" s="1"/>
  <c r="C42" i="14"/>
  <c r="D42" i="14" s="1"/>
  <c r="C28" i="14"/>
  <c r="D28" i="14" s="1"/>
  <c r="H6" i="14"/>
  <c r="I6" i="14" s="1"/>
  <c r="E19" i="14"/>
  <c r="F19" i="14" s="1"/>
  <c r="E8" i="14"/>
  <c r="F8" i="14" s="1"/>
  <c r="E14" i="14"/>
  <c r="F14" i="14" s="1"/>
  <c r="R13" i="14"/>
  <c r="S13" i="14" s="1"/>
  <c r="J44" i="14"/>
  <c r="K44" i="14" s="1"/>
  <c r="E11" i="14"/>
  <c r="F11" i="14" s="1"/>
  <c r="J30" i="14"/>
  <c r="K30" i="14" s="1"/>
  <c r="J27" i="14"/>
  <c r="K27" i="14" s="1"/>
  <c r="W16" i="14"/>
  <c r="X16" i="14" s="1"/>
  <c r="J33" i="14"/>
  <c r="K33" i="14" s="1"/>
  <c r="W12" i="14"/>
  <c r="X12" i="14" s="1"/>
  <c r="J35" i="14"/>
  <c r="K35" i="14" s="1"/>
  <c r="W20" i="14"/>
  <c r="X20" i="14" s="1"/>
  <c r="J40" i="14"/>
  <c r="K40" i="14" s="1"/>
  <c r="W14" i="14"/>
  <c r="X14" i="14" s="1"/>
  <c r="J41" i="14"/>
  <c r="K41" i="14" s="1"/>
  <c r="W10" i="14"/>
  <c r="X10" i="14" s="1"/>
  <c r="J43" i="14"/>
  <c r="K43" i="14" s="1"/>
  <c r="J28" i="14"/>
  <c r="K28" i="14" s="1"/>
  <c r="J32" i="14"/>
  <c r="K32" i="14" s="1"/>
  <c r="W18" i="14"/>
  <c r="X18" i="14" s="1"/>
  <c r="J36" i="14"/>
  <c r="K36" i="14" s="1"/>
  <c r="E6" i="14"/>
  <c r="F6" i="14" s="1"/>
  <c r="R9" i="14"/>
  <c r="S9" i="14" s="1"/>
  <c r="E12" i="14"/>
  <c r="F12" i="14" s="1"/>
  <c r="J31" i="14"/>
  <c r="K31" i="14" s="1"/>
  <c r="E5" i="14"/>
  <c r="F5" i="14" s="1"/>
  <c r="E16" i="14"/>
  <c r="F16" i="14" s="1"/>
  <c r="E7" i="14"/>
  <c r="F7" i="14" s="1"/>
  <c r="J37" i="14"/>
  <c r="K37" i="14" s="1"/>
  <c r="J38" i="14"/>
  <c r="K38" i="14" s="1"/>
  <c r="J29" i="14"/>
  <c r="K29" i="14" s="1"/>
  <c r="E20" i="14"/>
  <c r="F20" i="14" s="1"/>
  <c r="E4" i="14"/>
  <c r="F4" i="14" s="1"/>
  <c r="E13" i="14"/>
  <c r="F13" i="14" s="1"/>
  <c r="J34" i="14"/>
  <c r="K34" i="14" s="1"/>
  <c r="E15" i="14"/>
  <c r="F15" i="14" s="1"/>
  <c r="E9" i="14"/>
  <c r="F9" i="14" s="1"/>
  <c r="E10" i="14"/>
  <c r="F10" i="14" s="1"/>
  <c r="J39" i="14"/>
  <c r="K39" i="14" s="1"/>
  <c r="E21" i="14"/>
  <c r="F21" i="14" s="1"/>
  <c r="J42" i="14"/>
  <c r="K42" i="14" s="1"/>
  <c r="E17" i="14"/>
  <c r="F17" i="14" s="1"/>
  <c r="E18" i="14"/>
  <c r="F18" i="14" s="1"/>
  <c r="W4" i="14"/>
  <c r="X4" i="14" s="1"/>
  <c r="E44" i="4"/>
  <c r="E47" i="4"/>
  <c r="BK130" i="5"/>
  <c r="BK137" i="5"/>
  <c r="BK127" i="5"/>
  <c r="E46" i="4"/>
  <c r="BK122" i="5"/>
  <c r="BK140" i="5"/>
  <c r="BK142" i="5"/>
  <c r="BK135" i="5"/>
  <c r="BK132" i="5"/>
  <c r="BK134" i="5"/>
  <c r="BK139" i="5"/>
  <c r="BK124" i="5"/>
  <c r="BK126" i="5"/>
  <c r="BK131" i="5"/>
  <c r="BK144" i="5"/>
  <c r="BK145" i="5"/>
  <c r="BK136" i="5"/>
  <c r="BK123" i="5"/>
  <c r="BK141" i="5"/>
  <c r="BK129" i="5"/>
  <c r="BK128" i="5"/>
  <c r="BK133" i="5"/>
  <c r="BK138" i="5"/>
  <c r="BK143" i="5"/>
  <c r="BK125" i="5"/>
  <c r="E48" i="4"/>
  <c r="C37" i="4"/>
  <c r="C40" i="4"/>
  <c r="C35" i="4"/>
  <c r="C36" i="4"/>
  <c r="C39" i="4"/>
  <c r="C38" i="4"/>
  <c r="E49" i="4"/>
  <c r="E45" i="4"/>
  <c r="G7" i="4"/>
  <c r="P9" i="16"/>
  <c r="O3" i="16"/>
  <c r="O9" i="16"/>
  <c r="O12" i="16"/>
  <c r="O6" i="16"/>
  <c r="P5" i="16"/>
  <c r="O5" i="16"/>
  <c r="O11" i="16"/>
  <c r="P12" i="16"/>
  <c r="P11" i="16"/>
  <c r="P6" i="16"/>
  <c r="O7" i="16"/>
  <c r="P8" i="16"/>
  <c r="P4" i="16"/>
  <c r="P7" i="16"/>
  <c r="O4" i="16"/>
  <c r="P10" i="16"/>
  <c r="O10" i="16"/>
  <c r="V50" i="14" l="1"/>
  <c r="U50" i="14"/>
  <c r="S50" i="14"/>
  <c r="L50" i="14"/>
  <c r="K50" i="14"/>
  <c r="I50" i="14"/>
  <c r="BK25" i="17"/>
  <c r="BT22" i="17"/>
  <c r="BH26" i="17"/>
  <c r="BC22" i="17"/>
  <c r="BI22" i="17"/>
  <c r="BD17" i="17"/>
  <c r="BL17" i="17"/>
  <c r="O492" i="15"/>
  <c r="N492" i="15"/>
  <c r="Q492" i="15" s="1"/>
  <c r="AE9" i="13"/>
  <c r="AG25" i="13"/>
  <c r="L51" i="14"/>
  <c r="I51" i="14"/>
  <c r="K51" i="14"/>
  <c r="V51" i="14"/>
  <c r="S51" i="14"/>
  <c r="U51" i="14"/>
  <c r="BV43" i="17"/>
  <c r="AO51" i="22"/>
  <c r="AK46" i="22"/>
  <c r="AI46" i="22"/>
  <c r="BH48" i="22" s="1"/>
  <c r="BE51" i="22"/>
  <c r="AV46" i="22"/>
  <c r="AT46" i="22"/>
  <c r="BH49" i="22" s="1"/>
  <c r="N626" i="15"/>
  <c r="E669" i="15"/>
  <c r="H669" i="15" s="1"/>
  <c r="G669" i="15"/>
  <c r="F669" i="15"/>
  <c r="BU14" i="17"/>
  <c r="BQ15" i="17"/>
  <c r="BL11" i="17"/>
  <c r="BB6" i="17"/>
  <c r="BC16" i="17"/>
  <c r="BG39" i="17"/>
  <c r="BG7" i="17"/>
  <c r="BS6" i="17"/>
  <c r="BC7" i="17"/>
  <c r="AH16" i="13"/>
  <c r="AE12" i="13"/>
  <c r="AG9" i="13"/>
  <c r="AH8" i="13"/>
  <c r="AF11" i="13"/>
  <c r="AH24" i="13"/>
  <c r="AG18" i="13"/>
  <c r="AH17" i="13"/>
  <c r="AE16" i="13"/>
  <c r="AE7" i="13"/>
  <c r="AF12" i="13"/>
  <c r="AE23" i="13"/>
  <c r="AH9" i="13"/>
  <c r="AF23" i="13"/>
  <c r="AH15" i="13"/>
  <c r="AE20" i="13"/>
  <c r="AE15" i="13"/>
  <c r="AE14" i="13"/>
  <c r="AG12" i="13"/>
  <c r="AH11" i="13"/>
  <c r="AH13" i="13"/>
  <c r="AF13" i="13"/>
  <c r="AF9" i="13"/>
  <c r="AH7" i="13"/>
  <c r="AE19" i="13"/>
  <c r="AF20" i="13"/>
  <c r="AE21" i="13"/>
  <c r="AE10" i="13"/>
  <c r="AF16" i="13"/>
  <c r="AF22" i="13"/>
  <c r="AH20" i="13"/>
  <c r="AG13" i="13"/>
  <c r="Z13" i="13" s="1"/>
  <c r="AH19" i="13"/>
  <c r="AE6" i="13"/>
  <c r="AG20" i="13"/>
  <c r="AH21" i="13"/>
  <c r="AF21" i="13"/>
  <c r="AF14" i="13"/>
  <c r="AG22" i="13"/>
  <c r="AF18" i="13"/>
  <c r="AG23" i="13"/>
  <c r="AG11" i="13"/>
  <c r="AE18" i="13"/>
  <c r="AF24" i="13"/>
  <c r="AG16" i="13"/>
  <c r="AE22" i="13"/>
  <c r="AH12" i="13"/>
  <c r="AG21" i="13"/>
  <c r="AG24" i="13"/>
  <c r="AF8" i="13"/>
  <c r="AG15" i="13"/>
  <c r="AG7" i="13"/>
  <c r="AE25" i="13"/>
  <c r="AG14" i="13"/>
  <c r="AH10" i="13"/>
  <c r="AF6" i="13"/>
  <c r="AH25" i="13"/>
  <c r="AE17" i="13"/>
  <c r="AH23" i="13"/>
  <c r="AG17" i="13"/>
  <c r="AF17" i="13"/>
  <c r="AF15" i="13"/>
  <c r="AF10" i="13"/>
  <c r="AA10" i="13" s="1"/>
  <c r="U56" i="13" s="1"/>
  <c r="Y56" i="13" s="1"/>
  <c r="AH14" i="13"/>
  <c r="AE8" i="13"/>
  <c r="AG8" i="13"/>
  <c r="AG6" i="13"/>
  <c r="AE11" i="13"/>
  <c r="AH22" i="13"/>
  <c r="AG19" i="13"/>
  <c r="AH18" i="13"/>
  <c r="AG10" i="13"/>
  <c r="AH6" i="13"/>
  <c r="AF19" i="13"/>
  <c r="AE24" i="13"/>
  <c r="AF25" i="13"/>
  <c r="AF7" i="13"/>
  <c r="BX5" i="17"/>
  <c r="BH25" i="17"/>
  <c r="BB17" i="17"/>
  <c r="BF20" i="17"/>
  <c r="BC21" i="17"/>
  <c r="BB9" i="17"/>
  <c r="BX17" i="17"/>
  <c r="BY26" i="17"/>
  <c r="BL12" i="17"/>
  <c r="BX26" i="17"/>
  <c r="BO13" i="17"/>
  <c r="BP27" i="17"/>
  <c r="BW13" i="17"/>
  <c r="BW15" i="17"/>
  <c r="BB12" i="17"/>
  <c r="BR27" i="17"/>
  <c r="BV27" i="17"/>
  <c r="BK14" i="17"/>
  <c r="BT4" i="17"/>
  <c r="BE19" i="17"/>
  <c r="BS23" i="17"/>
  <c r="BW16" i="17"/>
  <c r="BV14" i="17"/>
  <c r="BG26" i="17"/>
  <c r="BJ9" i="17"/>
  <c r="BF18" i="17"/>
  <c r="BH9" i="17"/>
  <c r="BG19" i="17"/>
  <c r="BR9" i="17"/>
  <c r="BV19" i="17"/>
  <c r="BK7" i="17"/>
  <c r="BV17" i="17"/>
  <c r="BO26" i="17"/>
  <c r="BL9" i="17"/>
  <c r="BI13" i="17"/>
  <c r="BJ11" i="17"/>
  <c r="BD20" i="17"/>
  <c r="BX25" i="17"/>
  <c r="BC4" i="17"/>
  <c r="BG11" i="17"/>
  <c r="BI26" i="17"/>
  <c r="BU5" i="17"/>
  <c r="BW20" i="17"/>
  <c r="BV6" i="17"/>
  <c r="BT15" i="17"/>
  <c r="BF7" i="17"/>
  <c r="BD16" i="17"/>
  <c r="BG4" i="17"/>
  <c r="BG14" i="17"/>
  <c r="BO16" i="17"/>
  <c r="BW5" i="17"/>
  <c r="BO15" i="17"/>
  <c r="BW19" i="17"/>
  <c r="BQ16" i="17"/>
  <c r="BQ5" i="17"/>
  <c r="BG6" i="17"/>
  <c r="BC17" i="17"/>
  <c r="BO23" i="17"/>
  <c r="BQ11" i="17"/>
  <c r="BS26" i="17"/>
  <c r="BR12" i="17"/>
  <c r="BV22" i="17"/>
  <c r="BB13" i="17"/>
  <c r="BI23" i="17"/>
  <c r="BB10" i="17"/>
  <c r="BJ20" i="17"/>
  <c r="BB24" i="17"/>
  <c r="BS11" i="17"/>
  <c r="BT24" i="17"/>
  <c r="BC5" i="17"/>
  <c r="BJ17" i="17"/>
  <c r="BI14" i="17"/>
  <c r="BG12" i="17"/>
  <c r="BL13" i="17"/>
  <c r="BR4" i="17"/>
  <c r="BB8" i="17"/>
  <c r="BW7" i="17"/>
  <c r="BC9" i="17"/>
  <c r="BE24" i="17"/>
  <c r="BK9" i="17"/>
  <c r="BO24" i="17"/>
  <c r="BP7" i="17"/>
  <c r="BL16" i="17"/>
  <c r="BB20" i="17"/>
  <c r="BD8" i="17"/>
  <c r="BH7" i="17"/>
  <c r="BR19" i="17"/>
  <c r="BX16" i="17"/>
  <c r="BW8" i="17"/>
  <c r="BF19" i="17"/>
  <c r="BI9" i="17"/>
  <c r="BV13" i="17"/>
  <c r="BC10" i="17"/>
  <c r="BW14" i="17"/>
  <c r="BI21" i="17"/>
  <c r="BG15" i="17"/>
  <c r="BS21" i="17"/>
  <c r="BJ13" i="17"/>
  <c r="BY23" i="17"/>
  <c r="BB5" i="17"/>
  <c r="BX13" i="17"/>
  <c r="BU22" i="17"/>
  <c r="BB23" i="17"/>
  <c r="BX27" i="17"/>
  <c r="BR5" i="17"/>
  <c r="BS15" i="17"/>
  <c r="BT21" i="17"/>
  <c r="BG10" i="17"/>
  <c r="BO7" i="17"/>
  <c r="BH11" i="17"/>
  <c r="BE7" i="17"/>
  <c r="BR11" i="17"/>
  <c r="BH4" i="17"/>
  <c r="BU9" i="17"/>
  <c r="BW24" i="17"/>
  <c r="BH24" i="17"/>
  <c r="BP25" i="17"/>
  <c r="BD14" i="17"/>
  <c r="BD25" i="17"/>
  <c r="BS16" i="17"/>
  <c r="BG17" i="17"/>
  <c r="BQ7" i="17"/>
  <c r="BS25" i="17"/>
  <c r="BY7" i="17"/>
  <c r="BC26" i="17"/>
  <c r="BO10" i="17"/>
  <c r="BO11" i="17"/>
  <c r="BH5" i="17"/>
  <c r="BI15" i="17"/>
  <c r="BG5" i="17"/>
  <c r="BR15" i="17"/>
  <c r="BY5" i="17"/>
  <c r="BP8" i="17"/>
  <c r="BX11" i="17"/>
  <c r="BE14" i="17"/>
  <c r="BJ16" i="17"/>
  <c r="BO18" i="17"/>
  <c r="BR21" i="17"/>
  <c r="BQ20" i="17"/>
  <c r="BY12" i="17"/>
  <c r="BJ26" i="17"/>
  <c r="BL6" i="17"/>
  <c r="BS8" i="17"/>
  <c r="BX10" i="17"/>
  <c r="BE13" i="17"/>
  <c r="BJ15" i="17"/>
  <c r="BU23" i="17"/>
  <c r="BD27" i="17"/>
  <c r="BK6" i="17"/>
  <c r="BJ6" i="17"/>
  <c r="BT9" i="17"/>
  <c r="BY11" i="17"/>
  <c r="BF14" i="17"/>
  <c r="BK16" i="17"/>
  <c r="BP18" i="17"/>
  <c r="BC27" i="17"/>
  <c r="BF4" i="17"/>
  <c r="BT6" i="17"/>
  <c r="BD10" i="17"/>
  <c r="BI12" i="17"/>
  <c r="BP14" i="17"/>
  <c r="BU16" i="17"/>
  <c r="BX18" i="17"/>
  <c r="BK27" i="17"/>
  <c r="BJ23" i="17"/>
  <c r="BP4" i="17"/>
  <c r="BD7" i="17"/>
  <c r="BL10" i="17"/>
  <c r="BS12" i="17"/>
  <c r="BX14" i="17"/>
  <c r="BE17" i="17"/>
  <c r="BH19" i="17"/>
  <c r="BU27" i="17"/>
  <c r="BG16" i="17"/>
  <c r="BI19" i="17"/>
  <c r="BS24" i="17"/>
  <c r="BJ4" i="17"/>
  <c r="BP6" i="17"/>
  <c r="BU8" i="17"/>
  <c r="BB11" i="17"/>
  <c r="BK19" i="17"/>
  <c r="BY22" i="17"/>
  <c r="BQ12" i="17"/>
  <c r="BV32" i="17"/>
  <c r="BP11" i="17"/>
  <c r="BI16" i="17"/>
  <c r="BO8" i="17"/>
  <c r="BV18" i="17"/>
  <c r="BV8" i="17"/>
  <c r="BV9" i="17"/>
  <c r="BK10" i="17"/>
  <c r="BF10" i="17"/>
  <c r="BS20" i="17"/>
  <c r="BT12" i="17"/>
  <c r="BE21" i="17"/>
  <c r="BR8" i="17"/>
  <c r="BP17" i="17"/>
  <c r="BV7" i="17"/>
  <c r="BW17" i="17"/>
  <c r="BU11" i="17"/>
  <c r="BJ14" i="17"/>
  <c r="BT17" i="17"/>
  <c r="BH20" i="17"/>
  <c r="BV23" i="17"/>
  <c r="BI27" i="17"/>
  <c r="BV20" i="17"/>
  <c r="BK26" i="17"/>
  <c r="BI6" i="17"/>
  <c r="BX8" i="17"/>
  <c r="BH12" i="17"/>
  <c r="BO14" i="17"/>
  <c r="BT16" i="17"/>
  <c r="BW18" i="17"/>
  <c r="BF22" i="17"/>
  <c r="BY20" i="17"/>
  <c r="BL20" i="17"/>
  <c r="BQ9" i="17"/>
  <c r="BF12" i="17"/>
  <c r="BP15" i="17"/>
  <c r="BU17" i="17"/>
  <c r="BI20" i="17"/>
  <c r="BX23" i="17"/>
  <c r="BL27" i="17"/>
  <c r="BG24" i="17"/>
  <c r="BY9" i="17"/>
  <c r="BP12" i="17"/>
  <c r="BX15" i="17"/>
  <c r="BC18" i="17"/>
  <c r="BX20" i="17"/>
  <c r="BK24" i="17"/>
  <c r="BB19" i="17"/>
  <c r="BQ24" i="17"/>
  <c r="BC23" i="17"/>
  <c r="BI10" i="17"/>
  <c r="BX12" i="17"/>
  <c r="BH16" i="17"/>
  <c r="BK18" i="17"/>
  <c r="BL21" i="17"/>
  <c r="BC25" i="17"/>
  <c r="BJ19" i="17"/>
  <c r="BY24" i="17"/>
  <c r="BJ25" i="17"/>
  <c r="BQ4" i="17"/>
  <c r="BX7" i="17"/>
  <c r="BE10" i="17"/>
  <c r="BJ12" i="17"/>
  <c r="BQ14" i="17"/>
  <c r="BV16" i="17"/>
  <c r="BG25" i="17"/>
  <c r="BV21" i="17"/>
  <c r="BE18" i="17"/>
  <c r="BX6" i="17"/>
  <c r="BP20" i="17"/>
  <c r="BO9" i="17"/>
  <c r="BC11" i="17"/>
  <c r="BQ22" i="17"/>
  <c r="BK11" i="17"/>
  <c r="BG23" i="17"/>
  <c r="BY13" i="17"/>
  <c r="BH27" i="17"/>
  <c r="BK4" i="17"/>
  <c r="BT20" i="17"/>
  <c r="BU19" i="17"/>
  <c r="BR20" i="17"/>
  <c r="BL8" i="17"/>
  <c r="BS14" i="17"/>
  <c r="BH17" i="17"/>
  <c r="BJ21" i="17"/>
  <c r="BX24" i="17"/>
  <c r="BD4" i="17"/>
  <c r="BH6" i="17"/>
  <c r="BT23" i="17"/>
  <c r="BY8" i="17"/>
  <c r="BG9" i="17"/>
  <c r="BV11" i="17"/>
  <c r="BF15" i="17"/>
  <c r="BK17" i="17"/>
  <c r="BS19" i="17"/>
  <c r="BH23" i="17"/>
  <c r="BW26" i="17"/>
  <c r="BW23" i="17"/>
  <c r="BE20" i="17"/>
  <c r="BO12" i="17"/>
  <c r="BD15" i="17"/>
  <c r="BJ18" i="17"/>
  <c r="BK21" i="17"/>
  <c r="BB25" i="17"/>
  <c r="BE4" i="17"/>
  <c r="BP21" i="17"/>
  <c r="BE27" i="17"/>
  <c r="BW12" i="17"/>
  <c r="BL15" i="17"/>
  <c r="BT18" i="17"/>
  <c r="BB22" i="17"/>
  <c r="BO25" i="17"/>
  <c r="BO4" i="17"/>
  <c r="BX21" i="17"/>
  <c r="BO27" i="17"/>
  <c r="BG20" i="17"/>
  <c r="BG13" i="17"/>
  <c r="BV15" i="17"/>
  <c r="BD19" i="17"/>
  <c r="BP22" i="17"/>
  <c r="BE26" i="17"/>
  <c r="BW4" i="17"/>
  <c r="BH22" i="17"/>
  <c r="BW27" i="17"/>
  <c r="BX4" i="17"/>
  <c r="BL7" i="17"/>
  <c r="BV10" i="17"/>
  <c r="BC13" i="17"/>
  <c r="BH15" i="17"/>
  <c r="BO17" i="17"/>
  <c r="BX19" i="17"/>
  <c r="BO19" i="17"/>
  <c r="BU6" i="17"/>
  <c r="BE8" i="17"/>
  <c r="BL18" i="17"/>
  <c r="BD11" i="17"/>
  <c r="BE22" i="17"/>
  <c r="BR24" i="17"/>
  <c r="BC12" i="17"/>
  <c r="BE25" i="17"/>
  <c r="BK12" i="17"/>
  <c r="BY4" i="17"/>
  <c r="BY14" i="17"/>
  <c r="BQ6" i="17"/>
  <c r="BW10" i="17"/>
  <c r="BF8" i="17"/>
  <c r="BF11" i="17"/>
  <c r="BK20" i="17"/>
  <c r="BQ17" i="17"/>
  <c r="BU21" i="17"/>
  <c r="BB26" i="17"/>
  <c r="BU4" i="17"/>
  <c r="BY6" i="17"/>
  <c r="BF9" i="17"/>
  <c r="BR26" i="17"/>
  <c r="BS5" i="17"/>
  <c r="BE12" i="17"/>
  <c r="BT14" i="17"/>
  <c r="BB18" i="17"/>
  <c r="BU20" i="17"/>
  <c r="BJ24" i="17"/>
  <c r="BY27" i="17"/>
  <c r="BF21" i="17"/>
  <c r="BU26" i="17"/>
  <c r="BY25" i="17"/>
  <c r="BK15" i="17"/>
  <c r="BH18" i="17"/>
  <c r="BO22" i="17"/>
  <c r="BD26" i="17"/>
  <c r="BV4" i="17"/>
  <c r="BB7" i="17"/>
  <c r="BL24" i="17"/>
  <c r="BF24" i="17"/>
  <c r="BU15" i="17"/>
  <c r="BR18" i="17"/>
  <c r="BD23" i="17"/>
  <c r="BQ26" i="17"/>
  <c r="BE5" i="17"/>
  <c r="BJ7" i="17"/>
  <c r="BV24" i="17"/>
  <c r="BP19" i="17"/>
  <c r="BW11" i="17"/>
  <c r="BE16" i="17"/>
  <c r="BL19" i="17"/>
  <c r="BR23" i="17"/>
  <c r="BG27" i="17"/>
  <c r="BO5" i="17"/>
  <c r="BT7" i="17"/>
  <c r="BF25" i="17"/>
  <c r="BC20" i="17"/>
  <c r="BU7" i="17"/>
  <c r="BJ10" i="17"/>
  <c r="BT13" i="17"/>
  <c r="BY15" i="17"/>
  <c r="BD18" i="17"/>
  <c r="BB21" i="17"/>
  <c r="BP24" i="17"/>
  <c r="BK22" i="17"/>
  <c r="BH21" i="17"/>
  <c r="BQ35" i="17"/>
  <c r="BY19" i="17"/>
  <c r="BE9" i="17"/>
  <c r="BV25" i="17"/>
  <c r="BT11" i="17"/>
  <c r="BR13" i="17"/>
  <c r="BF26" i="17"/>
  <c r="BB14" i="17"/>
  <c r="BV26" i="17"/>
  <c r="BP16" i="17"/>
  <c r="BP5" i="17"/>
  <c r="BQ25" i="17"/>
  <c r="BI24" i="17"/>
  <c r="BU13" i="17"/>
  <c r="BU24" i="17"/>
  <c r="BS22" i="17"/>
  <c r="BD21" i="17"/>
  <c r="BL26" i="17"/>
  <c r="BK5" i="17"/>
  <c r="BR7" i="17"/>
  <c r="BW9" i="17"/>
  <c r="BD12" i="17"/>
  <c r="BO20" i="17"/>
  <c r="BY16" i="17"/>
  <c r="BC15" i="17"/>
  <c r="BR17" i="17"/>
  <c r="BW21" i="17"/>
  <c r="BL25" i="17"/>
  <c r="BL4" i="17"/>
  <c r="BR6" i="17"/>
  <c r="BD24" i="17"/>
  <c r="BC6" i="17"/>
  <c r="BE23" i="17"/>
  <c r="BG18" i="17"/>
  <c r="BX22" i="17"/>
  <c r="BF27" i="17"/>
  <c r="BL5" i="17"/>
  <c r="BS7" i="17"/>
  <c r="BX9" i="17"/>
  <c r="BJ27" i="17"/>
  <c r="BE11" i="17"/>
  <c r="BQ18" i="17"/>
  <c r="BP23" i="17"/>
  <c r="BS27" i="17"/>
  <c r="BV5" i="17"/>
  <c r="BC8" i="17"/>
  <c r="BH10" i="17"/>
  <c r="BT27" i="17"/>
  <c r="BG8" i="17"/>
  <c r="BQ8" i="17"/>
  <c r="BY18" i="17"/>
  <c r="BC24" i="17"/>
  <c r="BB4" i="17"/>
  <c r="BF6" i="17"/>
  <c r="BK8" i="17"/>
  <c r="BR10" i="17"/>
  <c r="BC19" i="17"/>
  <c r="BI17" i="17"/>
  <c r="BS10" i="17"/>
  <c r="BH13" i="17"/>
  <c r="BR16" i="17"/>
  <c r="BU18" i="17"/>
  <c r="BD22" i="17"/>
  <c r="BR25" i="17"/>
  <c r="BT19" i="17"/>
  <c r="BI25" i="17"/>
  <c r="BS9" i="17"/>
  <c r="BK34" i="17"/>
  <c r="BT10" i="17"/>
  <c r="BO21" i="17"/>
  <c r="BL14" i="17"/>
  <c r="BT25" i="17"/>
  <c r="BJ5" i="17"/>
  <c r="BH14" i="17"/>
  <c r="BT5" i="17"/>
  <c r="BR14" i="17"/>
  <c r="BH8" i="17"/>
  <c r="BF17" i="17"/>
  <c r="BE15" i="17"/>
  <c r="BD13" i="17"/>
  <c r="BB16" i="17"/>
  <c r="BK13" i="17"/>
  <c r="BI18" i="17"/>
  <c r="BU25" i="17"/>
  <c r="BD6" i="17"/>
  <c r="BI8" i="17"/>
  <c r="BP10" i="17"/>
  <c r="BU12" i="17"/>
  <c r="BB15" i="17"/>
  <c r="BK23" i="17"/>
  <c r="BU10" i="17"/>
  <c r="BY17" i="17"/>
  <c r="BJ22" i="17"/>
  <c r="BP26" i="17"/>
  <c r="BD5" i="17"/>
  <c r="BI7" i="17"/>
  <c r="BP9" i="17"/>
  <c r="BB27" i="17"/>
  <c r="BC14" i="17"/>
  <c r="BQ23" i="17"/>
  <c r="BG22" i="17"/>
  <c r="BQ27" i="17"/>
  <c r="BE6" i="17"/>
  <c r="BJ8" i="17"/>
  <c r="BQ10" i="17"/>
  <c r="BV12" i="17"/>
  <c r="BG21" i="17"/>
  <c r="BL22" i="17"/>
  <c r="BW22" i="17"/>
  <c r="BI4" i="17"/>
  <c r="BO6" i="17"/>
  <c r="BT8" i="17"/>
  <c r="BY10" i="17"/>
  <c r="BF13" i="17"/>
  <c r="BQ21" i="17"/>
  <c r="BS18" i="17"/>
  <c r="BS13" i="17"/>
  <c r="BL23" i="17"/>
  <c r="BS4" i="17"/>
  <c r="BW6" i="17"/>
  <c r="BD9" i="17"/>
  <c r="BI11" i="17"/>
  <c r="BP13" i="17"/>
  <c r="BY21" i="17"/>
  <c r="BI5" i="17"/>
  <c r="BQ13" i="17"/>
  <c r="BF16" i="17"/>
  <c r="BQ19" i="17"/>
  <c r="BF23" i="17"/>
  <c r="BT26" i="17"/>
  <c r="BF5" i="17"/>
  <c r="BR22" i="17"/>
  <c r="BS17" i="17"/>
  <c r="BW25" i="17"/>
  <c r="BV38" i="17"/>
  <c r="BE34" i="17"/>
  <c r="BW28" i="17"/>
  <c r="BE39" i="17"/>
  <c r="BX30" i="17"/>
  <c r="BS29" i="17"/>
  <c r="BE35" i="17"/>
  <c r="BW42" i="17"/>
  <c r="BG41" i="17"/>
  <c r="BC30" i="17"/>
  <c r="BC42" i="17"/>
  <c r="BL41" i="17"/>
  <c r="BS28" i="17"/>
  <c r="BF31" i="17"/>
  <c r="BQ30" i="17"/>
  <c r="BK30" i="17"/>
  <c r="BF35" i="17"/>
  <c r="BK36" i="17"/>
  <c r="BG32" i="17"/>
  <c r="BT41" i="17"/>
  <c r="BB39" i="17"/>
  <c r="BB34" i="17"/>
  <c r="BW34" i="17"/>
  <c r="BC38" i="17"/>
  <c r="BD38" i="17"/>
  <c r="BV29" i="17"/>
  <c r="BQ34" i="17"/>
  <c r="BU43" i="17"/>
  <c r="BB42" i="17"/>
  <c r="BX34" i="17"/>
  <c r="BU40" i="17"/>
  <c r="BQ33" i="17"/>
  <c r="BI28" i="17"/>
  <c r="BU30" i="17"/>
  <c r="BU42" i="17"/>
  <c r="BV42" i="17"/>
  <c r="BJ36" i="17"/>
  <c r="BG42" i="17"/>
  <c r="BC35" i="17"/>
  <c r="BU29" i="17"/>
  <c r="BO31" i="17"/>
  <c r="BD30" i="17"/>
  <c r="BE38" i="17"/>
  <c r="BJ40" i="17"/>
  <c r="BR30" i="17"/>
  <c r="BE40" i="17"/>
  <c r="BD34" i="17"/>
  <c r="BE42" i="17"/>
  <c r="BE29" i="17"/>
  <c r="BV36" i="17"/>
  <c r="BX32" i="17"/>
  <c r="BG28" i="17"/>
  <c r="BQ28" i="17"/>
  <c r="BY28" i="17"/>
  <c r="BI29" i="17"/>
  <c r="BW31" i="17"/>
  <c r="BU34" i="17"/>
  <c r="BU38" i="17"/>
  <c r="BK42" i="17"/>
  <c r="BV30" i="17"/>
  <c r="BV34" i="17"/>
  <c r="BL38" i="17"/>
  <c r="BL42" i="17"/>
  <c r="BW38" i="17"/>
  <c r="BO42" i="17"/>
  <c r="BP30" i="17"/>
  <c r="BB36" i="17"/>
  <c r="BT40" i="17"/>
  <c r="BG30" i="17"/>
  <c r="BI35" i="17"/>
  <c r="BE41" i="17"/>
  <c r="BD32" i="17"/>
  <c r="BR38" i="17"/>
  <c r="BO28" i="17"/>
  <c r="BS34" i="17"/>
  <c r="BW40" i="17"/>
  <c r="BH33" i="17"/>
  <c r="BS43" i="17"/>
  <c r="BE31" i="17"/>
  <c r="BQ31" i="17"/>
  <c r="BI32" i="17"/>
  <c r="BC33" i="17"/>
  <c r="BQ32" i="17"/>
  <c r="BW35" i="17"/>
  <c r="BO39" i="17"/>
  <c r="BO43" i="17"/>
  <c r="BX31" i="17"/>
  <c r="BP35" i="17"/>
  <c r="BP39" i="17"/>
  <c r="BP43" i="17"/>
  <c r="BQ39" i="17"/>
  <c r="BQ43" i="17"/>
  <c r="BB32" i="17"/>
  <c r="BT36" i="17"/>
  <c r="BF42" i="17"/>
  <c r="BS31" i="17"/>
  <c r="BE37" i="17"/>
  <c r="BI43" i="17"/>
  <c r="BP33" i="17"/>
  <c r="BJ39" i="17"/>
  <c r="BQ29" i="17"/>
  <c r="BO36" i="17"/>
  <c r="BC43" i="17"/>
  <c r="BF36" i="17"/>
  <c r="BU33" i="17"/>
  <c r="BO34" i="17"/>
  <c r="BG35" i="17"/>
  <c r="BY35" i="17"/>
  <c r="BY32" i="17"/>
  <c r="BG36" i="17"/>
  <c r="BW39" i="17"/>
  <c r="BH28" i="17"/>
  <c r="BH32" i="17"/>
  <c r="BX35" i="17"/>
  <c r="BX39" i="17"/>
  <c r="BI36" i="17"/>
  <c r="BY39" i="17"/>
  <c r="BB28" i="17"/>
  <c r="BT32" i="17"/>
  <c r="BL37" i="17"/>
  <c r="BP42" i="17"/>
  <c r="BC32" i="17"/>
  <c r="BO37" i="17"/>
  <c r="BT43" i="17"/>
  <c r="BX33" i="17"/>
  <c r="BT39" i="17"/>
  <c r="BS30" i="17"/>
  <c r="BG37" i="17"/>
  <c r="BK43" i="17"/>
  <c r="BX36" i="17"/>
  <c r="BC29" i="17"/>
  <c r="BK29" i="17"/>
  <c r="BI33" i="17"/>
  <c r="BQ36" i="17"/>
  <c r="BQ40" i="17"/>
  <c r="BB29" i="17"/>
  <c r="BR32" i="17"/>
  <c r="BR36" i="17"/>
  <c r="BR40" i="17"/>
  <c r="BS36" i="17"/>
  <c r="BS40" i="17"/>
  <c r="BT28" i="17"/>
  <c r="BD33" i="17"/>
  <c r="BP38" i="17"/>
  <c r="BR43" i="17"/>
  <c r="BK32" i="17"/>
  <c r="BG38" i="17"/>
  <c r="BF29" i="17"/>
  <c r="BB35" i="17"/>
  <c r="BP41" i="17"/>
  <c r="BU31" i="17"/>
  <c r="BQ37" i="17"/>
  <c r="BF28" i="17"/>
  <c r="BD39" i="17"/>
  <c r="BE30" i="17"/>
  <c r="BO30" i="17"/>
  <c r="BW30" i="17"/>
  <c r="BS33" i="17"/>
  <c r="BY36" i="17"/>
  <c r="BY40" i="17"/>
  <c r="BJ29" i="17"/>
  <c r="BB33" i="17"/>
  <c r="BB37" i="17"/>
  <c r="BB41" i="17"/>
  <c r="BC37" i="17"/>
  <c r="BC41" i="17"/>
  <c r="BD29" i="17"/>
  <c r="BL33" i="17"/>
  <c r="BX38" i="17"/>
  <c r="BK28" i="17"/>
  <c r="BE33" i="17"/>
  <c r="BI39" i="17"/>
  <c r="BX29" i="17"/>
  <c r="BT35" i="17"/>
  <c r="BX41" i="17"/>
  <c r="BE32" i="17"/>
  <c r="BY37" i="17"/>
  <c r="BB30" i="17"/>
  <c r="BV39" i="17"/>
  <c r="BG31" i="17"/>
  <c r="BY31" i="17"/>
  <c r="BS32" i="17"/>
  <c r="BK33" i="17"/>
  <c r="BC34" i="17"/>
  <c r="BS37" i="17"/>
  <c r="BS41" i="17"/>
  <c r="BT29" i="17"/>
  <c r="BT33" i="17"/>
  <c r="BT37" i="17"/>
  <c r="BJ41" i="17"/>
  <c r="BU37" i="17"/>
  <c r="BU41" i="17"/>
  <c r="BL29" i="17"/>
  <c r="BP34" i="17"/>
  <c r="BR39" i="17"/>
  <c r="BU28" i="17"/>
  <c r="BG34" i="17"/>
  <c r="BK40" i="17"/>
  <c r="BH30" i="17"/>
  <c r="BL36" i="17"/>
  <c r="BR42" i="17"/>
  <c r="BO32" i="17"/>
  <c r="BK39" i="17"/>
  <c r="BD31" i="17"/>
  <c r="BR41" i="17"/>
  <c r="BI37" i="17"/>
  <c r="BG40" i="17"/>
  <c r="BE43" i="17"/>
  <c r="BL30" i="17"/>
  <c r="BJ33" i="17"/>
  <c r="BH36" i="17"/>
  <c r="BF39" i="17"/>
  <c r="BD42" i="17"/>
  <c r="BK37" i="17"/>
  <c r="BI40" i="17"/>
  <c r="BG43" i="17"/>
  <c r="BF30" i="17"/>
  <c r="BV33" i="17"/>
  <c r="BV37" i="17"/>
  <c r="BV41" i="17"/>
  <c r="BO29" i="17"/>
  <c r="BO33" i="17"/>
  <c r="BW37" i="17"/>
  <c r="BY42" i="17"/>
  <c r="BB31" i="17"/>
  <c r="BD36" i="17"/>
  <c r="BV40" i="17"/>
  <c r="BG29" i="17"/>
  <c r="BI34" i="17"/>
  <c r="BI38" i="17"/>
  <c r="BW43" i="17"/>
  <c r="BV35" i="17"/>
  <c r="BT42" i="17"/>
  <c r="BO35" i="17"/>
  <c r="BK38" i="17"/>
  <c r="BI41" i="17"/>
  <c r="BR28" i="17"/>
  <c r="BP31" i="17"/>
  <c r="BL34" i="17"/>
  <c r="BJ37" i="17"/>
  <c r="BH40" i="17"/>
  <c r="BF43" i="17"/>
  <c r="BO38" i="17"/>
  <c r="BK41" i="17"/>
  <c r="BJ28" i="17"/>
  <c r="BR31" i="17"/>
  <c r="BR35" i="17"/>
  <c r="BH39" i="17"/>
  <c r="BH43" i="17"/>
  <c r="BI31" i="17"/>
  <c r="BY34" i="17"/>
  <c r="BC40" i="17"/>
  <c r="BD28" i="17"/>
  <c r="BF33" i="17"/>
  <c r="BX37" i="17"/>
  <c r="BH42" i="17"/>
  <c r="BK31" i="17"/>
  <c r="BK35" i="17"/>
  <c r="BO40" i="17"/>
  <c r="BJ30" i="17"/>
  <c r="BT38" i="17"/>
  <c r="BH31" i="17"/>
  <c r="BF34" i="17"/>
  <c r="BD37" i="17"/>
  <c r="BB40" i="17"/>
  <c r="BX42" i="17"/>
  <c r="BW29" i="17"/>
  <c r="BU32" i="17"/>
  <c r="BS35" i="17"/>
  <c r="BQ38" i="17"/>
  <c r="BO41" i="17"/>
  <c r="BL28" i="17"/>
  <c r="BJ31" i="17"/>
  <c r="BH34" i="17"/>
  <c r="BF37" i="17"/>
  <c r="BD40" i="17"/>
  <c r="BB43" i="17"/>
  <c r="BY29" i="17"/>
  <c r="BW32" i="17"/>
  <c r="BU35" i="17"/>
  <c r="BS38" i="17"/>
  <c r="BQ41" i="17"/>
  <c r="BP28" i="17"/>
  <c r="BL31" i="17"/>
  <c r="BJ34" i="17"/>
  <c r="BH37" i="17"/>
  <c r="BF40" i="17"/>
  <c r="BD43" i="17"/>
  <c r="BC36" i="17"/>
  <c r="BY38" i="17"/>
  <c r="BW41" i="17"/>
  <c r="BV28" i="17"/>
  <c r="BT31" i="17"/>
  <c r="BR34" i="17"/>
  <c r="BP37" i="17"/>
  <c r="BL40" i="17"/>
  <c r="BJ43" i="17"/>
  <c r="BI30" i="17"/>
  <c r="BG33" i="17"/>
  <c r="BE36" i="17"/>
  <c r="BC39" i="17"/>
  <c r="BY41" i="17"/>
  <c r="BX28" i="17"/>
  <c r="BV31" i="17"/>
  <c r="BT34" i="17"/>
  <c r="BR37" i="17"/>
  <c r="BP40" i="17"/>
  <c r="BL43" i="17"/>
  <c r="BI42" i="17"/>
  <c r="BH29" i="17"/>
  <c r="BF32" i="17"/>
  <c r="BD35" i="17"/>
  <c r="BB38" i="17"/>
  <c r="BX40" i="17"/>
  <c r="BX43" i="17"/>
  <c r="BJ32" i="17"/>
  <c r="BH35" i="17"/>
  <c r="BF38" i="17"/>
  <c r="BD41" i="17"/>
  <c r="BC28" i="17"/>
  <c r="BY30" i="17"/>
  <c r="BW33" i="17"/>
  <c r="BU36" i="17"/>
  <c r="BS39" i="17"/>
  <c r="BQ42" i="17"/>
  <c r="BP29" i="17"/>
  <c r="BL32" i="17"/>
  <c r="BJ35" i="17"/>
  <c r="BH38" i="17"/>
  <c r="BF41" i="17"/>
  <c r="BE28" i="17"/>
  <c r="BC31" i="17"/>
  <c r="BY33" i="17"/>
  <c r="BW36" i="17"/>
  <c r="BU39" i="17"/>
  <c r="BS42" i="17"/>
  <c r="BR29" i="17"/>
  <c r="BP32" i="17"/>
  <c r="BL35" i="17"/>
  <c r="BJ38" i="17"/>
  <c r="BH41" i="17"/>
  <c r="BY43" i="17"/>
  <c r="BT30" i="17"/>
  <c r="BR33" i="17"/>
  <c r="BP36" i="17"/>
  <c r="BL39" i="17"/>
  <c r="AK1" i="18"/>
  <c r="AI1" i="20"/>
  <c r="BH2" i="20" s="1"/>
  <c r="BH13" i="20" s="1"/>
  <c r="AK1" i="20"/>
  <c r="AI1" i="19"/>
  <c r="BH2" i="19" s="1"/>
  <c r="AK1" i="21"/>
  <c r="AV1" i="18"/>
  <c r="AV1" i="20"/>
  <c r="AV1" i="19"/>
  <c r="AV1" i="21"/>
  <c r="AI1" i="18"/>
  <c r="BH2" i="18" s="1"/>
  <c r="AK1" i="22"/>
  <c r="BH161" i="5"/>
  <c r="BH152" i="5"/>
  <c r="BH151" i="5"/>
  <c r="BH149" i="5"/>
  <c r="BH147" i="5"/>
  <c r="BH156" i="5"/>
  <c r="BH153" i="5"/>
  <c r="BH157" i="5"/>
  <c r="BH148" i="5"/>
  <c r="V27" i="14"/>
  <c r="U27" i="14"/>
  <c r="T27" i="14"/>
  <c r="AI1" i="21"/>
  <c r="BH2" i="21" s="1"/>
  <c r="E216" i="15"/>
  <c r="E128" i="15"/>
  <c r="C485" i="15" s="1"/>
  <c r="E42" i="15"/>
  <c r="BP159" i="5"/>
  <c r="BQ159" i="5"/>
  <c r="BM159" i="5"/>
  <c r="C42" i="15" s="1"/>
  <c r="S32" i="14"/>
  <c r="U32" i="14" s="1"/>
  <c r="F211" i="15"/>
  <c r="G211" i="15" s="1"/>
  <c r="F123" i="15"/>
  <c r="F37" i="15"/>
  <c r="BO154" i="5"/>
  <c r="BL154" i="5"/>
  <c r="B37" i="15" s="1"/>
  <c r="BN154" i="5"/>
  <c r="AK1" i="19"/>
  <c r="AI1" i="22"/>
  <c r="BH2" i="22" s="1"/>
  <c r="H24" i="13"/>
  <c r="H25" i="13"/>
  <c r="D25" i="13"/>
  <c r="D24" i="13"/>
  <c r="B575" i="15"/>
  <c r="B663" i="15" s="1"/>
  <c r="B399" i="15"/>
  <c r="E215" i="15"/>
  <c r="E127" i="15"/>
  <c r="C484" i="15" s="1"/>
  <c r="E41" i="15"/>
  <c r="BM158" i="5"/>
  <c r="C41" i="15" s="1"/>
  <c r="BQ158" i="5"/>
  <c r="BP158" i="5"/>
  <c r="B573" i="15"/>
  <c r="B661" i="15" s="1"/>
  <c r="B397" i="15"/>
  <c r="BL155" i="5"/>
  <c r="B38" i="15" s="1"/>
  <c r="F124" i="15"/>
  <c r="F38" i="15"/>
  <c r="F212" i="15"/>
  <c r="G212" i="15" s="1"/>
  <c r="BO155" i="5"/>
  <c r="BN155" i="5"/>
  <c r="U41" i="14"/>
  <c r="T41" i="14"/>
  <c r="V41" i="14"/>
  <c r="S26" i="14"/>
  <c r="U26" i="14" s="1"/>
  <c r="AA32" i="14"/>
  <c r="Y32" i="14"/>
  <c r="Z32" i="14"/>
  <c r="X37" i="14"/>
  <c r="Y37" i="14" s="1"/>
  <c r="J22" i="14"/>
  <c r="K22" i="14" s="1"/>
  <c r="L22" i="14"/>
  <c r="B561" i="15"/>
  <c r="B649" i="15" s="1"/>
  <c r="B385" i="15"/>
  <c r="D71" i="13"/>
  <c r="E71" i="13" s="1"/>
  <c r="F71" i="13"/>
  <c r="G71" i="13"/>
  <c r="BL150" i="5"/>
  <c r="B33" i="15" s="1"/>
  <c r="F207" i="15"/>
  <c r="G207" i="15" s="1"/>
  <c r="F33" i="15"/>
  <c r="F119" i="15"/>
  <c r="BO150" i="5"/>
  <c r="BN150" i="5"/>
  <c r="BL159" i="5"/>
  <c r="B42" i="15" s="1"/>
  <c r="F216" i="15"/>
  <c r="G216" i="15" s="1"/>
  <c r="F42" i="15"/>
  <c r="F128" i="15"/>
  <c r="BO159" i="5"/>
  <c r="BN159" i="5"/>
  <c r="AA27" i="14"/>
  <c r="Z27" i="14"/>
  <c r="Y27" i="14"/>
  <c r="BO161" i="5"/>
  <c r="E218" i="15"/>
  <c r="E44" i="15"/>
  <c r="E130" i="15"/>
  <c r="C487" i="15" s="1"/>
  <c r="BQ161" i="5"/>
  <c r="BP161" i="5"/>
  <c r="BM161" i="5"/>
  <c r="C44" i="15" s="1"/>
  <c r="AA40" i="14"/>
  <c r="Y40" i="14"/>
  <c r="Z40" i="14"/>
  <c r="AT1" i="19"/>
  <c r="BH3" i="19" s="1"/>
  <c r="AT1" i="21"/>
  <c r="BH3" i="21" s="1"/>
  <c r="E217" i="15"/>
  <c r="E129" i="15"/>
  <c r="C486" i="15" s="1"/>
  <c r="E43" i="15"/>
  <c r="BP160" i="5"/>
  <c r="BM160" i="5"/>
  <c r="C43" i="15" s="1"/>
  <c r="BQ160" i="5"/>
  <c r="BL158" i="5"/>
  <c r="B41" i="15" s="1"/>
  <c r="F215" i="15"/>
  <c r="G215" i="15" s="1"/>
  <c r="F127" i="15"/>
  <c r="F41" i="15"/>
  <c r="BO158" i="5"/>
  <c r="BN158" i="5"/>
  <c r="F203" i="15"/>
  <c r="G203" i="15" s="1"/>
  <c r="F29" i="15"/>
  <c r="F115" i="15"/>
  <c r="BN146" i="5"/>
  <c r="BO146" i="5"/>
  <c r="E124" i="15"/>
  <c r="C481" i="15" s="1"/>
  <c r="E38" i="15"/>
  <c r="E212" i="15"/>
  <c r="BQ155" i="5"/>
  <c r="BM155" i="5"/>
  <c r="C38" i="15" s="1"/>
  <c r="BP155" i="5"/>
  <c r="B394" i="15"/>
  <c r="B570" i="15"/>
  <c r="B658" i="15" s="1"/>
  <c r="T33" i="14"/>
  <c r="U33" i="14"/>
  <c r="V33" i="14"/>
  <c r="S28" i="14"/>
  <c r="U28" i="14" s="1"/>
  <c r="T24" i="14"/>
  <c r="V24" i="14"/>
  <c r="U24" i="14"/>
  <c r="V38" i="14"/>
  <c r="T38" i="14"/>
  <c r="U38" i="14"/>
  <c r="AA24" i="14"/>
  <c r="Y24" i="14"/>
  <c r="Z24" i="14"/>
  <c r="E46" i="14"/>
  <c r="F46" i="14" s="1"/>
  <c r="G46" i="14"/>
  <c r="BL153" i="5"/>
  <c r="B36" i="15" s="1"/>
  <c r="E122" i="15"/>
  <c r="C479" i="15" s="1"/>
  <c r="E210" i="15"/>
  <c r="E36" i="15"/>
  <c r="BQ153" i="5"/>
  <c r="BP153" i="5"/>
  <c r="BM153" i="5"/>
  <c r="C36" i="15" s="1"/>
  <c r="BL152" i="5"/>
  <c r="B35" i="15" s="1"/>
  <c r="F209" i="15"/>
  <c r="G209" i="15" s="1"/>
  <c r="F35" i="15"/>
  <c r="F121" i="15"/>
  <c r="BN152" i="5"/>
  <c r="BO152" i="5"/>
  <c r="K70" i="13"/>
  <c r="I70" i="13"/>
  <c r="J70" i="13" s="1"/>
  <c r="L70" i="13"/>
  <c r="E207" i="15"/>
  <c r="E33" i="15"/>
  <c r="E119" i="15"/>
  <c r="C476" i="15" s="1"/>
  <c r="BP150" i="5"/>
  <c r="BQ150" i="5"/>
  <c r="BM150" i="5"/>
  <c r="C33" i="15" s="1"/>
  <c r="B574" i="15"/>
  <c r="B662" i="15" s="1"/>
  <c r="B398" i="15"/>
  <c r="BL156" i="5"/>
  <c r="B39" i="15" s="1"/>
  <c r="E213" i="15"/>
  <c r="E39" i="15"/>
  <c r="E125" i="15"/>
  <c r="C482" i="15" s="1"/>
  <c r="BM156" i="5"/>
  <c r="C39" i="15" s="1"/>
  <c r="BQ156" i="5"/>
  <c r="BP156" i="5"/>
  <c r="S36" i="14"/>
  <c r="U36" i="14" s="1"/>
  <c r="E37" i="15"/>
  <c r="E211" i="15"/>
  <c r="E123" i="15"/>
  <c r="C480" i="15" s="1"/>
  <c r="BP154" i="5"/>
  <c r="BQ154" i="5"/>
  <c r="BM154" i="5"/>
  <c r="C37" i="15" s="1"/>
  <c r="G70" i="13"/>
  <c r="D70" i="13"/>
  <c r="E70" i="13" s="1"/>
  <c r="F70" i="13"/>
  <c r="X25" i="14"/>
  <c r="Y25" i="14" s="1"/>
  <c r="L71" i="13"/>
  <c r="K71" i="13"/>
  <c r="I71" i="13"/>
  <c r="J71" i="13" s="1"/>
  <c r="AT1" i="22"/>
  <c r="BH3" i="22" s="1"/>
  <c r="F214" i="15"/>
  <c r="G214" i="15" s="1"/>
  <c r="F126" i="15"/>
  <c r="F40" i="15"/>
  <c r="BO157" i="5"/>
  <c r="BN157" i="5"/>
  <c r="B396" i="15"/>
  <c r="B572" i="15"/>
  <c r="B660" i="15" s="1"/>
  <c r="B569" i="15"/>
  <c r="B657" i="15" s="1"/>
  <c r="B393" i="15"/>
  <c r="Y28" i="14"/>
  <c r="Z28" i="14"/>
  <c r="AA28" i="14"/>
  <c r="S35" i="14"/>
  <c r="X38" i="14"/>
  <c r="S40" i="14"/>
  <c r="U40" i="14" s="1"/>
  <c r="Y39" i="14"/>
  <c r="Z39" i="14"/>
  <c r="AA39" i="14"/>
  <c r="I23" i="14"/>
  <c r="L23" i="14" s="1"/>
  <c r="B567" i="15"/>
  <c r="B655" i="15" s="1"/>
  <c r="B391" i="15"/>
  <c r="B392" i="15"/>
  <c r="B568" i="15"/>
  <c r="B656" i="15" s="1"/>
  <c r="E208" i="15"/>
  <c r="E120" i="15"/>
  <c r="C477" i="15" s="1"/>
  <c r="E34" i="15"/>
  <c r="BQ151" i="5"/>
  <c r="BM151" i="5"/>
  <c r="C34" i="15" s="1"/>
  <c r="BP151" i="5"/>
  <c r="B564" i="15"/>
  <c r="B652" i="15" s="1"/>
  <c r="B388" i="15"/>
  <c r="F205" i="15"/>
  <c r="G205" i="15" s="1"/>
  <c r="F117" i="15"/>
  <c r="F31" i="15"/>
  <c r="BN148" i="5"/>
  <c r="BL148" i="5"/>
  <c r="B31" i="15" s="1"/>
  <c r="BO148" i="5"/>
  <c r="Z43" i="14"/>
  <c r="Y43" i="14"/>
  <c r="AA43" i="14"/>
  <c r="AT1" i="18"/>
  <c r="BH3" i="18" s="1"/>
  <c r="AT1" i="20"/>
  <c r="BH3" i="20" s="1"/>
  <c r="BH14" i="20" s="1"/>
  <c r="AV1" i="22"/>
  <c r="H48" i="13"/>
  <c r="H47" i="13"/>
  <c r="D47" i="13"/>
  <c r="D48" i="13"/>
  <c r="F218" i="15"/>
  <c r="G218" i="15" s="1"/>
  <c r="F44" i="15"/>
  <c r="F130" i="15"/>
  <c r="BL161" i="5"/>
  <c r="B44" i="15" s="1"/>
  <c r="BN161" i="5"/>
  <c r="BL157" i="5"/>
  <c r="B40" i="15" s="1"/>
  <c r="E214" i="15"/>
  <c r="E126" i="15"/>
  <c r="C483" i="15" s="1"/>
  <c r="E40" i="15"/>
  <c r="BP157" i="5"/>
  <c r="BQ157" i="5"/>
  <c r="BM157" i="5"/>
  <c r="C40" i="15" s="1"/>
  <c r="BH159" i="5"/>
  <c r="BM148" i="5"/>
  <c r="C31" i="15" s="1"/>
  <c r="E31" i="15"/>
  <c r="E205" i="15"/>
  <c r="E117" i="15"/>
  <c r="C474" i="15" s="1"/>
  <c r="BP148" i="5"/>
  <c r="BQ148" i="5"/>
  <c r="F213" i="15"/>
  <c r="G213" i="15" s="1"/>
  <c r="F39" i="15"/>
  <c r="F125" i="15"/>
  <c r="BN156" i="5"/>
  <c r="BO156" i="5"/>
  <c r="V34" i="14"/>
  <c r="U34" i="14"/>
  <c r="T34" i="14"/>
  <c r="U37" i="14"/>
  <c r="T37" i="14"/>
  <c r="V37" i="14"/>
  <c r="X42" i="14"/>
  <c r="Z42" i="14" s="1"/>
  <c r="X33" i="14"/>
  <c r="Z31" i="14"/>
  <c r="Y31" i="14"/>
  <c r="AA31" i="14"/>
  <c r="BH154" i="5"/>
  <c r="BL151" i="5"/>
  <c r="B34" i="15" s="1"/>
  <c r="F208" i="15"/>
  <c r="G208" i="15" s="1"/>
  <c r="F120" i="15"/>
  <c r="F34" i="15"/>
  <c r="BO151" i="5"/>
  <c r="BN151" i="5"/>
  <c r="B566" i="15"/>
  <c r="B654" i="15" s="1"/>
  <c r="B390" i="15"/>
  <c r="F206" i="15"/>
  <c r="G206" i="15" s="1"/>
  <c r="F32" i="15"/>
  <c r="F118" i="15"/>
  <c r="BO149" i="5"/>
  <c r="BN149" i="5"/>
  <c r="BL149" i="5"/>
  <c r="B32" i="15" s="1"/>
  <c r="B560" i="15"/>
  <c r="B648" i="15" s="1"/>
  <c r="B384" i="15"/>
  <c r="Y36" i="14"/>
  <c r="Z36" i="14"/>
  <c r="AA36" i="14"/>
  <c r="D45" i="14"/>
  <c r="G45" i="14" s="1"/>
  <c r="S22" i="14"/>
  <c r="T22" i="14" s="1"/>
  <c r="BH160" i="5"/>
  <c r="B571" i="15"/>
  <c r="B659" i="15" s="1"/>
  <c r="B395" i="15"/>
  <c r="BL146" i="5"/>
  <c r="B29" i="15" s="1"/>
  <c r="E115" i="15"/>
  <c r="C472" i="15" s="1"/>
  <c r="E203" i="15"/>
  <c r="E29" i="15"/>
  <c r="BP146" i="5"/>
  <c r="BQ146" i="5"/>
  <c r="BM146" i="5"/>
  <c r="C29" i="15" s="1"/>
  <c r="Z23" i="14"/>
  <c r="Y23" i="14"/>
  <c r="AA23" i="14"/>
  <c r="S43" i="14"/>
  <c r="T43" i="14" s="1"/>
  <c r="S39" i="14"/>
  <c r="X34" i="14"/>
  <c r="Z34" i="14" s="1"/>
  <c r="Z35" i="14"/>
  <c r="Y35" i="14"/>
  <c r="AA35" i="14"/>
  <c r="X26" i="14"/>
  <c r="Z26" i="14" s="1"/>
  <c r="E204" i="15"/>
  <c r="E116" i="15"/>
  <c r="C473" i="15" s="1"/>
  <c r="E30" i="15"/>
  <c r="BP147" i="5"/>
  <c r="BQ147" i="5"/>
  <c r="BM147" i="5"/>
  <c r="C30" i="15" s="1"/>
  <c r="B565" i="15"/>
  <c r="B653" i="15" s="1"/>
  <c r="B389" i="15"/>
  <c r="X30" i="14"/>
  <c r="Z30" i="14" s="1"/>
  <c r="X29" i="14"/>
  <c r="S31" i="14"/>
  <c r="E206" i="15"/>
  <c r="E32" i="15"/>
  <c r="E118" i="15"/>
  <c r="C475" i="15" s="1"/>
  <c r="BQ149" i="5"/>
  <c r="BP149" i="5"/>
  <c r="BM149" i="5"/>
  <c r="C32" i="15" s="1"/>
  <c r="F129" i="15"/>
  <c r="F217" i="15"/>
  <c r="G217" i="15" s="1"/>
  <c r="F43" i="15"/>
  <c r="BO160" i="5"/>
  <c r="BL160" i="5"/>
  <c r="B43" i="15" s="1"/>
  <c r="BN160" i="5"/>
  <c r="BH158" i="5"/>
  <c r="BH146" i="5"/>
  <c r="B562" i="15"/>
  <c r="B650" i="15" s="1"/>
  <c r="B386" i="15"/>
  <c r="BH155" i="5"/>
  <c r="V30" i="14"/>
  <c r="T30" i="14"/>
  <c r="U30" i="14"/>
  <c r="V42" i="14"/>
  <c r="T42" i="14"/>
  <c r="U42" i="14"/>
  <c r="U29" i="14"/>
  <c r="T29" i="14"/>
  <c r="V29" i="14"/>
  <c r="U23" i="14"/>
  <c r="T23" i="14"/>
  <c r="V23" i="14"/>
  <c r="X41" i="14"/>
  <c r="Y41" i="14" s="1"/>
  <c r="S25" i="14"/>
  <c r="T25" i="14" s="1"/>
  <c r="X22" i="14"/>
  <c r="Y22" i="14" s="1"/>
  <c r="F122" i="15"/>
  <c r="F210" i="15"/>
  <c r="G210" i="15" s="1"/>
  <c r="F36" i="15"/>
  <c r="BN153" i="5"/>
  <c r="BO153" i="5"/>
  <c r="BN147" i="5"/>
  <c r="F204" i="15"/>
  <c r="G204" i="15" s="1"/>
  <c r="F116" i="15"/>
  <c r="F30" i="15"/>
  <c r="BL147" i="5"/>
  <c r="B30" i="15" s="1"/>
  <c r="BO147" i="5"/>
  <c r="E209" i="15"/>
  <c r="E35" i="15"/>
  <c r="E121" i="15"/>
  <c r="C478" i="15" s="1"/>
  <c r="BM152" i="5"/>
  <c r="C35" i="15" s="1"/>
  <c r="BQ152" i="5"/>
  <c r="BP152" i="5"/>
  <c r="B563" i="15"/>
  <c r="B651" i="15" s="1"/>
  <c r="B387" i="15"/>
  <c r="BH150" i="5"/>
  <c r="F194" i="15"/>
  <c r="G194" i="15" s="1"/>
  <c r="F20" i="15"/>
  <c r="F106" i="15"/>
  <c r="Y14" i="14"/>
  <c r="Z14" i="14"/>
  <c r="AA14" i="14"/>
  <c r="E28" i="14"/>
  <c r="F28" i="14" s="1"/>
  <c r="G28" i="14"/>
  <c r="Z15" i="14"/>
  <c r="Y15" i="14"/>
  <c r="AA15" i="14"/>
  <c r="E36" i="14"/>
  <c r="F36" i="14" s="1"/>
  <c r="G36" i="14"/>
  <c r="E40" i="14"/>
  <c r="F40" i="14" s="1"/>
  <c r="G40" i="14"/>
  <c r="E31" i="14"/>
  <c r="F31" i="14" s="1"/>
  <c r="G31" i="14"/>
  <c r="E41" i="14"/>
  <c r="F41" i="14" s="1"/>
  <c r="G41" i="14"/>
  <c r="Z19" i="14"/>
  <c r="Y19" i="14"/>
  <c r="AA19" i="14"/>
  <c r="AE162" i="13"/>
  <c r="AF162" i="13" s="1"/>
  <c r="AG162" i="13" s="1"/>
  <c r="AH162" i="13"/>
  <c r="AH151" i="13"/>
  <c r="AE151" i="13"/>
  <c r="AF151" i="13" s="1"/>
  <c r="AG151" i="13" s="1"/>
  <c r="AF177" i="13"/>
  <c r="AG177" i="13"/>
  <c r="D54" i="13"/>
  <c r="E54" i="13" s="1"/>
  <c r="G54" i="13"/>
  <c r="F54" i="13"/>
  <c r="L52" i="13"/>
  <c r="K52" i="13"/>
  <c r="I52" i="13"/>
  <c r="J52" i="13" s="1"/>
  <c r="I60" i="13"/>
  <c r="J60" i="13" s="1"/>
  <c r="K60" i="13"/>
  <c r="L60" i="13"/>
  <c r="L68" i="13"/>
  <c r="K68" i="13"/>
  <c r="I68" i="13"/>
  <c r="J68" i="13" s="1"/>
  <c r="E42" i="14"/>
  <c r="F42" i="14" s="1"/>
  <c r="G42" i="14"/>
  <c r="Z9" i="14"/>
  <c r="Y9" i="14"/>
  <c r="AA9" i="14"/>
  <c r="T4" i="14"/>
  <c r="U4" i="14"/>
  <c r="V4" i="14"/>
  <c r="Z11" i="14"/>
  <c r="Y11" i="14"/>
  <c r="AA11" i="14"/>
  <c r="U19" i="14"/>
  <c r="T19" i="14"/>
  <c r="V19" i="14"/>
  <c r="E34" i="14"/>
  <c r="F34" i="14" s="1"/>
  <c r="G34" i="14"/>
  <c r="T16" i="14"/>
  <c r="U16" i="14"/>
  <c r="V16" i="14"/>
  <c r="E186" i="15"/>
  <c r="E98" i="15"/>
  <c r="C455" i="15" s="1"/>
  <c r="E12" i="15"/>
  <c r="E180" i="15"/>
  <c r="E92" i="15"/>
  <c r="C449" i="15" s="1"/>
  <c r="E6" i="15"/>
  <c r="E188" i="15"/>
  <c r="E100" i="15"/>
  <c r="C457" i="15" s="1"/>
  <c r="E14" i="15"/>
  <c r="E187" i="15"/>
  <c r="E99" i="15"/>
  <c r="C456" i="15" s="1"/>
  <c r="E13" i="15"/>
  <c r="E185" i="15"/>
  <c r="E97" i="15"/>
  <c r="C454" i="15" s="1"/>
  <c r="E11" i="15"/>
  <c r="E181" i="15"/>
  <c r="E7" i="15"/>
  <c r="E93" i="15"/>
  <c r="C450" i="15" s="1"/>
  <c r="E194" i="15"/>
  <c r="E106" i="15"/>
  <c r="C463" i="15" s="1"/>
  <c r="E20" i="15"/>
  <c r="E189" i="15"/>
  <c r="E15" i="15"/>
  <c r="E101" i="15"/>
  <c r="C458" i="15" s="1"/>
  <c r="E107" i="15"/>
  <c r="C464" i="15" s="1"/>
  <c r="E21" i="15"/>
  <c r="E195" i="15"/>
  <c r="E109" i="15"/>
  <c r="C466" i="15" s="1"/>
  <c r="E197" i="15"/>
  <c r="E23" i="15"/>
  <c r="E184" i="15"/>
  <c r="E96" i="15"/>
  <c r="C453" i="15" s="1"/>
  <c r="E10" i="15"/>
  <c r="E190" i="15"/>
  <c r="E16" i="15"/>
  <c r="E102" i="15"/>
  <c r="C459" i="15" s="1"/>
  <c r="AG171" i="13"/>
  <c r="AF171" i="13"/>
  <c r="AF179" i="13"/>
  <c r="AG179" i="13"/>
  <c r="AH161" i="13"/>
  <c r="AE161" i="13"/>
  <c r="AF161" i="13" s="1"/>
  <c r="AG161" i="13" s="1"/>
  <c r="AH149" i="13"/>
  <c r="AE149" i="13"/>
  <c r="AF149" i="13" s="1"/>
  <c r="AG149" i="13" s="1"/>
  <c r="AG172" i="13"/>
  <c r="AF172" i="13"/>
  <c r="AF178" i="13"/>
  <c r="AG178" i="13"/>
  <c r="AE147" i="13"/>
  <c r="AF147" i="13" s="1"/>
  <c r="AG147" i="13" s="1"/>
  <c r="AH147" i="13"/>
  <c r="G52" i="13"/>
  <c r="F52" i="13"/>
  <c r="D52" i="13"/>
  <c r="E52" i="13" s="1"/>
  <c r="F63" i="13"/>
  <c r="D63" i="13"/>
  <c r="E63" i="13" s="1"/>
  <c r="G63" i="13"/>
  <c r="G56" i="13"/>
  <c r="F56" i="13"/>
  <c r="D56" i="13"/>
  <c r="E56" i="13" s="1"/>
  <c r="K65" i="13"/>
  <c r="I65" i="13"/>
  <c r="J65" i="13" s="1"/>
  <c r="L65" i="13"/>
  <c r="T95" i="13"/>
  <c r="V95" i="13"/>
  <c r="L54" i="13"/>
  <c r="K54" i="13"/>
  <c r="I54" i="13"/>
  <c r="J54" i="13" s="1"/>
  <c r="Y4" i="14"/>
  <c r="Z4" i="14"/>
  <c r="AA4" i="14"/>
  <c r="Y18" i="14"/>
  <c r="Z18" i="14"/>
  <c r="AA18" i="14"/>
  <c r="Y20" i="14"/>
  <c r="Z20" i="14"/>
  <c r="AA20" i="14"/>
  <c r="J13" i="14"/>
  <c r="K13" i="14" s="1"/>
  <c r="L13" i="14"/>
  <c r="Z21" i="14"/>
  <c r="Y21" i="14"/>
  <c r="AA21" i="14"/>
  <c r="U11" i="14"/>
  <c r="T11" i="14"/>
  <c r="V11" i="14"/>
  <c r="T12" i="14"/>
  <c r="U12" i="14"/>
  <c r="V12" i="14"/>
  <c r="T20" i="14"/>
  <c r="U20" i="14"/>
  <c r="V20" i="14"/>
  <c r="U15" i="14"/>
  <c r="T15" i="14"/>
  <c r="V15" i="14"/>
  <c r="E35" i="14"/>
  <c r="F35" i="14" s="1"/>
  <c r="G35" i="14"/>
  <c r="B555" i="15"/>
  <c r="B379" i="15"/>
  <c r="B558" i="15"/>
  <c r="B646" i="15" s="1"/>
  <c r="B382" i="15"/>
  <c r="B539" i="15"/>
  <c r="B627" i="15" s="1"/>
  <c r="B363" i="15"/>
  <c r="B364" i="15"/>
  <c r="B540" i="15"/>
  <c r="B628" i="15" s="1"/>
  <c r="B553" i="15"/>
  <c r="B641" i="15" s="1"/>
  <c r="B377" i="15"/>
  <c r="B548" i="15"/>
  <c r="B636" i="15" s="1"/>
  <c r="B372" i="15"/>
  <c r="B549" i="15"/>
  <c r="B637" i="15" s="1"/>
  <c r="B373" i="15"/>
  <c r="B556" i="15"/>
  <c r="B644" i="15" s="1"/>
  <c r="B380" i="15"/>
  <c r="B536" i="15"/>
  <c r="B360" i="15"/>
  <c r="AF185" i="13"/>
  <c r="AG185" i="13"/>
  <c r="AH153" i="13"/>
  <c r="AE153" i="13"/>
  <c r="AF153" i="13" s="1"/>
  <c r="AG153" i="13" s="1"/>
  <c r="AH160" i="13"/>
  <c r="AE160" i="13"/>
  <c r="AF160" i="13" s="1"/>
  <c r="AG160" i="13" s="1"/>
  <c r="D68" i="13"/>
  <c r="E68" i="13" s="1"/>
  <c r="F68" i="13"/>
  <c r="G68" i="13"/>
  <c r="L62" i="13"/>
  <c r="K62" i="13"/>
  <c r="I62" i="13"/>
  <c r="J62" i="13" s="1"/>
  <c r="F67" i="13"/>
  <c r="D67" i="13"/>
  <c r="E67" i="13" s="1"/>
  <c r="G67" i="13"/>
  <c r="D10" i="13"/>
  <c r="D16" i="13"/>
  <c r="H7" i="13"/>
  <c r="H21" i="13"/>
  <c r="H19" i="13"/>
  <c r="D17" i="13"/>
  <c r="D13" i="13"/>
  <c r="D18" i="13"/>
  <c r="H12" i="13"/>
  <c r="H23" i="13"/>
  <c r="E26" i="13"/>
  <c r="D19" i="13"/>
  <c r="Q26" i="13"/>
  <c r="H8" i="13"/>
  <c r="D6" i="13"/>
  <c r="H18" i="13"/>
  <c r="D22" i="13"/>
  <c r="H9" i="13"/>
  <c r="H17" i="13"/>
  <c r="D21" i="13"/>
  <c r="H22" i="13"/>
  <c r="D15" i="13"/>
  <c r="D14" i="13"/>
  <c r="H15" i="13"/>
  <c r="D8" i="13"/>
  <c r="D23" i="13"/>
  <c r="D7" i="13"/>
  <c r="H14" i="13"/>
  <c r="H13" i="13"/>
  <c r="H6" i="13"/>
  <c r="H16" i="13"/>
  <c r="D9" i="13"/>
  <c r="D20" i="13"/>
  <c r="D12" i="13"/>
  <c r="H10" i="13"/>
  <c r="H20" i="13"/>
  <c r="D11" i="13"/>
  <c r="H11" i="13"/>
  <c r="D64" i="13"/>
  <c r="E64" i="13" s="1"/>
  <c r="G64" i="13"/>
  <c r="F64" i="13"/>
  <c r="K55" i="13"/>
  <c r="L55" i="13"/>
  <c r="I55" i="13"/>
  <c r="J55" i="13" s="1"/>
  <c r="F180" i="15"/>
  <c r="G180" i="15" s="1"/>
  <c r="F92" i="15"/>
  <c r="F6" i="15"/>
  <c r="F193" i="15"/>
  <c r="G193" i="15" s="1"/>
  <c r="F105" i="15"/>
  <c r="F19" i="15"/>
  <c r="F202" i="15"/>
  <c r="G202" i="15" s="1"/>
  <c r="F28" i="15"/>
  <c r="F114" i="15"/>
  <c r="F201" i="15"/>
  <c r="G201" i="15" s="1"/>
  <c r="F113" i="15"/>
  <c r="F27" i="15"/>
  <c r="F190" i="15"/>
  <c r="G190" i="15" s="1"/>
  <c r="F102" i="15"/>
  <c r="F16" i="15"/>
  <c r="F197" i="15"/>
  <c r="G197" i="15" s="1"/>
  <c r="F23" i="15"/>
  <c r="F109" i="15"/>
  <c r="F185" i="15"/>
  <c r="G185" i="15" s="1"/>
  <c r="F97" i="15"/>
  <c r="F11" i="15"/>
  <c r="F183" i="15"/>
  <c r="G183" i="15" s="1"/>
  <c r="F95" i="15"/>
  <c r="F9" i="15"/>
  <c r="F179" i="15"/>
  <c r="G179" i="15" s="1"/>
  <c r="F91" i="15"/>
  <c r="F5" i="15"/>
  <c r="T13" i="14"/>
  <c r="U13" i="14"/>
  <c r="V13" i="14"/>
  <c r="J9" i="14"/>
  <c r="K9" i="14" s="1"/>
  <c r="L9" i="14"/>
  <c r="J5" i="14"/>
  <c r="K5" i="14" s="1"/>
  <c r="L5" i="14"/>
  <c r="J19" i="14"/>
  <c r="K19" i="14" s="1"/>
  <c r="L19" i="14"/>
  <c r="T14" i="14"/>
  <c r="U14" i="14"/>
  <c r="V14" i="14"/>
  <c r="J15" i="14"/>
  <c r="K15" i="14" s="1"/>
  <c r="L15" i="14"/>
  <c r="T10" i="14"/>
  <c r="U10" i="14"/>
  <c r="V10" i="14"/>
  <c r="Z13" i="14"/>
  <c r="Y13" i="14"/>
  <c r="AA13" i="14"/>
  <c r="B559" i="15"/>
  <c r="B647" i="15" s="1"/>
  <c r="B383" i="15"/>
  <c r="B557" i="15"/>
  <c r="B645" i="15" s="1"/>
  <c r="B381" i="15"/>
  <c r="AF182" i="13"/>
  <c r="AG182" i="13"/>
  <c r="AH164" i="13"/>
  <c r="AE164" i="13"/>
  <c r="AF164" i="13" s="1"/>
  <c r="AG164" i="13" s="1"/>
  <c r="AF175" i="13"/>
  <c r="AG175" i="13"/>
  <c r="AG188" i="13"/>
  <c r="AF188" i="13"/>
  <c r="AG173" i="13"/>
  <c r="AF173" i="13"/>
  <c r="G59" i="13"/>
  <c r="F59" i="13"/>
  <c r="D59" i="13"/>
  <c r="E59" i="13" s="1"/>
  <c r="K57" i="13"/>
  <c r="I57" i="13"/>
  <c r="J57" i="13" s="1"/>
  <c r="L57" i="13"/>
  <c r="I66" i="13"/>
  <c r="J66" i="13" s="1"/>
  <c r="L66" i="13"/>
  <c r="K66" i="13"/>
  <c r="I26" i="13"/>
  <c r="V26" i="13" s="1"/>
  <c r="U26" i="13"/>
  <c r="G65" i="13"/>
  <c r="D65" i="13"/>
  <c r="E65" i="13" s="1"/>
  <c r="F65" i="13"/>
  <c r="I95" i="13"/>
  <c r="E93" i="13"/>
  <c r="G95" i="13"/>
  <c r="E94" i="13"/>
  <c r="E75" i="13"/>
  <c r="E82" i="13"/>
  <c r="E79" i="13"/>
  <c r="E83" i="13"/>
  <c r="E91" i="13"/>
  <c r="E88" i="13"/>
  <c r="E86" i="13"/>
  <c r="E76" i="13"/>
  <c r="E80" i="13"/>
  <c r="E90" i="13"/>
  <c r="E84" i="13"/>
  <c r="E92" i="13"/>
  <c r="E85" i="13"/>
  <c r="E81" i="13"/>
  <c r="E87" i="13"/>
  <c r="E78" i="13"/>
  <c r="E77" i="13"/>
  <c r="E89" i="13"/>
  <c r="F191" i="15"/>
  <c r="G191" i="15" s="1"/>
  <c r="F17" i="15"/>
  <c r="F103" i="15"/>
  <c r="F192" i="15"/>
  <c r="G192" i="15" s="1"/>
  <c r="F104" i="15"/>
  <c r="F18" i="15"/>
  <c r="F199" i="15"/>
  <c r="G199" i="15" s="1"/>
  <c r="F111" i="15"/>
  <c r="F25" i="15"/>
  <c r="F188" i="15"/>
  <c r="G188" i="15" s="1"/>
  <c r="F100" i="15"/>
  <c r="F14" i="15"/>
  <c r="F186" i="15"/>
  <c r="G186" i="15" s="1"/>
  <c r="F98" i="15"/>
  <c r="F12" i="15"/>
  <c r="F181" i="15"/>
  <c r="G181" i="15" s="1"/>
  <c r="F93" i="15"/>
  <c r="F7" i="15"/>
  <c r="Y12" i="14"/>
  <c r="Z12" i="14"/>
  <c r="AA12" i="14"/>
  <c r="J4" i="14"/>
  <c r="K4" i="14" s="1"/>
  <c r="L4" i="14"/>
  <c r="E33" i="14"/>
  <c r="F33" i="14" s="1"/>
  <c r="G33" i="14"/>
  <c r="T17" i="14"/>
  <c r="U17" i="14"/>
  <c r="V17" i="14"/>
  <c r="E39" i="14"/>
  <c r="F39" i="14" s="1"/>
  <c r="G39" i="14"/>
  <c r="J20" i="14"/>
  <c r="K20" i="14" s="1"/>
  <c r="L20" i="14"/>
  <c r="E37" i="14"/>
  <c r="F37" i="14" s="1"/>
  <c r="G37" i="14"/>
  <c r="J17" i="14"/>
  <c r="K17" i="14" s="1"/>
  <c r="L17" i="14"/>
  <c r="AF184" i="13"/>
  <c r="AG184" i="13"/>
  <c r="AF180" i="13"/>
  <c r="AG180" i="13"/>
  <c r="AG189" i="13"/>
  <c r="AF189" i="13"/>
  <c r="AF181" i="13"/>
  <c r="AG181" i="13"/>
  <c r="AF176" i="13"/>
  <c r="AG176" i="13"/>
  <c r="AF183" i="13"/>
  <c r="AG183" i="13"/>
  <c r="K58" i="13"/>
  <c r="I58" i="13"/>
  <c r="J58" i="13" s="1"/>
  <c r="L58" i="13"/>
  <c r="I63" i="13"/>
  <c r="J63" i="13" s="1"/>
  <c r="K63" i="13"/>
  <c r="L63" i="13"/>
  <c r="K61" i="13"/>
  <c r="I61" i="13"/>
  <c r="J61" i="13" s="1"/>
  <c r="L61" i="13"/>
  <c r="F60" i="13"/>
  <c r="D60" i="13"/>
  <c r="E60" i="13" s="1"/>
  <c r="G60" i="13"/>
  <c r="L64" i="13"/>
  <c r="K64" i="13"/>
  <c r="I64" i="13"/>
  <c r="J64" i="13" s="1"/>
  <c r="B550" i="15"/>
  <c r="B374" i="15"/>
  <c r="F182" i="15"/>
  <c r="G182" i="15" s="1"/>
  <c r="F94" i="15"/>
  <c r="F8" i="15"/>
  <c r="F200" i="15"/>
  <c r="G200" i="15" s="1"/>
  <c r="F112" i="15"/>
  <c r="F26" i="15"/>
  <c r="F195" i="15"/>
  <c r="G195" i="15" s="1"/>
  <c r="F107" i="15"/>
  <c r="F21" i="15"/>
  <c r="F198" i="15"/>
  <c r="G198" i="15" s="1"/>
  <c r="F110" i="15"/>
  <c r="F24" i="15"/>
  <c r="F196" i="15"/>
  <c r="G196" i="15" s="1"/>
  <c r="F22" i="15"/>
  <c r="F108" i="15"/>
  <c r="F184" i="15"/>
  <c r="G184" i="15" s="1"/>
  <c r="F10" i="15"/>
  <c r="F96" i="15"/>
  <c r="J10" i="14"/>
  <c r="K10" i="14" s="1"/>
  <c r="L10" i="14"/>
  <c r="T21" i="14"/>
  <c r="U21" i="14"/>
  <c r="V21" i="14"/>
  <c r="E29" i="14"/>
  <c r="F29" i="14" s="1"/>
  <c r="G29" i="14"/>
  <c r="J7" i="14"/>
  <c r="K7" i="14" s="1"/>
  <c r="L7" i="14"/>
  <c r="E30" i="14"/>
  <c r="F30" i="14" s="1"/>
  <c r="G30" i="14"/>
  <c r="E27" i="14"/>
  <c r="F27" i="14" s="1"/>
  <c r="G27" i="14"/>
  <c r="J21" i="14"/>
  <c r="K21" i="14" s="1"/>
  <c r="L21" i="14"/>
  <c r="E198" i="15"/>
  <c r="E110" i="15"/>
  <c r="C467" i="15" s="1"/>
  <c r="E24" i="15"/>
  <c r="E202" i="15"/>
  <c r="E114" i="15"/>
  <c r="C471" i="15" s="1"/>
  <c r="E28" i="15"/>
  <c r="E113" i="15"/>
  <c r="C470" i="15" s="1"/>
  <c r="E201" i="15"/>
  <c r="E27" i="15"/>
  <c r="E182" i="15"/>
  <c r="E8" i="15"/>
  <c r="E94" i="15"/>
  <c r="C451" i="15" s="1"/>
  <c r="E183" i="15"/>
  <c r="E95" i="15"/>
  <c r="C452" i="15" s="1"/>
  <c r="E9" i="15"/>
  <c r="E196" i="15"/>
  <c r="E108" i="15"/>
  <c r="C465" i="15" s="1"/>
  <c r="E22" i="15"/>
  <c r="E191" i="15"/>
  <c r="E103" i="15"/>
  <c r="C460" i="15" s="1"/>
  <c r="E17" i="15"/>
  <c r="E192" i="15"/>
  <c r="E104" i="15"/>
  <c r="C461" i="15" s="1"/>
  <c r="E18" i="15"/>
  <c r="E199" i="15"/>
  <c r="E111" i="15"/>
  <c r="C468" i="15" s="1"/>
  <c r="E25" i="15"/>
  <c r="E91" i="15"/>
  <c r="C448" i="15" s="1"/>
  <c r="E179" i="15"/>
  <c r="E5" i="15"/>
  <c r="E200" i="15"/>
  <c r="E112" i="15"/>
  <c r="C469" i="15" s="1"/>
  <c r="E26" i="15"/>
  <c r="AE154" i="13"/>
  <c r="AF154" i="13" s="1"/>
  <c r="AG154" i="13" s="1"/>
  <c r="AH154" i="13"/>
  <c r="AH152" i="13"/>
  <c r="AE152" i="13"/>
  <c r="AF152" i="13" s="1"/>
  <c r="AG152" i="13" s="1"/>
  <c r="AF186" i="13"/>
  <c r="AG186" i="13"/>
  <c r="L53" i="13"/>
  <c r="K53" i="13"/>
  <c r="I53" i="13"/>
  <c r="J53" i="13" s="1"/>
  <c r="D36" i="13"/>
  <c r="H35" i="13"/>
  <c r="H29" i="13"/>
  <c r="Q49" i="13"/>
  <c r="H46" i="13"/>
  <c r="D35" i="13"/>
  <c r="H36" i="13"/>
  <c r="H33" i="13"/>
  <c r="H31" i="13"/>
  <c r="D38" i="13"/>
  <c r="E49" i="13"/>
  <c r="H30" i="13"/>
  <c r="H38" i="13"/>
  <c r="H44" i="13"/>
  <c r="D30" i="13"/>
  <c r="D42" i="13"/>
  <c r="H37" i="13"/>
  <c r="H45" i="13"/>
  <c r="D43" i="13"/>
  <c r="D29" i="13"/>
  <c r="D45" i="13"/>
  <c r="D46" i="13"/>
  <c r="H34" i="13"/>
  <c r="H42" i="13"/>
  <c r="D40" i="13"/>
  <c r="H32" i="13"/>
  <c r="D44" i="13"/>
  <c r="D37" i="13"/>
  <c r="D31" i="13"/>
  <c r="D33" i="13"/>
  <c r="D32" i="13"/>
  <c r="H43" i="13"/>
  <c r="H39" i="13"/>
  <c r="D34" i="13"/>
  <c r="H40" i="13"/>
  <c r="D39" i="13"/>
  <c r="D41" i="13"/>
  <c r="H41" i="13"/>
  <c r="I67" i="13"/>
  <c r="J67" i="13" s="1"/>
  <c r="L67" i="13"/>
  <c r="K67" i="13"/>
  <c r="D57" i="13"/>
  <c r="E57" i="13" s="1"/>
  <c r="F57" i="13"/>
  <c r="G57" i="13"/>
  <c r="G66" i="13"/>
  <c r="F66" i="13"/>
  <c r="D66" i="13"/>
  <c r="E66" i="13" s="1"/>
  <c r="Y10" i="14"/>
  <c r="Z10" i="14"/>
  <c r="AA10" i="14"/>
  <c r="Y16" i="14"/>
  <c r="Z16" i="14"/>
  <c r="AA16" i="14"/>
  <c r="E32" i="14"/>
  <c r="F32" i="14" s="1"/>
  <c r="G32" i="14"/>
  <c r="J8" i="14"/>
  <c r="K8" i="14" s="1"/>
  <c r="L8" i="14"/>
  <c r="J12" i="14"/>
  <c r="K12" i="14" s="1"/>
  <c r="L12" i="14"/>
  <c r="J16" i="14"/>
  <c r="K16" i="14" s="1"/>
  <c r="L16" i="14"/>
  <c r="T18" i="14"/>
  <c r="U18" i="14"/>
  <c r="V18" i="14"/>
  <c r="J11" i="14"/>
  <c r="K11" i="14" s="1"/>
  <c r="L11" i="14"/>
  <c r="B367" i="15"/>
  <c r="B543" i="15"/>
  <c r="B631" i="15" s="1"/>
  <c r="B537" i="15"/>
  <c r="B625" i="15" s="1"/>
  <c r="B361" i="15"/>
  <c r="B545" i="15"/>
  <c r="B633" i="15" s="1"/>
  <c r="B369" i="15"/>
  <c r="B544" i="15"/>
  <c r="B632" i="15" s="1"/>
  <c r="B368" i="15"/>
  <c r="B542" i="15"/>
  <c r="B366" i="15"/>
  <c r="B552" i="15"/>
  <c r="B640" i="15" s="1"/>
  <c r="B376" i="15"/>
  <c r="B554" i="15"/>
  <c r="B642" i="15" s="1"/>
  <c r="B378" i="15"/>
  <c r="B541" i="15"/>
  <c r="B629" i="15" s="1"/>
  <c r="B365" i="15"/>
  <c r="AH159" i="13"/>
  <c r="AE159" i="13"/>
  <c r="AF159" i="13" s="1"/>
  <c r="AG159" i="13" s="1"/>
  <c r="AF174" i="13"/>
  <c r="AG174" i="13"/>
  <c r="AH157" i="13"/>
  <c r="AE157" i="13"/>
  <c r="AF157" i="13" s="1"/>
  <c r="AG157" i="13" s="1"/>
  <c r="AH148" i="13"/>
  <c r="AE148" i="13"/>
  <c r="AF148" i="13" s="1"/>
  <c r="AG148" i="13" s="1"/>
  <c r="AH156" i="13"/>
  <c r="AE156" i="13"/>
  <c r="AF156" i="13" s="1"/>
  <c r="AG156" i="13" s="1"/>
  <c r="AG190" i="13"/>
  <c r="AF190" i="13"/>
  <c r="AH150" i="13"/>
  <c r="AE150" i="13"/>
  <c r="AF150" i="13" s="1"/>
  <c r="AG150" i="13" s="1"/>
  <c r="D61" i="13"/>
  <c r="E61" i="13" s="1"/>
  <c r="G61" i="13"/>
  <c r="F61" i="13"/>
  <c r="K59" i="13"/>
  <c r="L59" i="13"/>
  <c r="I59" i="13"/>
  <c r="J59" i="13" s="1"/>
  <c r="G62" i="13"/>
  <c r="F62" i="13"/>
  <c r="D62" i="13"/>
  <c r="E62" i="13" s="1"/>
  <c r="G58" i="13"/>
  <c r="F58" i="13"/>
  <c r="D58" i="13"/>
  <c r="E58" i="13" s="1"/>
  <c r="K56" i="13"/>
  <c r="L56" i="13"/>
  <c r="I56" i="13"/>
  <c r="J56" i="13" s="1"/>
  <c r="F55" i="13"/>
  <c r="D55" i="13"/>
  <c r="E55" i="13" s="1"/>
  <c r="G55" i="13"/>
  <c r="F189" i="15"/>
  <c r="G189" i="15" s="1"/>
  <c r="F101" i="15"/>
  <c r="F15" i="15"/>
  <c r="F187" i="15"/>
  <c r="G187" i="15" s="1"/>
  <c r="F99" i="15"/>
  <c r="F13" i="15"/>
  <c r="T9" i="14"/>
  <c r="U9" i="14"/>
  <c r="V9" i="14"/>
  <c r="J6" i="14"/>
  <c r="K6" i="14" s="1"/>
  <c r="L6" i="14"/>
  <c r="E43" i="14"/>
  <c r="F43" i="14" s="1"/>
  <c r="G43" i="14"/>
  <c r="J14" i="14"/>
  <c r="K14" i="14" s="1"/>
  <c r="L14" i="14"/>
  <c r="J18" i="14"/>
  <c r="K18" i="14" s="1"/>
  <c r="L18" i="14"/>
  <c r="E44" i="14"/>
  <c r="F44" i="14" s="1"/>
  <c r="G44" i="14"/>
  <c r="Z17" i="14"/>
  <c r="Y17" i="14"/>
  <c r="AA17" i="14"/>
  <c r="E38" i="14"/>
  <c r="F38" i="14" s="1"/>
  <c r="G38" i="14"/>
  <c r="B538" i="15"/>
  <c r="B626" i="15" s="1"/>
  <c r="B362" i="15"/>
  <c r="B551" i="15"/>
  <c r="B639" i="15" s="1"/>
  <c r="B375" i="15"/>
  <c r="B546" i="15"/>
  <c r="B370" i="15"/>
  <c r="B371" i="15"/>
  <c r="B547" i="15"/>
  <c r="B635" i="15" s="1"/>
  <c r="AH165" i="13"/>
  <c r="AE165" i="13"/>
  <c r="AF165" i="13" s="1"/>
  <c r="AG165" i="13" s="1"/>
  <c r="AH158" i="13"/>
  <c r="AE158" i="13"/>
  <c r="AF158" i="13" s="1"/>
  <c r="AG158" i="13" s="1"/>
  <c r="AH163" i="13"/>
  <c r="AE163" i="13"/>
  <c r="AF163" i="13" s="1"/>
  <c r="AG163" i="13" s="1"/>
  <c r="AG187" i="13"/>
  <c r="AF187" i="13"/>
  <c r="AH155" i="13"/>
  <c r="AE155" i="13"/>
  <c r="AF155" i="13" s="1"/>
  <c r="AG155" i="13" s="1"/>
  <c r="AH166" i="13"/>
  <c r="AE166" i="13"/>
  <c r="AF166" i="13" s="1"/>
  <c r="AG166" i="13" s="1"/>
  <c r="Q118" i="13"/>
  <c r="R118" i="13" s="1"/>
  <c r="S118" i="13" s="1"/>
  <c r="T118" i="13" s="1"/>
  <c r="U118" i="13" s="1"/>
  <c r="V118" i="13" s="1"/>
  <c r="W118" i="13" s="1"/>
  <c r="D116" i="13"/>
  <c r="E116" i="13" s="1"/>
  <c r="F116" i="13" s="1"/>
  <c r="G116" i="13" s="1"/>
  <c r="H116" i="13" s="1"/>
  <c r="I116" i="13" s="1"/>
  <c r="J116" i="13" s="1"/>
  <c r="D105" i="13"/>
  <c r="E105" i="13" s="1"/>
  <c r="F105" i="13" s="1"/>
  <c r="G105" i="13" s="1"/>
  <c r="H105" i="13" s="1"/>
  <c r="I105" i="13" s="1"/>
  <c r="J105" i="13" s="1"/>
  <c r="D100" i="13"/>
  <c r="E100" i="13" s="1"/>
  <c r="F100" i="13" s="1"/>
  <c r="G100" i="13" s="1"/>
  <c r="H100" i="13" s="1"/>
  <c r="I100" i="13" s="1"/>
  <c r="J100" i="13" s="1"/>
  <c r="D115" i="13"/>
  <c r="E115" i="13" s="1"/>
  <c r="F115" i="13" s="1"/>
  <c r="G115" i="13" s="1"/>
  <c r="H115" i="13" s="1"/>
  <c r="I115" i="13" s="1"/>
  <c r="J115" i="13" s="1"/>
  <c r="Q116" i="13"/>
  <c r="R116" i="13" s="1"/>
  <c r="S116" i="13" s="1"/>
  <c r="T116" i="13" s="1"/>
  <c r="U116" i="13" s="1"/>
  <c r="V116" i="13" s="1"/>
  <c r="W116" i="13" s="1"/>
  <c r="Q108" i="13"/>
  <c r="R108" i="13" s="1"/>
  <c r="S108" i="13" s="1"/>
  <c r="T108" i="13" s="1"/>
  <c r="U108" i="13" s="1"/>
  <c r="V108" i="13" s="1"/>
  <c r="W108" i="13" s="1"/>
  <c r="D107" i="13"/>
  <c r="E107" i="13" s="1"/>
  <c r="F107" i="13" s="1"/>
  <c r="G107" i="13" s="1"/>
  <c r="H107" i="13" s="1"/>
  <c r="I107" i="13" s="1"/>
  <c r="J107" i="13" s="1"/>
  <c r="Q100" i="13"/>
  <c r="R100" i="13" s="1"/>
  <c r="S100" i="13" s="1"/>
  <c r="T100" i="13" s="1"/>
  <c r="U100" i="13" s="1"/>
  <c r="V100" i="13" s="1"/>
  <c r="W100" i="13" s="1"/>
  <c r="D118" i="13"/>
  <c r="E118" i="13" s="1"/>
  <c r="F118" i="13" s="1"/>
  <c r="G118" i="13" s="1"/>
  <c r="H118" i="13" s="1"/>
  <c r="I118" i="13" s="1"/>
  <c r="J118" i="13" s="1"/>
  <c r="D108" i="13"/>
  <c r="E108" i="13" s="1"/>
  <c r="F108" i="13" s="1"/>
  <c r="G108" i="13" s="1"/>
  <c r="H108" i="13" s="1"/>
  <c r="I108" i="13" s="1"/>
  <c r="J108" i="13" s="1"/>
  <c r="D102" i="13"/>
  <c r="E102" i="13" s="1"/>
  <c r="F102" i="13" s="1"/>
  <c r="G102" i="13" s="1"/>
  <c r="H102" i="13" s="1"/>
  <c r="I102" i="13" s="1"/>
  <c r="J102" i="13" s="1"/>
  <c r="Q104" i="13"/>
  <c r="R104" i="13" s="1"/>
  <c r="S104" i="13" s="1"/>
  <c r="T104" i="13" s="1"/>
  <c r="U104" i="13" s="1"/>
  <c r="V104" i="13" s="1"/>
  <c r="W104" i="13" s="1"/>
  <c r="Q99" i="13"/>
  <c r="R99" i="13" s="1"/>
  <c r="S99" i="13" s="1"/>
  <c r="T99" i="13" s="1"/>
  <c r="U99" i="13" s="1"/>
  <c r="V99" i="13" s="1"/>
  <c r="W99" i="13" s="1"/>
  <c r="Q103" i="13"/>
  <c r="R103" i="13" s="1"/>
  <c r="S103" i="13" s="1"/>
  <c r="T103" i="13" s="1"/>
  <c r="U103" i="13" s="1"/>
  <c r="V103" i="13" s="1"/>
  <c r="W103" i="13" s="1"/>
  <c r="Q106" i="13"/>
  <c r="R106" i="13" s="1"/>
  <c r="S106" i="13" s="1"/>
  <c r="T106" i="13" s="1"/>
  <c r="U106" i="13" s="1"/>
  <c r="V106" i="13" s="1"/>
  <c r="W106" i="13" s="1"/>
  <c r="D117" i="13"/>
  <c r="E117" i="13" s="1"/>
  <c r="F117" i="13" s="1"/>
  <c r="G117" i="13" s="1"/>
  <c r="H117" i="13" s="1"/>
  <c r="I117" i="13" s="1"/>
  <c r="J117" i="13" s="1"/>
  <c r="Q113" i="13"/>
  <c r="R113" i="13" s="1"/>
  <c r="S113" i="13" s="1"/>
  <c r="T113" i="13" s="1"/>
  <c r="U113" i="13" s="1"/>
  <c r="V113" i="13" s="1"/>
  <c r="W113" i="13" s="1"/>
  <c r="D103" i="13"/>
  <c r="E103" i="13" s="1"/>
  <c r="F103" i="13" s="1"/>
  <c r="G103" i="13" s="1"/>
  <c r="H103" i="13" s="1"/>
  <c r="I103" i="13" s="1"/>
  <c r="J103" i="13" s="1"/>
  <c r="D106" i="13"/>
  <c r="E106" i="13" s="1"/>
  <c r="F106" i="13" s="1"/>
  <c r="G106" i="13" s="1"/>
  <c r="H106" i="13" s="1"/>
  <c r="I106" i="13" s="1"/>
  <c r="J106" i="13" s="1"/>
  <c r="Q109" i="13"/>
  <c r="R109" i="13" s="1"/>
  <c r="S109" i="13" s="1"/>
  <c r="T109" i="13" s="1"/>
  <c r="U109" i="13" s="1"/>
  <c r="V109" i="13" s="1"/>
  <c r="W109" i="13" s="1"/>
  <c r="Q102" i="13"/>
  <c r="R102" i="13" s="1"/>
  <c r="S102" i="13" s="1"/>
  <c r="T102" i="13" s="1"/>
  <c r="U102" i="13" s="1"/>
  <c r="V102" i="13" s="1"/>
  <c r="W102" i="13" s="1"/>
  <c r="Q112" i="13"/>
  <c r="R112" i="13" s="1"/>
  <c r="S112" i="13" s="1"/>
  <c r="T112" i="13" s="1"/>
  <c r="U112" i="13" s="1"/>
  <c r="V112" i="13" s="1"/>
  <c r="W112" i="13" s="1"/>
  <c r="D114" i="13"/>
  <c r="E114" i="13" s="1"/>
  <c r="F114" i="13" s="1"/>
  <c r="G114" i="13" s="1"/>
  <c r="H114" i="13" s="1"/>
  <c r="I114" i="13" s="1"/>
  <c r="J114" i="13" s="1"/>
  <c r="Q110" i="13"/>
  <c r="R110" i="13" s="1"/>
  <c r="S110" i="13" s="1"/>
  <c r="T110" i="13" s="1"/>
  <c r="U110" i="13" s="1"/>
  <c r="V110" i="13" s="1"/>
  <c r="W110" i="13" s="1"/>
  <c r="D112" i="13"/>
  <c r="E112" i="13" s="1"/>
  <c r="F112" i="13" s="1"/>
  <c r="G112" i="13" s="1"/>
  <c r="H112" i="13" s="1"/>
  <c r="I112" i="13" s="1"/>
  <c r="J112" i="13" s="1"/>
  <c r="Q114" i="13"/>
  <c r="R114" i="13" s="1"/>
  <c r="S114" i="13" s="1"/>
  <c r="T114" i="13" s="1"/>
  <c r="U114" i="13" s="1"/>
  <c r="V114" i="13" s="1"/>
  <c r="W114" i="13" s="1"/>
  <c r="Q115" i="13"/>
  <c r="R115" i="13" s="1"/>
  <c r="S115" i="13" s="1"/>
  <c r="T115" i="13" s="1"/>
  <c r="U115" i="13" s="1"/>
  <c r="V115" i="13" s="1"/>
  <c r="W115" i="13" s="1"/>
  <c r="D99" i="13"/>
  <c r="E99" i="13" s="1"/>
  <c r="F99" i="13" s="1"/>
  <c r="G99" i="13" s="1"/>
  <c r="H99" i="13" s="1"/>
  <c r="I99" i="13" s="1"/>
  <c r="J99" i="13" s="1"/>
  <c r="Q107" i="13"/>
  <c r="R107" i="13" s="1"/>
  <c r="S107" i="13" s="1"/>
  <c r="T107" i="13" s="1"/>
  <c r="U107" i="13" s="1"/>
  <c r="V107" i="13" s="1"/>
  <c r="W107" i="13" s="1"/>
  <c r="Q101" i="13"/>
  <c r="R101" i="13" s="1"/>
  <c r="S101" i="13" s="1"/>
  <c r="T101" i="13" s="1"/>
  <c r="U101" i="13" s="1"/>
  <c r="V101" i="13" s="1"/>
  <c r="W101" i="13" s="1"/>
  <c r="D104" i="13"/>
  <c r="E104" i="13" s="1"/>
  <c r="F104" i="13" s="1"/>
  <c r="G104" i="13" s="1"/>
  <c r="H104" i="13" s="1"/>
  <c r="I104" i="13" s="1"/>
  <c r="J104" i="13" s="1"/>
  <c r="Q105" i="13"/>
  <c r="R105" i="13" s="1"/>
  <c r="S105" i="13" s="1"/>
  <c r="T105" i="13" s="1"/>
  <c r="U105" i="13" s="1"/>
  <c r="V105" i="13" s="1"/>
  <c r="W105" i="13" s="1"/>
  <c r="D111" i="13"/>
  <c r="E111" i="13" s="1"/>
  <c r="F111" i="13" s="1"/>
  <c r="G111" i="13" s="1"/>
  <c r="H111" i="13" s="1"/>
  <c r="I111" i="13" s="1"/>
  <c r="J111" i="13" s="1"/>
  <c r="Q111" i="13"/>
  <c r="R111" i="13" s="1"/>
  <c r="S111" i="13" s="1"/>
  <c r="T111" i="13" s="1"/>
  <c r="U111" i="13" s="1"/>
  <c r="V111" i="13" s="1"/>
  <c r="W111" i="13" s="1"/>
  <c r="D109" i="13"/>
  <c r="E109" i="13" s="1"/>
  <c r="F109" i="13" s="1"/>
  <c r="G109" i="13" s="1"/>
  <c r="H109" i="13" s="1"/>
  <c r="I109" i="13" s="1"/>
  <c r="J109" i="13" s="1"/>
  <c r="D113" i="13"/>
  <c r="E113" i="13" s="1"/>
  <c r="F113" i="13" s="1"/>
  <c r="G113" i="13" s="1"/>
  <c r="H113" i="13" s="1"/>
  <c r="I113" i="13" s="1"/>
  <c r="J113" i="13" s="1"/>
  <c r="D101" i="13"/>
  <c r="E101" i="13" s="1"/>
  <c r="F101" i="13" s="1"/>
  <c r="G101" i="13" s="1"/>
  <c r="H101" i="13" s="1"/>
  <c r="I101" i="13" s="1"/>
  <c r="J101" i="13" s="1"/>
  <c r="D110" i="13"/>
  <c r="E110" i="13" s="1"/>
  <c r="F110" i="13" s="1"/>
  <c r="G110" i="13" s="1"/>
  <c r="H110" i="13" s="1"/>
  <c r="I110" i="13" s="1"/>
  <c r="J110" i="13" s="1"/>
  <c r="Q117" i="13"/>
  <c r="R117" i="13" s="1"/>
  <c r="S117" i="13" s="1"/>
  <c r="T117" i="13" s="1"/>
  <c r="U117" i="13" s="1"/>
  <c r="V117" i="13" s="1"/>
  <c r="W117" i="13" s="1"/>
  <c r="U49" i="13"/>
  <c r="I49" i="13"/>
  <c r="V49" i="13" s="1"/>
  <c r="D136" i="13"/>
  <c r="E136" i="13" s="1"/>
  <c r="F136" i="13" s="1"/>
  <c r="G136" i="13" s="1"/>
  <c r="H136" i="13" s="1"/>
  <c r="I136" i="13" s="1"/>
  <c r="J136" i="13" s="1"/>
  <c r="Q131" i="13"/>
  <c r="R131" i="13" s="1"/>
  <c r="S131" i="13" s="1"/>
  <c r="T131" i="13" s="1"/>
  <c r="U131" i="13" s="1"/>
  <c r="V131" i="13" s="1"/>
  <c r="W131" i="13" s="1"/>
  <c r="D132" i="13"/>
  <c r="E132" i="13" s="1"/>
  <c r="F132" i="13" s="1"/>
  <c r="G132" i="13" s="1"/>
  <c r="H132" i="13" s="1"/>
  <c r="I132" i="13" s="1"/>
  <c r="J132" i="13" s="1"/>
  <c r="Q138" i="13"/>
  <c r="R138" i="13" s="1"/>
  <c r="S138" i="13" s="1"/>
  <c r="T138" i="13" s="1"/>
  <c r="U138" i="13" s="1"/>
  <c r="V138" i="13" s="1"/>
  <c r="W138" i="13" s="1"/>
  <c r="D131" i="13"/>
  <c r="E131" i="13" s="1"/>
  <c r="F131" i="13" s="1"/>
  <c r="G131" i="13" s="1"/>
  <c r="H131" i="13" s="1"/>
  <c r="I131" i="13" s="1"/>
  <c r="J131" i="13" s="1"/>
  <c r="Q141" i="13"/>
  <c r="R141" i="13" s="1"/>
  <c r="S141" i="13" s="1"/>
  <c r="T141" i="13" s="1"/>
  <c r="U141" i="13" s="1"/>
  <c r="V141" i="13" s="1"/>
  <c r="W141" i="13" s="1"/>
  <c r="D128" i="13"/>
  <c r="E128" i="13" s="1"/>
  <c r="F128" i="13" s="1"/>
  <c r="G128" i="13" s="1"/>
  <c r="H128" i="13" s="1"/>
  <c r="I128" i="13" s="1"/>
  <c r="J128" i="13" s="1"/>
  <c r="Q134" i="13"/>
  <c r="R134" i="13" s="1"/>
  <c r="S134" i="13" s="1"/>
  <c r="T134" i="13" s="1"/>
  <c r="U134" i="13" s="1"/>
  <c r="V134" i="13" s="1"/>
  <c r="W134" i="13" s="1"/>
  <c r="D138" i="13"/>
  <c r="E138" i="13" s="1"/>
  <c r="F138" i="13" s="1"/>
  <c r="G138" i="13" s="1"/>
  <c r="H138" i="13" s="1"/>
  <c r="I138" i="13" s="1"/>
  <c r="J138" i="13" s="1"/>
  <c r="Q132" i="13"/>
  <c r="R132" i="13" s="1"/>
  <c r="S132" i="13" s="1"/>
  <c r="T132" i="13" s="1"/>
  <c r="U132" i="13" s="1"/>
  <c r="V132" i="13" s="1"/>
  <c r="W132" i="13" s="1"/>
  <c r="D137" i="13"/>
  <c r="E137" i="13" s="1"/>
  <c r="F137" i="13" s="1"/>
  <c r="G137" i="13" s="1"/>
  <c r="H137" i="13" s="1"/>
  <c r="I137" i="13" s="1"/>
  <c r="J137" i="13" s="1"/>
  <c r="Q142" i="13"/>
  <c r="R142" i="13" s="1"/>
  <c r="S142" i="13" s="1"/>
  <c r="T142" i="13" s="1"/>
  <c r="U142" i="13" s="1"/>
  <c r="V142" i="13" s="1"/>
  <c r="W142" i="13" s="1"/>
  <c r="D139" i="13"/>
  <c r="E139" i="13" s="1"/>
  <c r="F139" i="13" s="1"/>
  <c r="G139" i="13" s="1"/>
  <c r="H139" i="13" s="1"/>
  <c r="I139" i="13" s="1"/>
  <c r="J139" i="13" s="1"/>
  <c r="D130" i="13"/>
  <c r="E130" i="13" s="1"/>
  <c r="F130" i="13" s="1"/>
  <c r="G130" i="13" s="1"/>
  <c r="H130" i="13" s="1"/>
  <c r="I130" i="13" s="1"/>
  <c r="J130" i="13" s="1"/>
  <c r="D126" i="13"/>
  <c r="E126" i="13" s="1"/>
  <c r="F126" i="13" s="1"/>
  <c r="G126" i="13" s="1"/>
  <c r="H126" i="13" s="1"/>
  <c r="I126" i="13" s="1"/>
  <c r="J126" i="13" s="1"/>
  <c r="Q124" i="13"/>
  <c r="R124" i="13" s="1"/>
  <c r="S124" i="13" s="1"/>
  <c r="T124" i="13" s="1"/>
  <c r="U124" i="13" s="1"/>
  <c r="V124" i="13" s="1"/>
  <c r="W124" i="13" s="1"/>
  <c r="Q137" i="13"/>
  <c r="R137" i="13" s="1"/>
  <c r="S137" i="13" s="1"/>
  <c r="T137" i="13" s="1"/>
  <c r="U137" i="13" s="1"/>
  <c r="V137" i="13" s="1"/>
  <c r="W137" i="13" s="1"/>
  <c r="D124" i="13"/>
  <c r="E124" i="13" s="1"/>
  <c r="F124" i="13" s="1"/>
  <c r="G124" i="13" s="1"/>
  <c r="H124" i="13" s="1"/>
  <c r="I124" i="13" s="1"/>
  <c r="J124" i="13" s="1"/>
  <c r="Q133" i="13"/>
  <c r="R133" i="13" s="1"/>
  <c r="S133" i="13" s="1"/>
  <c r="T133" i="13" s="1"/>
  <c r="U133" i="13" s="1"/>
  <c r="V133" i="13" s="1"/>
  <c r="W133" i="13" s="1"/>
  <c r="D142" i="13"/>
  <c r="E142" i="13" s="1"/>
  <c r="F142" i="13" s="1"/>
  <c r="G142" i="13" s="1"/>
  <c r="H142" i="13" s="1"/>
  <c r="I142" i="13" s="1"/>
  <c r="J142" i="13" s="1"/>
  <c r="Q140" i="13"/>
  <c r="R140" i="13" s="1"/>
  <c r="S140" i="13" s="1"/>
  <c r="T140" i="13" s="1"/>
  <c r="U140" i="13" s="1"/>
  <c r="V140" i="13" s="1"/>
  <c r="W140" i="13" s="1"/>
  <c r="D134" i="13"/>
  <c r="E134" i="13" s="1"/>
  <c r="F134" i="13" s="1"/>
  <c r="G134" i="13" s="1"/>
  <c r="H134" i="13" s="1"/>
  <c r="I134" i="13" s="1"/>
  <c r="J134" i="13" s="1"/>
  <c r="D129" i="13"/>
  <c r="E129" i="13" s="1"/>
  <c r="F129" i="13" s="1"/>
  <c r="G129" i="13" s="1"/>
  <c r="H129" i="13" s="1"/>
  <c r="I129" i="13" s="1"/>
  <c r="J129" i="13" s="1"/>
  <c r="Q125" i="13"/>
  <c r="R125" i="13" s="1"/>
  <c r="S125" i="13" s="1"/>
  <c r="T125" i="13" s="1"/>
  <c r="U125" i="13" s="1"/>
  <c r="V125" i="13" s="1"/>
  <c r="W125" i="13" s="1"/>
  <c r="D140" i="13"/>
  <c r="E140" i="13" s="1"/>
  <c r="F140" i="13" s="1"/>
  <c r="G140" i="13" s="1"/>
  <c r="H140" i="13" s="1"/>
  <c r="I140" i="13" s="1"/>
  <c r="J140" i="13" s="1"/>
  <c r="Q126" i="13"/>
  <c r="R126" i="13" s="1"/>
  <c r="S126" i="13" s="1"/>
  <c r="T126" i="13" s="1"/>
  <c r="U126" i="13" s="1"/>
  <c r="V126" i="13" s="1"/>
  <c r="W126" i="13" s="1"/>
  <c r="D135" i="13"/>
  <c r="E135" i="13" s="1"/>
  <c r="F135" i="13" s="1"/>
  <c r="G135" i="13" s="1"/>
  <c r="H135" i="13" s="1"/>
  <c r="I135" i="13" s="1"/>
  <c r="J135" i="13" s="1"/>
  <c r="Q123" i="13"/>
  <c r="R123" i="13" s="1"/>
  <c r="S123" i="13" s="1"/>
  <c r="T123" i="13" s="1"/>
  <c r="U123" i="13" s="1"/>
  <c r="V123" i="13" s="1"/>
  <c r="W123" i="13" s="1"/>
  <c r="Q136" i="13"/>
  <c r="R136" i="13" s="1"/>
  <c r="S136" i="13" s="1"/>
  <c r="T136" i="13" s="1"/>
  <c r="U136" i="13" s="1"/>
  <c r="V136" i="13" s="1"/>
  <c r="W136" i="13" s="1"/>
  <c r="Q139" i="13"/>
  <c r="R139" i="13" s="1"/>
  <c r="S139" i="13" s="1"/>
  <c r="T139" i="13" s="1"/>
  <c r="U139" i="13" s="1"/>
  <c r="V139" i="13" s="1"/>
  <c r="W139" i="13" s="1"/>
  <c r="Q128" i="13"/>
  <c r="R128" i="13" s="1"/>
  <c r="S128" i="13" s="1"/>
  <c r="T128" i="13" s="1"/>
  <c r="U128" i="13" s="1"/>
  <c r="V128" i="13" s="1"/>
  <c r="W128" i="13" s="1"/>
  <c r="D127" i="13"/>
  <c r="E127" i="13" s="1"/>
  <c r="F127" i="13" s="1"/>
  <c r="G127" i="13" s="1"/>
  <c r="H127" i="13" s="1"/>
  <c r="I127" i="13" s="1"/>
  <c r="J127" i="13" s="1"/>
  <c r="D141" i="13"/>
  <c r="E141" i="13" s="1"/>
  <c r="F141" i="13" s="1"/>
  <c r="G141" i="13" s="1"/>
  <c r="H141" i="13" s="1"/>
  <c r="I141" i="13" s="1"/>
  <c r="J141" i="13" s="1"/>
  <c r="D133" i="13"/>
  <c r="E133" i="13" s="1"/>
  <c r="F133" i="13" s="1"/>
  <c r="G133" i="13" s="1"/>
  <c r="H133" i="13" s="1"/>
  <c r="I133" i="13" s="1"/>
  <c r="J133" i="13" s="1"/>
  <c r="Q129" i="13"/>
  <c r="R129" i="13" s="1"/>
  <c r="S129" i="13" s="1"/>
  <c r="T129" i="13" s="1"/>
  <c r="U129" i="13" s="1"/>
  <c r="V129" i="13" s="1"/>
  <c r="W129" i="13" s="1"/>
  <c r="Q130" i="13"/>
  <c r="R130" i="13" s="1"/>
  <c r="S130" i="13" s="1"/>
  <c r="T130" i="13" s="1"/>
  <c r="U130" i="13" s="1"/>
  <c r="V130" i="13" s="1"/>
  <c r="W130" i="13" s="1"/>
  <c r="D125" i="13"/>
  <c r="E125" i="13" s="1"/>
  <c r="F125" i="13" s="1"/>
  <c r="G125" i="13" s="1"/>
  <c r="H125" i="13" s="1"/>
  <c r="I125" i="13" s="1"/>
  <c r="J125" i="13" s="1"/>
  <c r="Q127" i="13"/>
  <c r="R127" i="13" s="1"/>
  <c r="S127" i="13" s="1"/>
  <c r="T127" i="13" s="1"/>
  <c r="U127" i="13" s="1"/>
  <c r="V127" i="13" s="1"/>
  <c r="W127" i="13" s="1"/>
  <c r="Q135" i="13"/>
  <c r="R135" i="13" s="1"/>
  <c r="S135" i="13" s="1"/>
  <c r="T135" i="13" s="1"/>
  <c r="U135" i="13" s="1"/>
  <c r="V135" i="13" s="1"/>
  <c r="W135" i="13" s="1"/>
  <c r="D123" i="13"/>
  <c r="E123" i="13" s="1"/>
  <c r="F123" i="13" s="1"/>
  <c r="G123" i="13" s="1"/>
  <c r="H123" i="13" s="1"/>
  <c r="I123" i="13" s="1"/>
  <c r="J123" i="13" s="1"/>
  <c r="G53" i="13"/>
  <c r="D53" i="13"/>
  <c r="E53" i="13" s="1"/>
  <c r="F53" i="13"/>
  <c r="K69" i="13"/>
  <c r="I69" i="13"/>
  <c r="J69" i="13" s="1"/>
  <c r="L69" i="13"/>
  <c r="D69" i="13"/>
  <c r="E69" i="13" s="1"/>
  <c r="F69" i="13"/>
  <c r="G69" i="13"/>
  <c r="E193" i="15"/>
  <c r="E105" i="15"/>
  <c r="C462" i="15" s="1"/>
  <c r="E19" i="15"/>
  <c r="BL145" i="5"/>
  <c r="B28" i="15" s="1"/>
  <c r="BH129" i="5"/>
  <c r="BH130" i="5"/>
  <c r="BH143" i="5"/>
  <c r="BH123" i="5"/>
  <c r="BH138" i="5"/>
  <c r="BH145" i="5"/>
  <c r="BH142" i="5"/>
  <c r="BH137" i="5"/>
  <c r="BH125" i="5"/>
  <c r="BH134" i="5"/>
  <c r="BH144" i="5"/>
  <c r="BH126" i="5"/>
  <c r="BH124" i="5"/>
  <c r="BH122" i="5"/>
  <c r="BH131" i="5"/>
  <c r="BH139" i="5"/>
  <c r="BO133" i="5"/>
  <c r="BN133" i="5"/>
  <c r="BL133" i="5"/>
  <c r="B16" i="15" s="1"/>
  <c r="BM129" i="5"/>
  <c r="C12" i="15" s="1"/>
  <c r="BQ129" i="5"/>
  <c r="C186" i="15" s="1"/>
  <c r="BP129" i="5"/>
  <c r="BQ128" i="5"/>
  <c r="BP128" i="5"/>
  <c r="BM128" i="5"/>
  <c r="C11" i="15" s="1"/>
  <c r="BP132" i="5"/>
  <c r="BM132" i="5"/>
  <c r="C15" i="15" s="1"/>
  <c r="BQ132" i="5"/>
  <c r="BQ127" i="5"/>
  <c r="BP127" i="5"/>
  <c r="BM127" i="5"/>
  <c r="C10" i="15" s="1"/>
  <c r="BN130" i="5"/>
  <c r="BL130" i="5"/>
  <c r="B13" i="15" s="1"/>
  <c r="BO130" i="5"/>
  <c r="BQ138" i="5"/>
  <c r="BM138" i="5"/>
  <c r="C21" i="15" s="1"/>
  <c r="BP138" i="5"/>
  <c r="BQ141" i="5"/>
  <c r="BP141" i="5"/>
  <c r="BM141" i="5"/>
  <c r="C24" i="15" s="1"/>
  <c r="BM131" i="5"/>
  <c r="C14" i="15" s="1"/>
  <c r="BP131" i="5"/>
  <c r="BQ131" i="5"/>
  <c r="BM139" i="5"/>
  <c r="C22" i="15" s="1"/>
  <c r="BQ139" i="5"/>
  <c r="BP139" i="5"/>
  <c r="BN132" i="5"/>
  <c r="BL132" i="5"/>
  <c r="B15" i="15" s="1"/>
  <c r="BO132" i="5"/>
  <c r="BP142" i="5"/>
  <c r="BQ142" i="5"/>
  <c r="BM142" i="5"/>
  <c r="C25" i="15" s="1"/>
  <c r="BH127" i="5"/>
  <c r="BH141" i="5"/>
  <c r="BL144" i="5"/>
  <c r="B27" i="15" s="1"/>
  <c r="BO144" i="5"/>
  <c r="BN144" i="5"/>
  <c r="BO131" i="5"/>
  <c r="BL131" i="5"/>
  <c r="B14" i="15" s="1"/>
  <c r="BN131" i="5"/>
  <c r="BH132" i="5"/>
  <c r="BP140" i="5"/>
  <c r="BQ140" i="5"/>
  <c r="BM140" i="5"/>
  <c r="C23" i="15" s="1"/>
  <c r="BO127" i="5"/>
  <c r="BL127" i="5"/>
  <c r="B10" i="15" s="1"/>
  <c r="BN127" i="5"/>
  <c r="BP124" i="5"/>
  <c r="BM124" i="5"/>
  <c r="C7" i="15" s="1"/>
  <c r="BQ124" i="5"/>
  <c r="BO141" i="5"/>
  <c r="BN141" i="5"/>
  <c r="BL141" i="5"/>
  <c r="B24" i="15" s="1"/>
  <c r="BN145" i="5"/>
  <c r="BO145" i="5"/>
  <c r="BO125" i="5"/>
  <c r="BN125" i="5"/>
  <c r="BL125" i="5"/>
  <c r="B8" i="15" s="1"/>
  <c r="BH133" i="5"/>
  <c r="BM144" i="5"/>
  <c r="C27" i="15" s="1"/>
  <c r="BQ144" i="5"/>
  <c r="BP144" i="5"/>
  <c r="BO139" i="5"/>
  <c r="BN139" i="5"/>
  <c r="BL139" i="5"/>
  <c r="B22" i="15" s="1"/>
  <c r="BQ135" i="5"/>
  <c r="BP135" i="5"/>
  <c r="BM135" i="5"/>
  <c r="C18" i="15" s="1"/>
  <c r="BN140" i="5"/>
  <c r="BL140" i="5"/>
  <c r="B23" i="15" s="1"/>
  <c r="BO140" i="5"/>
  <c r="BQ143" i="5"/>
  <c r="BP143" i="5"/>
  <c r="BM143" i="5"/>
  <c r="C26" i="15" s="1"/>
  <c r="BQ136" i="5"/>
  <c r="BP136" i="5"/>
  <c r="BM136" i="5"/>
  <c r="C19" i="15" s="1"/>
  <c r="BN138" i="5"/>
  <c r="BL138" i="5"/>
  <c r="B21" i="15" s="1"/>
  <c r="BO138" i="5"/>
  <c r="BM123" i="5"/>
  <c r="C6" i="15" s="1"/>
  <c r="BP123" i="5"/>
  <c r="BQ123" i="5"/>
  <c r="BO126" i="5"/>
  <c r="BN126" i="5"/>
  <c r="BL126" i="5"/>
  <c r="B9" i="15" s="1"/>
  <c r="BQ125" i="5"/>
  <c r="BM125" i="5"/>
  <c r="C8" i="15" s="1"/>
  <c r="BP125" i="5"/>
  <c r="BQ133" i="5"/>
  <c r="BM133" i="5"/>
  <c r="C16" i="15" s="1"/>
  <c r="BP133" i="5"/>
  <c r="BO123" i="5"/>
  <c r="BL123" i="5"/>
  <c r="B6" i="15" s="1"/>
  <c r="BN123" i="5"/>
  <c r="BH135" i="5"/>
  <c r="BH140" i="5"/>
  <c r="BM137" i="5"/>
  <c r="C20" i="15" s="1"/>
  <c r="BQ137" i="5"/>
  <c r="BP137" i="5"/>
  <c r="BP126" i="5"/>
  <c r="BM126" i="5"/>
  <c r="C9" i="15" s="1"/>
  <c r="BQ126" i="5"/>
  <c r="BO134" i="5"/>
  <c r="BN134" i="5"/>
  <c r="BL134" i="5"/>
  <c r="B17" i="15" s="1"/>
  <c r="BO135" i="5"/>
  <c r="BN135" i="5"/>
  <c r="BL135" i="5"/>
  <c r="B18" i="15" s="1"/>
  <c r="BN137" i="5"/>
  <c r="BO137" i="5"/>
  <c r="BL137" i="5"/>
  <c r="B20" i="15" s="1"/>
  <c r="BL128" i="5"/>
  <c r="B11" i="15" s="1"/>
  <c r="BO128" i="5"/>
  <c r="BN128" i="5"/>
  <c r="BQ122" i="5"/>
  <c r="BP122" i="5"/>
  <c r="BM122" i="5"/>
  <c r="C5" i="15" s="1"/>
  <c r="BL136" i="5"/>
  <c r="B19" i="15" s="1"/>
  <c r="BO136" i="5"/>
  <c r="BN136" i="5"/>
  <c r="BO143" i="5"/>
  <c r="BN143" i="5"/>
  <c r="BL143" i="5"/>
  <c r="B26" i="15" s="1"/>
  <c r="BH128" i="5"/>
  <c r="BN129" i="5"/>
  <c r="BO129" i="5"/>
  <c r="BL129" i="5"/>
  <c r="B12" i="15" s="1"/>
  <c r="BH136" i="5"/>
  <c r="BM145" i="5"/>
  <c r="C28" i="15" s="1"/>
  <c r="BQ145" i="5"/>
  <c r="BP145" i="5"/>
  <c r="BN124" i="5"/>
  <c r="BL124" i="5"/>
  <c r="B7" i="15" s="1"/>
  <c r="BO124" i="5"/>
  <c r="BP134" i="5"/>
  <c r="BQ134" i="5"/>
  <c r="BM134" i="5"/>
  <c r="C17" i="15" s="1"/>
  <c r="BO142" i="5"/>
  <c r="BN142" i="5"/>
  <c r="BL142" i="5"/>
  <c r="B25" i="15" s="1"/>
  <c r="BN122" i="5"/>
  <c r="BL122" i="5"/>
  <c r="B5" i="15" s="1"/>
  <c r="BO122" i="5"/>
  <c r="BQ130" i="5"/>
  <c r="BP130" i="5"/>
  <c r="B187" i="15" s="1"/>
  <c r="BM130" i="5"/>
  <c r="C13" i="15" s="1"/>
  <c r="O8" i="16"/>
  <c r="B643" i="15" l="1"/>
  <c r="B638" i="15"/>
  <c r="D271" i="15"/>
  <c r="K271" i="15" s="1"/>
  <c r="E271" i="15"/>
  <c r="G271" i="15"/>
  <c r="F271" i="15"/>
  <c r="V271" i="15" s="1"/>
  <c r="Z25" i="13"/>
  <c r="P48" i="13" s="1"/>
  <c r="B634" i="15"/>
  <c r="B624" i="15"/>
  <c r="B630" i="15"/>
  <c r="Z9" i="13"/>
  <c r="P55" i="13" s="1"/>
  <c r="AA22" i="13"/>
  <c r="U68" i="13" s="1"/>
  <c r="AX46" i="22"/>
  <c r="BH50" i="22" s="1"/>
  <c r="I669" i="15"/>
  <c r="P626" i="15"/>
  <c r="Z18" i="13"/>
  <c r="P64" i="13" s="1"/>
  <c r="Q64" i="13" s="1"/>
  <c r="R64" i="13" s="1"/>
  <c r="X56" i="13"/>
  <c r="V56" i="13"/>
  <c r="W56" i="13" s="1"/>
  <c r="AA19" i="13"/>
  <c r="U65" i="13" s="1"/>
  <c r="V65" i="13" s="1"/>
  <c r="W65" i="13" s="1"/>
  <c r="Z11" i="13"/>
  <c r="AF104" i="13" s="1"/>
  <c r="AG104" i="13" s="1"/>
  <c r="AH104" i="13" s="1"/>
  <c r="AI104" i="13" s="1"/>
  <c r="AJ104" i="13" s="1"/>
  <c r="AK104" i="13" s="1"/>
  <c r="AL104" i="13" s="1"/>
  <c r="AM104" i="13" s="1"/>
  <c r="AP104" i="13" s="1"/>
  <c r="AL175" i="13"/>
  <c r="AN175" i="13" s="1"/>
  <c r="T10" i="13"/>
  <c r="W10" i="13" s="1"/>
  <c r="AS127" i="13"/>
  <c r="AT127" i="13" s="1"/>
  <c r="AU127" i="13" s="1"/>
  <c r="AV127" i="13" s="1"/>
  <c r="AW127" i="13" s="1"/>
  <c r="AX127" i="13" s="1"/>
  <c r="AY127" i="13" s="1"/>
  <c r="AZ127" i="13" s="1"/>
  <c r="BC127" i="13" s="1"/>
  <c r="Z8" i="13"/>
  <c r="P8" i="13" s="1"/>
  <c r="S8" i="13" s="1"/>
  <c r="AA11" i="13"/>
  <c r="AS128" i="13" s="1"/>
  <c r="AT128" i="13" s="1"/>
  <c r="AU128" i="13" s="1"/>
  <c r="AV128" i="13" s="1"/>
  <c r="AW128" i="13" s="1"/>
  <c r="AX128" i="13" s="1"/>
  <c r="AY128" i="13" s="1"/>
  <c r="AZ128" i="13" s="1"/>
  <c r="Z6" i="13"/>
  <c r="AF123" i="13" s="1"/>
  <c r="AG123" i="13" s="1"/>
  <c r="AH123" i="13" s="1"/>
  <c r="AI123" i="13" s="1"/>
  <c r="AJ123" i="13" s="1"/>
  <c r="AK123" i="13" s="1"/>
  <c r="AL123" i="13" s="1"/>
  <c r="AM123" i="13" s="1"/>
  <c r="AO123" i="13" s="1"/>
  <c r="Z24" i="13"/>
  <c r="P24" i="13" s="1"/>
  <c r="Z15" i="13"/>
  <c r="AL156" i="13" s="1"/>
  <c r="Z16" i="13"/>
  <c r="P62" i="13" s="1"/>
  <c r="AA16" i="13"/>
  <c r="U62" i="13" s="1"/>
  <c r="V62" i="13" s="1"/>
  <c r="W62" i="13" s="1"/>
  <c r="Z17" i="13"/>
  <c r="P63" i="13" s="1"/>
  <c r="AA8" i="13"/>
  <c r="U77" i="13" s="1"/>
  <c r="W77" i="13" s="1"/>
  <c r="Z7" i="13"/>
  <c r="P53" i="13" s="1"/>
  <c r="S53" i="13" s="1"/>
  <c r="AA25" i="13"/>
  <c r="AS118" i="13" s="1"/>
  <c r="AT118" i="13" s="1"/>
  <c r="AU118" i="13" s="1"/>
  <c r="AV118" i="13" s="1"/>
  <c r="AW118" i="13" s="1"/>
  <c r="AX118" i="13" s="1"/>
  <c r="AY118" i="13" s="1"/>
  <c r="AZ118" i="13" s="1"/>
  <c r="BE118" i="13" s="1"/>
  <c r="Z23" i="13"/>
  <c r="AF140" i="13" s="1"/>
  <c r="AG140" i="13" s="1"/>
  <c r="AH140" i="13" s="1"/>
  <c r="AI140" i="13" s="1"/>
  <c r="AJ140" i="13" s="1"/>
  <c r="AK140" i="13" s="1"/>
  <c r="AL140" i="13" s="1"/>
  <c r="AM140" i="13" s="1"/>
  <c r="AO140" i="13" s="1"/>
  <c r="Z14" i="13"/>
  <c r="Q83" i="13" s="1"/>
  <c r="Z19" i="13"/>
  <c r="P65" i="13" s="1"/>
  <c r="AA13" i="13"/>
  <c r="T36" i="13" s="1"/>
  <c r="W36" i="13" s="1"/>
  <c r="AA23" i="13"/>
  <c r="T23" i="13" s="1"/>
  <c r="W23" i="13" s="1"/>
  <c r="AA24" i="13"/>
  <c r="U70" i="13" s="1"/>
  <c r="Y70" i="13" s="1"/>
  <c r="Z12" i="13"/>
  <c r="AF105" i="13" s="1"/>
  <c r="AG105" i="13" s="1"/>
  <c r="AH105" i="13" s="1"/>
  <c r="AI105" i="13" s="1"/>
  <c r="AJ105" i="13" s="1"/>
  <c r="AK105" i="13" s="1"/>
  <c r="AL105" i="13" s="1"/>
  <c r="AM105" i="13" s="1"/>
  <c r="AA9" i="13"/>
  <c r="AS126" i="13" s="1"/>
  <c r="AT126" i="13" s="1"/>
  <c r="AU126" i="13" s="1"/>
  <c r="AV126" i="13" s="1"/>
  <c r="AW126" i="13" s="1"/>
  <c r="AX126" i="13" s="1"/>
  <c r="AY126" i="13" s="1"/>
  <c r="AZ126" i="13" s="1"/>
  <c r="BB126" i="13" s="1"/>
  <c r="AA20" i="13"/>
  <c r="AL185" i="13" s="1"/>
  <c r="Z10" i="13"/>
  <c r="AF103" i="13" s="1"/>
  <c r="AG103" i="13" s="1"/>
  <c r="AH103" i="13" s="1"/>
  <c r="AI103" i="13" s="1"/>
  <c r="AJ103" i="13" s="1"/>
  <c r="AK103" i="13" s="1"/>
  <c r="AL103" i="13" s="1"/>
  <c r="AM103" i="13" s="1"/>
  <c r="AP103" i="13" s="1"/>
  <c r="AA14" i="13"/>
  <c r="T37" i="13" s="1"/>
  <c r="W37" i="13" s="1"/>
  <c r="Z21" i="13"/>
  <c r="P44" i="13" s="1"/>
  <c r="S44" i="13" s="1"/>
  <c r="AA12" i="13"/>
  <c r="U81" i="13" s="1"/>
  <c r="W81" i="13" s="1"/>
  <c r="Z22" i="13"/>
  <c r="AL163" i="13" s="1"/>
  <c r="AA15" i="13"/>
  <c r="U61" i="13" s="1"/>
  <c r="V61" i="13" s="1"/>
  <c r="W61" i="13" s="1"/>
  <c r="AA6" i="13"/>
  <c r="U52" i="13" s="1"/>
  <c r="X52" i="13" s="1"/>
  <c r="Z20" i="13"/>
  <c r="P66" i="13" s="1"/>
  <c r="Q66" i="13" s="1"/>
  <c r="R66" i="13" s="1"/>
  <c r="AA17" i="13"/>
  <c r="U63" i="13" s="1"/>
  <c r="Y63" i="13" s="1"/>
  <c r="AA21" i="13"/>
  <c r="AA18" i="13"/>
  <c r="AS111" i="13" s="1"/>
  <c r="AT111" i="13" s="1"/>
  <c r="AU111" i="13" s="1"/>
  <c r="AV111" i="13" s="1"/>
  <c r="AW111" i="13" s="1"/>
  <c r="AX111" i="13" s="1"/>
  <c r="AY111" i="13" s="1"/>
  <c r="AZ111" i="13" s="1"/>
  <c r="BB111" i="13" s="1"/>
  <c r="AA7" i="13"/>
  <c r="AL172" i="13" s="1"/>
  <c r="T33" i="13"/>
  <c r="W33" i="13" s="1"/>
  <c r="AS103" i="13"/>
  <c r="AT103" i="13" s="1"/>
  <c r="AU103" i="13" s="1"/>
  <c r="AV103" i="13" s="1"/>
  <c r="AW103" i="13" s="1"/>
  <c r="AX103" i="13" s="1"/>
  <c r="AY103" i="13" s="1"/>
  <c r="AZ103" i="13" s="1"/>
  <c r="BC103" i="13" s="1"/>
  <c r="U79" i="13"/>
  <c r="W79" i="13" s="1"/>
  <c r="AX1" i="21"/>
  <c r="BH4" i="21" s="1"/>
  <c r="BH7" i="21" s="1"/>
  <c r="BH8" i="21" s="1"/>
  <c r="AX1" i="18"/>
  <c r="BH4" i="18" s="1"/>
  <c r="BH6" i="18" s="1"/>
  <c r="BH9" i="18" s="1"/>
  <c r="AX1" i="20"/>
  <c r="BH4" i="20" s="1"/>
  <c r="BH15" i="20" s="1"/>
  <c r="AX1" i="19"/>
  <c r="BH4" i="19" s="1"/>
  <c r="BH7" i="19" s="1"/>
  <c r="BH8" i="19" s="1"/>
  <c r="BT1" i="17"/>
  <c r="BI1" i="17"/>
  <c r="CF17" i="17" s="1"/>
  <c r="BK1" i="17"/>
  <c r="AX1" i="22"/>
  <c r="BH4" i="22" s="1"/>
  <c r="BI7" i="22" s="1"/>
  <c r="BR1" i="17"/>
  <c r="CF18" i="17" s="1"/>
  <c r="E45" i="14"/>
  <c r="F45" i="14" s="1"/>
  <c r="BI150" i="5"/>
  <c r="BI161" i="5"/>
  <c r="BI154" i="5"/>
  <c r="BI158" i="5"/>
  <c r="BI155" i="5"/>
  <c r="N32" i="15"/>
  <c r="H74" i="15" s="1"/>
  <c r="BI160" i="5"/>
  <c r="BI151" i="5"/>
  <c r="BI146" i="5"/>
  <c r="BI159" i="5"/>
  <c r="U31" i="14"/>
  <c r="V31" i="14"/>
  <c r="AG294" i="15"/>
  <c r="C560" i="15"/>
  <c r="C384" i="15"/>
  <c r="H340" i="15"/>
  <c r="AH294" i="15"/>
  <c r="AI294" i="15"/>
  <c r="AJ294" i="15"/>
  <c r="AK294" i="15"/>
  <c r="AL294" i="15"/>
  <c r="AM294" i="15"/>
  <c r="AN294" i="15"/>
  <c r="AO294" i="15"/>
  <c r="AP294" i="15"/>
  <c r="AQ294" i="15"/>
  <c r="Z41" i="14"/>
  <c r="AA41" i="14"/>
  <c r="B129" i="15"/>
  <c r="AA129" i="15"/>
  <c r="Y129" i="15" s="1"/>
  <c r="C129" i="15"/>
  <c r="D486" i="15"/>
  <c r="W217" i="15"/>
  <c r="V217" i="15" s="1"/>
  <c r="T31" i="14"/>
  <c r="K32" i="15"/>
  <c r="B74" i="15" s="1"/>
  <c r="R74" i="15" s="1"/>
  <c r="Q32" i="15"/>
  <c r="X74" i="15" s="1"/>
  <c r="AA74" i="15" s="1"/>
  <c r="AD74" i="15" s="1"/>
  <c r="T32" i="15"/>
  <c r="V74" i="15" s="1"/>
  <c r="L32" i="15"/>
  <c r="E74" i="15" s="1"/>
  <c r="R32" i="15"/>
  <c r="AE74" i="15" s="1"/>
  <c r="AH74" i="15" s="1"/>
  <c r="I32" i="15"/>
  <c r="G74" i="15" s="1"/>
  <c r="J74" i="15" s="1"/>
  <c r="M74" i="15" s="1"/>
  <c r="O32" i="15"/>
  <c r="W32" i="15"/>
  <c r="V32" i="15"/>
  <c r="S32" i="15"/>
  <c r="S74" i="15" s="1"/>
  <c r="AI74" i="15" s="1"/>
  <c r="H32" i="15"/>
  <c r="C74" i="15" s="1"/>
  <c r="F74" i="15" s="1"/>
  <c r="U32" i="15"/>
  <c r="AC74" i="15" s="1"/>
  <c r="M32" i="15"/>
  <c r="L74" i="15" s="1"/>
  <c r="P32" i="15"/>
  <c r="T74" i="15" s="1"/>
  <c r="W74" i="15" s="1"/>
  <c r="J32" i="15"/>
  <c r="N74" i="15" s="1"/>
  <c r="Q74" i="15" s="1"/>
  <c r="I44" i="15"/>
  <c r="G86" i="15" s="1"/>
  <c r="J86" i="15" s="1"/>
  <c r="M86" i="15" s="1"/>
  <c r="V44" i="15"/>
  <c r="J44" i="15"/>
  <c r="N86" i="15" s="1"/>
  <c r="Q86" i="15" s="1"/>
  <c r="W44" i="15"/>
  <c r="O44" i="15"/>
  <c r="N44" i="15"/>
  <c r="U44" i="15"/>
  <c r="AC86" i="15" s="1"/>
  <c r="Q44" i="15"/>
  <c r="X86" i="15" s="1"/>
  <c r="AA86" i="15" s="1"/>
  <c r="AD86" i="15" s="1"/>
  <c r="M44" i="15"/>
  <c r="K86" i="15" s="1"/>
  <c r="T44" i="15"/>
  <c r="U86" i="15" s="1"/>
  <c r="R44" i="15"/>
  <c r="AE86" i="15" s="1"/>
  <c r="AH86" i="15" s="1"/>
  <c r="L44" i="15"/>
  <c r="E86" i="15" s="1"/>
  <c r="S44" i="15"/>
  <c r="S86" i="15" s="1"/>
  <c r="AI86" i="15" s="1"/>
  <c r="H44" i="15"/>
  <c r="C86" i="15" s="1"/>
  <c r="F86" i="15" s="1"/>
  <c r="P44" i="15"/>
  <c r="T86" i="15" s="1"/>
  <c r="W86" i="15" s="1"/>
  <c r="K44" i="15"/>
  <c r="B86" i="15" s="1"/>
  <c r="R86" i="15" s="1"/>
  <c r="I31" i="15"/>
  <c r="G73" i="15" s="1"/>
  <c r="J73" i="15" s="1"/>
  <c r="M73" i="15" s="1"/>
  <c r="P31" i="15"/>
  <c r="T73" i="15" s="1"/>
  <c r="W73" i="15" s="1"/>
  <c r="H31" i="15"/>
  <c r="C73" i="15" s="1"/>
  <c r="F73" i="15" s="1"/>
  <c r="Q31" i="15"/>
  <c r="X73" i="15" s="1"/>
  <c r="AA73" i="15" s="1"/>
  <c r="AD73" i="15" s="1"/>
  <c r="Y38" i="14"/>
  <c r="AA38" i="14"/>
  <c r="U35" i="15"/>
  <c r="AC77" i="15" s="1"/>
  <c r="O35" i="15"/>
  <c r="H35" i="15"/>
  <c r="C77" i="15" s="1"/>
  <c r="F77" i="15" s="1"/>
  <c r="W35" i="15"/>
  <c r="R35" i="15"/>
  <c r="AE77" i="15" s="1"/>
  <c r="AH77" i="15" s="1"/>
  <c r="M35" i="15"/>
  <c r="K77" i="15" s="1"/>
  <c r="V35" i="15"/>
  <c r="K35" i="15"/>
  <c r="B77" i="15" s="1"/>
  <c r="R77" i="15" s="1"/>
  <c r="S35" i="15"/>
  <c r="S77" i="15" s="1"/>
  <c r="AI77" i="15" s="1"/>
  <c r="P35" i="15"/>
  <c r="T77" i="15" s="1"/>
  <c r="W77" i="15" s="1"/>
  <c r="L35" i="15"/>
  <c r="E77" i="15" s="1"/>
  <c r="T35" i="15"/>
  <c r="V77" i="15" s="1"/>
  <c r="N35" i="15"/>
  <c r="J35" i="15"/>
  <c r="N77" i="15" s="1"/>
  <c r="Q77" i="15" s="1"/>
  <c r="I35" i="15"/>
  <c r="G77" i="15" s="1"/>
  <c r="J77" i="15" s="1"/>
  <c r="M77" i="15" s="1"/>
  <c r="Q35" i="15"/>
  <c r="X77" i="15" s="1"/>
  <c r="AA77" i="15" s="1"/>
  <c r="AD77" i="15" s="1"/>
  <c r="I36" i="15"/>
  <c r="G78" i="15" s="1"/>
  <c r="J78" i="15" s="1"/>
  <c r="M78" i="15" s="1"/>
  <c r="L36" i="15"/>
  <c r="E78" i="15" s="1"/>
  <c r="S36" i="15"/>
  <c r="S78" i="15" s="1"/>
  <c r="AI78" i="15" s="1"/>
  <c r="W36" i="15"/>
  <c r="K36" i="15"/>
  <c r="B78" i="15" s="1"/>
  <c r="R78" i="15" s="1"/>
  <c r="O36" i="15"/>
  <c r="Q36" i="15"/>
  <c r="X78" i="15" s="1"/>
  <c r="AA78" i="15" s="1"/>
  <c r="AD78" i="15" s="1"/>
  <c r="V36" i="15"/>
  <c r="J36" i="15"/>
  <c r="N78" i="15" s="1"/>
  <c r="Q78" i="15" s="1"/>
  <c r="N36" i="15"/>
  <c r="R36" i="15"/>
  <c r="AE78" i="15" s="1"/>
  <c r="AH78" i="15" s="1"/>
  <c r="U36" i="15"/>
  <c r="AC78" i="15" s="1"/>
  <c r="P36" i="15"/>
  <c r="T78" i="15" s="1"/>
  <c r="W78" i="15" s="1"/>
  <c r="H36" i="15"/>
  <c r="C78" i="15" s="1"/>
  <c r="F78" i="15" s="1"/>
  <c r="M36" i="15"/>
  <c r="L78" i="15" s="1"/>
  <c r="T36" i="15"/>
  <c r="U78" i="15" s="1"/>
  <c r="G127" i="15"/>
  <c r="D572" i="15"/>
  <c r="G41" i="15"/>
  <c r="D396" i="15"/>
  <c r="G352" i="15"/>
  <c r="AR306" i="15"/>
  <c r="AS306" i="15"/>
  <c r="AT306" i="15"/>
  <c r="AU306" i="15"/>
  <c r="AV306" i="15"/>
  <c r="AW306" i="15"/>
  <c r="AX306" i="15"/>
  <c r="AY306" i="15"/>
  <c r="AZ306" i="15"/>
  <c r="BA306" i="15"/>
  <c r="BB306" i="15"/>
  <c r="T42" i="15"/>
  <c r="V84" i="15" s="1"/>
  <c r="W42" i="15"/>
  <c r="J42" i="15"/>
  <c r="N84" i="15" s="1"/>
  <c r="Q84" i="15" s="1"/>
  <c r="S42" i="15"/>
  <c r="S84" i="15" s="1"/>
  <c r="AI84" i="15" s="1"/>
  <c r="R42" i="15"/>
  <c r="AE84" i="15" s="1"/>
  <c r="AH84" i="15" s="1"/>
  <c r="M42" i="15"/>
  <c r="L84" i="15" s="1"/>
  <c r="O42" i="15"/>
  <c r="V42" i="15"/>
  <c r="N42" i="15"/>
  <c r="L42" i="15"/>
  <c r="E84" i="15" s="1"/>
  <c r="P42" i="15"/>
  <c r="T84" i="15" s="1"/>
  <c r="W84" i="15" s="1"/>
  <c r="U42" i="15"/>
  <c r="AC84" i="15" s="1"/>
  <c r="I42" i="15"/>
  <c r="G84" i="15" s="1"/>
  <c r="J84" i="15" s="1"/>
  <c r="M84" i="15" s="1"/>
  <c r="Q42" i="15"/>
  <c r="X84" i="15" s="1"/>
  <c r="AA84" i="15" s="1"/>
  <c r="AD84" i="15" s="1"/>
  <c r="K42" i="15"/>
  <c r="B84" i="15" s="1"/>
  <c r="R84" i="15" s="1"/>
  <c r="H42" i="15"/>
  <c r="C84" i="15" s="1"/>
  <c r="F84" i="15" s="1"/>
  <c r="B215" i="15"/>
  <c r="C569" i="15"/>
  <c r="C393" i="15"/>
  <c r="H349" i="15"/>
  <c r="AG303" i="15"/>
  <c r="AH303" i="15"/>
  <c r="AI303" i="15"/>
  <c r="AJ303" i="15"/>
  <c r="AK303" i="15"/>
  <c r="AL303" i="15"/>
  <c r="AM303" i="15"/>
  <c r="AN303" i="15"/>
  <c r="AO303" i="15"/>
  <c r="AP303" i="15"/>
  <c r="AQ303" i="15"/>
  <c r="G122" i="15"/>
  <c r="G36" i="15"/>
  <c r="D567" i="15"/>
  <c r="D391" i="15"/>
  <c r="G347" i="15"/>
  <c r="AS301" i="15"/>
  <c r="AR301" i="15"/>
  <c r="AT301" i="15"/>
  <c r="AU301" i="15"/>
  <c r="AV301" i="15"/>
  <c r="AW301" i="15"/>
  <c r="AX301" i="15"/>
  <c r="AY301" i="15"/>
  <c r="AZ301" i="15"/>
  <c r="BA301" i="15"/>
  <c r="BB301" i="15"/>
  <c r="Z29" i="14"/>
  <c r="AA29" i="14"/>
  <c r="C204" i="15"/>
  <c r="C205" i="15"/>
  <c r="C214" i="15"/>
  <c r="B130" i="15"/>
  <c r="D487" i="15"/>
  <c r="AA130" i="15"/>
  <c r="Z130" i="15" s="1"/>
  <c r="C130" i="15"/>
  <c r="W218" i="15"/>
  <c r="U218" i="15" s="1"/>
  <c r="C208" i="15"/>
  <c r="Z38" i="14"/>
  <c r="B213" i="15"/>
  <c r="BI147" i="5"/>
  <c r="B127" i="15"/>
  <c r="AA127" i="15"/>
  <c r="Z127" i="15" s="1"/>
  <c r="C127" i="15"/>
  <c r="W215" i="15"/>
  <c r="V215" i="15" s="1"/>
  <c r="D484" i="15"/>
  <c r="C215" i="15"/>
  <c r="J37" i="15"/>
  <c r="N79" i="15" s="1"/>
  <c r="Q79" i="15" s="1"/>
  <c r="U37" i="15"/>
  <c r="AB79" i="15" s="1"/>
  <c r="M37" i="15"/>
  <c r="K79" i="15" s="1"/>
  <c r="T37" i="15"/>
  <c r="U79" i="15" s="1"/>
  <c r="L37" i="15"/>
  <c r="D79" i="15" s="1"/>
  <c r="Q37" i="15"/>
  <c r="X79" i="15" s="1"/>
  <c r="AA79" i="15" s="1"/>
  <c r="AD79" i="15" s="1"/>
  <c r="S37" i="15"/>
  <c r="S79" i="15" s="1"/>
  <c r="AI79" i="15" s="1"/>
  <c r="W37" i="15"/>
  <c r="K37" i="15"/>
  <c r="B79" i="15" s="1"/>
  <c r="R79" i="15" s="1"/>
  <c r="P37" i="15"/>
  <c r="T79" i="15" s="1"/>
  <c r="W79" i="15" s="1"/>
  <c r="I37" i="15"/>
  <c r="G79" i="15" s="1"/>
  <c r="J79" i="15" s="1"/>
  <c r="M79" i="15" s="1"/>
  <c r="O37" i="15"/>
  <c r="H37" i="15"/>
  <c r="C79" i="15" s="1"/>
  <c r="F79" i="15" s="1"/>
  <c r="V37" i="15"/>
  <c r="R37" i="15"/>
  <c r="AE79" i="15" s="1"/>
  <c r="AH79" i="15" s="1"/>
  <c r="N37" i="15"/>
  <c r="C216" i="15"/>
  <c r="C566" i="15"/>
  <c r="C390" i="15"/>
  <c r="H346" i="15"/>
  <c r="AG300" i="15"/>
  <c r="AH300" i="15"/>
  <c r="AI300" i="15"/>
  <c r="AJ300" i="15"/>
  <c r="AK300" i="15"/>
  <c r="AL300" i="15"/>
  <c r="AM300" i="15"/>
  <c r="AN300" i="15"/>
  <c r="AO300" i="15"/>
  <c r="AP300" i="15"/>
  <c r="AQ300" i="15"/>
  <c r="Q30" i="15"/>
  <c r="U30" i="15" s="1"/>
  <c r="I30" i="15"/>
  <c r="P30" i="15"/>
  <c r="V30" i="15" s="1"/>
  <c r="H30" i="15"/>
  <c r="N30" i="15" s="1"/>
  <c r="B206" i="15"/>
  <c r="Y29" i="14"/>
  <c r="B204" i="15"/>
  <c r="J29" i="15"/>
  <c r="N71" i="15" s="1"/>
  <c r="Q71" i="15" s="1"/>
  <c r="T29" i="15"/>
  <c r="V71" i="15" s="1"/>
  <c r="I29" i="15"/>
  <c r="G71" i="15" s="1"/>
  <c r="J71" i="15" s="1"/>
  <c r="M71" i="15" s="1"/>
  <c r="L29" i="15"/>
  <c r="E71" i="15" s="1"/>
  <c r="Q29" i="15"/>
  <c r="X71" i="15" s="1"/>
  <c r="AA71" i="15" s="1"/>
  <c r="AD71" i="15" s="1"/>
  <c r="W29" i="15"/>
  <c r="K29" i="15"/>
  <c r="B71" i="15" s="1"/>
  <c r="R71" i="15" s="1"/>
  <c r="O29" i="15"/>
  <c r="V29" i="15"/>
  <c r="N29" i="15"/>
  <c r="U29" i="15"/>
  <c r="AC71" i="15" s="1"/>
  <c r="P29" i="15"/>
  <c r="T71" i="15" s="1"/>
  <c r="W71" i="15" s="1"/>
  <c r="H29" i="15"/>
  <c r="C71" i="15" s="1"/>
  <c r="F71" i="15" s="1"/>
  <c r="S29" i="15"/>
  <c r="S71" i="15" s="1"/>
  <c r="AI71" i="15" s="1"/>
  <c r="R29" i="15"/>
  <c r="AE71" i="15" s="1"/>
  <c r="AH71" i="15" s="1"/>
  <c r="M29" i="15"/>
  <c r="K71" i="15" s="1"/>
  <c r="G120" i="15"/>
  <c r="AR299" i="15"/>
  <c r="D565" i="15"/>
  <c r="D389" i="15"/>
  <c r="G345" i="15"/>
  <c r="G34" i="15"/>
  <c r="AS299" i="15"/>
  <c r="AT299" i="15"/>
  <c r="AU299" i="15"/>
  <c r="AV299" i="15"/>
  <c r="AW299" i="15"/>
  <c r="AX299" i="15"/>
  <c r="AY299" i="15"/>
  <c r="AZ299" i="15"/>
  <c r="BA299" i="15"/>
  <c r="BB299" i="15"/>
  <c r="Z33" i="14"/>
  <c r="AA33" i="14"/>
  <c r="B205" i="15"/>
  <c r="B214" i="15"/>
  <c r="G130" i="15"/>
  <c r="G44" i="15"/>
  <c r="D575" i="15"/>
  <c r="D399" i="15"/>
  <c r="G355" i="15"/>
  <c r="AR309" i="15"/>
  <c r="AS309" i="15"/>
  <c r="AT309" i="15"/>
  <c r="AU309" i="15"/>
  <c r="AV309" i="15"/>
  <c r="AW309" i="15"/>
  <c r="AX309" i="15"/>
  <c r="AY309" i="15"/>
  <c r="AZ309" i="15"/>
  <c r="BA309" i="15"/>
  <c r="BB309" i="15"/>
  <c r="G117" i="15"/>
  <c r="G342" i="15"/>
  <c r="G31" i="15"/>
  <c r="D562" i="15"/>
  <c r="D386" i="15"/>
  <c r="AS296" i="15"/>
  <c r="AR296" i="15"/>
  <c r="AT296" i="15"/>
  <c r="AU296" i="15"/>
  <c r="AV296" i="15"/>
  <c r="AW296" i="15"/>
  <c r="AX296" i="15"/>
  <c r="AY296" i="15"/>
  <c r="AZ296" i="15"/>
  <c r="BA296" i="15"/>
  <c r="BB296" i="15"/>
  <c r="H345" i="15"/>
  <c r="AH299" i="15"/>
  <c r="AG299" i="15"/>
  <c r="C565" i="15"/>
  <c r="AI299" i="15"/>
  <c r="C389" i="15"/>
  <c r="AJ299" i="15"/>
  <c r="AK299" i="15"/>
  <c r="AL299" i="15"/>
  <c r="AM299" i="15"/>
  <c r="AN299" i="15"/>
  <c r="AO299" i="15"/>
  <c r="AP299" i="15"/>
  <c r="AQ299" i="15"/>
  <c r="J23" i="14"/>
  <c r="K23" i="14" s="1"/>
  <c r="V35" i="14"/>
  <c r="U35" i="14"/>
  <c r="C211" i="15"/>
  <c r="C213" i="15"/>
  <c r="B218" i="15"/>
  <c r="B216" i="15"/>
  <c r="BI153" i="5"/>
  <c r="V43" i="14"/>
  <c r="U43" i="14"/>
  <c r="U39" i="15"/>
  <c r="AC81" i="15" s="1"/>
  <c r="S39" i="15"/>
  <c r="S81" i="15" s="1"/>
  <c r="AI81" i="15" s="1"/>
  <c r="K39" i="15"/>
  <c r="B81" i="15" s="1"/>
  <c r="R81" i="15" s="1"/>
  <c r="P39" i="15"/>
  <c r="T81" i="15" s="1"/>
  <c r="W81" i="15" s="1"/>
  <c r="L39" i="15"/>
  <c r="D81" i="15" s="1"/>
  <c r="H39" i="15"/>
  <c r="C81" i="15" s="1"/>
  <c r="F81" i="15" s="1"/>
  <c r="W39" i="15"/>
  <c r="O39" i="15"/>
  <c r="R39" i="15"/>
  <c r="AE81" i="15" s="1"/>
  <c r="AH81" i="15" s="1"/>
  <c r="V39" i="15"/>
  <c r="J39" i="15"/>
  <c r="N81" i="15" s="1"/>
  <c r="Q81" i="15" s="1"/>
  <c r="N39" i="15"/>
  <c r="T39" i="15"/>
  <c r="U81" i="15" s="1"/>
  <c r="Q39" i="15"/>
  <c r="X81" i="15" s="1"/>
  <c r="AA81" i="15" s="1"/>
  <c r="AD81" i="15" s="1"/>
  <c r="M39" i="15"/>
  <c r="L81" i="15" s="1"/>
  <c r="I39" i="15"/>
  <c r="G81" i="15" s="1"/>
  <c r="J81" i="15" s="1"/>
  <c r="M81" i="15" s="1"/>
  <c r="B209" i="15"/>
  <c r="G116" i="15"/>
  <c r="G30" i="15"/>
  <c r="G341" i="15"/>
  <c r="D561" i="15"/>
  <c r="D385" i="15"/>
  <c r="AR295" i="15"/>
  <c r="AS295" i="15"/>
  <c r="AT295" i="15"/>
  <c r="AU295" i="15"/>
  <c r="AV295" i="15"/>
  <c r="AW295" i="15"/>
  <c r="AX295" i="15"/>
  <c r="AY295" i="15"/>
  <c r="AZ295" i="15"/>
  <c r="BA295" i="15"/>
  <c r="BB295" i="15"/>
  <c r="W210" i="15"/>
  <c r="U210" i="15" s="1"/>
  <c r="AA122" i="15"/>
  <c r="Y122" i="15" s="1"/>
  <c r="C122" i="15"/>
  <c r="B122" i="15"/>
  <c r="D479" i="15"/>
  <c r="C206" i="15"/>
  <c r="Y30" i="14"/>
  <c r="AA30" i="14"/>
  <c r="C561" i="15"/>
  <c r="C385" i="15"/>
  <c r="H341" i="15"/>
  <c r="AG295" i="15"/>
  <c r="AH295" i="15"/>
  <c r="AI295" i="15"/>
  <c r="AJ295" i="15"/>
  <c r="AK295" i="15"/>
  <c r="AL295" i="15"/>
  <c r="AM295" i="15"/>
  <c r="AN295" i="15"/>
  <c r="AO295" i="15"/>
  <c r="AP295" i="15"/>
  <c r="AQ295" i="15"/>
  <c r="Y34" i="14"/>
  <c r="AA34" i="14"/>
  <c r="C118" i="15"/>
  <c r="W206" i="15"/>
  <c r="V206" i="15" s="1"/>
  <c r="D475" i="15"/>
  <c r="B118" i="15"/>
  <c r="AA118" i="15"/>
  <c r="Z118" i="15" s="1"/>
  <c r="B120" i="15"/>
  <c r="AA120" i="15"/>
  <c r="Y120" i="15" s="1"/>
  <c r="C120" i="15"/>
  <c r="D477" i="15"/>
  <c r="W208" i="15"/>
  <c r="U208" i="15" s="1"/>
  <c r="Y33" i="14"/>
  <c r="C571" i="15"/>
  <c r="C395" i="15"/>
  <c r="H351" i="15"/>
  <c r="AG305" i="15"/>
  <c r="AH305" i="15"/>
  <c r="AI305" i="15"/>
  <c r="AJ305" i="15"/>
  <c r="AK305" i="15"/>
  <c r="AL305" i="15"/>
  <c r="AM305" i="15"/>
  <c r="AN305" i="15"/>
  <c r="AO305" i="15"/>
  <c r="AP305" i="15"/>
  <c r="AQ305" i="15"/>
  <c r="B117" i="15"/>
  <c r="C117" i="15"/>
  <c r="D474" i="15"/>
  <c r="W205" i="15"/>
  <c r="V205" i="15" s="1"/>
  <c r="AA117" i="15"/>
  <c r="Y117" i="15" s="1"/>
  <c r="T35" i="14"/>
  <c r="B211" i="15"/>
  <c r="C207" i="15"/>
  <c r="B210" i="15"/>
  <c r="B212" i="15"/>
  <c r="B115" i="15"/>
  <c r="C115" i="15"/>
  <c r="D472" i="15"/>
  <c r="W203" i="15"/>
  <c r="V203" i="15" s="1"/>
  <c r="AA115" i="15"/>
  <c r="Z115" i="15" s="1"/>
  <c r="S41" i="15"/>
  <c r="S83" i="15" s="1"/>
  <c r="AI83" i="15" s="1"/>
  <c r="V41" i="15"/>
  <c r="M41" i="15"/>
  <c r="L83" i="15" s="1"/>
  <c r="N41" i="15"/>
  <c r="L41" i="15"/>
  <c r="D83" i="15" s="1"/>
  <c r="U41" i="15"/>
  <c r="AB83" i="15" s="1"/>
  <c r="H41" i="15"/>
  <c r="C83" i="15" s="1"/>
  <c r="F83" i="15" s="1"/>
  <c r="K41" i="15"/>
  <c r="B83" i="15" s="1"/>
  <c r="R83" i="15" s="1"/>
  <c r="O41" i="15"/>
  <c r="T41" i="15"/>
  <c r="V83" i="15" s="1"/>
  <c r="P41" i="15"/>
  <c r="T83" i="15" s="1"/>
  <c r="W83" i="15" s="1"/>
  <c r="J41" i="15"/>
  <c r="N83" i="15" s="1"/>
  <c r="Q83" i="15" s="1"/>
  <c r="W41" i="15"/>
  <c r="I41" i="15"/>
  <c r="G83" i="15" s="1"/>
  <c r="J83" i="15" s="1"/>
  <c r="M83" i="15" s="1"/>
  <c r="R41" i="15"/>
  <c r="AE83" i="15" s="1"/>
  <c r="AH83" i="15" s="1"/>
  <c r="Q41" i="15"/>
  <c r="X83" i="15" s="1"/>
  <c r="AA83" i="15" s="1"/>
  <c r="AD83" i="15" s="1"/>
  <c r="C218" i="15"/>
  <c r="B119" i="15"/>
  <c r="W207" i="15"/>
  <c r="V207" i="15" s="1"/>
  <c r="AA119" i="15"/>
  <c r="Y119" i="15" s="1"/>
  <c r="C119" i="15"/>
  <c r="D476" i="15"/>
  <c r="V26" i="14"/>
  <c r="T26" i="14"/>
  <c r="G124" i="15"/>
  <c r="G38" i="15"/>
  <c r="D569" i="15"/>
  <c r="D393" i="15"/>
  <c r="G349" i="15"/>
  <c r="AR303" i="15"/>
  <c r="AS303" i="15"/>
  <c r="AT303" i="15"/>
  <c r="AU303" i="15"/>
  <c r="AV303" i="15"/>
  <c r="AW303" i="15"/>
  <c r="AX303" i="15"/>
  <c r="AY303" i="15"/>
  <c r="AZ303" i="15"/>
  <c r="BA303" i="15"/>
  <c r="BB303" i="15"/>
  <c r="H352" i="15"/>
  <c r="C572" i="15"/>
  <c r="C396" i="15"/>
  <c r="AG306" i="15"/>
  <c r="AH306" i="15"/>
  <c r="AI306" i="15"/>
  <c r="AJ306" i="15"/>
  <c r="AK306" i="15"/>
  <c r="AL306" i="15"/>
  <c r="AM306" i="15"/>
  <c r="AN306" i="15"/>
  <c r="AO306" i="15"/>
  <c r="AP306" i="15"/>
  <c r="AQ306" i="15"/>
  <c r="G123" i="15"/>
  <c r="G37" i="15"/>
  <c r="D568" i="15"/>
  <c r="D392" i="15"/>
  <c r="G348" i="15"/>
  <c r="AR302" i="15"/>
  <c r="AS302" i="15"/>
  <c r="AT302" i="15"/>
  <c r="AU302" i="15"/>
  <c r="AV302" i="15"/>
  <c r="AW302" i="15"/>
  <c r="AX302" i="15"/>
  <c r="AY302" i="15"/>
  <c r="AZ302" i="15"/>
  <c r="BA302" i="15"/>
  <c r="BB302" i="15"/>
  <c r="C573" i="15"/>
  <c r="C397" i="15"/>
  <c r="H353" i="15"/>
  <c r="AI307" i="15"/>
  <c r="AH307" i="15"/>
  <c r="AG307" i="15"/>
  <c r="AJ307" i="15"/>
  <c r="AK307" i="15"/>
  <c r="AL307" i="15"/>
  <c r="AM307" i="15"/>
  <c r="AN307" i="15"/>
  <c r="AO307" i="15"/>
  <c r="AP307" i="15"/>
  <c r="AQ307" i="15"/>
  <c r="V70" i="13"/>
  <c r="W70" i="13" s="1"/>
  <c r="BI156" i="5"/>
  <c r="G125" i="15"/>
  <c r="G39" i="15"/>
  <c r="D570" i="15"/>
  <c r="AR304" i="15"/>
  <c r="D394" i="15"/>
  <c r="G350" i="15"/>
  <c r="AS304" i="15"/>
  <c r="AT304" i="15"/>
  <c r="AU304" i="15"/>
  <c r="AV304" i="15"/>
  <c r="AW304" i="15"/>
  <c r="AX304" i="15"/>
  <c r="AY304" i="15"/>
  <c r="AZ304" i="15"/>
  <c r="BA304" i="15"/>
  <c r="BB304" i="15"/>
  <c r="B208" i="15"/>
  <c r="T36" i="14"/>
  <c r="V36" i="14"/>
  <c r="H354" i="15"/>
  <c r="AI308" i="15"/>
  <c r="AG308" i="15"/>
  <c r="C574" i="15"/>
  <c r="AH308" i="15"/>
  <c r="C398" i="15"/>
  <c r="AJ308" i="15"/>
  <c r="AK308" i="15"/>
  <c r="AL308" i="15"/>
  <c r="AM308" i="15"/>
  <c r="AN308" i="15"/>
  <c r="AO308" i="15"/>
  <c r="AP308" i="15"/>
  <c r="AQ308" i="15"/>
  <c r="I47" i="13"/>
  <c r="I48" i="13"/>
  <c r="E47" i="13"/>
  <c r="E48" i="13"/>
  <c r="C209" i="15"/>
  <c r="B116" i="15"/>
  <c r="D473" i="15"/>
  <c r="W204" i="15"/>
  <c r="V204" i="15" s="1"/>
  <c r="AA116" i="15"/>
  <c r="Z116" i="15" s="1"/>
  <c r="C116" i="15"/>
  <c r="Z22" i="14"/>
  <c r="AA22" i="14"/>
  <c r="H43" i="15"/>
  <c r="I43" i="15"/>
  <c r="P43" i="15"/>
  <c r="V43" i="15" s="1"/>
  <c r="Q43" i="15"/>
  <c r="R43" i="15" s="1"/>
  <c r="G118" i="15"/>
  <c r="D563" i="15"/>
  <c r="G32" i="15"/>
  <c r="D387" i="15"/>
  <c r="G343" i="15"/>
  <c r="AR297" i="15"/>
  <c r="AS297" i="15"/>
  <c r="AT297" i="15"/>
  <c r="AU297" i="15"/>
  <c r="AV297" i="15"/>
  <c r="AW297" i="15"/>
  <c r="AX297" i="15"/>
  <c r="AY297" i="15"/>
  <c r="AZ297" i="15"/>
  <c r="BA297" i="15"/>
  <c r="BB297" i="15"/>
  <c r="AA42" i="14"/>
  <c r="Y42" i="14"/>
  <c r="AA25" i="14"/>
  <c r="Z25" i="14"/>
  <c r="B207" i="15"/>
  <c r="C210" i="15"/>
  <c r="T28" i="14"/>
  <c r="V28" i="14"/>
  <c r="G115" i="15"/>
  <c r="D560" i="15"/>
  <c r="D384" i="15"/>
  <c r="AR294" i="15"/>
  <c r="G340" i="15"/>
  <c r="G29" i="15"/>
  <c r="AS294" i="15"/>
  <c r="AT294" i="15"/>
  <c r="AU294" i="15"/>
  <c r="AV294" i="15"/>
  <c r="AW294" i="15"/>
  <c r="AX294" i="15"/>
  <c r="AY294" i="15"/>
  <c r="AZ294" i="15"/>
  <c r="BA294" i="15"/>
  <c r="BB294" i="15"/>
  <c r="C217" i="15"/>
  <c r="G119" i="15"/>
  <c r="D564" i="15"/>
  <c r="D388" i="15"/>
  <c r="G33" i="15"/>
  <c r="G344" i="15"/>
  <c r="AR298" i="15"/>
  <c r="AS298" i="15"/>
  <c r="AT298" i="15"/>
  <c r="AU298" i="15"/>
  <c r="AV298" i="15"/>
  <c r="AW298" i="15"/>
  <c r="AX298" i="15"/>
  <c r="AY298" i="15"/>
  <c r="AZ298" i="15"/>
  <c r="BA298" i="15"/>
  <c r="BB298" i="15"/>
  <c r="B124" i="15"/>
  <c r="D481" i="15"/>
  <c r="W212" i="15"/>
  <c r="U212" i="15" s="1"/>
  <c r="AA124" i="15"/>
  <c r="Z124" i="15" s="1"/>
  <c r="C124" i="15"/>
  <c r="B123" i="15"/>
  <c r="W211" i="15"/>
  <c r="V211" i="15" s="1"/>
  <c r="D480" i="15"/>
  <c r="AA123" i="15"/>
  <c r="Y123" i="15" s="1"/>
  <c r="C123" i="15"/>
  <c r="BI152" i="5"/>
  <c r="P25" i="13"/>
  <c r="AF142" i="13"/>
  <c r="AG142" i="13" s="1"/>
  <c r="AH142" i="13" s="1"/>
  <c r="AI142" i="13" s="1"/>
  <c r="AJ142" i="13" s="1"/>
  <c r="AK142" i="13" s="1"/>
  <c r="AL142" i="13" s="1"/>
  <c r="AM142" i="13" s="1"/>
  <c r="AO142" i="13" s="1"/>
  <c r="AF118" i="13"/>
  <c r="AG118" i="13" s="1"/>
  <c r="AH118" i="13" s="1"/>
  <c r="AI118" i="13" s="1"/>
  <c r="AJ118" i="13" s="1"/>
  <c r="AK118" i="13" s="1"/>
  <c r="AL118" i="13" s="1"/>
  <c r="AM118" i="13" s="1"/>
  <c r="AN118" i="13" s="1"/>
  <c r="C563" i="15"/>
  <c r="C387" i="15"/>
  <c r="H343" i="15"/>
  <c r="AG297" i="15"/>
  <c r="AH297" i="15"/>
  <c r="AI297" i="15"/>
  <c r="AJ297" i="15"/>
  <c r="AK297" i="15"/>
  <c r="AL297" i="15"/>
  <c r="AM297" i="15"/>
  <c r="AN297" i="15"/>
  <c r="AO297" i="15"/>
  <c r="AP297" i="15"/>
  <c r="AQ297" i="15"/>
  <c r="V39" i="14"/>
  <c r="U39" i="14"/>
  <c r="C203" i="15"/>
  <c r="P34" i="15"/>
  <c r="V34" i="15" s="1"/>
  <c r="I34" i="15"/>
  <c r="H34" i="15"/>
  <c r="Q34" i="15"/>
  <c r="U34" i="15" s="1"/>
  <c r="H342" i="15"/>
  <c r="C562" i="15"/>
  <c r="C386" i="15"/>
  <c r="AG296" i="15"/>
  <c r="AH296" i="15"/>
  <c r="AI296" i="15"/>
  <c r="AJ296" i="15"/>
  <c r="AK296" i="15"/>
  <c r="AL296" i="15"/>
  <c r="AM296" i="15"/>
  <c r="AN296" i="15"/>
  <c r="AO296" i="15"/>
  <c r="AP296" i="15"/>
  <c r="AQ296" i="15"/>
  <c r="G126" i="15"/>
  <c r="G40" i="15"/>
  <c r="D571" i="15"/>
  <c r="D395" i="15"/>
  <c r="G351" i="15"/>
  <c r="AR305" i="15"/>
  <c r="AS305" i="15"/>
  <c r="AT305" i="15"/>
  <c r="AU305" i="15"/>
  <c r="AV305" i="15"/>
  <c r="AW305" i="15"/>
  <c r="AX305" i="15"/>
  <c r="AY305" i="15"/>
  <c r="AZ305" i="15"/>
  <c r="BA305" i="15"/>
  <c r="BB305" i="15"/>
  <c r="C570" i="15"/>
  <c r="AH304" i="15"/>
  <c r="C394" i="15"/>
  <c r="H350" i="15"/>
  <c r="AG304" i="15"/>
  <c r="AI304" i="15"/>
  <c r="AJ304" i="15"/>
  <c r="AK304" i="15"/>
  <c r="AL304" i="15"/>
  <c r="AM304" i="15"/>
  <c r="AN304" i="15"/>
  <c r="AO304" i="15"/>
  <c r="AP304" i="15"/>
  <c r="AQ304" i="15"/>
  <c r="B121" i="15"/>
  <c r="W209" i="15"/>
  <c r="U209" i="15" s="1"/>
  <c r="AA121" i="15"/>
  <c r="Z121" i="15" s="1"/>
  <c r="D478" i="15"/>
  <c r="C121" i="15"/>
  <c r="C567" i="15"/>
  <c r="C391" i="15"/>
  <c r="H347" i="15"/>
  <c r="AG301" i="15"/>
  <c r="AH301" i="15"/>
  <c r="AI301" i="15"/>
  <c r="AJ301" i="15"/>
  <c r="AK301" i="15"/>
  <c r="AL301" i="15"/>
  <c r="AM301" i="15"/>
  <c r="AN301" i="15"/>
  <c r="AO301" i="15"/>
  <c r="AP301" i="15"/>
  <c r="AQ301" i="15"/>
  <c r="C212" i="15"/>
  <c r="C399" i="15"/>
  <c r="H355" i="15"/>
  <c r="C575" i="15"/>
  <c r="AG309" i="15"/>
  <c r="AH309" i="15"/>
  <c r="AI309" i="15"/>
  <c r="AJ309" i="15"/>
  <c r="AK309" i="15"/>
  <c r="AL309" i="15"/>
  <c r="AM309" i="15"/>
  <c r="AN309" i="15"/>
  <c r="AO309" i="15"/>
  <c r="AP309" i="15"/>
  <c r="AQ309" i="15"/>
  <c r="B128" i="15"/>
  <c r="AA128" i="15"/>
  <c r="Z128" i="15" s="1"/>
  <c r="D485" i="15"/>
  <c r="C128" i="15"/>
  <c r="W216" i="15"/>
  <c r="U216" i="15" s="1"/>
  <c r="P38" i="15"/>
  <c r="V38" i="15" s="1"/>
  <c r="I38" i="15"/>
  <c r="H38" i="15"/>
  <c r="Q38" i="15"/>
  <c r="U38" i="15" s="1"/>
  <c r="BI148" i="5"/>
  <c r="I25" i="13"/>
  <c r="I24" i="13"/>
  <c r="E25" i="13"/>
  <c r="E24" i="13"/>
  <c r="V25" i="14"/>
  <c r="U25" i="14"/>
  <c r="G129" i="15"/>
  <c r="G43" i="15"/>
  <c r="D574" i="15"/>
  <c r="D398" i="15"/>
  <c r="G354" i="15"/>
  <c r="AR308" i="15"/>
  <c r="AS308" i="15"/>
  <c r="AT308" i="15"/>
  <c r="AU308" i="15"/>
  <c r="AV308" i="15"/>
  <c r="AW308" i="15"/>
  <c r="AX308" i="15"/>
  <c r="AY308" i="15"/>
  <c r="AZ308" i="15"/>
  <c r="BA308" i="15"/>
  <c r="BB308" i="15"/>
  <c r="Y26" i="14"/>
  <c r="AA26" i="14"/>
  <c r="T39" i="14"/>
  <c r="B203" i="15"/>
  <c r="U22" i="14"/>
  <c r="V22" i="14"/>
  <c r="B125" i="15"/>
  <c r="D482" i="15"/>
  <c r="W213" i="15"/>
  <c r="U213" i="15" s="1"/>
  <c r="AA125" i="15"/>
  <c r="Y125" i="15" s="1"/>
  <c r="C125" i="15"/>
  <c r="Q40" i="15"/>
  <c r="R40" i="15" s="1"/>
  <c r="H40" i="15"/>
  <c r="I40" i="15"/>
  <c r="G82" i="15" s="1"/>
  <c r="J82" i="15" s="1"/>
  <c r="M82" i="15" s="1"/>
  <c r="P40" i="15"/>
  <c r="T82" i="15" s="1"/>
  <c r="W82" i="15" s="1"/>
  <c r="T40" i="14"/>
  <c r="V40" i="14"/>
  <c r="AA126" i="15"/>
  <c r="Y126" i="15" s="1"/>
  <c r="C126" i="15"/>
  <c r="B126" i="15"/>
  <c r="D483" i="15"/>
  <c r="W214" i="15"/>
  <c r="V214" i="15" s="1"/>
  <c r="C392" i="15"/>
  <c r="H348" i="15"/>
  <c r="C568" i="15"/>
  <c r="AG302" i="15"/>
  <c r="AH302" i="15"/>
  <c r="AI302" i="15"/>
  <c r="AJ302" i="15"/>
  <c r="AK302" i="15"/>
  <c r="AL302" i="15"/>
  <c r="AM302" i="15"/>
  <c r="AN302" i="15"/>
  <c r="AO302" i="15"/>
  <c r="AP302" i="15"/>
  <c r="AQ302" i="15"/>
  <c r="H344" i="15"/>
  <c r="C564" i="15"/>
  <c r="C388" i="15"/>
  <c r="AG298" i="15"/>
  <c r="AH298" i="15"/>
  <c r="AI298" i="15"/>
  <c r="AJ298" i="15"/>
  <c r="AK298" i="15"/>
  <c r="AL298" i="15"/>
  <c r="AM298" i="15"/>
  <c r="AN298" i="15"/>
  <c r="AO298" i="15"/>
  <c r="AP298" i="15"/>
  <c r="AQ298" i="15"/>
  <c r="G121" i="15"/>
  <c r="D566" i="15"/>
  <c r="G35" i="15"/>
  <c r="D390" i="15"/>
  <c r="G346" i="15"/>
  <c r="AR300" i="15"/>
  <c r="AS300" i="15"/>
  <c r="AT300" i="15"/>
  <c r="AU300" i="15"/>
  <c r="AV300" i="15"/>
  <c r="AW300" i="15"/>
  <c r="AX300" i="15"/>
  <c r="AY300" i="15"/>
  <c r="AZ300" i="15"/>
  <c r="BA300" i="15"/>
  <c r="BB300" i="15"/>
  <c r="B217" i="15"/>
  <c r="G128" i="15"/>
  <c r="G42" i="15"/>
  <c r="D397" i="15"/>
  <c r="G353" i="15"/>
  <c r="AR307" i="15"/>
  <c r="D573" i="15"/>
  <c r="AS307" i="15"/>
  <c r="AT307" i="15"/>
  <c r="AU307" i="15"/>
  <c r="AV307" i="15"/>
  <c r="AW307" i="15"/>
  <c r="AX307" i="15"/>
  <c r="AY307" i="15"/>
  <c r="AZ307" i="15"/>
  <c r="BA307" i="15"/>
  <c r="BB307" i="15"/>
  <c r="S33" i="15"/>
  <c r="S75" i="15" s="1"/>
  <c r="AI75" i="15" s="1"/>
  <c r="L33" i="15"/>
  <c r="E75" i="15" s="1"/>
  <c r="U33" i="15"/>
  <c r="AB75" i="15" s="1"/>
  <c r="M33" i="15"/>
  <c r="L75" i="15" s="1"/>
  <c r="O33" i="15"/>
  <c r="J33" i="15"/>
  <c r="N75" i="15" s="1"/>
  <c r="Q75" i="15" s="1"/>
  <c r="H33" i="15"/>
  <c r="C75" i="15" s="1"/>
  <c r="F75" i="15" s="1"/>
  <c r="R33" i="15"/>
  <c r="AE75" i="15" s="1"/>
  <c r="AH75" i="15" s="1"/>
  <c r="P33" i="15"/>
  <c r="T75" i="15" s="1"/>
  <c r="W75" i="15" s="1"/>
  <c r="N33" i="15"/>
  <c r="T33" i="15"/>
  <c r="V75" i="15" s="1"/>
  <c r="V33" i="15"/>
  <c r="W33" i="15"/>
  <c r="I33" i="15"/>
  <c r="G75" i="15" s="1"/>
  <c r="J75" i="15" s="1"/>
  <c r="M75" i="15" s="1"/>
  <c r="Q33" i="15"/>
  <c r="X75" i="15" s="1"/>
  <c r="AA75" i="15" s="1"/>
  <c r="AD75" i="15" s="1"/>
  <c r="K33" i="15"/>
  <c r="B75" i="15" s="1"/>
  <c r="R75" i="15" s="1"/>
  <c r="Z37" i="14"/>
  <c r="AA37" i="14"/>
  <c r="T32" i="14"/>
  <c r="V32" i="14"/>
  <c r="BI157" i="5"/>
  <c r="BI149" i="5"/>
  <c r="U92" i="13"/>
  <c r="W92" i="13" s="1"/>
  <c r="AS116" i="13"/>
  <c r="AT116" i="13" s="1"/>
  <c r="AU116" i="13" s="1"/>
  <c r="AV116" i="13" s="1"/>
  <c r="AW116" i="13" s="1"/>
  <c r="AX116" i="13" s="1"/>
  <c r="AY116" i="13" s="1"/>
  <c r="AZ116" i="13" s="1"/>
  <c r="BC116" i="13" s="1"/>
  <c r="AS140" i="13"/>
  <c r="AT140" i="13" s="1"/>
  <c r="AU140" i="13" s="1"/>
  <c r="AV140" i="13" s="1"/>
  <c r="AW140" i="13" s="1"/>
  <c r="AX140" i="13" s="1"/>
  <c r="AY140" i="13" s="1"/>
  <c r="AZ140" i="13" s="1"/>
  <c r="BA140" i="13" s="1"/>
  <c r="P13" i="13"/>
  <c r="S13" i="13" s="1"/>
  <c r="AF130" i="13"/>
  <c r="AG130" i="13" s="1"/>
  <c r="AH130" i="13" s="1"/>
  <c r="AI130" i="13" s="1"/>
  <c r="AJ130" i="13" s="1"/>
  <c r="AK130" i="13" s="1"/>
  <c r="AL130" i="13" s="1"/>
  <c r="AM130" i="13" s="1"/>
  <c r="AN130" i="13" s="1"/>
  <c r="AL154" i="13"/>
  <c r="AF106" i="13"/>
  <c r="AG106" i="13" s="1"/>
  <c r="AH106" i="13" s="1"/>
  <c r="AI106" i="13" s="1"/>
  <c r="AJ106" i="13" s="1"/>
  <c r="AK106" i="13" s="1"/>
  <c r="AL106" i="13" s="1"/>
  <c r="AM106" i="13" s="1"/>
  <c r="AR106" i="13" s="1"/>
  <c r="P36" i="13"/>
  <c r="S36" i="13" s="1"/>
  <c r="Q82" i="13"/>
  <c r="P59" i="13"/>
  <c r="Q86" i="13"/>
  <c r="P40" i="13"/>
  <c r="S40" i="13" s="1"/>
  <c r="AF134" i="13"/>
  <c r="AG134" i="13" s="1"/>
  <c r="AH134" i="13" s="1"/>
  <c r="AI134" i="13" s="1"/>
  <c r="AJ134" i="13" s="1"/>
  <c r="AK134" i="13" s="1"/>
  <c r="AL134" i="13" s="1"/>
  <c r="AM134" i="13" s="1"/>
  <c r="AO134" i="13" s="1"/>
  <c r="P17" i="13"/>
  <c r="S17" i="13" s="1"/>
  <c r="AL158" i="13"/>
  <c r="Q25" i="15"/>
  <c r="X67" i="15" s="1"/>
  <c r="AA67" i="15" s="1"/>
  <c r="AD67" i="15" s="1"/>
  <c r="I25" i="15"/>
  <c r="G67" i="15" s="1"/>
  <c r="J67" i="15" s="1"/>
  <c r="M67" i="15" s="1"/>
  <c r="P25" i="15"/>
  <c r="T67" i="15" s="1"/>
  <c r="W67" i="15" s="1"/>
  <c r="H25" i="15"/>
  <c r="C67" i="15" s="1"/>
  <c r="F67" i="15" s="1"/>
  <c r="B202" i="15"/>
  <c r="B190" i="15"/>
  <c r="C202" i="15"/>
  <c r="C187" i="15"/>
  <c r="Q187" i="15" s="1"/>
  <c r="S233" i="15" s="1"/>
  <c r="AI233" i="15" s="1"/>
  <c r="C191" i="15"/>
  <c r="Q11" i="15"/>
  <c r="X53" i="15" s="1"/>
  <c r="AA53" i="15" s="1"/>
  <c r="AD53" i="15" s="1"/>
  <c r="I11" i="15"/>
  <c r="G53" i="15" s="1"/>
  <c r="J53" i="15" s="1"/>
  <c r="M53" i="15" s="1"/>
  <c r="P11" i="15"/>
  <c r="T53" i="15" s="1"/>
  <c r="W53" i="15" s="1"/>
  <c r="H11" i="15"/>
  <c r="C53" i="15" s="1"/>
  <c r="F53" i="15" s="1"/>
  <c r="B200" i="15"/>
  <c r="P22" i="15"/>
  <c r="H22" i="15"/>
  <c r="Q22" i="15"/>
  <c r="I22" i="15"/>
  <c r="C196" i="15"/>
  <c r="B195" i="15"/>
  <c r="AB135" i="13"/>
  <c r="AA135" i="13"/>
  <c r="Z135" i="13"/>
  <c r="Y135" i="13"/>
  <c r="X135" i="13"/>
  <c r="Y128" i="13"/>
  <c r="X128" i="13"/>
  <c r="AA128" i="13"/>
  <c r="Z128" i="13"/>
  <c r="AB128" i="13"/>
  <c r="AB125" i="13"/>
  <c r="X125" i="13"/>
  <c r="AA125" i="13"/>
  <c r="Z125" i="13"/>
  <c r="Y125" i="13"/>
  <c r="AB131" i="13"/>
  <c r="AA131" i="13"/>
  <c r="Z131" i="13"/>
  <c r="Y131" i="13"/>
  <c r="X131" i="13"/>
  <c r="Y105" i="13"/>
  <c r="X105" i="13"/>
  <c r="AA105" i="13"/>
  <c r="Z105" i="13"/>
  <c r="AB105" i="13"/>
  <c r="Z110" i="13"/>
  <c r="Y110" i="13"/>
  <c r="AB110" i="13"/>
  <c r="X110" i="13"/>
  <c r="AA110" i="13"/>
  <c r="O117" i="13"/>
  <c r="K117" i="13"/>
  <c r="N117" i="13"/>
  <c r="L117" i="13"/>
  <c r="M117" i="13"/>
  <c r="Z100" i="13"/>
  <c r="Y100" i="13"/>
  <c r="AB100" i="13"/>
  <c r="AA100" i="13"/>
  <c r="X100" i="13"/>
  <c r="W187" i="15"/>
  <c r="V187" i="15" s="1"/>
  <c r="B99" i="15"/>
  <c r="AA99" i="15"/>
  <c r="Y99" i="15" s="1"/>
  <c r="C99" i="15"/>
  <c r="D456" i="15"/>
  <c r="C549" i="15"/>
  <c r="AL283" i="15"/>
  <c r="C373" i="15"/>
  <c r="AM283" i="15"/>
  <c r="H329" i="15"/>
  <c r="AN283" i="15"/>
  <c r="AG283" i="15"/>
  <c r="AO283" i="15"/>
  <c r="AH283" i="15"/>
  <c r="AP283" i="15"/>
  <c r="AI283" i="15"/>
  <c r="AQ283" i="15"/>
  <c r="AJ283" i="15"/>
  <c r="AK283" i="15"/>
  <c r="G10" i="15"/>
  <c r="G96" i="15"/>
  <c r="D541" i="15"/>
  <c r="AW275" i="15"/>
  <c r="D365" i="15"/>
  <c r="AX275" i="15"/>
  <c r="G321" i="15"/>
  <c r="AY275" i="15"/>
  <c r="AR275" i="15"/>
  <c r="AZ275" i="15"/>
  <c r="AS275" i="15"/>
  <c r="BA275" i="15"/>
  <c r="AT275" i="15"/>
  <c r="BB275" i="15"/>
  <c r="AU275" i="15"/>
  <c r="AV275" i="15"/>
  <c r="G21" i="15"/>
  <c r="G107" i="15"/>
  <c r="AT286" i="15"/>
  <c r="BB286" i="15"/>
  <c r="AU286" i="15"/>
  <c r="AV286" i="15"/>
  <c r="D552" i="15"/>
  <c r="AW286" i="15"/>
  <c r="D376" i="15"/>
  <c r="AX286" i="15"/>
  <c r="G332" i="15"/>
  <c r="AY286" i="15"/>
  <c r="AR286" i="15"/>
  <c r="AZ286" i="15"/>
  <c r="AS286" i="15"/>
  <c r="BA286" i="15"/>
  <c r="G93" i="15"/>
  <c r="G7" i="15"/>
  <c r="G318" i="15"/>
  <c r="AY272" i="15"/>
  <c r="AR272" i="15"/>
  <c r="AZ272" i="15"/>
  <c r="AS272" i="15"/>
  <c r="BA272" i="15"/>
  <c r="AT272" i="15"/>
  <c r="BB272" i="15"/>
  <c r="AU272" i="15"/>
  <c r="AV272" i="15"/>
  <c r="D538" i="15"/>
  <c r="AW272" i="15"/>
  <c r="D362" i="15"/>
  <c r="AX272" i="15"/>
  <c r="G17" i="15"/>
  <c r="G103" i="15"/>
  <c r="AR282" i="15"/>
  <c r="AZ282" i="15"/>
  <c r="AS282" i="15"/>
  <c r="BA282" i="15"/>
  <c r="AT282" i="15"/>
  <c r="BB282" i="15"/>
  <c r="AU282" i="15"/>
  <c r="AV282" i="15"/>
  <c r="D548" i="15"/>
  <c r="AW282" i="15"/>
  <c r="D372" i="15"/>
  <c r="AX282" i="15"/>
  <c r="G328" i="15"/>
  <c r="AY282" i="15"/>
  <c r="B185" i="15"/>
  <c r="W185" i="15"/>
  <c r="V185" i="15" s="1"/>
  <c r="C185" i="15"/>
  <c r="AA97" i="15"/>
  <c r="Z97" i="15" s="1"/>
  <c r="C97" i="15"/>
  <c r="B97" i="15"/>
  <c r="D454" i="15"/>
  <c r="X542" i="15" s="1"/>
  <c r="G113" i="15"/>
  <c r="G27" i="15"/>
  <c r="AR292" i="15"/>
  <c r="AZ292" i="15"/>
  <c r="AS292" i="15"/>
  <c r="BA292" i="15"/>
  <c r="AT292" i="15"/>
  <c r="BB292" i="15"/>
  <c r="AU292" i="15"/>
  <c r="AV292" i="15"/>
  <c r="D558" i="15"/>
  <c r="AW292" i="15"/>
  <c r="D382" i="15"/>
  <c r="AX292" i="15"/>
  <c r="G338" i="15"/>
  <c r="AY292" i="15"/>
  <c r="AI281" i="15"/>
  <c r="AQ281" i="15"/>
  <c r="AJ281" i="15"/>
  <c r="AK281" i="15"/>
  <c r="C547" i="15"/>
  <c r="AL281" i="15"/>
  <c r="C371" i="15"/>
  <c r="AM281" i="15"/>
  <c r="H327" i="15"/>
  <c r="AN281" i="15"/>
  <c r="AG281" i="15"/>
  <c r="AO281" i="15"/>
  <c r="AH281" i="15"/>
  <c r="AP281" i="15"/>
  <c r="AK277" i="15"/>
  <c r="C543" i="15"/>
  <c r="AL277" i="15"/>
  <c r="C367" i="15"/>
  <c r="AM277" i="15"/>
  <c r="H323" i="15"/>
  <c r="AN277" i="15"/>
  <c r="AG277" i="15"/>
  <c r="AO277" i="15"/>
  <c r="AH277" i="15"/>
  <c r="AP277" i="15"/>
  <c r="AI277" i="15"/>
  <c r="AQ277" i="15"/>
  <c r="AJ277" i="15"/>
  <c r="Q12" i="15"/>
  <c r="X54" i="15" s="1"/>
  <c r="AA54" i="15" s="1"/>
  <c r="AD54" i="15" s="1"/>
  <c r="I12" i="15"/>
  <c r="G54" i="15" s="1"/>
  <c r="J54" i="15" s="1"/>
  <c r="M54" i="15" s="1"/>
  <c r="P12" i="15"/>
  <c r="T54" i="15" s="1"/>
  <c r="W54" i="15" s="1"/>
  <c r="H12" i="15"/>
  <c r="C54" i="15" s="1"/>
  <c r="F54" i="15" s="1"/>
  <c r="I20" i="15"/>
  <c r="G62" i="15" s="1"/>
  <c r="J62" i="15" s="1"/>
  <c r="M62" i="15" s="1"/>
  <c r="H20" i="15"/>
  <c r="C62" i="15" s="1"/>
  <c r="F62" i="15" s="1"/>
  <c r="Q20" i="15"/>
  <c r="X62" i="15" s="1"/>
  <c r="AA62" i="15" s="1"/>
  <c r="AD62" i="15" s="1"/>
  <c r="P20" i="15"/>
  <c r="T62" i="15" s="1"/>
  <c r="W62" i="15" s="1"/>
  <c r="C200" i="15"/>
  <c r="C189" i="15"/>
  <c r="AB127" i="13"/>
  <c r="Y127" i="13"/>
  <c r="X127" i="13"/>
  <c r="Z127" i="13"/>
  <c r="AA127" i="13"/>
  <c r="AB139" i="13"/>
  <c r="Z139" i="13"/>
  <c r="Y139" i="13"/>
  <c r="X139" i="13"/>
  <c r="AA139" i="13"/>
  <c r="O129" i="13"/>
  <c r="K129" i="13"/>
  <c r="N129" i="13"/>
  <c r="M129" i="13"/>
  <c r="L129" i="13"/>
  <c r="AB124" i="13"/>
  <c r="AA124" i="13"/>
  <c r="X124" i="13"/>
  <c r="Y124" i="13"/>
  <c r="Z124" i="13"/>
  <c r="O138" i="13"/>
  <c r="N138" i="13"/>
  <c r="M138" i="13"/>
  <c r="L138" i="13"/>
  <c r="K138" i="13"/>
  <c r="K136" i="13"/>
  <c r="N136" i="13"/>
  <c r="M136" i="13"/>
  <c r="O136" i="13"/>
  <c r="L136" i="13"/>
  <c r="Z117" i="13"/>
  <c r="Y117" i="13"/>
  <c r="X117" i="13"/>
  <c r="AA117" i="13"/>
  <c r="AB117" i="13"/>
  <c r="M104" i="13"/>
  <c r="L104" i="13"/>
  <c r="K104" i="13"/>
  <c r="O104" i="13"/>
  <c r="N104" i="13"/>
  <c r="O114" i="13"/>
  <c r="M114" i="13"/>
  <c r="N114" i="13"/>
  <c r="L114" i="13"/>
  <c r="K114" i="13"/>
  <c r="X106" i="13"/>
  <c r="AA106" i="13"/>
  <c r="Z106" i="13"/>
  <c r="AB106" i="13"/>
  <c r="Y106" i="13"/>
  <c r="N107" i="13"/>
  <c r="K107" i="13"/>
  <c r="M107" i="13"/>
  <c r="L107" i="13"/>
  <c r="O107" i="13"/>
  <c r="O105" i="13"/>
  <c r="L105" i="13"/>
  <c r="K105" i="13"/>
  <c r="N105" i="13"/>
  <c r="M105" i="13"/>
  <c r="C540" i="15"/>
  <c r="AL274" i="15"/>
  <c r="C364" i="15"/>
  <c r="AM274" i="15"/>
  <c r="H320" i="15"/>
  <c r="AN274" i="15"/>
  <c r="AG274" i="15"/>
  <c r="AO274" i="15"/>
  <c r="AH274" i="15"/>
  <c r="AP274" i="15"/>
  <c r="AI274" i="15"/>
  <c r="AQ274" i="15"/>
  <c r="AJ274" i="15"/>
  <c r="AK274" i="15"/>
  <c r="W195" i="15"/>
  <c r="U195" i="15" s="1"/>
  <c r="AA107" i="15"/>
  <c r="Z107" i="15" s="1"/>
  <c r="C107" i="15"/>
  <c r="B107" i="15"/>
  <c r="D464" i="15"/>
  <c r="B181" i="15"/>
  <c r="W181" i="15"/>
  <c r="V181" i="15" s="1"/>
  <c r="C181" i="15"/>
  <c r="AA93" i="15"/>
  <c r="Z93" i="15" s="1"/>
  <c r="C93" i="15"/>
  <c r="B93" i="15"/>
  <c r="D450" i="15"/>
  <c r="G111" i="15"/>
  <c r="G25" i="15"/>
  <c r="AT290" i="15"/>
  <c r="BB290" i="15"/>
  <c r="AU290" i="15"/>
  <c r="AV290" i="15"/>
  <c r="D556" i="15"/>
  <c r="AW290" i="15"/>
  <c r="D380" i="15"/>
  <c r="AX290" i="15"/>
  <c r="G336" i="15"/>
  <c r="AY290" i="15"/>
  <c r="AR290" i="15"/>
  <c r="AZ290" i="15"/>
  <c r="AS290" i="15"/>
  <c r="BA290" i="15"/>
  <c r="G91" i="15"/>
  <c r="G5" i="15"/>
  <c r="AT270" i="15"/>
  <c r="BB270" i="15"/>
  <c r="AU270" i="15"/>
  <c r="AV270" i="15"/>
  <c r="D536" i="15"/>
  <c r="AW270" i="15"/>
  <c r="D360" i="15"/>
  <c r="AX270" i="15"/>
  <c r="G316" i="15"/>
  <c r="AY270" i="15"/>
  <c r="AR270" i="15"/>
  <c r="AZ270" i="15"/>
  <c r="AS270" i="15"/>
  <c r="BA270" i="15"/>
  <c r="W201" i="15"/>
  <c r="U201" i="15" s="1"/>
  <c r="AA113" i="15"/>
  <c r="Y113" i="15" s="1"/>
  <c r="C113" i="15"/>
  <c r="B113" i="15"/>
  <c r="D470" i="15"/>
  <c r="G92" i="15"/>
  <c r="G6" i="15"/>
  <c r="G317" i="15"/>
  <c r="AR271" i="15"/>
  <c r="D537" i="15"/>
  <c r="D361" i="15"/>
  <c r="AH286" i="15"/>
  <c r="AP286" i="15"/>
  <c r="AI286" i="15"/>
  <c r="AQ286" i="15"/>
  <c r="AJ286" i="15"/>
  <c r="AK286" i="15"/>
  <c r="C552" i="15"/>
  <c r="AL286" i="15"/>
  <c r="C376" i="15"/>
  <c r="AM286" i="15"/>
  <c r="H332" i="15"/>
  <c r="AN286" i="15"/>
  <c r="AG286" i="15"/>
  <c r="AO286" i="15"/>
  <c r="I19" i="15"/>
  <c r="G61" i="15" s="1"/>
  <c r="J61" i="15" s="1"/>
  <c r="M61" i="15" s="1"/>
  <c r="H19" i="15"/>
  <c r="C61" i="15" s="1"/>
  <c r="F61" i="15" s="1"/>
  <c r="Q19" i="15"/>
  <c r="X61" i="15" s="1"/>
  <c r="AA61" i="15" s="1"/>
  <c r="AD61" i="15" s="1"/>
  <c r="P19" i="15"/>
  <c r="T61" i="15" s="1"/>
  <c r="W61" i="15" s="1"/>
  <c r="P21" i="15"/>
  <c r="T63" i="15" s="1"/>
  <c r="W63" i="15" s="1"/>
  <c r="I21" i="15"/>
  <c r="G63" i="15" s="1"/>
  <c r="J63" i="15" s="1"/>
  <c r="M63" i="15" s="1"/>
  <c r="H21" i="15"/>
  <c r="C63" i="15" s="1"/>
  <c r="F63" i="15" s="1"/>
  <c r="Q21" i="15"/>
  <c r="X63" i="15" s="1"/>
  <c r="AA63" i="15" s="1"/>
  <c r="AD63" i="15" s="1"/>
  <c r="Q14" i="15"/>
  <c r="I14" i="15"/>
  <c r="P14" i="15"/>
  <c r="S14" i="15" s="1"/>
  <c r="H14" i="15"/>
  <c r="C199" i="15"/>
  <c r="C188" i="15"/>
  <c r="C195" i="15"/>
  <c r="Q16" i="15"/>
  <c r="X58" i="15" s="1"/>
  <c r="AA58" i="15" s="1"/>
  <c r="AD58" i="15" s="1"/>
  <c r="I16" i="15"/>
  <c r="G58" i="15" s="1"/>
  <c r="J58" i="15" s="1"/>
  <c r="M58" i="15" s="1"/>
  <c r="P16" i="15"/>
  <c r="T58" i="15" s="1"/>
  <c r="W58" i="15" s="1"/>
  <c r="H16" i="15"/>
  <c r="C58" i="15" s="1"/>
  <c r="F58" i="15" s="1"/>
  <c r="O125" i="13"/>
  <c r="K125" i="13"/>
  <c r="N125" i="13"/>
  <c r="L125" i="13"/>
  <c r="M125" i="13"/>
  <c r="AA136" i="13"/>
  <c r="Z136" i="13"/>
  <c r="Y136" i="13"/>
  <c r="AB136" i="13"/>
  <c r="X136" i="13"/>
  <c r="O134" i="13"/>
  <c r="N134" i="13"/>
  <c r="M134" i="13"/>
  <c r="L134" i="13"/>
  <c r="K134" i="13"/>
  <c r="O126" i="13"/>
  <c r="L126" i="13"/>
  <c r="K126" i="13"/>
  <c r="M126" i="13"/>
  <c r="N126" i="13"/>
  <c r="AB134" i="13"/>
  <c r="Y134" i="13"/>
  <c r="X134" i="13"/>
  <c r="AA134" i="13"/>
  <c r="Z134" i="13"/>
  <c r="N110" i="13"/>
  <c r="M110" i="13"/>
  <c r="L110" i="13"/>
  <c r="K110" i="13"/>
  <c r="O110" i="13"/>
  <c r="AB101" i="13"/>
  <c r="X101" i="13"/>
  <c r="AA101" i="13"/>
  <c r="Z101" i="13"/>
  <c r="Y101" i="13"/>
  <c r="AB112" i="13"/>
  <c r="AA112" i="13"/>
  <c r="X112" i="13"/>
  <c r="Y112" i="13"/>
  <c r="Z112" i="13"/>
  <c r="AB103" i="13"/>
  <c r="Y103" i="13"/>
  <c r="AA103" i="13"/>
  <c r="Z103" i="13"/>
  <c r="X103" i="13"/>
  <c r="AB108" i="13"/>
  <c r="AA108" i="13"/>
  <c r="Z108" i="13"/>
  <c r="X108" i="13"/>
  <c r="Y108" i="13"/>
  <c r="K116" i="13"/>
  <c r="O116" i="13"/>
  <c r="N116" i="13"/>
  <c r="M116" i="13"/>
  <c r="L116" i="13"/>
  <c r="G101" i="15"/>
  <c r="G15" i="15"/>
  <c r="AU280" i="15"/>
  <c r="AV280" i="15"/>
  <c r="D546" i="15"/>
  <c r="AW280" i="15"/>
  <c r="D370" i="15"/>
  <c r="AX280" i="15"/>
  <c r="G326" i="15"/>
  <c r="AY280" i="15"/>
  <c r="AR280" i="15"/>
  <c r="AZ280" i="15"/>
  <c r="AS280" i="15"/>
  <c r="BA280" i="15"/>
  <c r="AT280" i="15"/>
  <c r="BB280" i="15"/>
  <c r="C536" i="15"/>
  <c r="AL270" i="15"/>
  <c r="C360" i="15"/>
  <c r="AM270" i="15"/>
  <c r="H316" i="15"/>
  <c r="AN270" i="15"/>
  <c r="AG270" i="15"/>
  <c r="AO270" i="15"/>
  <c r="AH270" i="15"/>
  <c r="AP270" i="15"/>
  <c r="AI270" i="15"/>
  <c r="AQ270" i="15"/>
  <c r="AJ270" i="15"/>
  <c r="AK270" i="15"/>
  <c r="AI293" i="15"/>
  <c r="AQ293" i="15"/>
  <c r="AJ293" i="15"/>
  <c r="AK293" i="15"/>
  <c r="C559" i="15"/>
  <c r="AL293" i="15"/>
  <c r="C383" i="15"/>
  <c r="AM293" i="15"/>
  <c r="H339" i="15"/>
  <c r="AN293" i="15"/>
  <c r="AG293" i="15"/>
  <c r="AO293" i="15"/>
  <c r="AH293" i="15"/>
  <c r="AP293" i="15"/>
  <c r="W196" i="15"/>
  <c r="V196" i="15" s="1"/>
  <c r="AA108" i="15"/>
  <c r="Z108" i="15" s="1"/>
  <c r="C108" i="15"/>
  <c r="B108" i="15"/>
  <c r="D465" i="15"/>
  <c r="W199" i="15"/>
  <c r="V199" i="15" s="1"/>
  <c r="AA111" i="15"/>
  <c r="Z111" i="15" s="1"/>
  <c r="C111" i="15"/>
  <c r="B111" i="15"/>
  <c r="D468" i="15"/>
  <c r="C179" i="15"/>
  <c r="W179" i="15"/>
  <c r="V179" i="15" s="1"/>
  <c r="B179" i="15"/>
  <c r="AA91" i="15"/>
  <c r="Z91" i="15" s="1"/>
  <c r="C91" i="15"/>
  <c r="B91" i="15"/>
  <c r="D448" i="15"/>
  <c r="X536" i="15" s="1"/>
  <c r="W197" i="15"/>
  <c r="U197" i="15" s="1"/>
  <c r="AA109" i="15"/>
  <c r="Z109" i="15" s="1"/>
  <c r="C109" i="15"/>
  <c r="B109" i="15"/>
  <c r="D466" i="15"/>
  <c r="C180" i="15"/>
  <c r="AA92" i="15"/>
  <c r="Z92" i="15" s="1"/>
  <c r="C92" i="15"/>
  <c r="W180" i="15"/>
  <c r="V180" i="15" s="1"/>
  <c r="B180" i="15"/>
  <c r="B92" i="15"/>
  <c r="D449" i="15"/>
  <c r="AI275" i="15"/>
  <c r="AQ275" i="15"/>
  <c r="AJ275" i="15"/>
  <c r="AK275" i="15"/>
  <c r="C541" i="15"/>
  <c r="AL275" i="15"/>
  <c r="C365" i="15"/>
  <c r="AM275" i="15"/>
  <c r="H321" i="15"/>
  <c r="AN275" i="15"/>
  <c r="AG275" i="15"/>
  <c r="AO275" i="15"/>
  <c r="AH275" i="15"/>
  <c r="AP275" i="15"/>
  <c r="AH272" i="15"/>
  <c r="AP272" i="15"/>
  <c r="AI272" i="15"/>
  <c r="AQ272" i="15"/>
  <c r="AJ272" i="15"/>
  <c r="AK272" i="15"/>
  <c r="C538" i="15"/>
  <c r="AL272" i="15"/>
  <c r="C362" i="15"/>
  <c r="AM272" i="15"/>
  <c r="H318" i="15"/>
  <c r="AN272" i="15"/>
  <c r="AG272" i="15"/>
  <c r="AO272" i="15"/>
  <c r="AG279" i="15"/>
  <c r="AO279" i="15"/>
  <c r="AH279" i="15"/>
  <c r="AP279" i="15"/>
  <c r="AI279" i="15"/>
  <c r="AQ279" i="15"/>
  <c r="AJ279" i="15"/>
  <c r="AK279" i="15"/>
  <c r="C545" i="15"/>
  <c r="AL279" i="15"/>
  <c r="C369" i="15"/>
  <c r="AM279" i="15"/>
  <c r="H325" i="15"/>
  <c r="AN279" i="15"/>
  <c r="P18" i="15"/>
  <c r="T18" i="15" s="1"/>
  <c r="H18" i="15"/>
  <c r="Q18" i="15"/>
  <c r="R18" i="15" s="1"/>
  <c r="I18" i="15"/>
  <c r="B191" i="15"/>
  <c r="Q5" i="15"/>
  <c r="R5" i="15" s="1"/>
  <c r="I5" i="15"/>
  <c r="P5" i="15"/>
  <c r="T5" i="15" s="1"/>
  <c r="H5" i="15"/>
  <c r="Q7" i="15"/>
  <c r="R7" i="15" s="1"/>
  <c r="I7" i="15"/>
  <c r="P7" i="15"/>
  <c r="H7" i="15"/>
  <c r="Q6" i="15"/>
  <c r="X48" i="15" s="1"/>
  <c r="AA48" i="15" s="1"/>
  <c r="AD48" i="15" s="1"/>
  <c r="I6" i="15"/>
  <c r="G48" i="15" s="1"/>
  <c r="J48" i="15" s="1"/>
  <c r="M48" i="15" s="1"/>
  <c r="P6" i="15"/>
  <c r="T48" i="15" s="1"/>
  <c r="W48" i="15" s="1"/>
  <c r="H6" i="15"/>
  <c r="C48" i="15" s="1"/>
  <c r="F48" i="15" s="1"/>
  <c r="Q9" i="15"/>
  <c r="X51" i="15" s="1"/>
  <c r="AA51" i="15" s="1"/>
  <c r="AD51" i="15" s="1"/>
  <c r="I9" i="15"/>
  <c r="G51" i="15" s="1"/>
  <c r="J51" i="15" s="1"/>
  <c r="M51" i="15" s="1"/>
  <c r="P9" i="15"/>
  <c r="T51" i="15" s="1"/>
  <c r="W51" i="15" s="1"/>
  <c r="H9" i="15"/>
  <c r="C51" i="15" s="1"/>
  <c r="F51" i="15" s="1"/>
  <c r="Q23" i="15"/>
  <c r="X65" i="15" s="1"/>
  <c r="AA65" i="15" s="1"/>
  <c r="AD65" i="15" s="1"/>
  <c r="I23" i="15"/>
  <c r="G65" i="15" s="1"/>
  <c r="J65" i="15" s="1"/>
  <c r="M65" i="15" s="1"/>
  <c r="P23" i="15"/>
  <c r="T65" i="15" s="1"/>
  <c r="W65" i="15" s="1"/>
  <c r="H23" i="15"/>
  <c r="C65" i="15" s="1"/>
  <c r="F65" i="15" s="1"/>
  <c r="B201" i="15"/>
  <c r="P10" i="15"/>
  <c r="T10" i="15" s="1"/>
  <c r="H10" i="15"/>
  <c r="Q10" i="15"/>
  <c r="I10" i="15"/>
  <c r="B199" i="15"/>
  <c r="B188" i="15"/>
  <c r="B189" i="15"/>
  <c r="AB130" i="13"/>
  <c r="AA130" i="13"/>
  <c r="Z130" i="13"/>
  <c r="Y130" i="13"/>
  <c r="X130" i="13"/>
  <c r="AB123" i="13"/>
  <c r="Y123" i="13"/>
  <c r="X123" i="13"/>
  <c r="Z123" i="13"/>
  <c r="AA123" i="13"/>
  <c r="AB140" i="13"/>
  <c r="AA140" i="13"/>
  <c r="Z140" i="13"/>
  <c r="Y140" i="13"/>
  <c r="X140" i="13"/>
  <c r="O130" i="13"/>
  <c r="N130" i="13"/>
  <c r="M130" i="13"/>
  <c r="L130" i="13"/>
  <c r="K130" i="13"/>
  <c r="O128" i="13"/>
  <c r="K128" i="13"/>
  <c r="N128" i="13"/>
  <c r="M128" i="13"/>
  <c r="L128" i="13"/>
  <c r="O101" i="13"/>
  <c r="N101" i="13"/>
  <c r="L101" i="13"/>
  <c r="K101" i="13"/>
  <c r="M101" i="13"/>
  <c r="AB107" i="13"/>
  <c r="Z107" i="13"/>
  <c r="Y107" i="13"/>
  <c r="X107" i="13"/>
  <c r="AA107" i="13"/>
  <c r="AB102" i="13"/>
  <c r="X102" i="13"/>
  <c r="AA102" i="13"/>
  <c r="Z102" i="13"/>
  <c r="Y102" i="13"/>
  <c r="AB99" i="13"/>
  <c r="AA99" i="13"/>
  <c r="Z99" i="13"/>
  <c r="Y99" i="13"/>
  <c r="X99" i="13"/>
  <c r="Y118" i="13"/>
  <c r="AB118" i="13"/>
  <c r="X118" i="13"/>
  <c r="AA118" i="13"/>
  <c r="Z118" i="13"/>
  <c r="W189" i="15"/>
  <c r="U189" i="15" s="1"/>
  <c r="C101" i="15"/>
  <c r="AA101" i="15"/>
  <c r="Z101" i="15" s="1"/>
  <c r="B101" i="15"/>
  <c r="D458" i="15"/>
  <c r="X546" i="15" s="1"/>
  <c r="C372" i="15"/>
  <c r="AM282" i="15"/>
  <c r="H328" i="15"/>
  <c r="AN282" i="15"/>
  <c r="AG282" i="15"/>
  <c r="AO282" i="15"/>
  <c r="AH282" i="15"/>
  <c r="AP282" i="15"/>
  <c r="AI282" i="15"/>
  <c r="AQ282" i="15"/>
  <c r="AJ282" i="15"/>
  <c r="AK282" i="15"/>
  <c r="C548" i="15"/>
  <c r="AL282" i="15"/>
  <c r="G108" i="15"/>
  <c r="G22" i="15"/>
  <c r="D553" i="15"/>
  <c r="AW287" i="15"/>
  <c r="D377" i="15"/>
  <c r="AX287" i="15"/>
  <c r="G333" i="15"/>
  <c r="AY287" i="15"/>
  <c r="AR287" i="15"/>
  <c r="AZ287" i="15"/>
  <c r="AS287" i="15"/>
  <c r="BA287" i="15"/>
  <c r="AT287" i="15"/>
  <c r="BB287" i="15"/>
  <c r="AU287" i="15"/>
  <c r="AV287" i="15"/>
  <c r="G112" i="15"/>
  <c r="G26" i="15"/>
  <c r="AT291" i="15"/>
  <c r="BB291" i="15"/>
  <c r="AU291" i="15"/>
  <c r="AV291" i="15"/>
  <c r="D557" i="15"/>
  <c r="AW291" i="15"/>
  <c r="D381" i="15"/>
  <c r="AX291" i="15"/>
  <c r="G337" i="15"/>
  <c r="AY291" i="15"/>
  <c r="AR291" i="15"/>
  <c r="AZ291" i="15"/>
  <c r="AS291" i="15"/>
  <c r="BA291" i="15"/>
  <c r="G98" i="15"/>
  <c r="G12" i="15"/>
  <c r="AS277" i="15"/>
  <c r="BA277" i="15"/>
  <c r="AT277" i="15"/>
  <c r="BB277" i="15"/>
  <c r="AU277" i="15"/>
  <c r="AV277" i="15"/>
  <c r="D543" i="15"/>
  <c r="AW277" i="15"/>
  <c r="D367" i="15"/>
  <c r="AX277" i="15"/>
  <c r="G323" i="15"/>
  <c r="AY277" i="15"/>
  <c r="AR277" i="15"/>
  <c r="AZ277" i="15"/>
  <c r="G109" i="15"/>
  <c r="G23" i="15"/>
  <c r="D378" i="15"/>
  <c r="L466" i="15" s="1"/>
  <c r="AX288" i="15"/>
  <c r="G334" i="15"/>
  <c r="AY288" i="15"/>
  <c r="AR288" i="15"/>
  <c r="AZ288" i="15"/>
  <c r="AS288" i="15"/>
  <c r="BA288" i="15"/>
  <c r="AT288" i="15"/>
  <c r="BB288" i="15"/>
  <c r="AU288" i="15"/>
  <c r="AV288" i="15"/>
  <c r="D554" i="15"/>
  <c r="AW288" i="15"/>
  <c r="AA114" i="15"/>
  <c r="Y114" i="15" s="1"/>
  <c r="C114" i="15"/>
  <c r="W202" i="15"/>
  <c r="U202" i="15" s="1"/>
  <c r="B114" i="15"/>
  <c r="D471" i="15"/>
  <c r="C201" i="15"/>
  <c r="P24" i="15"/>
  <c r="T66" i="15" s="1"/>
  <c r="W66" i="15" s="1"/>
  <c r="H24" i="15"/>
  <c r="C66" i="15" s="1"/>
  <c r="F66" i="15" s="1"/>
  <c r="I24" i="15"/>
  <c r="G66" i="15" s="1"/>
  <c r="J66" i="15" s="1"/>
  <c r="M66" i="15" s="1"/>
  <c r="Q24" i="15"/>
  <c r="X66" i="15" s="1"/>
  <c r="AA66" i="15" s="1"/>
  <c r="AD66" i="15" s="1"/>
  <c r="Q13" i="15"/>
  <c r="X55" i="15" s="1"/>
  <c r="AA55" i="15" s="1"/>
  <c r="AD55" i="15" s="1"/>
  <c r="I13" i="15"/>
  <c r="G55" i="15" s="1"/>
  <c r="J55" i="15" s="1"/>
  <c r="M55" i="15" s="1"/>
  <c r="P13" i="15"/>
  <c r="T55" i="15" s="1"/>
  <c r="W55" i="15" s="1"/>
  <c r="H13" i="15"/>
  <c r="C55" i="15" s="1"/>
  <c r="F55" i="15" s="1"/>
  <c r="AB129" i="13"/>
  <c r="AA129" i="13"/>
  <c r="Z129" i="13"/>
  <c r="Y129" i="13"/>
  <c r="X129" i="13"/>
  <c r="N135" i="13"/>
  <c r="M135" i="13"/>
  <c r="L135" i="13"/>
  <c r="K135" i="13"/>
  <c r="O135" i="13"/>
  <c r="K142" i="13"/>
  <c r="O142" i="13"/>
  <c r="N142" i="13"/>
  <c r="M142" i="13"/>
  <c r="L142" i="13"/>
  <c r="O139" i="13"/>
  <c r="K139" i="13"/>
  <c r="N139" i="13"/>
  <c r="M139" i="13"/>
  <c r="L139" i="13"/>
  <c r="Y141" i="13"/>
  <c r="X141" i="13"/>
  <c r="AB141" i="13"/>
  <c r="AA141" i="13"/>
  <c r="Z141" i="13"/>
  <c r="K113" i="13"/>
  <c r="N113" i="13"/>
  <c r="O113" i="13"/>
  <c r="L113" i="13"/>
  <c r="M113" i="13"/>
  <c r="O99" i="13"/>
  <c r="K99" i="13"/>
  <c r="N99" i="13"/>
  <c r="M99" i="13"/>
  <c r="L99" i="13"/>
  <c r="AB109" i="13"/>
  <c r="Z109" i="13"/>
  <c r="Y109" i="13"/>
  <c r="AA109" i="13"/>
  <c r="X109" i="13"/>
  <c r="AB104" i="13"/>
  <c r="AA104" i="13"/>
  <c r="Z104" i="13"/>
  <c r="X104" i="13"/>
  <c r="Y104" i="13"/>
  <c r="AB116" i="13"/>
  <c r="AA116" i="13"/>
  <c r="X116" i="13"/>
  <c r="Z116" i="13"/>
  <c r="Y116" i="13"/>
  <c r="W200" i="15"/>
  <c r="U200" i="15" s="1"/>
  <c r="AA112" i="15"/>
  <c r="Y112" i="15" s="1"/>
  <c r="C112" i="15"/>
  <c r="B112" i="15"/>
  <c r="D469" i="15"/>
  <c r="W186" i="15"/>
  <c r="V186" i="15" s="1"/>
  <c r="B186" i="15"/>
  <c r="AA98" i="15"/>
  <c r="Z98" i="15" s="1"/>
  <c r="C98" i="15"/>
  <c r="B98" i="15"/>
  <c r="D455" i="15"/>
  <c r="G104" i="15"/>
  <c r="G18" i="15"/>
  <c r="AR283" i="15"/>
  <c r="AZ283" i="15"/>
  <c r="AS283" i="15"/>
  <c r="BA283" i="15"/>
  <c r="AT283" i="15"/>
  <c r="BB283" i="15"/>
  <c r="AU283" i="15"/>
  <c r="AV283" i="15"/>
  <c r="D549" i="15"/>
  <c r="AW283" i="15"/>
  <c r="D373" i="15"/>
  <c r="AX283" i="15"/>
  <c r="G329" i="15"/>
  <c r="AY283" i="15"/>
  <c r="G95" i="15"/>
  <c r="G9" i="15"/>
  <c r="D364" i="15"/>
  <c r="AX274" i="15"/>
  <c r="G320" i="15"/>
  <c r="AY274" i="15"/>
  <c r="AR274" i="15"/>
  <c r="AZ274" i="15"/>
  <c r="AS274" i="15"/>
  <c r="BA274" i="15"/>
  <c r="AT274" i="15"/>
  <c r="BB274" i="15"/>
  <c r="AU274" i="15"/>
  <c r="AV274" i="15"/>
  <c r="D540" i="15"/>
  <c r="AW274" i="15"/>
  <c r="G114" i="15"/>
  <c r="G28" i="15"/>
  <c r="AR293" i="15"/>
  <c r="AZ293" i="15"/>
  <c r="AS293" i="15"/>
  <c r="BA293" i="15"/>
  <c r="AT293" i="15"/>
  <c r="BB293" i="15"/>
  <c r="AU293" i="15"/>
  <c r="AV293" i="15"/>
  <c r="D559" i="15"/>
  <c r="AW293" i="15"/>
  <c r="D383" i="15"/>
  <c r="AX293" i="15"/>
  <c r="G339" i="15"/>
  <c r="AY293" i="15"/>
  <c r="AH280" i="15"/>
  <c r="AP280" i="15"/>
  <c r="AI280" i="15"/>
  <c r="AQ280" i="15"/>
  <c r="AJ280" i="15"/>
  <c r="AK280" i="15"/>
  <c r="C546" i="15"/>
  <c r="AL280" i="15"/>
  <c r="C370" i="15"/>
  <c r="AM280" i="15"/>
  <c r="H326" i="15"/>
  <c r="AN280" i="15"/>
  <c r="AG280" i="15"/>
  <c r="AO280" i="15"/>
  <c r="AI276" i="15"/>
  <c r="AQ276" i="15"/>
  <c r="AJ276" i="15"/>
  <c r="AK276" i="15"/>
  <c r="C542" i="15"/>
  <c r="AL276" i="15"/>
  <c r="C366" i="15"/>
  <c r="AM276" i="15"/>
  <c r="H322" i="15"/>
  <c r="AN276" i="15"/>
  <c r="AG276" i="15"/>
  <c r="AO276" i="15"/>
  <c r="AH276" i="15"/>
  <c r="AP276" i="15"/>
  <c r="Q15" i="15"/>
  <c r="X57" i="15" s="1"/>
  <c r="AA57" i="15" s="1"/>
  <c r="AD57" i="15" s="1"/>
  <c r="I15" i="15"/>
  <c r="G57" i="15" s="1"/>
  <c r="J57" i="15" s="1"/>
  <c r="M57" i="15" s="1"/>
  <c r="P15" i="15"/>
  <c r="T57" i="15" s="1"/>
  <c r="W57" i="15" s="1"/>
  <c r="H15" i="15"/>
  <c r="C57" i="15" s="1"/>
  <c r="F57" i="15" s="1"/>
  <c r="V28" i="15"/>
  <c r="N28" i="15"/>
  <c r="U28" i="15"/>
  <c r="AB70" i="15" s="1"/>
  <c r="M28" i="15"/>
  <c r="L70" i="15" s="1"/>
  <c r="T28" i="15"/>
  <c r="U70" i="15" s="1"/>
  <c r="L28" i="15"/>
  <c r="D70" i="15" s="1"/>
  <c r="S28" i="15"/>
  <c r="S70" i="15" s="1"/>
  <c r="AI70" i="15" s="1"/>
  <c r="K28" i="15"/>
  <c r="B70" i="15" s="1"/>
  <c r="R70" i="15" s="1"/>
  <c r="R28" i="15"/>
  <c r="AE70" i="15" s="1"/>
  <c r="AH70" i="15" s="1"/>
  <c r="Q28" i="15"/>
  <c r="X70" i="15" s="1"/>
  <c r="AA70" i="15" s="1"/>
  <c r="AD70" i="15" s="1"/>
  <c r="P28" i="15"/>
  <c r="T70" i="15" s="1"/>
  <c r="W70" i="15" s="1"/>
  <c r="O28" i="15"/>
  <c r="J28" i="15"/>
  <c r="N70" i="15" s="1"/>
  <c r="Q70" i="15" s="1"/>
  <c r="I28" i="15"/>
  <c r="G70" i="15" s="1"/>
  <c r="J70" i="15" s="1"/>
  <c r="M70" i="15" s="1"/>
  <c r="H28" i="15"/>
  <c r="C70" i="15" s="1"/>
  <c r="F70" i="15" s="1"/>
  <c r="W28" i="15"/>
  <c r="O133" i="13"/>
  <c r="M133" i="13"/>
  <c r="L133" i="13"/>
  <c r="K133" i="13"/>
  <c r="N133" i="13"/>
  <c r="AB126" i="13"/>
  <c r="AA126" i="13"/>
  <c r="Z126" i="13"/>
  <c r="Y126" i="13"/>
  <c r="X126" i="13"/>
  <c r="AB133" i="13"/>
  <c r="AA133" i="13"/>
  <c r="Z133" i="13"/>
  <c r="Y133" i="13"/>
  <c r="X133" i="13"/>
  <c r="AA142" i="13"/>
  <c r="Z142" i="13"/>
  <c r="AB142" i="13"/>
  <c r="Y142" i="13"/>
  <c r="X142" i="13"/>
  <c r="N131" i="13"/>
  <c r="M131" i="13"/>
  <c r="L131" i="13"/>
  <c r="K131" i="13"/>
  <c r="O131" i="13"/>
  <c r="O109" i="13"/>
  <c r="N109" i="13"/>
  <c r="M109" i="13"/>
  <c r="L109" i="13"/>
  <c r="K109" i="13"/>
  <c r="AB115" i="13"/>
  <c r="Y115" i="13"/>
  <c r="AA115" i="13"/>
  <c r="Z115" i="13"/>
  <c r="X115" i="13"/>
  <c r="O106" i="13"/>
  <c r="K106" i="13"/>
  <c r="N106" i="13"/>
  <c r="M106" i="13"/>
  <c r="L106" i="13"/>
  <c r="O102" i="13"/>
  <c r="L102" i="13"/>
  <c r="K102" i="13"/>
  <c r="N102" i="13"/>
  <c r="M102" i="13"/>
  <c r="O115" i="13"/>
  <c r="K115" i="13"/>
  <c r="M115" i="13"/>
  <c r="N115" i="13"/>
  <c r="L115" i="13"/>
  <c r="H336" i="15"/>
  <c r="AN290" i="15"/>
  <c r="AG290" i="15"/>
  <c r="AO290" i="15"/>
  <c r="AH290" i="15"/>
  <c r="AP290" i="15"/>
  <c r="AI290" i="15"/>
  <c r="AQ290" i="15"/>
  <c r="AJ290" i="15"/>
  <c r="AK290" i="15"/>
  <c r="C556" i="15"/>
  <c r="AL290" i="15"/>
  <c r="C380" i="15"/>
  <c r="AM290" i="15"/>
  <c r="C539" i="15"/>
  <c r="AL273" i="15"/>
  <c r="C363" i="15"/>
  <c r="AM273" i="15"/>
  <c r="H319" i="15"/>
  <c r="AN273" i="15"/>
  <c r="AG273" i="15"/>
  <c r="AO273" i="15"/>
  <c r="AH273" i="15"/>
  <c r="AP273" i="15"/>
  <c r="AI273" i="15"/>
  <c r="AQ273" i="15"/>
  <c r="AJ273" i="15"/>
  <c r="AK273" i="15"/>
  <c r="AJ289" i="15"/>
  <c r="AK289" i="15"/>
  <c r="C555" i="15"/>
  <c r="AL289" i="15"/>
  <c r="C379" i="15"/>
  <c r="AM289" i="15"/>
  <c r="H335" i="15"/>
  <c r="AN289" i="15"/>
  <c r="AG289" i="15"/>
  <c r="AO289" i="15"/>
  <c r="AH289" i="15"/>
  <c r="AP289" i="15"/>
  <c r="AI289" i="15"/>
  <c r="AQ289" i="15"/>
  <c r="G110" i="15"/>
  <c r="G24" i="15"/>
  <c r="AV289" i="15"/>
  <c r="D555" i="15"/>
  <c r="AW289" i="15"/>
  <c r="D379" i="15"/>
  <c r="AX289" i="15"/>
  <c r="G335" i="15"/>
  <c r="AY289" i="15"/>
  <c r="AR289" i="15"/>
  <c r="AZ289" i="15"/>
  <c r="AS289" i="15"/>
  <c r="BA289" i="15"/>
  <c r="AT289" i="15"/>
  <c r="BB289" i="15"/>
  <c r="AU289" i="15"/>
  <c r="W192" i="15"/>
  <c r="V192" i="15" s="1"/>
  <c r="AA104" i="15"/>
  <c r="Z104" i="15" s="1"/>
  <c r="C104" i="15"/>
  <c r="B104" i="15"/>
  <c r="D461" i="15"/>
  <c r="G94" i="13"/>
  <c r="G93" i="13"/>
  <c r="G91" i="13"/>
  <c r="G77" i="13"/>
  <c r="G79" i="13"/>
  <c r="G92" i="13"/>
  <c r="G90" i="13"/>
  <c r="G88" i="13"/>
  <c r="G87" i="13"/>
  <c r="G84" i="13"/>
  <c r="G89" i="13"/>
  <c r="G78" i="13"/>
  <c r="G80" i="13"/>
  <c r="G86" i="13"/>
  <c r="G83" i="13"/>
  <c r="G81" i="13"/>
  <c r="G82" i="13"/>
  <c r="G85" i="13"/>
  <c r="G76" i="13"/>
  <c r="G75" i="13"/>
  <c r="C183" i="15"/>
  <c r="B183" i="15"/>
  <c r="W183" i="15"/>
  <c r="V183" i="15" s="1"/>
  <c r="B95" i="15"/>
  <c r="AA95" i="15"/>
  <c r="Y95" i="15" s="1"/>
  <c r="C95" i="15"/>
  <c r="D452" i="15"/>
  <c r="G102" i="15"/>
  <c r="G16" i="15"/>
  <c r="G327" i="15"/>
  <c r="AY281" i="15"/>
  <c r="AS281" i="15"/>
  <c r="AZ281" i="15"/>
  <c r="AR281" i="15"/>
  <c r="BA281" i="15"/>
  <c r="AT281" i="15"/>
  <c r="BB281" i="15"/>
  <c r="AU281" i="15"/>
  <c r="AV281" i="15"/>
  <c r="D547" i="15"/>
  <c r="AW281" i="15"/>
  <c r="D371" i="15"/>
  <c r="AX281" i="15"/>
  <c r="E10" i="13"/>
  <c r="E17" i="13"/>
  <c r="E13" i="13"/>
  <c r="I9" i="13"/>
  <c r="I12" i="13"/>
  <c r="E19" i="13"/>
  <c r="E8" i="13"/>
  <c r="I11" i="13"/>
  <c r="I6" i="13"/>
  <c r="I17" i="13"/>
  <c r="E23" i="13"/>
  <c r="I21" i="13"/>
  <c r="E9" i="13"/>
  <c r="I22" i="13"/>
  <c r="R26" i="13"/>
  <c r="I16" i="13"/>
  <c r="E14" i="13"/>
  <c r="E6" i="13"/>
  <c r="E15" i="13"/>
  <c r="I8" i="13"/>
  <c r="E21" i="13"/>
  <c r="E20" i="13"/>
  <c r="I18" i="13"/>
  <c r="I10" i="13"/>
  <c r="I14" i="13"/>
  <c r="E11" i="13"/>
  <c r="I20" i="13"/>
  <c r="I15" i="13"/>
  <c r="I19" i="13"/>
  <c r="E12" i="13"/>
  <c r="I23" i="13"/>
  <c r="I7" i="13"/>
  <c r="I13" i="13"/>
  <c r="E22" i="13"/>
  <c r="E16" i="13"/>
  <c r="E7" i="13"/>
  <c r="E18" i="13"/>
  <c r="AI288" i="15"/>
  <c r="AQ288" i="15"/>
  <c r="AJ288" i="15"/>
  <c r="AK288" i="15"/>
  <c r="C554" i="15"/>
  <c r="AL288" i="15"/>
  <c r="C378" i="15"/>
  <c r="AM288" i="15"/>
  <c r="H334" i="15"/>
  <c r="AN288" i="15"/>
  <c r="AG288" i="15"/>
  <c r="AO288" i="15"/>
  <c r="AH288" i="15"/>
  <c r="AP288" i="15"/>
  <c r="C537" i="15"/>
  <c r="C361" i="15"/>
  <c r="H317" i="15"/>
  <c r="AG271" i="15"/>
  <c r="W194" i="15"/>
  <c r="V194" i="15" s="1"/>
  <c r="AA106" i="15"/>
  <c r="Z106" i="15" s="1"/>
  <c r="C106" i="15"/>
  <c r="B106" i="15"/>
  <c r="D463" i="15"/>
  <c r="B193" i="15"/>
  <c r="C194" i="15"/>
  <c r="C193" i="15"/>
  <c r="B192" i="15"/>
  <c r="C197" i="15"/>
  <c r="U27" i="15"/>
  <c r="AB69" i="15" s="1"/>
  <c r="M27" i="15"/>
  <c r="K69" i="15" s="1"/>
  <c r="S27" i="15"/>
  <c r="S69" i="15" s="1"/>
  <c r="AI69" i="15" s="1"/>
  <c r="K27" i="15"/>
  <c r="B69" i="15" s="1"/>
  <c r="R69" i="15" s="1"/>
  <c r="R27" i="15"/>
  <c r="AE69" i="15" s="1"/>
  <c r="AH69" i="15" s="1"/>
  <c r="J27" i="15"/>
  <c r="N69" i="15" s="1"/>
  <c r="Q69" i="15" s="1"/>
  <c r="N27" i="15"/>
  <c r="L27" i="15"/>
  <c r="D69" i="15" s="1"/>
  <c r="W27" i="15"/>
  <c r="I27" i="15"/>
  <c r="G69" i="15" s="1"/>
  <c r="J69" i="15" s="1"/>
  <c r="M69" i="15" s="1"/>
  <c r="V27" i="15"/>
  <c r="H27" i="15"/>
  <c r="C69" i="15" s="1"/>
  <c r="F69" i="15" s="1"/>
  <c r="T27" i="15"/>
  <c r="V69" i="15" s="1"/>
  <c r="Q27" i="15"/>
  <c r="X69" i="15" s="1"/>
  <c r="AA69" i="15" s="1"/>
  <c r="AD69" i="15" s="1"/>
  <c r="P27" i="15"/>
  <c r="T69" i="15" s="1"/>
  <c r="W69" i="15" s="1"/>
  <c r="O27" i="15"/>
  <c r="B198" i="15"/>
  <c r="O141" i="13"/>
  <c r="K141" i="13"/>
  <c r="N141" i="13"/>
  <c r="M141" i="13"/>
  <c r="L141" i="13"/>
  <c r="O140" i="13"/>
  <c r="K140" i="13"/>
  <c r="N140" i="13"/>
  <c r="M140" i="13"/>
  <c r="L140" i="13"/>
  <c r="O124" i="13"/>
  <c r="N124" i="13"/>
  <c r="M124" i="13"/>
  <c r="L124" i="13"/>
  <c r="K124" i="13"/>
  <c r="O137" i="13"/>
  <c r="M137" i="13"/>
  <c r="L137" i="13"/>
  <c r="K137" i="13"/>
  <c r="N137" i="13"/>
  <c r="AB138" i="13"/>
  <c r="Y138" i="13"/>
  <c r="X138" i="13"/>
  <c r="AA138" i="13"/>
  <c r="Z138" i="13"/>
  <c r="AB111" i="13"/>
  <c r="Z111" i="13"/>
  <c r="Y111" i="13"/>
  <c r="X111" i="13"/>
  <c r="AA111" i="13"/>
  <c r="AB114" i="13"/>
  <c r="AA114" i="13"/>
  <c r="Z114" i="13"/>
  <c r="X114" i="13"/>
  <c r="Y114" i="13"/>
  <c r="O103" i="13"/>
  <c r="K103" i="13"/>
  <c r="N103" i="13"/>
  <c r="M103" i="13"/>
  <c r="L103" i="13"/>
  <c r="O108" i="13"/>
  <c r="K108" i="13"/>
  <c r="L108" i="13"/>
  <c r="M108" i="13"/>
  <c r="N108" i="13"/>
  <c r="M100" i="13"/>
  <c r="L100" i="13"/>
  <c r="N100" i="13"/>
  <c r="K100" i="13"/>
  <c r="O100" i="13"/>
  <c r="I36" i="13"/>
  <c r="E37" i="13"/>
  <c r="E30" i="13"/>
  <c r="E42" i="13"/>
  <c r="I39" i="13"/>
  <c r="E34" i="13"/>
  <c r="I45" i="13"/>
  <c r="E32" i="13"/>
  <c r="I32" i="13"/>
  <c r="E43" i="13"/>
  <c r="I33" i="13"/>
  <c r="E41" i="13"/>
  <c r="I38" i="13"/>
  <c r="E29" i="13"/>
  <c r="E39" i="13"/>
  <c r="I29" i="13"/>
  <c r="I41" i="13"/>
  <c r="E33" i="13"/>
  <c r="I31" i="13"/>
  <c r="E38" i="13"/>
  <c r="I43" i="13"/>
  <c r="E44" i="13"/>
  <c r="R49" i="13"/>
  <c r="I46" i="13"/>
  <c r="E31" i="13"/>
  <c r="E40" i="13"/>
  <c r="I44" i="13"/>
  <c r="E36" i="13"/>
  <c r="I34" i="13"/>
  <c r="I40" i="13"/>
  <c r="I42" i="13"/>
  <c r="E46" i="13"/>
  <c r="I35" i="13"/>
  <c r="E35" i="13"/>
  <c r="I37" i="13"/>
  <c r="E45" i="13"/>
  <c r="I30" i="13"/>
  <c r="H333" i="15"/>
  <c r="AN287" i="15"/>
  <c r="AG287" i="15"/>
  <c r="AO287" i="15"/>
  <c r="AH287" i="15"/>
  <c r="AP287" i="15"/>
  <c r="AI287" i="15"/>
  <c r="AQ287" i="15"/>
  <c r="AJ287" i="15"/>
  <c r="AK287" i="15"/>
  <c r="C553" i="15"/>
  <c r="AL287" i="15"/>
  <c r="C377" i="15"/>
  <c r="AM287" i="15"/>
  <c r="W198" i="15"/>
  <c r="U198" i="15" s="1"/>
  <c r="AA110" i="15"/>
  <c r="Z110" i="15" s="1"/>
  <c r="C110" i="15"/>
  <c r="B110" i="15"/>
  <c r="D467" i="15"/>
  <c r="X555" i="15" s="1"/>
  <c r="G94" i="15"/>
  <c r="G8" i="15"/>
  <c r="AV273" i="15"/>
  <c r="D539" i="15"/>
  <c r="AW273" i="15"/>
  <c r="D363" i="15"/>
  <c r="AX273" i="15"/>
  <c r="G319" i="15"/>
  <c r="AY273" i="15"/>
  <c r="AR273" i="15"/>
  <c r="AZ273" i="15"/>
  <c r="AS273" i="15"/>
  <c r="BA273" i="15"/>
  <c r="AT273" i="15"/>
  <c r="BB273" i="15"/>
  <c r="AU273" i="15"/>
  <c r="G100" i="15"/>
  <c r="G14" i="15"/>
  <c r="AS279" i="15"/>
  <c r="BA279" i="15"/>
  <c r="AT279" i="15"/>
  <c r="BB279" i="15"/>
  <c r="AU279" i="15"/>
  <c r="AV279" i="15"/>
  <c r="D545" i="15"/>
  <c r="AW279" i="15"/>
  <c r="D369" i="15"/>
  <c r="AX279" i="15"/>
  <c r="G325" i="15"/>
  <c r="AY279" i="15"/>
  <c r="AR279" i="15"/>
  <c r="AZ279" i="15"/>
  <c r="AA102" i="15"/>
  <c r="Y102" i="15" s="1"/>
  <c r="C102" i="15"/>
  <c r="W190" i="15"/>
  <c r="U190" i="15" s="1"/>
  <c r="B102" i="15"/>
  <c r="D459" i="15"/>
  <c r="G19" i="15"/>
  <c r="G105" i="15"/>
  <c r="AS284" i="15"/>
  <c r="BA284" i="15"/>
  <c r="AT284" i="15"/>
  <c r="BB284" i="15"/>
  <c r="AU284" i="15"/>
  <c r="AV284" i="15"/>
  <c r="D550" i="15"/>
  <c r="AW284" i="15"/>
  <c r="D374" i="15"/>
  <c r="AX284" i="15"/>
  <c r="G330" i="15"/>
  <c r="AY284" i="15"/>
  <c r="AR284" i="15"/>
  <c r="AZ284" i="15"/>
  <c r="H331" i="15"/>
  <c r="AN285" i="15"/>
  <c r="AG285" i="15"/>
  <c r="AO285" i="15"/>
  <c r="AH285" i="15"/>
  <c r="AP285" i="15"/>
  <c r="AI285" i="15"/>
  <c r="AQ285" i="15"/>
  <c r="AJ285" i="15"/>
  <c r="AK285" i="15"/>
  <c r="C551" i="15"/>
  <c r="AL285" i="15"/>
  <c r="C375" i="15"/>
  <c r="AM285" i="15"/>
  <c r="G106" i="15"/>
  <c r="G20" i="15"/>
  <c r="AT285" i="15"/>
  <c r="BB285" i="15"/>
  <c r="AU285" i="15"/>
  <c r="AV285" i="15"/>
  <c r="D551" i="15"/>
  <c r="AW285" i="15"/>
  <c r="D375" i="15"/>
  <c r="AX285" i="15"/>
  <c r="G331" i="15"/>
  <c r="AY285" i="15"/>
  <c r="AR285" i="15"/>
  <c r="AZ285" i="15"/>
  <c r="AS285" i="15"/>
  <c r="BA285" i="15"/>
  <c r="Q26" i="15"/>
  <c r="U26" i="15" s="1"/>
  <c r="I26" i="15"/>
  <c r="H26" i="15"/>
  <c r="P26" i="15"/>
  <c r="B194" i="15"/>
  <c r="Q17" i="15"/>
  <c r="X59" i="15" s="1"/>
  <c r="AA59" i="15" s="1"/>
  <c r="AD59" i="15" s="1"/>
  <c r="I17" i="15"/>
  <c r="G59" i="15" s="1"/>
  <c r="J59" i="15" s="1"/>
  <c r="M59" i="15" s="1"/>
  <c r="P17" i="15"/>
  <c r="T59" i="15" s="1"/>
  <c r="W59" i="15" s="1"/>
  <c r="H17" i="15"/>
  <c r="C59" i="15" s="1"/>
  <c r="F59" i="15" s="1"/>
  <c r="C190" i="15"/>
  <c r="C192" i="15"/>
  <c r="Q8" i="15"/>
  <c r="X50" i="15" s="1"/>
  <c r="AA50" i="15" s="1"/>
  <c r="AD50" i="15" s="1"/>
  <c r="I8" i="15"/>
  <c r="G50" i="15" s="1"/>
  <c r="J50" i="15" s="1"/>
  <c r="M50" i="15" s="1"/>
  <c r="P8" i="15"/>
  <c r="T50" i="15" s="1"/>
  <c r="W50" i="15" s="1"/>
  <c r="H8" i="15"/>
  <c r="C50" i="15" s="1"/>
  <c r="F50" i="15" s="1"/>
  <c r="B197" i="15"/>
  <c r="B196" i="15"/>
  <c r="C198" i="15"/>
  <c r="H330" i="15"/>
  <c r="AN284" i="15"/>
  <c r="AG284" i="15"/>
  <c r="AO284" i="15"/>
  <c r="AH284" i="15"/>
  <c r="AP284" i="15"/>
  <c r="AI284" i="15"/>
  <c r="AQ284" i="15"/>
  <c r="AJ284" i="15"/>
  <c r="AK284" i="15"/>
  <c r="C550" i="15"/>
  <c r="AL284" i="15"/>
  <c r="C374" i="15"/>
  <c r="AM284" i="15"/>
  <c r="O123" i="13"/>
  <c r="L123" i="13"/>
  <c r="K123" i="13"/>
  <c r="M123" i="13"/>
  <c r="N123" i="13"/>
  <c r="N127" i="13"/>
  <c r="M127" i="13"/>
  <c r="L127" i="13"/>
  <c r="O127" i="13"/>
  <c r="K127" i="13"/>
  <c r="AB137" i="13"/>
  <c r="AA137" i="13"/>
  <c r="Z137" i="13"/>
  <c r="Y137" i="13"/>
  <c r="X137" i="13"/>
  <c r="AB132" i="13"/>
  <c r="X132" i="13"/>
  <c r="AA132" i="13"/>
  <c r="Z132" i="13"/>
  <c r="Y132" i="13"/>
  <c r="O132" i="13"/>
  <c r="K132" i="13"/>
  <c r="N132" i="13"/>
  <c r="M132" i="13"/>
  <c r="L132" i="13"/>
  <c r="O111" i="13"/>
  <c r="M111" i="13"/>
  <c r="L111" i="13"/>
  <c r="N111" i="13"/>
  <c r="K111" i="13"/>
  <c r="O112" i="13"/>
  <c r="M112" i="13"/>
  <c r="L112" i="13"/>
  <c r="N112" i="13"/>
  <c r="K112" i="13"/>
  <c r="AB113" i="13"/>
  <c r="Z113" i="13"/>
  <c r="Y113" i="13"/>
  <c r="X113" i="13"/>
  <c r="AA113" i="13"/>
  <c r="M118" i="13"/>
  <c r="N118" i="13"/>
  <c r="L118" i="13"/>
  <c r="K118" i="13"/>
  <c r="O118" i="13"/>
  <c r="G99" i="15"/>
  <c r="G13" i="15"/>
  <c r="AS278" i="15"/>
  <c r="BA278" i="15"/>
  <c r="AT278" i="15"/>
  <c r="BB278" i="15"/>
  <c r="AU278" i="15"/>
  <c r="AV278" i="15"/>
  <c r="D544" i="15"/>
  <c r="AW278" i="15"/>
  <c r="D368" i="15"/>
  <c r="AX278" i="15"/>
  <c r="G324" i="15"/>
  <c r="AY278" i="15"/>
  <c r="AR278" i="15"/>
  <c r="AZ278" i="15"/>
  <c r="AJ291" i="15"/>
  <c r="AK291" i="15"/>
  <c r="C557" i="15"/>
  <c r="AL291" i="15"/>
  <c r="C381" i="15"/>
  <c r="AM291" i="15"/>
  <c r="H337" i="15"/>
  <c r="AN291" i="15"/>
  <c r="AG291" i="15"/>
  <c r="AO291" i="15"/>
  <c r="AH291" i="15"/>
  <c r="AP291" i="15"/>
  <c r="AI291" i="15"/>
  <c r="AQ291" i="15"/>
  <c r="H338" i="15"/>
  <c r="AN292" i="15"/>
  <c r="AG292" i="15"/>
  <c r="AO292" i="15"/>
  <c r="AH292" i="15"/>
  <c r="AP292" i="15"/>
  <c r="AI292" i="15"/>
  <c r="AQ292" i="15"/>
  <c r="AJ292" i="15"/>
  <c r="AK292" i="15"/>
  <c r="C558" i="15"/>
  <c r="AL292" i="15"/>
  <c r="C382" i="15"/>
  <c r="AM292" i="15"/>
  <c r="W184" i="15"/>
  <c r="V184" i="15" s="1"/>
  <c r="B184" i="15"/>
  <c r="C184" i="15"/>
  <c r="AA96" i="15"/>
  <c r="Z96" i="15" s="1"/>
  <c r="C96" i="15"/>
  <c r="B96" i="15"/>
  <c r="D453" i="15"/>
  <c r="B182" i="15"/>
  <c r="W182" i="15"/>
  <c r="V182" i="15" s="1"/>
  <c r="C182" i="15"/>
  <c r="C94" i="15"/>
  <c r="B94" i="15"/>
  <c r="AA94" i="15"/>
  <c r="Y94" i="15" s="1"/>
  <c r="D451" i="15"/>
  <c r="AA100" i="15"/>
  <c r="Y100" i="15" s="1"/>
  <c r="C100" i="15"/>
  <c r="B100" i="15"/>
  <c r="W188" i="15"/>
  <c r="U188" i="15" s="1"/>
  <c r="D457" i="15"/>
  <c r="W191" i="15"/>
  <c r="V191" i="15" s="1"/>
  <c r="C103" i="15"/>
  <c r="B103" i="15"/>
  <c r="AA103" i="15"/>
  <c r="Z103" i="15" s="1"/>
  <c r="D460" i="15"/>
  <c r="K95" i="13"/>
  <c r="I85" i="13"/>
  <c r="I87" i="13"/>
  <c r="I83" i="13"/>
  <c r="I77" i="13"/>
  <c r="I93" i="13"/>
  <c r="I75" i="13"/>
  <c r="I79" i="13"/>
  <c r="I81" i="13"/>
  <c r="I89" i="13"/>
  <c r="I84" i="13"/>
  <c r="I82" i="13"/>
  <c r="I91" i="13"/>
  <c r="I92" i="13"/>
  <c r="I78" i="13"/>
  <c r="I94" i="13"/>
  <c r="I76" i="13"/>
  <c r="I80" i="13"/>
  <c r="I86" i="13"/>
  <c r="I88" i="13"/>
  <c r="I90" i="13"/>
  <c r="G11" i="15"/>
  <c r="G97" i="15"/>
  <c r="AT276" i="15"/>
  <c r="BB276" i="15"/>
  <c r="AU276" i="15"/>
  <c r="AV276" i="15"/>
  <c r="D542" i="15"/>
  <c r="AW276" i="15"/>
  <c r="D366" i="15"/>
  <c r="AX276" i="15"/>
  <c r="G322" i="15"/>
  <c r="AY276" i="15"/>
  <c r="AR276" i="15"/>
  <c r="AZ276" i="15"/>
  <c r="AS276" i="15"/>
  <c r="BA276" i="15"/>
  <c r="W193" i="15"/>
  <c r="V193" i="15" s="1"/>
  <c r="AA105" i="15"/>
  <c r="Z105" i="15" s="1"/>
  <c r="C105" i="15"/>
  <c r="B105" i="15"/>
  <c r="D462" i="15"/>
  <c r="X550" i="15" s="1"/>
  <c r="X95" i="13"/>
  <c r="AK278" i="15"/>
  <c r="C544" i="15"/>
  <c r="AL278" i="15"/>
  <c r="C368" i="15"/>
  <c r="AM278" i="15"/>
  <c r="H324" i="15"/>
  <c r="AN278" i="15"/>
  <c r="AG278" i="15"/>
  <c r="AO278" i="15"/>
  <c r="AH278" i="15"/>
  <c r="AP278" i="15"/>
  <c r="AI278" i="15"/>
  <c r="AQ278" i="15"/>
  <c r="AJ278" i="15"/>
  <c r="BI130" i="5"/>
  <c r="BI143" i="5"/>
  <c r="BI129" i="5"/>
  <c r="BI123" i="5"/>
  <c r="BI145" i="5"/>
  <c r="BI124" i="5"/>
  <c r="BI131" i="5"/>
  <c r="BI142" i="5"/>
  <c r="BI137" i="5"/>
  <c r="BI138" i="5"/>
  <c r="BI134" i="5"/>
  <c r="BI144" i="5"/>
  <c r="BI125" i="5"/>
  <c r="BI141" i="5"/>
  <c r="BI122" i="5"/>
  <c r="BI140" i="5"/>
  <c r="BI133" i="5"/>
  <c r="BI139" i="5"/>
  <c r="BI126" i="5"/>
  <c r="BI136" i="5"/>
  <c r="BI128" i="5"/>
  <c r="BI132" i="5"/>
  <c r="BI127" i="5"/>
  <c r="BI135" i="5"/>
  <c r="F550" i="15" l="1"/>
  <c r="L550" i="15" s="1"/>
  <c r="L470" i="15"/>
  <c r="M470" i="15" s="1"/>
  <c r="AA555" i="15"/>
  <c r="AC555" i="15" s="1"/>
  <c r="AF115" i="13"/>
  <c r="AG115" i="13" s="1"/>
  <c r="AH115" i="13" s="1"/>
  <c r="AI115" i="13" s="1"/>
  <c r="AJ115" i="13" s="1"/>
  <c r="AK115" i="13" s="1"/>
  <c r="AL115" i="13" s="1"/>
  <c r="AM115" i="13" s="1"/>
  <c r="AQ115" i="13" s="1"/>
  <c r="I550" i="15"/>
  <c r="K550" i="15" s="1"/>
  <c r="F555" i="15"/>
  <c r="H555" i="15" s="1"/>
  <c r="L471" i="15"/>
  <c r="P471" i="15" s="1"/>
  <c r="U514" i="15" s="1"/>
  <c r="V514" i="15" s="1"/>
  <c r="AA550" i="15"/>
  <c r="Y555" i="15"/>
  <c r="T598" i="15" s="1"/>
  <c r="W598" i="15" s="1"/>
  <c r="Z555" i="15"/>
  <c r="V598" i="15" s="1"/>
  <c r="I555" i="15"/>
  <c r="Y550" i="15"/>
  <c r="T593" i="15" s="1"/>
  <c r="W593" i="15" s="1"/>
  <c r="Z550" i="15"/>
  <c r="P22" i="13"/>
  <c r="S22" i="13" s="1"/>
  <c r="Q91" i="13"/>
  <c r="S91" i="13" s="1"/>
  <c r="T91" i="13" s="1"/>
  <c r="AF139" i="13"/>
  <c r="AG139" i="13" s="1"/>
  <c r="AH139" i="13" s="1"/>
  <c r="AI139" i="13" s="1"/>
  <c r="AJ139" i="13" s="1"/>
  <c r="AK139" i="13" s="1"/>
  <c r="AL139" i="13" s="1"/>
  <c r="AM139" i="13" s="1"/>
  <c r="AP139" i="13" s="1"/>
  <c r="P45" i="13"/>
  <c r="S45" i="13" s="1"/>
  <c r="P68" i="13"/>
  <c r="Q68" i="13" s="1"/>
  <c r="R68" i="13" s="1"/>
  <c r="M13" i="15"/>
  <c r="L55" i="15" s="1"/>
  <c r="T13" i="15"/>
  <c r="U55" i="15" s="1"/>
  <c r="U13" i="15"/>
  <c r="AC55" i="15" s="1"/>
  <c r="S13" i="15"/>
  <c r="S55" i="15" s="1"/>
  <c r="AI55" i="15" s="1"/>
  <c r="L13" i="15"/>
  <c r="E55" i="15" s="1"/>
  <c r="N13" i="15"/>
  <c r="I55" i="15" s="1"/>
  <c r="J13" i="15"/>
  <c r="V13" i="15"/>
  <c r="Y55" i="15" s="1"/>
  <c r="R13" i="15"/>
  <c r="K13" i="15"/>
  <c r="B55" i="15" s="1"/>
  <c r="R55" i="15" s="1"/>
  <c r="H271" i="15"/>
  <c r="L271" i="15" s="1"/>
  <c r="I271" i="15"/>
  <c r="W271" i="15" s="1"/>
  <c r="T509" i="15"/>
  <c r="W509" i="15" s="1"/>
  <c r="P466" i="15"/>
  <c r="U509" i="15" s="1"/>
  <c r="V509" i="15" s="1"/>
  <c r="M466" i="15"/>
  <c r="AS104" i="13"/>
  <c r="AT104" i="13" s="1"/>
  <c r="AU104" i="13" s="1"/>
  <c r="AV104" i="13" s="1"/>
  <c r="AW104" i="13" s="1"/>
  <c r="AX104" i="13" s="1"/>
  <c r="AY104" i="13" s="1"/>
  <c r="AZ104" i="13" s="1"/>
  <c r="BD104" i="13" s="1"/>
  <c r="U57" i="13"/>
  <c r="T11" i="13"/>
  <c r="W11" i="13" s="1"/>
  <c r="BK175" i="13"/>
  <c r="AL160" i="13"/>
  <c r="AU160" i="13" s="1"/>
  <c r="AF110" i="13"/>
  <c r="AG110" i="13" s="1"/>
  <c r="AH110" i="13" s="1"/>
  <c r="AI110" i="13" s="1"/>
  <c r="AJ110" i="13" s="1"/>
  <c r="AK110" i="13" s="1"/>
  <c r="AL110" i="13" s="1"/>
  <c r="AM110" i="13" s="1"/>
  <c r="AO110" i="13" s="1"/>
  <c r="AS131" i="13"/>
  <c r="AT131" i="13" s="1"/>
  <c r="AU131" i="13" s="1"/>
  <c r="AV131" i="13" s="1"/>
  <c r="AW131" i="13" s="1"/>
  <c r="AX131" i="13" s="1"/>
  <c r="AY131" i="13" s="1"/>
  <c r="AZ131" i="13" s="1"/>
  <c r="BE131" i="13" s="1"/>
  <c r="T22" i="13"/>
  <c r="W22" i="13" s="1"/>
  <c r="P71" i="13"/>
  <c r="Q71" i="13" s="1"/>
  <c r="R71" i="13" s="1"/>
  <c r="U80" i="13"/>
  <c r="W80" i="13" s="1"/>
  <c r="AL166" i="13"/>
  <c r="AP166" i="13" s="1"/>
  <c r="T34" i="13"/>
  <c r="W34" i="13" s="1"/>
  <c r="AL188" i="13"/>
  <c r="AO188" i="13" s="1"/>
  <c r="Q94" i="13"/>
  <c r="S94" i="13" s="1"/>
  <c r="T94" i="13" s="1"/>
  <c r="T46" i="13"/>
  <c r="W46" i="13" s="1"/>
  <c r="T45" i="13"/>
  <c r="W45" i="13" s="1"/>
  <c r="AS139" i="13"/>
  <c r="AT139" i="13" s="1"/>
  <c r="AU139" i="13" s="1"/>
  <c r="AV139" i="13" s="1"/>
  <c r="AW139" i="13" s="1"/>
  <c r="AX139" i="13" s="1"/>
  <c r="AY139" i="13" s="1"/>
  <c r="AZ139" i="13" s="1"/>
  <c r="BA139" i="13" s="1"/>
  <c r="U91" i="13"/>
  <c r="W91" i="13" s="1"/>
  <c r="AS115" i="13"/>
  <c r="AT115" i="13" s="1"/>
  <c r="AU115" i="13" s="1"/>
  <c r="AV115" i="13" s="1"/>
  <c r="AW115" i="13" s="1"/>
  <c r="AX115" i="13" s="1"/>
  <c r="AY115" i="13" s="1"/>
  <c r="AZ115" i="13" s="1"/>
  <c r="BA115" i="13" s="1"/>
  <c r="AL187" i="13"/>
  <c r="AT187" i="13" s="1"/>
  <c r="AL176" i="13"/>
  <c r="AR176" i="13" s="1"/>
  <c r="X70" i="13"/>
  <c r="AF114" i="13"/>
  <c r="AG114" i="13" s="1"/>
  <c r="AH114" i="13" s="1"/>
  <c r="AI114" i="13" s="1"/>
  <c r="AJ114" i="13" s="1"/>
  <c r="AK114" i="13" s="1"/>
  <c r="AL114" i="13" s="1"/>
  <c r="AM114" i="13" s="1"/>
  <c r="AN114" i="13" s="1"/>
  <c r="S15" i="15"/>
  <c r="S57" i="15" s="1"/>
  <c r="AI57" i="15" s="1"/>
  <c r="V15" i="15"/>
  <c r="Z57" i="15" s="1"/>
  <c r="R15" i="15"/>
  <c r="U15" i="15"/>
  <c r="AC57" i="15" s="1"/>
  <c r="N15" i="15"/>
  <c r="I57" i="15" s="1"/>
  <c r="J15" i="15"/>
  <c r="K15" i="15"/>
  <c r="B57" i="15" s="1"/>
  <c r="R57" i="15" s="1"/>
  <c r="L15" i="15"/>
  <c r="D57" i="15" s="1"/>
  <c r="T15" i="15"/>
  <c r="V57" i="15" s="1"/>
  <c r="M15" i="15"/>
  <c r="L57" i="15" s="1"/>
  <c r="P21" i="13"/>
  <c r="S21" i="13" s="1"/>
  <c r="AL162" i="13"/>
  <c r="AP162" i="13" s="1"/>
  <c r="AF138" i="13"/>
  <c r="AG138" i="13" s="1"/>
  <c r="AH138" i="13" s="1"/>
  <c r="AI138" i="13" s="1"/>
  <c r="AJ138" i="13" s="1"/>
  <c r="AK138" i="13" s="1"/>
  <c r="AL138" i="13" s="1"/>
  <c r="AM138" i="13" s="1"/>
  <c r="AQ138" i="13" s="1"/>
  <c r="Q90" i="13"/>
  <c r="S90" i="13" s="1"/>
  <c r="T90" i="13" s="1"/>
  <c r="P67" i="13"/>
  <c r="S67" i="13" s="1"/>
  <c r="K31" i="15"/>
  <c r="B73" i="15" s="1"/>
  <c r="R73" i="15" s="1"/>
  <c r="N31" i="15"/>
  <c r="H73" i="15" s="1"/>
  <c r="V31" i="15"/>
  <c r="Y73" i="15" s="1"/>
  <c r="L16" i="15"/>
  <c r="D58" i="15" s="1"/>
  <c r="J31" i="15"/>
  <c r="L31" i="15"/>
  <c r="D73" i="15" s="1"/>
  <c r="T16" i="15"/>
  <c r="V58" i="15" s="1"/>
  <c r="M31" i="15"/>
  <c r="L73" i="15" s="1"/>
  <c r="R31" i="15"/>
  <c r="M16" i="15"/>
  <c r="L58" i="15" s="1"/>
  <c r="U16" i="15"/>
  <c r="AC58" i="15" s="1"/>
  <c r="J16" i="15"/>
  <c r="N16" i="15"/>
  <c r="H58" i="15" s="1"/>
  <c r="R16" i="15"/>
  <c r="V16" i="15"/>
  <c r="Y58" i="15" s="1"/>
  <c r="K16" i="15"/>
  <c r="B58" i="15" s="1"/>
  <c r="R58" i="15" s="1"/>
  <c r="T31" i="15"/>
  <c r="V73" i="15" s="1"/>
  <c r="U31" i="15"/>
  <c r="AC73" i="15" s="1"/>
  <c r="S16" i="15"/>
  <c r="S58" i="15" s="1"/>
  <c r="AI58" i="15" s="1"/>
  <c r="S31" i="15"/>
  <c r="S73" i="15" s="1"/>
  <c r="AI73" i="15" s="1"/>
  <c r="BG175" i="13"/>
  <c r="BB175" i="13"/>
  <c r="AX175" i="13"/>
  <c r="AT175" i="13"/>
  <c r="BA175" i="13"/>
  <c r="AW175" i="13"/>
  <c r="AO175" i="13"/>
  <c r="BI175" i="13"/>
  <c r="AM175" i="13"/>
  <c r="BF175" i="13"/>
  <c r="AL182" i="13"/>
  <c r="AR182" i="13" s="1"/>
  <c r="BC175" i="13"/>
  <c r="AS175" i="13"/>
  <c r="AU175" i="13"/>
  <c r="BJ175" i="13"/>
  <c r="AY175" i="13"/>
  <c r="AP175" i="13"/>
  <c r="BE175" i="13"/>
  <c r="AR175" i="13"/>
  <c r="AS117" i="13"/>
  <c r="AT117" i="13" s="1"/>
  <c r="AU117" i="13" s="1"/>
  <c r="AV117" i="13" s="1"/>
  <c r="AW117" i="13" s="1"/>
  <c r="AX117" i="13" s="1"/>
  <c r="AY117" i="13" s="1"/>
  <c r="AZ117" i="13" s="1"/>
  <c r="BE117" i="13" s="1"/>
  <c r="T47" i="13"/>
  <c r="U47" i="13" s="1"/>
  <c r="AF111" i="13"/>
  <c r="AG111" i="13" s="1"/>
  <c r="AH111" i="13" s="1"/>
  <c r="AI111" i="13" s="1"/>
  <c r="AJ111" i="13" s="1"/>
  <c r="AK111" i="13" s="1"/>
  <c r="AL111" i="13" s="1"/>
  <c r="AM111" i="13" s="1"/>
  <c r="AP111" i="13" s="1"/>
  <c r="T39" i="13"/>
  <c r="W39" i="13" s="1"/>
  <c r="AS133" i="13"/>
  <c r="AT133" i="13" s="1"/>
  <c r="AU133" i="13" s="1"/>
  <c r="AV133" i="13" s="1"/>
  <c r="AW133" i="13" s="1"/>
  <c r="AX133" i="13" s="1"/>
  <c r="AY133" i="13" s="1"/>
  <c r="AZ133" i="13" s="1"/>
  <c r="BC133" i="13" s="1"/>
  <c r="U85" i="13"/>
  <c r="W85" i="13" s="1"/>
  <c r="X85" i="13" s="1"/>
  <c r="AS106" i="13"/>
  <c r="AT106" i="13" s="1"/>
  <c r="AU106" i="13" s="1"/>
  <c r="AV106" i="13" s="1"/>
  <c r="AW106" i="13" s="1"/>
  <c r="AX106" i="13" s="1"/>
  <c r="AY106" i="13" s="1"/>
  <c r="AZ106" i="13" s="1"/>
  <c r="BA106" i="13" s="1"/>
  <c r="BI6" i="20"/>
  <c r="BI10" i="20" s="1"/>
  <c r="BI7" i="20"/>
  <c r="BH6" i="20"/>
  <c r="BH9" i="20" s="1"/>
  <c r="BH7" i="20"/>
  <c r="BH8" i="20" s="1"/>
  <c r="U10" i="13"/>
  <c r="BI8" i="20"/>
  <c r="BI9" i="20" s="1"/>
  <c r="F542" i="15"/>
  <c r="G542" i="15" s="1"/>
  <c r="F585" i="15" s="1"/>
  <c r="L456" i="15"/>
  <c r="T499" i="15" s="1"/>
  <c r="W499" i="15" s="1"/>
  <c r="AA536" i="15"/>
  <c r="AC536" i="15" s="1"/>
  <c r="I546" i="15"/>
  <c r="K546" i="15" s="1"/>
  <c r="AL181" i="13"/>
  <c r="AU181" i="13" s="1"/>
  <c r="AS130" i="13"/>
  <c r="AT130" i="13" s="1"/>
  <c r="AU130" i="13" s="1"/>
  <c r="AV130" i="13" s="1"/>
  <c r="AW130" i="13" s="1"/>
  <c r="AX130" i="13" s="1"/>
  <c r="AY130" i="13" s="1"/>
  <c r="AZ130" i="13" s="1"/>
  <c r="BC130" i="13" s="1"/>
  <c r="T16" i="13"/>
  <c r="W16" i="13" s="1"/>
  <c r="L449" i="15"/>
  <c r="T492" i="15" s="1"/>
  <c r="W492" i="15" s="1"/>
  <c r="L461" i="15"/>
  <c r="P461" i="15" s="1"/>
  <c r="U504" i="15" s="1"/>
  <c r="V504" i="15" s="1"/>
  <c r="F536" i="15"/>
  <c r="H536" i="15" s="1"/>
  <c r="F546" i="15"/>
  <c r="L546" i="15" s="1"/>
  <c r="I542" i="15"/>
  <c r="K542" i="15" s="1"/>
  <c r="I536" i="15"/>
  <c r="Z536" i="15"/>
  <c r="U579" i="15" s="1"/>
  <c r="Y536" i="15"/>
  <c r="T579" i="15" s="1"/>
  <c r="W579" i="15" s="1"/>
  <c r="AA542" i="15"/>
  <c r="Y546" i="15"/>
  <c r="T589" i="15" s="1"/>
  <c r="W589" i="15" s="1"/>
  <c r="Z546" i="15"/>
  <c r="V589" i="15" s="1"/>
  <c r="Z542" i="15"/>
  <c r="U585" i="15" s="1"/>
  <c r="Y542" i="15"/>
  <c r="T585" i="15" s="1"/>
  <c r="W585" i="15" s="1"/>
  <c r="AA546" i="15"/>
  <c r="P32" i="13"/>
  <c r="S32" i="13" s="1"/>
  <c r="T7" i="13"/>
  <c r="W7" i="13" s="1"/>
  <c r="Q78" i="13"/>
  <c r="S78" i="13" s="1"/>
  <c r="T78" i="13" s="1"/>
  <c r="AL150" i="13"/>
  <c r="AO150" i="13" s="1"/>
  <c r="AF102" i="13"/>
  <c r="AG102" i="13" s="1"/>
  <c r="AH102" i="13" s="1"/>
  <c r="AI102" i="13" s="1"/>
  <c r="AJ102" i="13" s="1"/>
  <c r="AK102" i="13" s="1"/>
  <c r="AL102" i="13" s="1"/>
  <c r="AM102" i="13" s="1"/>
  <c r="AP102" i="13" s="1"/>
  <c r="AF126" i="13"/>
  <c r="AG126" i="13" s="1"/>
  <c r="AH126" i="13" s="1"/>
  <c r="AI126" i="13" s="1"/>
  <c r="AJ126" i="13" s="1"/>
  <c r="AK126" i="13" s="1"/>
  <c r="AL126" i="13" s="1"/>
  <c r="AM126" i="13" s="1"/>
  <c r="AR126" i="13" s="1"/>
  <c r="P9" i="13"/>
  <c r="S9" i="13" s="1"/>
  <c r="V79" i="13"/>
  <c r="AL178" i="13"/>
  <c r="AM178" i="13" s="1"/>
  <c r="T13" i="13"/>
  <c r="W13" i="13" s="1"/>
  <c r="U82" i="13"/>
  <c r="W82" i="13" s="1"/>
  <c r="X82" i="13" s="1"/>
  <c r="T42" i="13"/>
  <c r="W42" i="13" s="1"/>
  <c r="P18" i="13"/>
  <c r="S18" i="13" s="1"/>
  <c r="AF135" i="13"/>
  <c r="AG135" i="13" s="1"/>
  <c r="AH135" i="13" s="1"/>
  <c r="AI135" i="13" s="1"/>
  <c r="AJ135" i="13" s="1"/>
  <c r="AK135" i="13" s="1"/>
  <c r="AL135" i="13" s="1"/>
  <c r="AM135" i="13" s="1"/>
  <c r="AQ135" i="13" s="1"/>
  <c r="P38" i="13"/>
  <c r="S38" i="13" s="1"/>
  <c r="P37" i="13"/>
  <c r="S37" i="13" s="1"/>
  <c r="P57" i="13"/>
  <c r="Q57" i="13" s="1"/>
  <c r="R57" i="13" s="1"/>
  <c r="AL151" i="13"/>
  <c r="AQ151" i="13" s="1"/>
  <c r="AL152" i="13"/>
  <c r="AS152" i="13" s="1"/>
  <c r="Q80" i="13"/>
  <c r="S80" i="13" s="1"/>
  <c r="T80" i="13" s="1"/>
  <c r="AF128" i="13"/>
  <c r="AG128" i="13" s="1"/>
  <c r="AH128" i="13" s="1"/>
  <c r="AI128" i="13" s="1"/>
  <c r="AJ128" i="13" s="1"/>
  <c r="AK128" i="13" s="1"/>
  <c r="AL128" i="13" s="1"/>
  <c r="AM128" i="13" s="1"/>
  <c r="AR128" i="13" s="1"/>
  <c r="P11" i="13"/>
  <c r="S11" i="13" s="1"/>
  <c r="P34" i="13"/>
  <c r="S34" i="13" s="1"/>
  <c r="BH53" i="22"/>
  <c r="BH54" i="22" s="1"/>
  <c r="BI54" i="22"/>
  <c r="BI55" i="22" s="1"/>
  <c r="BI53" i="22"/>
  <c r="BH52" i="22"/>
  <c r="BH55" i="22" s="1"/>
  <c r="BI52" i="22"/>
  <c r="K669" i="15"/>
  <c r="R626" i="15"/>
  <c r="AL159" i="13"/>
  <c r="AR159" i="13" s="1"/>
  <c r="P41" i="13"/>
  <c r="S41" i="13" s="1"/>
  <c r="Q87" i="13"/>
  <c r="S87" i="13" s="1"/>
  <c r="T87" i="13" s="1"/>
  <c r="S64" i="13"/>
  <c r="BE127" i="13"/>
  <c r="U58" i="13"/>
  <c r="V58" i="13" s="1"/>
  <c r="W58" i="13" s="1"/>
  <c r="T64" i="13"/>
  <c r="BB127" i="13"/>
  <c r="AS105" i="13"/>
  <c r="AT105" i="13" s="1"/>
  <c r="AU105" i="13" s="1"/>
  <c r="AV105" i="13" s="1"/>
  <c r="AW105" i="13" s="1"/>
  <c r="AX105" i="13" s="1"/>
  <c r="AY105" i="13" s="1"/>
  <c r="AZ105" i="13" s="1"/>
  <c r="BD105" i="13" s="1"/>
  <c r="BD127" i="13"/>
  <c r="AL177" i="13"/>
  <c r="AU177" i="13" s="1"/>
  <c r="BA127" i="13"/>
  <c r="T35" i="13"/>
  <c r="W35" i="13" s="1"/>
  <c r="U33" i="13"/>
  <c r="BB128" i="13"/>
  <c r="BC128" i="13"/>
  <c r="AS129" i="13"/>
  <c r="AT129" i="13" s="1"/>
  <c r="AU129" i="13" s="1"/>
  <c r="AV129" i="13" s="1"/>
  <c r="AW129" i="13" s="1"/>
  <c r="AX129" i="13" s="1"/>
  <c r="AY129" i="13" s="1"/>
  <c r="AZ129" i="13" s="1"/>
  <c r="BC129" i="13" s="1"/>
  <c r="BH175" i="13"/>
  <c r="AZ175" i="13"/>
  <c r="AQ175" i="13"/>
  <c r="U59" i="13"/>
  <c r="V59" i="13" s="1"/>
  <c r="W59" i="13" s="1"/>
  <c r="T12" i="13"/>
  <c r="W12" i="13" s="1"/>
  <c r="BL175" i="13"/>
  <c r="BM175" i="13" s="1"/>
  <c r="BQ175" i="13" s="1"/>
  <c r="BD175" i="13"/>
  <c r="AV175" i="13"/>
  <c r="P54" i="13"/>
  <c r="T54" i="13" s="1"/>
  <c r="T8" i="13"/>
  <c r="W8" i="13" s="1"/>
  <c r="T31" i="13"/>
  <c r="W31" i="13" s="1"/>
  <c r="P31" i="13"/>
  <c r="S31" i="13" s="1"/>
  <c r="AF101" i="13"/>
  <c r="AG101" i="13" s="1"/>
  <c r="AH101" i="13" s="1"/>
  <c r="AI101" i="13" s="1"/>
  <c r="AJ101" i="13" s="1"/>
  <c r="AK101" i="13" s="1"/>
  <c r="AL101" i="13" s="1"/>
  <c r="AM101" i="13" s="1"/>
  <c r="AN101" i="13" s="1"/>
  <c r="U54" i="13"/>
  <c r="V54" i="13" s="1"/>
  <c r="W54" i="13" s="1"/>
  <c r="AF125" i="13"/>
  <c r="AG125" i="13" s="1"/>
  <c r="AH125" i="13" s="1"/>
  <c r="AI125" i="13" s="1"/>
  <c r="AJ125" i="13" s="1"/>
  <c r="AK125" i="13" s="1"/>
  <c r="AL125" i="13" s="1"/>
  <c r="AM125" i="13" s="1"/>
  <c r="AO125" i="13" s="1"/>
  <c r="AS125" i="13"/>
  <c r="AT125" i="13" s="1"/>
  <c r="AU125" i="13" s="1"/>
  <c r="AV125" i="13" s="1"/>
  <c r="AW125" i="13" s="1"/>
  <c r="AX125" i="13" s="1"/>
  <c r="AY125" i="13" s="1"/>
  <c r="AZ125" i="13" s="1"/>
  <c r="BD125" i="13" s="1"/>
  <c r="AL149" i="13"/>
  <c r="AU149" i="13" s="1"/>
  <c r="AS101" i="13"/>
  <c r="AT101" i="13" s="1"/>
  <c r="AU101" i="13" s="1"/>
  <c r="AV101" i="13" s="1"/>
  <c r="AW101" i="13" s="1"/>
  <c r="AX101" i="13" s="1"/>
  <c r="AY101" i="13" s="1"/>
  <c r="AZ101" i="13" s="1"/>
  <c r="BB101" i="13" s="1"/>
  <c r="Q77" i="13"/>
  <c r="S77" i="13" s="1"/>
  <c r="T77" i="13" s="1"/>
  <c r="AL173" i="13"/>
  <c r="AM173" i="13" s="1"/>
  <c r="X65" i="13"/>
  <c r="T24" i="13"/>
  <c r="W24" i="13" s="1"/>
  <c r="U88" i="13"/>
  <c r="W88" i="13" s="1"/>
  <c r="X88" i="13" s="1"/>
  <c r="AL184" i="13"/>
  <c r="AR184" i="13" s="1"/>
  <c r="AF109" i="13"/>
  <c r="AG109" i="13" s="1"/>
  <c r="AH109" i="13" s="1"/>
  <c r="AI109" i="13" s="1"/>
  <c r="AJ109" i="13" s="1"/>
  <c r="AK109" i="13" s="1"/>
  <c r="AL109" i="13" s="1"/>
  <c r="AM109" i="13" s="1"/>
  <c r="AP109" i="13" s="1"/>
  <c r="U69" i="13"/>
  <c r="Y69" i="13" s="1"/>
  <c r="T19" i="13"/>
  <c r="W19" i="13" s="1"/>
  <c r="AS136" i="13"/>
  <c r="AT136" i="13" s="1"/>
  <c r="AU136" i="13" s="1"/>
  <c r="AV136" i="13" s="1"/>
  <c r="AW136" i="13" s="1"/>
  <c r="AX136" i="13" s="1"/>
  <c r="AY136" i="13" s="1"/>
  <c r="AZ136" i="13" s="1"/>
  <c r="BE136" i="13" s="1"/>
  <c r="AL189" i="13"/>
  <c r="AO189" i="13" s="1"/>
  <c r="AS141" i="13"/>
  <c r="AT141" i="13" s="1"/>
  <c r="AU141" i="13" s="1"/>
  <c r="AV141" i="13" s="1"/>
  <c r="AW141" i="13" s="1"/>
  <c r="AX141" i="13" s="1"/>
  <c r="AY141" i="13" s="1"/>
  <c r="AZ141" i="13" s="1"/>
  <c r="BE141" i="13" s="1"/>
  <c r="AS112" i="13"/>
  <c r="AT112" i="13" s="1"/>
  <c r="AU112" i="13" s="1"/>
  <c r="AV112" i="13" s="1"/>
  <c r="AW112" i="13" s="1"/>
  <c r="AX112" i="13" s="1"/>
  <c r="AY112" i="13" s="1"/>
  <c r="AZ112" i="13" s="1"/>
  <c r="BD112" i="13" s="1"/>
  <c r="P52" i="13"/>
  <c r="T52" i="13" s="1"/>
  <c r="P6" i="13"/>
  <c r="S6" i="13" s="1"/>
  <c r="T9" i="13"/>
  <c r="W9" i="13" s="1"/>
  <c r="Y65" i="13"/>
  <c r="T17" i="13"/>
  <c r="W17" i="13" s="1"/>
  <c r="P69" i="13"/>
  <c r="T69" i="13" s="1"/>
  <c r="P47" i="13"/>
  <c r="R47" i="13" s="1"/>
  <c r="T43" i="13"/>
  <c r="W43" i="13" s="1"/>
  <c r="U86" i="13"/>
  <c r="W86" i="13" s="1"/>
  <c r="X86" i="13" s="1"/>
  <c r="AL174" i="13"/>
  <c r="AO174" i="13" s="1"/>
  <c r="BA128" i="13"/>
  <c r="AF100" i="13"/>
  <c r="AG100" i="13" s="1"/>
  <c r="AH100" i="13" s="1"/>
  <c r="AI100" i="13" s="1"/>
  <c r="AJ100" i="13" s="1"/>
  <c r="AK100" i="13" s="1"/>
  <c r="AL100" i="13" s="1"/>
  <c r="AM100" i="13" s="1"/>
  <c r="AN100" i="13" s="1"/>
  <c r="AL148" i="13"/>
  <c r="AS148" i="13" s="1"/>
  <c r="M25" i="15"/>
  <c r="L67" i="15" s="1"/>
  <c r="K9" i="15"/>
  <c r="B51" i="15" s="1"/>
  <c r="R51" i="15" s="1"/>
  <c r="AF127" i="13"/>
  <c r="AG127" i="13" s="1"/>
  <c r="AH127" i="13" s="1"/>
  <c r="AI127" i="13" s="1"/>
  <c r="AJ127" i="13" s="1"/>
  <c r="AK127" i="13" s="1"/>
  <c r="AL127" i="13" s="1"/>
  <c r="AM127" i="13" s="1"/>
  <c r="AR127" i="13" s="1"/>
  <c r="AF108" i="13"/>
  <c r="AG108" i="13" s="1"/>
  <c r="AH108" i="13" s="1"/>
  <c r="AI108" i="13" s="1"/>
  <c r="AJ108" i="13" s="1"/>
  <c r="AK108" i="13" s="1"/>
  <c r="AL108" i="13" s="1"/>
  <c r="AM108" i="13" s="1"/>
  <c r="AN108" i="13" s="1"/>
  <c r="AF107" i="13"/>
  <c r="AG107" i="13" s="1"/>
  <c r="AH107" i="13" s="1"/>
  <c r="AI107" i="13" s="1"/>
  <c r="AJ107" i="13" s="1"/>
  <c r="AK107" i="13" s="1"/>
  <c r="AL107" i="13" s="1"/>
  <c r="AM107" i="13" s="1"/>
  <c r="AP107" i="13" s="1"/>
  <c r="AF132" i="13"/>
  <c r="AG132" i="13" s="1"/>
  <c r="AH132" i="13" s="1"/>
  <c r="AI132" i="13" s="1"/>
  <c r="AJ132" i="13" s="1"/>
  <c r="AK132" i="13" s="1"/>
  <c r="AL132" i="13" s="1"/>
  <c r="AM132" i="13" s="1"/>
  <c r="AP132" i="13" s="1"/>
  <c r="P14" i="13"/>
  <c r="S14" i="13" s="1"/>
  <c r="AS110" i="13"/>
  <c r="AT110" i="13" s="1"/>
  <c r="AU110" i="13" s="1"/>
  <c r="AV110" i="13" s="1"/>
  <c r="AW110" i="13" s="1"/>
  <c r="AX110" i="13" s="1"/>
  <c r="AY110" i="13" s="1"/>
  <c r="AZ110" i="13" s="1"/>
  <c r="P56" i="13"/>
  <c r="Q56" i="13" s="1"/>
  <c r="R56" i="13" s="1"/>
  <c r="P15" i="13"/>
  <c r="S15" i="13" s="1"/>
  <c r="AF131" i="13"/>
  <c r="AG131" i="13" s="1"/>
  <c r="AH131" i="13" s="1"/>
  <c r="AI131" i="13" s="1"/>
  <c r="AJ131" i="13" s="1"/>
  <c r="AK131" i="13" s="1"/>
  <c r="AL131" i="13" s="1"/>
  <c r="AM131" i="13" s="1"/>
  <c r="AP131" i="13" s="1"/>
  <c r="P10" i="13"/>
  <c r="S10" i="13" s="1"/>
  <c r="AL155" i="13"/>
  <c r="AT155" i="13" s="1"/>
  <c r="AS134" i="13"/>
  <c r="AT134" i="13" s="1"/>
  <c r="AU134" i="13" s="1"/>
  <c r="AV134" i="13" s="1"/>
  <c r="AW134" i="13" s="1"/>
  <c r="AX134" i="13" s="1"/>
  <c r="AY134" i="13" s="1"/>
  <c r="AZ134" i="13" s="1"/>
  <c r="BA134" i="13" s="1"/>
  <c r="P33" i="13"/>
  <c r="R33" i="13" s="1"/>
  <c r="P61" i="13"/>
  <c r="S61" i="13" s="1"/>
  <c r="Q79" i="13"/>
  <c r="S79" i="13" s="1"/>
  <c r="T79" i="13" s="1"/>
  <c r="Q84" i="13"/>
  <c r="S84" i="13" s="1"/>
  <c r="T84" i="13" s="1"/>
  <c r="P60" i="13"/>
  <c r="T60" i="13" s="1"/>
  <c r="V77" i="13"/>
  <c r="K11" i="15"/>
  <c r="B53" i="15" s="1"/>
  <c r="R53" i="15" s="1"/>
  <c r="L24" i="15"/>
  <c r="E66" i="15" s="1"/>
  <c r="N22" i="15"/>
  <c r="I64" i="15" s="1"/>
  <c r="V22" i="15"/>
  <c r="Y64" i="15" s="1"/>
  <c r="T25" i="13"/>
  <c r="W25" i="13" s="1"/>
  <c r="M23" i="15"/>
  <c r="L65" i="15" s="1"/>
  <c r="K12" i="15"/>
  <c r="B54" i="15" s="1"/>
  <c r="R54" i="15" s="1"/>
  <c r="U23" i="15"/>
  <c r="AC65" i="15" s="1"/>
  <c r="T11" i="15"/>
  <c r="V53" i="15" s="1"/>
  <c r="R24" i="15"/>
  <c r="AE66" i="15" s="1"/>
  <c r="AH66" i="15" s="1"/>
  <c r="T48" i="13"/>
  <c r="V48" i="13" s="1"/>
  <c r="X62" i="13"/>
  <c r="S23" i="15"/>
  <c r="S65" i="15" s="1"/>
  <c r="AI65" i="15" s="1"/>
  <c r="U11" i="15"/>
  <c r="AC53" i="15" s="1"/>
  <c r="V11" i="15"/>
  <c r="Z53" i="15" s="1"/>
  <c r="R25" i="15"/>
  <c r="AE67" i="15" s="1"/>
  <c r="AH67" i="15" s="1"/>
  <c r="T23" i="15"/>
  <c r="U65" i="15" s="1"/>
  <c r="R23" i="15"/>
  <c r="S25" i="15"/>
  <c r="S67" i="15" s="1"/>
  <c r="AI67" i="15" s="1"/>
  <c r="S24" i="15"/>
  <c r="S66" i="15" s="1"/>
  <c r="AI66" i="15" s="1"/>
  <c r="T24" i="15"/>
  <c r="U66" i="15" s="1"/>
  <c r="N23" i="15"/>
  <c r="H65" i="15" s="1"/>
  <c r="T25" i="15"/>
  <c r="V67" i="15" s="1"/>
  <c r="V23" i="15"/>
  <c r="Z65" i="15" s="1"/>
  <c r="R11" i="15"/>
  <c r="AE53" i="15" s="1"/>
  <c r="AH53" i="15" s="1"/>
  <c r="V25" i="15"/>
  <c r="Z67" i="15" s="1"/>
  <c r="N24" i="15"/>
  <c r="I66" i="15" s="1"/>
  <c r="S11" i="15"/>
  <c r="S53" i="15" s="1"/>
  <c r="AI53" i="15" s="1"/>
  <c r="K25" i="15"/>
  <c r="B67" i="15" s="1"/>
  <c r="R67" i="15" s="1"/>
  <c r="N26" i="15"/>
  <c r="I68" i="15" s="1"/>
  <c r="L11" i="15"/>
  <c r="D53" i="15" s="1"/>
  <c r="U25" i="15"/>
  <c r="AC67" i="15" s="1"/>
  <c r="J24" i="15"/>
  <c r="L25" i="15"/>
  <c r="E67" i="15" s="1"/>
  <c r="J25" i="15"/>
  <c r="J23" i="15"/>
  <c r="M11" i="15"/>
  <c r="K53" i="15" s="1"/>
  <c r="K24" i="15"/>
  <c r="B66" i="15" s="1"/>
  <c r="R66" i="15" s="1"/>
  <c r="V24" i="15"/>
  <c r="Y66" i="15" s="1"/>
  <c r="U24" i="15"/>
  <c r="AB66" i="15" s="1"/>
  <c r="K23" i="15"/>
  <c r="B65" i="15" s="1"/>
  <c r="R65" i="15" s="1"/>
  <c r="J11" i="15"/>
  <c r="N11" i="15"/>
  <c r="I53" i="15" s="1"/>
  <c r="N25" i="15"/>
  <c r="H67" i="15" s="1"/>
  <c r="L23" i="15"/>
  <c r="D65" i="15" s="1"/>
  <c r="M24" i="15"/>
  <c r="K66" i="15" s="1"/>
  <c r="Q76" i="13"/>
  <c r="S76" i="13" s="1"/>
  <c r="T76" i="13" s="1"/>
  <c r="P30" i="13"/>
  <c r="R30" i="13" s="1"/>
  <c r="AF124" i="13"/>
  <c r="AG124" i="13" s="1"/>
  <c r="AH124" i="13" s="1"/>
  <c r="AI124" i="13" s="1"/>
  <c r="AJ124" i="13" s="1"/>
  <c r="AK124" i="13" s="1"/>
  <c r="AL124" i="13" s="1"/>
  <c r="AM124" i="13" s="1"/>
  <c r="AP124" i="13" s="1"/>
  <c r="T20" i="13"/>
  <c r="W20" i="13" s="1"/>
  <c r="AL147" i="13"/>
  <c r="AP147" i="13" s="1"/>
  <c r="AF116" i="13"/>
  <c r="AG116" i="13" s="1"/>
  <c r="AH116" i="13" s="1"/>
  <c r="AI116" i="13" s="1"/>
  <c r="AJ116" i="13" s="1"/>
  <c r="AK116" i="13" s="1"/>
  <c r="AL116" i="13" s="1"/>
  <c r="AM116" i="13" s="1"/>
  <c r="AR116" i="13" s="1"/>
  <c r="AF117" i="13"/>
  <c r="AG117" i="13" s="1"/>
  <c r="AH117" i="13" s="1"/>
  <c r="AI117" i="13" s="1"/>
  <c r="AJ117" i="13" s="1"/>
  <c r="AK117" i="13" s="1"/>
  <c r="AL117" i="13" s="1"/>
  <c r="AM117" i="13" s="1"/>
  <c r="AP117" i="13" s="1"/>
  <c r="AS142" i="13"/>
  <c r="AT142" i="13" s="1"/>
  <c r="AU142" i="13" s="1"/>
  <c r="AV142" i="13" s="1"/>
  <c r="AW142" i="13" s="1"/>
  <c r="AX142" i="13" s="1"/>
  <c r="AY142" i="13" s="1"/>
  <c r="AZ142" i="13" s="1"/>
  <c r="BB142" i="13" s="1"/>
  <c r="BE128" i="13"/>
  <c r="U89" i="13"/>
  <c r="W89" i="13" s="1"/>
  <c r="X89" i="13" s="1"/>
  <c r="U55" i="13"/>
  <c r="Y55" i="13" s="1"/>
  <c r="AF141" i="13"/>
  <c r="AG141" i="13" s="1"/>
  <c r="AH141" i="13" s="1"/>
  <c r="AI141" i="13" s="1"/>
  <c r="AJ141" i="13" s="1"/>
  <c r="AK141" i="13" s="1"/>
  <c r="AL141" i="13" s="1"/>
  <c r="AM141" i="13" s="1"/>
  <c r="AR141" i="13" s="1"/>
  <c r="AL190" i="13"/>
  <c r="AQ190" i="13" s="1"/>
  <c r="BI8" i="21"/>
  <c r="BI9" i="21" s="1"/>
  <c r="BD128" i="13"/>
  <c r="U66" i="13"/>
  <c r="Y66" i="13" s="1"/>
  <c r="Q75" i="13"/>
  <c r="R75" i="13" s="1"/>
  <c r="AL164" i="13"/>
  <c r="AV164" i="13" s="1"/>
  <c r="T32" i="13"/>
  <c r="W32" i="13" s="1"/>
  <c r="U71" i="13"/>
  <c r="Y71" i="13" s="1"/>
  <c r="P23" i="13"/>
  <c r="S23" i="13" s="1"/>
  <c r="P70" i="13"/>
  <c r="S70" i="13" s="1"/>
  <c r="AS113" i="13"/>
  <c r="AT113" i="13" s="1"/>
  <c r="AU113" i="13" s="1"/>
  <c r="AV113" i="13" s="1"/>
  <c r="AW113" i="13" s="1"/>
  <c r="AX113" i="13" s="1"/>
  <c r="AY113" i="13" s="1"/>
  <c r="AZ113" i="13" s="1"/>
  <c r="BB113" i="13" s="1"/>
  <c r="P29" i="13"/>
  <c r="R29" i="13" s="1"/>
  <c r="Q92" i="13"/>
  <c r="S92" i="13" s="1"/>
  <c r="T92" i="13" s="1"/>
  <c r="Q93" i="13"/>
  <c r="S93" i="13" s="1"/>
  <c r="T93" i="13" s="1"/>
  <c r="AS137" i="13"/>
  <c r="AT137" i="13" s="1"/>
  <c r="AU137" i="13" s="1"/>
  <c r="AV137" i="13" s="1"/>
  <c r="AW137" i="13" s="1"/>
  <c r="AX137" i="13" s="1"/>
  <c r="AY137" i="13" s="1"/>
  <c r="AZ137" i="13" s="1"/>
  <c r="BC137" i="13" s="1"/>
  <c r="AF99" i="13"/>
  <c r="AG99" i="13" s="1"/>
  <c r="AH99" i="13" s="1"/>
  <c r="AI99" i="13" s="1"/>
  <c r="AJ99" i="13" s="1"/>
  <c r="AK99" i="13" s="1"/>
  <c r="AL99" i="13" s="1"/>
  <c r="AM99" i="13" s="1"/>
  <c r="AO99" i="13" s="1"/>
  <c r="P46" i="13"/>
  <c r="S46" i="13" s="1"/>
  <c r="AL165" i="13"/>
  <c r="AR165" i="13" s="1"/>
  <c r="U94" i="13"/>
  <c r="W94" i="13" s="1"/>
  <c r="X94" i="13" s="1"/>
  <c r="Q89" i="13"/>
  <c r="S89" i="13" s="1"/>
  <c r="T89" i="13" s="1"/>
  <c r="AF137" i="13"/>
  <c r="AG137" i="13" s="1"/>
  <c r="AH137" i="13" s="1"/>
  <c r="AI137" i="13" s="1"/>
  <c r="AJ137" i="13" s="1"/>
  <c r="AK137" i="13" s="1"/>
  <c r="AL137" i="13" s="1"/>
  <c r="AM137" i="13" s="1"/>
  <c r="AQ137" i="13" s="1"/>
  <c r="AS108" i="13"/>
  <c r="AT108" i="13" s="1"/>
  <c r="AU108" i="13" s="1"/>
  <c r="AV108" i="13" s="1"/>
  <c r="AW108" i="13" s="1"/>
  <c r="AX108" i="13" s="1"/>
  <c r="AY108" i="13" s="1"/>
  <c r="AZ108" i="13" s="1"/>
  <c r="BE108" i="13" s="1"/>
  <c r="BI6" i="21"/>
  <c r="T14" i="13"/>
  <c r="W14" i="13" s="1"/>
  <c r="Q88" i="13"/>
  <c r="S88" i="13" s="1"/>
  <c r="T88" i="13" s="1"/>
  <c r="AF133" i="13"/>
  <c r="AG133" i="13" s="1"/>
  <c r="AH133" i="13" s="1"/>
  <c r="AI133" i="13" s="1"/>
  <c r="AJ133" i="13" s="1"/>
  <c r="AK133" i="13" s="1"/>
  <c r="AL133" i="13" s="1"/>
  <c r="AM133" i="13" s="1"/>
  <c r="AN133" i="13" s="1"/>
  <c r="AL183" i="13"/>
  <c r="BF183" i="13" s="1"/>
  <c r="U83" i="13"/>
  <c r="W83" i="13" s="1"/>
  <c r="X83" i="13" s="1"/>
  <c r="AF136" i="13"/>
  <c r="AG136" i="13" s="1"/>
  <c r="AH136" i="13" s="1"/>
  <c r="AI136" i="13" s="1"/>
  <c r="AJ136" i="13" s="1"/>
  <c r="AK136" i="13" s="1"/>
  <c r="AL136" i="13" s="1"/>
  <c r="AM136" i="13" s="1"/>
  <c r="AN136" i="13" s="1"/>
  <c r="AL157" i="13"/>
  <c r="AQ157" i="13" s="1"/>
  <c r="U87" i="13"/>
  <c r="AS107" i="13"/>
  <c r="AT107" i="13" s="1"/>
  <c r="AU107" i="13" s="1"/>
  <c r="AV107" i="13" s="1"/>
  <c r="AW107" i="13" s="1"/>
  <c r="AX107" i="13" s="1"/>
  <c r="AY107" i="13" s="1"/>
  <c r="AZ107" i="13" s="1"/>
  <c r="BA107" i="13" s="1"/>
  <c r="AF112" i="13"/>
  <c r="AG112" i="13" s="1"/>
  <c r="AH112" i="13" s="1"/>
  <c r="AI112" i="13" s="1"/>
  <c r="AJ112" i="13" s="1"/>
  <c r="AK112" i="13" s="1"/>
  <c r="AL112" i="13" s="1"/>
  <c r="AM112" i="13" s="1"/>
  <c r="AN112" i="13" s="1"/>
  <c r="P16" i="13"/>
  <c r="S16" i="13" s="1"/>
  <c r="P42" i="13"/>
  <c r="S42" i="13" s="1"/>
  <c r="P39" i="13"/>
  <c r="S39" i="13" s="1"/>
  <c r="T18" i="13"/>
  <c r="W18" i="13" s="1"/>
  <c r="U60" i="13"/>
  <c r="Y60" i="13" s="1"/>
  <c r="P19" i="13"/>
  <c r="S19" i="13" s="1"/>
  <c r="Q85" i="13"/>
  <c r="S85" i="13" s="1"/>
  <c r="T85" i="13" s="1"/>
  <c r="BH6" i="21"/>
  <c r="BH9" i="21" s="1"/>
  <c r="AL179" i="13"/>
  <c r="AR179" i="13" s="1"/>
  <c r="BI7" i="21"/>
  <c r="Y62" i="13"/>
  <c r="AS109" i="13"/>
  <c r="AT109" i="13" s="1"/>
  <c r="AU109" i="13" s="1"/>
  <c r="AV109" i="13" s="1"/>
  <c r="AW109" i="13" s="1"/>
  <c r="AX109" i="13" s="1"/>
  <c r="AY109" i="13" s="1"/>
  <c r="AZ109" i="13" s="1"/>
  <c r="BC109" i="13" s="1"/>
  <c r="L19" i="15"/>
  <c r="D61" i="15" s="1"/>
  <c r="P20" i="13"/>
  <c r="R20" i="13" s="1"/>
  <c r="U93" i="13"/>
  <c r="W93" i="13" s="1"/>
  <c r="X93" i="13" s="1"/>
  <c r="T40" i="13"/>
  <c r="V40" i="13" s="1"/>
  <c r="V63" i="13"/>
  <c r="W63" i="13" s="1"/>
  <c r="AS123" i="13"/>
  <c r="AT123" i="13" s="1"/>
  <c r="AU123" i="13" s="1"/>
  <c r="AV123" i="13" s="1"/>
  <c r="AW123" i="13" s="1"/>
  <c r="AX123" i="13" s="1"/>
  <c r="AY123" i="13" s="1"/>
  <c r="AZ123" i="13" s="1"/>
  <c r="BC123" i="13" s="1"/>
  <c r="J20" i="15"/>
  <c r="O20" i="15" s="1"/>
  <c r="N17" i="15"/>
  <c r="I59" i="15" s="1"/>
  <c r="J17" i="15"/>
  <c r="N59" i="15" s="1"/>
  <c r="Q59" i="15" s="1"/>
  <c r="R17" i="15"/>
  <c r="V17" i="15"/>
  <c r="Z59" i="15" s="1"/>
  <c r="K17" i="15"/>
  <c r="B59" i="15" s="1"/>
  <c r="R59" i="15" s="1"/>
  <c r="S17" i="15"/>
  <c r="S59" i="15" s="1"/>
  <c r="AI59" i="15" s="1"/>
  <c r="L17" i="15"/>
  <c r="D59" i="15" s="1"/>
  <c r="T17" i="15"/>
  <c r="U59" i="15" s="1"/>
  <c r="U64" i="13"/>
  <c r="Y64" i="13" s="1"/>
  <c r="M17" i="15"/>
  <c r="L59" i="15" s="1"/>
  <c r="U17" i="15"/>
  <c r="AB59" i="15" s="1"/>
  <c r="T30" i="13"/>
  <c r="W30" i="13" s="1"/>
  <c r="AS100" i="13"/>
  <c r="AT100" i="13" s="1"/>
  <c r="AU100" i="13" s="1"/>
  <c r="AV100" i="13" s="1"/>
  <c r="AW100" i="13" s="1"/>
  <c r="AX100" i="13" s="1"/>
  <c r="AY100" i="13" s="1"/>
  <c r="AZ100" i="13" s="1"/>
  <c r="BC100" i="13" s="1"/>
  <c r="P7" i="13"/>
  <c r="S7" i="13" s="1"/>
  <c r="U76" i="13"/>
  <c r="W76" i="13" s="1"/>
  <c r="X76" i="13" s="1"/>
  <c r="T53" i="13"/>
  <c r="Q53" i="13"/>
  <c r="R53" i="13" s="1"/>
  <c r="U53" i="13"/>
  <c r="V53" i="13" s="1"/>
  <c r="W53" i="13" s="1"/>
  <c r="AS124" i="13"/>
  <c r="AT124" i="13" s="1"/>
  <c r="AU124" i="13" s="1"/>
  <c r="AV124" i="13" s="1"/>
  <c r="AW124" i="13" s="1"/>
  <c r="AX124" i="13" s="1"/>
  <c r="AY124" i="13" s="1"/>
  <c r="AZ124" i="13" s="1"/>
  <c r="BE124" i="13" s="1"/>
  <c r="BE103" i="13"/>
  <c r="BD103" i="13"/>
  <c r="BB103" i="13"/>
  <c r="BA103" i="13"/>
  <c r="Q81" i="13"/>
  <c r="S81" i="13" s="1"/>
  <c r="T81" i="13" s="1"/>
  <c r="AP105" i="13"/>
  <c r="AO105" i="13"/>
  <c r="AR105" i="13"/>
  <c r="AN105" i="13"/>
  <c r="AQ105" i="13"/>
  <c r="AF129" i="13"/>
  <c r="AG129" i="13" s="1"/>
  <c r="AH129" i="13" s="1"/>
  <c r="AI129" i="13" s="1"/>
  <c r="AJ129" i="13" s="1"/>
  <c r="AK129" i="13" s="1"/>
  <c r="AL129" i="13" s="1"/>
  <c r="AM129" i="13" s="1"/>
  <c r="AR129" i="13" s="1"/>
  <c r="AL153" i="13"/>
  <c r="P58" i="13"/>
  <c r="P35" i="13"/>
  <c r="R35" i="13" s="1"/>
  <c r="P12" i="13"/>
  <c r="R12" i="13" s="1"/>
  <c r="BH7" i="18"/>
  <c r="BH8" i="18" s="1"/>
  <c r="AN106" i="13"/>
  <c r="AS102" i="13"/>
  <c r="AT102" i="13" s="1"/>
  <c r="AU102" i="13" s="1"/>
  <c r="AV102" i="13" s="1"/>
  <c r="AW102" i="13" s="1"/>
  <c r="AX102" i="13" s="1"/>
  <c r="AY102" i="13" s="1"/>
  <c r="AZ102" i="13" s="1"/>
  <c r="BE102" i="13" s="1"/>
  <c r="T29" i="13"/>
  <c r="W29" i="13" s="1"/>
  <c r="U78" i="13"/>
  <c r="W78" i="13" s="1"/>
  <c r="X78" i="13" s="1"/>
  <c r="V52" i="13"/>
  <c r="W52" i="13" s="1"/>
  <c r="T15" i="13"/>
  <c r="W15" i="13" s="1"/>
  <c r="R9" i="15"/>
  <c r="AE51" i="15" s="1"/>
  <c r="AH51" i="15" s="1"/>
  <c r="V9" i="15"/>
  <c r="Z51" i="15" s="1"/>
  <c r="T12" i="15"/>
  <c r="U54" i="15" s="1"/>
  <c r="U12" i="15"/>
  <c r="AB54" i="15" s="1"/>
  <c r="S9" i="15"/>
  <c r="S51" i="15" s="1"/>
  <c r="AI51" i="15" s="1"/>
  <c r="U9" i="15"/>
  <c r="AB51" i="15" s="1"/>
  <c r="S12" i="15"/>
  <c r="S54" i="15" s="1"/>
  <c r="AI54" i="15" s="1"/>
  <c r="X61" i="13"/>
  <c r="AQ118" i="13"/>
  <c r="J9" i="15"/>
  <c r="N9" i="15"/>
  <c r="H51" i="15" s="1"/>
  <c r="L12" i="15"/>
  <c r="D54" i="15" s="1"/>
  <c r="Y61" i="13"/>
  <c r="M12" i="15"/>
  <c r="L54" i="15" s="1"/>
  <c r="AL180" i="13"/>
  <c r="BH180" i="13" s="1"/>
  <c r="L9" i="15"/>
  <c r="D51" i="15" s="1"/>
  <c r="N12" i="15"/>
  <c r="I54" i="15" s="1"/>
  <c r="J12" i="15"/>
  <c r="AS132" i="13"/>
  <c r="AT132" i="13" s="1"/>
  <c r="AU132" i="13" s="1"/>
  <c r="AV132" i="13" s="1"/>
  <c r="AW132" i="13" s="1"/>
  <c r="AX132" i="13" s="1"/>
  <c r="AY132" i="13" s="1"/>
  <c r="AZ132" i="13" s="1"/>
  <c r="T9" i="15"/>
  <c r="V51" i="15" s="1"/>
  <c r="V12" i="15"/>
  <c r="Z54" i="15" s="1"/>
  <c r="R12" i="15"/>
  <c r="T38" i="13"/>
  <c r="W38" i="13" s="1"/>
  <c r="M9" i="15"/>
  <c r="K51" i="15" s="1"/>
  <c r="BI7" i="18"/>
  <c r="U84" i="13"/>
  <c r="S66" i="13"/>
  <c r="AS99" i="13"/>
  <c r="AT99" i="13" s="1"/>
  <c r="AU99" i="13" s="1"/>
  <c r="AV99" i="13" s="1"/>
  <c r="AW99" i="13" s="1"/>
  <c r="AX99" i="13" s="1"/>
  <c r="AY99" i="13" s="1"/>
  <c r="AZ99" i="13" s="1"/>
  <c r="BC99" i="13" s="1"/>
  <c r="P43" i="13"/>
  <c r="S43" i="13" s="1"/>
  <c r="AL161" i="13"/>
  <c r="AQ161" i="13" s="1"/>
  <c r="U75" i="13"/>
  <c r="W75" i="13" s="1"/>
  <c r="X75" i="13" s="1"/>
  <c r="T66" i="13"/>
  <c r="X63" i="13"/>
  <c r="AL171" i="13"/>
  <c r="BF171" i="13" s="1"/>
  <c r="AF113" i="13"/>
  <c r="AG113" i="13" s="1"/>
  <c r="AH113" i="13" s="1"/>
  <c r="AI113" i="13" s="1"/>
  <c r="AJ113" i="13" s="1"/>
  <c r="AK113" i="13" s="1"/>
  <c r="AL113" i="13" s="1"/>
  <c r="AM113" i="13" s="1"/>
  <c r="AS135" i="13"/>
  <c r="AT135" i="13" s="1"/>
  <c r="AU135" i="13" s="1"/>
  <c r="AV135" i="13" s="1"/>
  <c r="AW135" i="13" s="1"/>
  <c r="AX135" i="13" s="1"/>
  <c r="AY135" i="13" s="1"/>
  <c r="AZ135" i="13" s="1"/>
  <c r="T41" i="13"/>
  <c r="V41" i="13" s="1"/>
  <c r="Y52" i="13"/>
  <c r="T6" i="13"/>
  <c r="V6" i="13" s="1"/>
  <c r="U67" i="13"/>
  <c r="AS138" i="13"/>
  <c r="AT138" i="13" s="1"/>
  <c r="AU138" i="13" s="1"/>
  <c r="AV138" i="13" s="1"/>
  <c r="AW138" i="13" s="1"/>
  <c r="AX138" i="13" s="1"/>
  <c r="AY138" i="13" s="1"/>
  <c r="AZ138" i="13" s="1"/>
  <c r="AL186" i="13"/>
  <c r="U90" i="13"/>
  <c r="T44" i="13"/>
  <c r="V44" i="13" s="1"/>
  <c r="AS114" i="13"/>
  <c r="AT114" i="13" s="1"/>
  <c r="AU114" i="13" s="1"/>
  <c r="AV114" i="13" s="1"/>
  <c r="AW114" i="13" s="1"/>
  <c r="AX114" i="13" s="1"/>
  <c r="AY114" i="13" s="1"/>
  <c r="AZ114" i="13" s="1"/>
  <c r="T21" i="13"/>
  <c r="V21" i="13" s="1"/>
  <c r="AP142" i="13"/>
  <c r="T55" i="13"/>
  <c r="S55" i="13"/>
  <c r="Q55" i="13"/>
  <c r="R55" i="13" s="1"/>
  <c r="BD111" i="13"/>
  <c r="BC111" i="13"/>
  <c r="BA111" i="13"/>
  <c r="BE111" i="13"/>
  <c r="BI6" i="18"/>
  <c r="BI8" i="18"/>
  <c r="BI9" i="18" s="1"/>
  <c r="G76" i="15"/>
  <c r="J76" i="15" s="1"/>
  <c r="M76" i="15" s="1"/>
  <c r="N21" i="15"/>
  <c r="I63" i="15" s="1"/>
  <c r="S20" i="15"/>
  <c r="S62" i="15" s="1"/>
  <c r="AI62" i="15" s="1"/>
  <c r="T19" i="15"/>
  <c r="U61" i="15" s="1"/>
  <c r="V20" i="15"/>
  <c r="Z62" i="15" s="1"/>
  <c r="R21" i="15"/>
  <c r="U21" i="15"/>
  <c r="AB63" i="15" s="1"/>
  <c r="U19" i="15"/>
  <c r="AB61" i="15" s="1"/>
  <c r="R20" i="15"/>
  <c r="V21" i="15"/>
  <c r="Z63" i="15" s="1"/>
  <c r="J21" i="15"/>
  <c r="N63" i="15" s="1"/>
  <c r="Q63" i="15" s="1"/>
  <c r="K21" i="15"/>
  <c r="B63" i="15" s="1"/>
  <c r="R63" i="15" s="1"/>
  <c r="R19" i="15"/>
  <c r="AE61" i="15" s="1"/>
  <c r="AH61" i="15" s="1"/>
  <c r="S19" i="15"/>
  <c r="S61" i="15" s="1"/>
  <c r="AI61" i="15" s="1"/>
  <c r="N20" i="15"/>
  <c r="I62" i="15" s="1"/>
  <c r="M19" i="15"/>
  <c r="K61" i="15" s="1"/>
  <c r="N19" i="15"/>
  <c r="I61" i="15" s="1"/>
  <c r="J19" i="15"/>
  <c r="M20" i="15"/>
  <c r="K62" i="15" s="1"/>
  <c r="V19" i="15"/>
  <c r="Z61" i="15" s="1"/>
  <c r="K20" i="15"/>
  <c r="B62" i="15" s="1"/>
  <c r="R62" i="15" s="1"/>
  <c r="L21" i="15"/>
  <c r="D63" i="15" s="1"/>
  <c r="S21" i="15"/>
  <c r="S63" i="15" s="1"/>
  <c r="AI63" i="15" s="1"/>
  <c r="T21" i="15"/>
  <c r="U63" i="15" s="1"/>
  <c r="L20" i="15"/>
  <c r="E62" i="15" s="1"/>
  <c r="M21" i="15"/>
  <c r="L63" i="15" s="1"/>
  <c r="K19" i="15"/>
  <c r="B61" i="15" s="1"/>
  <c r="R61" i="15" s="1"/>
  <c r="U20" i="15"/>
  <c r="AC62" i="15" s="1"/>
  <c r="T20" i="15"/>
  <c r="V62" i="15" s="1"/>
  <c r="AR142" i="13"/>
  <c r="AP130" i="13"/>
  <c r="AR118" i="13"/>
  <c r="BC126" i="13"/>
  <c r="AQ142" i="13"/>
  <c r="AO130" i="13"/>
  <c r="AQ130" i="13"/>
  <c r="AO118" i="13"/>
  <c r="BD126" i="13"/>
  <c r="AQ103" i="13"/>
  <c r="AR130" i="13"/>
  <c r="U37" i="13"/>
  <c r="AP118" i="13"/>
  <c r="BA126" i="13"/>
  <c r="AQ106" i="13"/>
  <c r="AN115" i="13"/>
  <c r="BI8" i="22"/>
  <c r="BI9" i="22" s="1"/>
  <c r="AP140" i="13"/>
  <c r="AQ140" i="13"/>
  <c r="AO115" i="13"/>
  <c r="AR140" i="13"/>
  <c r="AP115" i="13"/>
  <c r="AN140" i="13"/>
  <c r="AR115" i="13"/>
  <c r="AO106" i="13"/>
  <c r="BB118" i="13"/>
  <c r="BD118" i="13"/>
  <c r="BI8" i="19"/>
  <c r="BI9" i="19" s="1"/>
  <c r="BA118" i="13"/>
  <c r="AP134" i="13"/>
  <c r="CF3" i="17"/>
  <c r="BC118" i="13"/>
  <c r="AQ134" i="13"/>
  <c r="AR134" i="13"/>
  <c r="AP106" i="13"/>
  <c r="Q17" i="13"/>
  <c r="BE126" i="13"/>
  <c r="AN142" i="13"/>
  <c r="BB140" i="13"/>
  <c r="U36" i="13"/>
  <c r="BC140" i="13"/>
  <c r="BI6" i="19"/>
  <c r="Q36" i="13"/>
  <c r="Q8" i="13"/>
  <c r="BD140" i="13"/>
  <c r="BH6" i="19"/>
  <c r="BH9" i="19" s="1"/>
  <c r="AN134" i="13"/>
  <c r="BE140" i="13"/>
  <c r="BI7" i="19"/>
  <c r="BV1" i="17"/>
  <c r="CF19" i="17" s="1"/>
  <c r="CF24" i="17" s="1"/>
  <c r="BH6" i="22"/>
  <c r="BH9" i="22" s="1"/>
  <c r="BH7" i="22"/>
  <c r="BH8" i="22" s="1"/>
  <c r="C85" i="15"/>
  <c r="F85" i="15" s="1"/>
  <c r="BI6" i="22"/>
  <c r="C72" i="15"/>
  <c r="F72" i="15" s="1"/>
  <c r="V8" i="15"/>
  <c r="Z50" i="15" s="1"/>
  <c r="U6" i="15"/>
  <c r="AC48" i="15" s="1"/>
  <c r="N6" i="15"/>
  <c r="I48" i="15" s="1"/>
  <c r="J8" i="15"/>
  <c r="N50" i="15" s="1"/>
  <c r="Q50" i="15" s="1"/>
  <c r="R8" i="15"/>
  <c r="AE50" i="15" s="1"/>
  <c r="AH50" i="15" s="1"/>
  <c r="N8" i="15"/>
  <c r="H50" i="15" s="1"/>
  <c r="J6" i="15"/>
  <c r="N48" i="15" s="1"/>
  <c r="Q48" i="15" s="1"/>
  <c r="M6" i="15"/>
  <c r="K48" i="15" s="1"/>
  <c r="S6" i="15"/>
  <c r="S48" i="15" s="1"/>
  <c r="AI48" i="15" s="1"/>
  <c r="S8" i="15"/>
  <c r="S50" i="15" s="1"/>
  <c r="AI50" i="15" s="1"/>
  <c r="L8" i="15"/>
  <c r="E50" i="15" s="1"/>
  <c r="T8" i="15"/>
  <c r="V50" i="15" s="1"/>
  <c r="M8" i="15"/>
  <c r="K50" i="15" s="1"/>
  <c r="V6" i="15"/>
  <c r="Z48" i="15" s="1"/>
  <c r="R6" i="15"/>
  <c r="U8" i="15"/>
  <c r="AC50" i="15" s="1"/>
  <c r="K6" i="15"/>
  <c r="B48" i="15" s="1"/>
  <c r="R48" i="15" s="1"/>
  <c r="N5" i="15"/>
  <c r="H47" i="15" s="1"/>
  <c r="L6" i="15"/>
  <c r="E48" i="15" s="1"/>
  <c r="K8" i="15"/>
  <c r="B50" i="15" s="1"/>
  <c r="R50" i="15" s="1"/>
  <c r="T6" i="15"/>
  <c r="V48" i="15" s="1"/>
  <c r="G85" i="15"/>
  <c r="J85" i="15" s="1"/>
  <c r="M85" i="15" s="1"/>
  <c r="CF4" i="17"/>
  <c r="Q21" i="13"/>
  <c r="Q13" i="13"/>
  <c r="V92" i="13"/>
  <c r="V91" i="13"/>
  <c r="L18" i="15"/>
  <c r="U217" i="15"/>
  <c r="M5" i="15"/>
  <c r="K38" i="15"/>
  <c r="O38" i="15" s="1"/>
  <c r="P80" i="15" s="1"/>
  <c r="V125" i="15"/>
  <c r="V210" i="15"/>
  <c r="Y116" i="15"/>
  <c r="K81" i="15"/>
  <c r="I74" i="15"/>
  <c r="J38" i="15"/>
  <c r="D77" i="15"/>
  <c r="G60" i="15"/>
  <c r="J60" i="15" s="1"/>
  <c r="M60" i="15" s="1"/>
  <c r="X64" i="15"/>
  <c r="AA64" i="15" s="1"/>
  <c r="AD64" i="15" s="1"/>
  <c r="L43" i="15"/>
  <c r="Y127" i="15"/>
  <c r="J14" i="15"/>
  <c r="Y130" i="15"/>
  <c r="U83" i="15"/>
  <c r="J34" i="15"/>
  <c r="AC83" i="15"/>
  <c r="D84" i="15"/>
  <c r="D86" i="15"/>
  <c r="C49" i="15"/>
  <c r="F49" i="15" s="1"/>
  <c r="L22" i="15"/>
  <c r="L86" i="15"/>
  <c r="AB74" i="15"/>
  <c r="D75" i="15"/>
  <c r="U71" i="15"/>
  <c r="G64" i="15"/>
  <c r="J64" i="15" s="1"/>
  <c r="M64" i="15" s="1"/>
  <c r="V212" i="15"/>
  <c r="L79" i="15"/>
  <c r="J30" i="15"/>
  <c r="U74" i="15"/>
  <c r="U203" i="15"/>
  <c r="X80" i="15"/>
  <c r="AA80" i="15" s="1"/>
  <c r="AD80" i="15" s="1"/>
  <c r="S209" i="15"/>
  <c r="AC255" i="15" s="1"/>
  <c r="E83" i="15"/>
  <c r="AB78" i="15"/>
  <c r="R26" i="15"/>
  <c r="J7" i="15"/>
  <c r="E79" i="15"/>
  <c r="J10" i="15"/>
  <c r="O124" i="15"/>
  <c r="R218" i="15"/>
  <c r="V264" i="15" s="1"/>
  <c r="L5" i="15"/>
  <c r="V218" i="15"/>
  <c r="G72" i="15"/>
  <c r="J72" i="15" s="1"/>
  <c r="M72" i="15" s="1"/>
  <c r="K78" i="15"/>
  <c r="AC79" i="15"/>
  <c r="V5" i="15"/>
  <c r="Y47" i="15" s="1"/>
  <c r="S22" i="15"/>
  <c r="S34" i="15"/>
  <c r="K83" i="15"/>
  <c r="E81" i="15"/>
  <c r="AB71" i="15"/>
  <c r="K84" i="15"/>
  <c r="AB77" i="15"/>
  <c r="V86" i="15"/>
  <c r="T68" i="15"/>
  <c r="W68" i="15" s="1"/>
  <c r="S40" i="15"/>
  <c r="S82" i="15" s="1"/>
  <c r="AI82" i="15" s="1"/>
  <c r="M26" i="15"/>
  <c r="K40" i="15"/>
  <c r="B82" i="15" s="1"/>
  <c r="R82" i="15" s="1"/>
  <c r="T60" i="15"/>
  <c r="W60" i="15" s="1"/>
  <c r="K22" i="15"/>
  <c r="J5" i="15"/>
  <c r="U75" i="15"/>
  <c r="O208" i="15"/>
  <c r="X254" i="15" s="1"/>
  <c r="Z254" i="15" s="1"/>
  <c r="T43" i="15"/>
  <c r="AB84" i="15"/>
  <c r="Q127" i="15"/>
  <c r="Q171" i="15" s="1"/>
  <c r="V18" i="15"/>
  <c r="Z60" i="15" s="1"/>
  <c r="Q128" i="15"/>
  <c r="Q172" i="15" s="1"/>
  <c r="R38" i="15"/>
  <c r="C52" i="15"/>
  <c r="F52" i="15" s="1"/>
  <c r="T47" i="15"/>
  <c r="W47" i="15" s="1"/>
  <c r="T22" i="15"/>
  <c r="K75" i="15"/>
  <c r="M40" i="15"/>
  <c r="L40" i="15"/>
  <c r="D82" i="15" s="1"/>
  <c r="C80" i="15"/>
  <c r="F80" i="15" s="1"/>
  <c r="T34" i="15"/>
  <c r="V76" i="15" s="1"/>
  <c r="S43" i="15"/>
  <c r="AE85" i="15" s="1"/>
  <c r="AH85" i="15" s="1"/>
  <c r="M34" i="15"/>
  <c r="AB86" i="15"/>
  <c r="S26" i="15"/>
  <c r="J26" i="15"/>
  <c r="K18" i="15"/>
  <c r="C56" i="15"/>
  <c r="F56" i="15" s="1"/>
  <c r="G80" i="15"/>
  <c r="J80" i="15" s="1"/>
  <c r="M80" i="15" s="1"/>
  <c r="X85" i="15"/>
  <c r="AA85" i="15" s="1"/>
  <c r="AD85" i="15" s="1"/>
  <c r="V81" i="15"/>
  <c r="U84" i="15"/>
  <c r="K74" i="15"/>
  <c r="Z129" i="15"/>
  <c r="D78" i="15"/>
  <c r="I187" i="15"/>
  <c r="G233" i="15" s="1"/>
  <c r="I233" i="15" s="1"/>
  <c r="V26" i="15"/>
  <c r="Z68" i="15" s="1"/>
  <c r="X52" i="15"/>
  <c r="AA52" i="15" s="1"/>
  <c r="AD52" i="15" s="1"/>
  <c r="T49" i="15"/>
  <c r="W49" i="15" s="1"/>
  <c r="U5" i="15"/>
  <c r="U47" i="15" s="1"/>
  <c r="X56" i="15"/>
  <c r="AA56" i="15" s="1"/>
  <c r="AD56" i="15" s="1"/>
  <c r="AC75" i="15"/>
  <c r="Z122" i="15"/>
  <c r="L38" i="15"/>
  <c r="N43" i="15"/>
  <c r="H85" i="15" s="1"/>
  <c r="C76" i="15"/>
  <c r="F76" i="15" s="1"/>
  <c r="K30" i="15"/>
  <c r="O30" i="15" s="1"/>
  <c r="V79" i="15"/>
  <c r="D74" i="15"/>
  <c r="K26" i="15"/>
  <c r="V40" i="15"/>
  <c r="Z82" i="15" s="1"/>
  <c r="N38" i="15"/>
  <c r="I80" i="15" s="1"/>
  <c r="X76" i="15"/>
  <c r="AA76" i="15" s="1"/>
  <c r="AD76" i="15" s="1"/>
  <c r="Z119" i="15"/>
  <c r="X72" i="15"/>
  <c r="AA72" i="15" s="1"/>
  <c r="AD72" i="15" s="1"/>
  <c r="S10" i="15"/>
  <c r="X82" i="15"/>
  <c r="AA82" i="15" s="1"/>
  <c r="AD82" i="15" s="1"/>
  <c r="J40" i="15"/>
  <c r="T38" i="15"/>
  <c r="V80" i="15" s="1"/>
  <c r="X167" i="15"/>
  <c r="O116" i="15"/>
  <c r="G68" i="15"/>
  <c r="J68" i="15" s="1"/>
  <c r="M68" i="15" s="1"/>
  <c r="C47" i="15"/>
  <c r="F47" i="15" s="1"/>
  <c r="U14" i="15"/>
  <c r="L71" i="15"/>
  <c r="Y72" i="15"/>
  <c r="Z72" i="15"/>
  <c r="Z80" i="15"/>
  <c r="Y80" i="15"/>
  <c r="Y85" i="15"/>
  <c r="Z85" i="15"/>
  <c r="W40" i="15"/>
  <c r="AE82" i="15"/>
  <c r="AH82" i="15" s="1"/>
  <c r="T7" i="15"/>
  <c r="W121" i="15"/>
  <c r="S121" i="15"/>
  <c r="AA165" i="15" s="1"/>
  <c r="AB165" i="15" s="1"/>
  <c r="I165" i="15"/>
  <c r="J121" i="15"/>
  <c r="B165" i="15" s="1"/>
  <c r="O165" i="15" s="1"/>
  <c r="K121" i="15"/>
  <c r="M165" i="15" s="1"/>
  <c r="N165" i="15" s="1"/>
  <c r="X165" i="15"/>
  <c r="I121" i="15"/>
  <c r="C165" i="15" s="1"/>
  <c r="P121" i="15"/>
  <c r="Z165" i="15" s="1"/>
  <c r="J165" i="15"/>
  <c r="R121" i="15"/>
  <c r="P165" i="15" s="1"/>
  <c r="AC165" i="15" s="1"/>
  <c r="O121" i="15"/>
  <c r="H121" i="15"/>
  <c r="L165" i="15" s="1"/>
  <c r="N121" i="15"/>
  <c r="AB121" i="15"/>
  <c r="Q121" i="15"/>
  <c r="Q165" i="15" s="1"/>
  <c r="W165" i="15"/>
  <c r="D658" i="15"/>
  <c r="O613" i="15"/>
  <c r="U613" i="15"/>
  <c r="P613" i="15"/>
  <c r="C613" i="15"/>
  <c r="J613" i="15"/>
  <c r="I613" i="15"/>
  <c r="D613" i="15"/>
  <c r="V613" i="15"/>
  <c r="P117" i="15"/>
  <c r="Z161" i="15" s="1"/>
  <c r="I161" i="15"/>
  <c r="X161" i="15"/>
  <c r="K117" i="15"/>
  <c r="M161" i="15" s="1"/>
  <c r="N161" i="15" s="1"/>
  <c r="S117" i="15"/>
  <c r="AA161" i="15" s="1"/>
  <c r="AB161" i="15" s="1"/>
  <c r="J117" i="15"/>
  <c r="B161" i="15" s="1"/>
  <c r="O161" i="15" s="1"/>
  <c r="Q117" i="15"/>
  <c r="Q161" i="15" s="1"/>
  <c r="W117" i="15"/>
  <c r="N117" i="15"/>
  <c r="W161" i="15"/>
  <c r="AB117" i="15"/>
  <c r="O117" i="15"/>
  <c r="J161" i="15"/>
  <c r="H117" i="15"/>
  <c r="L161" i="15" s="1"/>
  <c r="V117" i="15"/>
  <c r="I117" i="15"/>
  <c r="C161" i="15" s="1"/>
  <c r="D649" i="15"/>
  <c r="O604" i="15"/>
  <c r="D604" i="15"/>
  <c r="P604" i="15"/>
  <c r="V604" i="15"/>
  <c r="J604" i="15"/>
  <c r="C604" i="15"/>
  <c r="U604" i="15"/>
  <c r="I604" i="15"/>
  <c r="AG81" i="15"/>
  <c r="AF81" i="15"/>
  <c r="AG84" i="15"/>
  <c r="AF84" i="15"/>
  <c r="Y78" i="15"/>
  <c r="Z78" i="15"/>
  <c r="T52" i="15"/>
  <c r="W52" i="15" s="1"/>
  <c r="G49" i="15"/>
  <c r="J49" i="15" s="1"/>
  <c r="M49" i="15" s="1"/>
  <c r="M7" i="15"/>
  <c r="K5" i="15"/>
  <c r="S18" i="15"/>
  <c r="AE60" i="15" s="1"/>
  <c r="AH60" i="15" s="1"/>
  <c r="T56" i="15"/>
  <c r="W56" i="15" s="1"/>
  <c r="T14" i="15"/>
  <c r="C64" i="15"/>
  <c r="F64" i="15" s="1"/>
  <c r="C656" i="15"/>
  <c r="AY611" i="15"/>
  <c r="AS611" i="15"/>
  <c r="AF611" i="15"/>
  <c r="AM611" i="15"/>
  <c r="AL611" i="15"/>
  <c r="AX611" i="15"/>
  <c r="AR611" i="15"/>
  <c r="AG611" i="15"/>
  <c r="AB441" i="15"/>
  <c r="AC441" i="15" s="1"/>
  <c r="K441" i="15"/>
  <c r="L441" i="15"/>
  <c r="E441" i="15"/>
  <c r="D441" i="15"/>
  <c r="U441" i="15"/>
  <c r="V441" i="15" s="1"/>
  <c r="T76" i="15"/>
  <c r="W76" i="15" s="1"/>
  <c r="E516" i="15"/>
  <c r="U516" i="15"/>
  <c r="V516" i="15" s="1"/>
  <c r="D516" i="15"/>
  <c r="L516" i="15"/>
  <c r="AB516" i="15"/>
  <c r="AC516" i="15" s="1"/>
  <c r="K516" i="15"/>
  <c r="R208" i="15"/>
  <c r="K208" i="15"/>
  <c r="B254" i="15" s="1"/>
  <c r="R254" i="15" s="1"/>
  <c r="N208" i="15"/>
  <c r="T254" i="15" s="1"/>
  <c r="W254" i="15" s="1"/>
  <c r="I208" i="15"/>
  <c r="G254" i="15" s="1"/>
  <c r="J208" i="15"/>
  <c r="N254" i="15" s="1"/>
  <c r="Q208" i="15"/>
  <c r="S254" i="15" s="1"/>
  <c r="AI254" i="15" s="1"/>
  <c r="M208" i="15"/>
  <c r="S208" i="15"/>
  <c r="L208" i="15"/>
  <c r="H208" i="15"/>
  <c r="C254" i="15" s="1"/>
  <c r="F254" i="15" s="1"/>
  <c r="P208" i="15"/>
  <c r="AE254" i="15" s="1"/>
  <c r="L435" i="15"/>
  <c r="AB435" i="15"/>
  <c r="AC435" i="15" s="1"/>
  <c r="D435" i="15"/>
  <c r="E435" i="15"/>
  <c r="U435" i="15"/>
  <c r="V435" i="15" s="1"/>
  <c r="K435" i="15"/>
  <c r="C660" i="15"/>
  <c r="AM615" i="15"/>
  <c r="AF615" i="15"/>
  <c r="AG615" i="15"/>
  <c r="AR615" i="15"/>
  <c r="AL615" i="15"/>
  <c r="AX615" i="15"/>
  <c r="AY615" i="15"/>
  <c r="AS615" i="15"/>
  <c r="AB119" i="15"/>
  <c r="Q119" i="15"/>
  <c r="Q163" i="15" s="1"/>
  <c r="S119" i="15"/>
  <c r="AA163" i="15" s="1"/>
  <c r="AB163" i="15" s="1"/>
  <c r="J163" i="15"/>
  <c r="I119" i="15"/>
  <c r="C163" i="15" s="1"/>
  <c r="X163" i="15"/>
  <c r="N119" i="15"/>
  <c r="J119" i="15"/>
  <c r="B163" i="15" s="1"/>
  <c r="O163" i="15" s="1"/>
  <c r="P119" i="15"/>
  <c r="Z163" i="15" s="1"/>
  <c r="W119" i="15"/>
  <c r="W163" i="15"/>
  <c r="K119" i="15"/>
  <c r="M163" i="15" s="1"/>
  <c r="N163" i="15" s="1"/>
  <c r="R119" i="15"/>
  <c r="P163" i="15" s="1"/>
  <c r="AC163" i="15" s="1"/>
  <c r="V119" i="15"/>
  <c r="H119" i="15"/>
  <c r="L163" i="15" s="1"/>
  <c r="I163" i="15"/>
  <c r="AF83" i="15"/>
  <c r="AG83" i="15"/>
  <c r="R212" i="15"/>
  <c r="S212" i="15"/>
  <c r="H212" i="15"/>
  <c r="C258" i="15" s="1"/>
  <c r="F258" i="15" s="1"/>
  <c r="K212" i="15"/>
  <c r="B258" i="15" s="1"/>
  <c r="R258" i="15" s="1"/>
  <c r="P212" i="15"/>
  <c r="AE258" i="15" s="1"/>
  <c r="L212" i="15"/>
  <c r="J212" i="15"/>
  <c r="N258" i="15" s="1"/>
  <c r="I212" i="15"/>
  <c r="G258" i="15" s="1"/>
  <c r="M212" i="15"/>
  <c r="Q212" i="15"/>
  <c r="S258" i="15" s="1"/>
  <c r="AI258" i="15" s="1"/>
  <c r="N212" i="15"/>
  <c r="T258" i="15" s="1"/>
  <c r="W258" i="15" s="1"/>
  <c r="O212" i="15"/>
  <c r="X258" i="15" s="1"/>
  <c r="U211" i="15"/>
  <c r="E520" i="15"/>
  <c r="D520" i="15"/>
  <c r="K520" i="15"/>
  <c r="L520" i="15"/>
  <c r="AB520" i="15"/>
  <c r="AC520" i="15" s="1"/>
  <c r="U520" i="15"/>
  <c r="V520" i="15" s="1"/>
  <c r="C649" i="15"/>
  <c r="AL604" i="15"/>
  <c r="AX604" i="15"/>
  <c r="AM604" i="15"/>
  <c r="AR604" i="15"/>
  <c r="AG604" i="15"/>
  <c r="AS604" i="15"/>
  <c r="AY604" i="15"/>
  <c r="AF604" i="15"/>
  <c r="AB81" i="15"/>
  <c r="Z117" i="15"/>
  <c r="J218" i="15"/>
  <c r="N264" i="15" s="1"/>
  <c r="Q218" i="15"/>
  <c r="S264" i="15" s="1"/>
  <c r="AI264" i="15" s="1"/>
  <c r="K218" i="15"/>
  <c r="B264" i="15" s="1"/>
  <c r="R264" i="15" s="1"/>
  <c r="I218" i="15"/>
  <c r="G264" i="15" s="1"/>
  <c r="P218" i="15"/>
  <c r="AE264" i="15" s="1"/>
  <c r="H218" i="15"/>
  <c r="C264" i="15" s="1"/>
  <c r="F264" i="15" s="1"/>
  <c r="O218" i="15"/>
  <c r="X264" i="15" s="1"/>
  <c r="S218" i="15"/>
  <c r="N218" i="15"/>
  <c r="T264" i="15" s="1"/>
  <c r="W264" i="15" s="1"/>
  <c r="M218" i="15"/>
  <c r="L218" i="15"/>
  <c r="U214" i="15"/>
  <c r="D71" i="15"/>
  <c r="O71" i="15"/>
  <c r="P71" i="15"/>
  <c r="U206" i="15"/>
  <c r="S30" i="15"/>
  <c r="W30" i="15" s="1"/>
  <c r="L216" i="15"/>
  <c r="Z79" i="15"/>
  <c r="Y79" i="15"/>
  <c r="AF79" i="15"/>
  <c r="AG79" i="15"/>
  <c r="V208" i="15"/>
  <c r="D655" i="15"/>
  <c r="P610" i="15"/>
  <c r="U610" i="15"/>
  <c r="V610" i="15"/>
  <c r="I610" i="15"/>
  <c r="D610" i="15"/>
  <c r="C610" i="15"/>
  <c r="J610" i="15"/>
  <c r="O610" i="15"/>
  <c r="U215" i="15"/>
  <c r="V78" i="15"/>
  <c r="L77" i="15"/>
  <c r="AF86" i="15"/>
  <c r="AG86" i="15"/>
  <c r="V129" i="15"/>
  <c r="L14" i="15"/>
  <c r="H215" i="15"/>
  <c r="C261" i="15" s="1"/>
  <c r="F261" i="15" s="1"/>
  <c r="O215" i="15"/>
  <c r="X261" i="15" s="1"/>
  <c r="N215" i="15"/>
  <c r="T261" i="15" s="1"/>
  <c r="W261" i="15" s="1"/>
  <c r="L215" i="15"/>
  <c r="S215" i="15"/>
  <c r="Q215" i="15"/>
  <c r="S261" i="15" s="1"/>
  <c r="AI261" i="15" s="1"/>
  <c r="K215" i="15"/>
  <c r="B261" i="15" s="1"/>
  <c r="R261" i="15" s="1"/>
  <c r="R215" i="15"/>
  <c r="J215" i="15"/>
  <c r="N261" i="15" s="1"/>
  <c r="P215" i="15"/>
  <c r="AE261" i="15" s="1"/>
  <c r="M215" i="15"/>
  <c r="U77" i="15"/>
  <c r="X68" i="15"/>
  <c r="AA68" i="15" s="1"/>
  <c r="AD68" i="15" s="1"/>
  <c r="G52" i="15"/>
  <c r="J52" i="15" s="1"/>
  <c r="M52" i="15" s="1"/>
  <c r="M10" i="15"/>
  <c r="X49" i="15"/>
  <c r="AA49" i="15" s="1"/>
  <c r="AD49" i="15" s="1"/>
  <c r="U7" i="15"/>
  <c r="S5" i="15"/>
  <c r="AE47" i="15" s="1"/>
  <c r="AH47" i="15" s="1"/>
  <c r="C60" i="15"/>
  <c r="F60" i="15" s="1"/>
  <c r="M14" i="15"/>
  <c r="G56" i="15"/>
  <c r="J56" i="15" s="1"/>
  <c r="M56" i="15" s="1"/>
  <c r="T64" i="15"/>
  <c r="W64" i="15" s="1"/>
  <c r="E440" i="15"/>
  <c r="L440" i="15"/>
  <c r="AB440" i="15"/>
  <c r="AC440" i="15" s="1"/>
  <c r="U440" i="15"/>
  <c r="V440" i="15" s="1"/>
  <c r="K440" i="15"/>
  <c r="D440" i="15"/>
  <c r="C82" i="15"/>
  <c r="F82" i="15" s="1"/>
  <c r="D662" i="15"/>
  <c r="O617" i="15"/>
  <c r="P617" i="15"/>
  <c r="D617" i="15"/>
  <c r="I617" i="15"/>
  <c r="V617" i="15"/>
  <c r="J617" i="15"/>
  <c r="C617" i="15"/>
  <c r="U617" i="15"/>
  <c r="U528" i="15"/>
  <c r="V528" i="15" s="1"/>
  <c r="AB528" i="15"/>
  <c r="AC528" i="15" s="1"/>
  <c r="E528" i="15"/>
  <c r="K528" i="15"/>
  <c r="D528" i="15"/>
  <c r="L528" i="15"/>
  <c r="K34" i="15"/>
  <c r="R34" i="15"/>
  <c r="K431" i="15"/>
  <c r="E431" i="15"/>
  <c r="L431" i="15"/>
  <c r="U431" i="15"/>
  <c r="V431" i="15" s="1"/>
  <c r="D431" i="15"/>
  <c r="AB431" i="15"/>
  <c r="AC431" i="15" s="1"/>
  <c r="Z126" i="15"/>
  <c r="E430" i="15"/>
  <c r="D430" i="15"/>
  <c r="U430" i="15"/>
  <c r="V430" i="15" s="1"/>
  <c r="K430" i="15"/>
  <c r="AB430" i="15"/>
  <c r="AC430" i="15" s="1"/>
  <c r="L430" i="15"/>
  <c r="U43" i="15"/>
  <c r="AB116" i="15"/>
  <c r="K116" i="15"/>
  <c r="M160" i="15" s="1"/>
  <c r="N160" i="15" s="1"/>
  <c r="S116" i="15"/>
  <c r="AA160" i="15" s="1"/>
  <c r="AB160" i="15" s="1"/>
  <c r="V116" i="15"/>
  <c r="W116" i="15"/>
  <c r="I116" i="15"/>
  <c r="C160" i="15" s="1"/>
  <c r="W160" i="15"/>
  <c r="P116" i="15"/>
  <c r="Z160" i="15" s="1"/>
  <c r="I160" i="15"/>
  <c r="Q116" i="15"/>
  <c r="Q160" i="15" s="1"/>
  <c r="J116" i="15"/>
  <c r="B160" i="15" s="1"/>
  <c r="O160" i="15" s="1"/>
  <c r="X160" i="15"/>
  <c r="J160" i="15"/>
  <c r="R116" i="15"/>
  <c r="P160" i="15" s="1"/>
  <c r="AC160" i="15" s="1"/>
  <c r="H116" i="15"/>
  <c r="L160" i="15" s="1"/>
  <c r="N116" i="15"/>
  <c r="D656" i="15"/>
  <c r="V611" i="15"/>
  <c r="I611" i="15"/>
  <c r="O611" i="15"/>
  <c r="D611" i="15"/>
  <c r="U611" i="15"/>
  <c r="C611" i="15"/>
  <c r="J611" i="15"/>
  <c r="P611" i="15"/>
  <c r="Y128" i="15"/>
  <c r="Z83" i="15"/>
  <c r="Y83" i="15"/>
  <c r="W120" i="15"/>
  <c r="Y115" i="15"/>
  <c r="R205" i="15"/>
  <c r="L205" i="15"/>
  <c r="I205" i="15"/>
  <c r="G251" i="15" s="1"/>
  <c r="H205" i="15"/>
  <c r="C251" i="15" s="1"/>
  <c r="F251" i="15" s="1"/>
  <c r="Q205" i="15"/>
  <c r="S251" i="15" s="1"/>
  <c r="AI251" i="15" s="1"/>
  <c r="P205" i="15"/>
  <c r="AE251" i="15" s="1"/>
  <c r="K205" i="15"/>
  <c r="B251" i="15" s="1"/>
  <c r="R251" i="15" s="1"/>
  <c r="O205" i="15"/>
  <c r="X251" i="15" s="1"/>
  <c r="J205" i="15"/>
  <c r="N251" i="15" s="1"/>
  <c r="N205" i="15"/>
  <c r="T251" i="15" s="1"/>
  <c r="W251" i="15" s="1"/>
  <c r="M205" i="15"/>
  <c r="K432" i="15"/>
  <c r="U432" i="15"/>
  <c r="V432" i="15" s="1"/>
  <c r="AB432" i="15"/>
  <c r="AC432" i="15" s="1"/>
  <c r="L432" i="15"/>
  <c r="E432" i="15"/>
  <c r="D432" i="15"/>
  <c r="H72" i="15"/>
  <c r="I72" i="15"/>
  <c r="T72" i="15"/>
  <c r="W72" i="15" s="1"/>
  <c r="V216" i="15"/>
  <c r="I215" i="15"/>
  <c r="G261" i="15" s="1"/>
  <c r="AB127" i="15"/>
  <c r="K127" i="15"/>
  <c r="M171" i="15" s="1"/>
  <c r="N171" i="15" s="1"/>
  <c r="X171" i="15"/>
  <c r="J127" i="15"/>
  <c r="B171" i="15" s="1"/>
  <c r="O171" i="15" s="1"/>
  <c r="V127" i="15"/>
  <c r="I171" i="15"/>
  <c r="H127" i="15"/>
  <c r="L171" i="15" s="1"/>
  <c r="N127" i="15"/>
  <c r="P127" i="15"/>
  <c r="Z171" i="15" s="1"/>
  <c r="S127" i="15"/>
  <c r="AA171" i="15" s="1"/>
  <c r="AB171" i="15" s="1"/>
  <c r="J171" i="15"/>
  <c r="O127" i="15"/>
  <c r="W127" i="15"/>
  <c r="I127" i="15"/>
  <c r="C171" i="15" s="1"/>
  <c r="R127" i="15"/>
  <c r="P171" i="15" s="1"/>
  <c r="AC171" i="15" s="1"/>
  <c r="W171" i="15"/>
  <c r="S205" i="15"/>
  <c r="Y124" i="15"/>
  <c r="P78" i="15"/>
  <c r="O78" i="15"/>
  <c r="AG77" i="15"/>
  <c r="AF77" i="15"/>
  <c r="Z74" i="15"/>
  <c r="Y74" i="15"/>
  <c r="C663" i="15"/>
  <c r="AR618" i="15"/>
  <c r="AL618" i="15"/>
  <c r="AF618" i="15"/>
  <c r="AG618" i="15"/>
  <c r="AX618" i="15"/>
  <c r="AS618" i="15"/>
  <c r="AM618" i="15"/>
  <c r="AY618" i="15"/>
  <c r="K115" i="15"/>
  <c r="M159" i="15" s="1"/>
  <c r="N159" i="15" s="1"/>
  <c r="N115" i="15"/>
  <c r="Q115" i="15"/>
  <c r="Q159" i="15" s="1"/>
  <c r="V115" i="15"/>
  <c r="H115" i="15"/>
  <c r="L159" i="15" s="1"/>
  <c r="S115" i="15"/>
  <c r="AA159" i="15" s="1"/>
  <c r="AB159" i="15" s="1"/>
  <c r="J159" i="15"/>
  <c r="AB115" i="15"/>
  <c r="P115" i="15"/>
  <c r="Z159" i="15" s="1"/>
  <c r="W115" i="15"/>
  <c r="R115" i="15"/>
  <c r="P159" i="15" s="1"/>
  <c r="AC159" i="15" s="1"/>
  <c r="I159" i="15"/>
  <c r="O115" i="15"/>
  <c r="I115" i="15"/>
  <c r="C159" i="15" s="1"/>
  <c r="J115" i="15"/>
  <c r="B159" i="15" s="1"/>
  <c r="O159" i="15" s="1"/>
  <c r="W159" i="15"/>
  <c r="K206" i="15"/>
  <c r="B252" i="15" s="1"/>
  <c r="R252" i="15" s="1"/>
  <c r="R206" i="15"/>
  <c r="N206" i="15"/>
  <c r="T252" i="15" s="1"/>
  <c r="W252" i="15" s="1"/>
  <c r="P206" i="15"/>
  <c r="AE252" i="15" s="1"/>
  <c r="M206" i="15"/>
  <c r="J206" i="15"/>
  <c r="N252" i="15" s="1"/>
  <c r="L206" i="15"/>
  <c r="H206" i="15"/>
  <c r="C252" i="15" s="1"/>
  <c r="F252" i="15" s="1"/>
  <c r="Q206" i="15"/>
  <c r="S252" i="15" s="1"/>
  <c r="AI252" i="15" s="1"/>
  <c r="S206" i="15"/>
  <c r="I206" i="15"/>
  <c r="G252" i="15" s="1"/>
  <c r="U10" i="15"/>
  <c r="AB52" i="15" s="1"/>
  <c r="N7" i="15"/>
  <c r="I49" i="15" s="1"/>
  <c r="C655" i="15"/>
  <c r="AY610" i="15"/>
  <c r="AF610" i="15"/>
  <c r="AM610" i="15"/>
  <c r="AR610" i="15"/>
  <c r="AL610" i="15"/>
  <c r="AG610" i="15"/>
  <c r="AX610" i="15"/>
  <c r="AS610" i="15"/>
  <c r="AB438" i="15"/>
  <c r="AC438" i="15" s="1"/>
  <c r="L438" i="15"/>
  <c r="U438" i="15"/>
  <c r="V438" i="15" s="1"/>
  <c r="E438" i="15"/>
  <c r="K438" i="15"/>
  <c r="D438" i="15"/>
  <c r="C650" i="15"/>
  <c r="AR605" i="15"/>
  <c r="AS605" i="15"/>
  <c r="AF605" i="15"/>
  <c r="AM605" i="15"/>
  <c r="AG605" i="15"/>
  <c r="AY605" i="15"/>
  <c r="AX605" i="15"/>
  <c r="AL605" i="15"/>
  <c r="E524" i="15"/>
  <c r="L524" i="15"/>
  <c r="K524" i="15"/>
  <c r="D524" i="15"/>
  <c r="U524" i="15"/>
  <c r="V524" i="15" s="1"/>
  <c r="AB524" i="15"/>
  <c r="AC524" i="15" s="1"/>
  <c r="D652" i="15"/>
  <c r="D607" i="15"/>
  <c r="C607" i="15"/>
  <c r="V607" i="15"/>
  <c r="P607" i="15"/>
  <c r="I607" i="15"/>
  <c r="U607" i="15"/>
  <c r="J607" i="15"/>
  <c r="O607" i="15"/>
  <c r="Z125" i="15"/>
  <c r="M43" i="15"/>
  <c r="T85" i="15"/>
  <c r="W85" i="15" s="1"/>
  <c r="C662" i="15"/>
  <c r="AS617" i="15"/>
  <c r="AF617" i="15"/>
  <c r="AL617" i="15"/>
  <c r="AY617" i="15"/>
  <c r="AX617" i="15"/>
  <c r="AM617" i="15"/>
  <c r="AR617" i="15"/>
  <c r="AG617" i="15"/>
  <c r="H210" i="15"/>
  <c r="C256" i="15" s="1"/>
  <c r="F256" i="15" s="1"/>
  <c r="L210" i="15"/>
  <c r="J210" i="15"/>
  <c r="N256" i="15" s="1"/>
  <c r="Q210" i="15"/>
  <c r="S256" i="15" s="1"/>
  <c r="AI256" i="15" s="1"/>
  <c r="I210" i="15"/>
  <c r="G256" i="15" s="1"/>
  <c r="K210" i="15"/>
  <c r="B256" i="15" s="1"/>
  <c r="R256" i="15" s="1"/>
  <c r="R210" i="15"/>
  <c r="P210" i="15"/>
  <c r="AE256" i="15" s="1"/>
  <c r="O210" i="15"/>
  <c r="X256" i="15" s="1"/>
  <c r="N210" i="15"/>
  <c r="T256" i="15" s="1"/>
  <c r="W256" i="15" s="1"/>
  <c r="M210" i="15"/>
  <c r="S210" i="15"/>
  <c r="Z81" i="15"/>
  <c r="Y81" i="15"/>
  <c r="E429" i="15"/>
  <c r="L429" i="15"/>
  <c r="AB429" i="15"/>
  <c r="AC429" i="15" s="1"/>
  <c r="D429" i="15"/>
  <c r="K429" i="15"/>
  <c r="U429" i="15"/>
  <c r="V429" i="15" s="1"/>
  <c r="U205" i="15"/>
  <c r="D653" i="15"/>
  <c r="J608" i="15"/>
  <c r="V608" i="15"/>
  <c r="U608" i="15"/>
  <c r="I608" i="15"/>
  <c r="P608" i="15"/>
  <c r="D608" i="15"/>
  <c r="O608" i="15"/>
  <c r="C608" i="15"/>
  <c r="L30" i="15"/>
  <c r="C657" i="15"/>
  <c r="AX612" i="15"/>
  <c r="AR612" i="15"/>
  <c r="AM612" i="15"/>
  <c r="AS612" i="15"/>
  <c r="AL612" i="15"/>
  <c r="AG612" i="15"/>
  <c r="AF612" i="15"/>
  <c r="AY612" i="15"/>
  <c r="Z86" i="15"/>
  <c r="Y86" i="15"/>
  <c r="Q129" i="15"/>
  <c r="Q173" i="15" s="1"/>
  <c r="H129" i="15"/>
  <c r="L173" i="15" s="1"/>
  <c r="W129" i="15"/>
  <c r="O129" i="15"/>
  <c r="K129" i="15"/>
  <c r="M173" i="15" s="1"/>
  <c r="N173" i="15" s="1"/>
  <c r="J129" i="15"/>
  <c r="B173" i="15" s="1"/>
  <c r="O173" i="15" s="1"/>
  <c r="W173" i="15"/>
  <c r="I173" i="15"/>
  <c r="X173" i="15"/>
  <c r="S129" i="15"/>
  <c r="AA173" i="15" s="1"/>
  <c r="AB173" i="15" s="1"/>
  <c r="I129" i="15"/>
  <c r="C173" i="15" s="1"/>
  <c r="P129" i="15"/>
  <c r="Z173" i="15" s="1"/>
  <c r="R129" i="15"/>
  <c r="P173" i="15" s="1"/>
  <c r="AC173" i="15" s="1"/>
  <c r="N129" i="15"/>
  <c r="J173" i="15"/>
  <c r="AB129" i="15"/>
  <c r="L10" i="15"/>
  <c r="J203" i="15"/>
  <c r="N249" i="15" s="1"/>
  <c r="L203" i="15"/>
  <c r="P203" i="15"/>
  <c r="AE249" i="15" s="1"/>
  <c r="Q203" i="15"/>
  <c r="S249" i="15" s="1"/>
  <c r="AI249" i="15" s="1"/>
  <c r="R203" i="15"/>
  <c r="H203" i="15"/>
  <c r="C249" i="15" s="1"/>
  <c r="F249" i="15" s="1"/>
  <c r="O203" i="15"/>
  <c r="X249" i="15" s="1"/>
  <c r="N203" i="15"/>
  <c r="T249" i="15" s="1"/>
  <c r="W249" i="15" s="1"/>
  <c r="S203" i="15"/>
  <c r="M203" i="15"/>
  <c r="I203" i="15"/>
  <c r="G249" i="15" s="1"/>
  <c r="K203" i="15"/>
  <c r="B249" i="15" s="1"/>
  <c r="R249" i="15" s="1"/>
  <c r="J43" i="15"/>
  <c r="H83" i="15"/>
  <c r="I83" i="15"/>
  <c r="K122" i="15"/>
  <c r="M166" i="15" s="1"/>
  <c r="N166" i="15" s="1"/>
  <c r="N122" i="15"/>
  <c r="J166" i="15"/>
  <c r="W166" i="15"/>
  <c r="Q122" i="15"/>
  <c r="Q166" i="15" s="1"/>
  <c r="J122" i="15"/>
  <c r="B166" i="15" s="1"/>
  <c r="O166" i="15" s="1"/>
  <c r="V122" i="15"/>
  <c r="I122" i="15"/>
  <c r="C166" i="15" s="1"/>
  <c r="I166" i="15"/>
  <c r="O122" i="15"/>
  <c r="W122" i="15"/>
  <c r="H122" i="15"/>
  <c r="L166" i="15" s="1"/>
  <c r="X166" i="15"/>
  <c r="R122" i="15"/>
  <c r="P166" i="15" s="1"/>
  <c r="AC166" i="15" s="1"/>
  <c r="AB122" i="15"/>
  <c r="S122" i="15"/>
  <c r="AA166" i="15" s="1"/>
  <c r="AB166" i="15" s="1"/>
  <c r="P122" i="15"/>
  <c r="Z166" i="15" s="1"/>
  <c r="H81" i="15"/>
  <c r="I81" i="15"/>
  <c r="L214" i="15"/>
  <c r="P214" i="15"/>
  <c r="AE260" i="15" s="1"/>
  <c r="Q214" i="15"/>
  <c r="S260" i="15" s="1"/>
  <c r="AI260" i="15" s="1"/>
  <c r="O214" i="15"/>
  <c r="X260" i="15" s="1"/>
  <c r="I214" i="15"/>
  <c r="G260" i="15" s="1"/>
  <c r="R214" i="15"/>
  <c r="S214" i="15"/>
  <c r="K214" i="15"/>
  <c r="B260" i="15" s="1"/>
  <c r="R260" i="15" s="1"/>
  <c r="H214" i="15"/>
  <c r="C260" i="15" s="1"/>
  <c r="F260" i="15" s="1"/>
  <c r="N214" i="15"/>
  <c r="T260" i="15" s="1"/>
  <c r="W260" i="15" s="1"/>
  <c r="M214" i="15"/>
  <c r="Y71" i="15"/>
  <c r="Z71" i="15"/>
  <c r="J214" i="15"/>
  <c r="N260" i="15" s="1"/>
  <c r="O84" i="15"/>
  <c r="P84" i="15"/>
  <c r="K529" i="15"/>
  <c r="AB529" i="15"/>
  <c r="AC529" i="15" s="1"/>
  <c r="U529" i="15"/>
  <c r="V529" i="15" s="1"/>
  <c r="D529" i="15"/>
  <c r="E529" i="15"/>
  <c r="L529" i="15"/>
  <c r="N10" i="15"/>
  <c r="H52" i="15" s="1"/>
  <c r="V7" i="15"/>
  <c r="Z49" i="15" s="1"/>
  <c r="M18" i="15"/>
  <c r="N14" i="15"/>
  <c r="H56" i="15" s="1"/>
  <c r="R22" i="15"/>
  <c r="AF75" i="15"/>
  <c r="AG75" i="15"/>
  <c r="L433" i="15"/>
  <c r="U433" i="15"/>
  <c r="V433" i="15" s="1"/>
  <c r="E433" i="15"/>
  <c r="AB433" i="15"/>
  <c r="AC433" i="15" s="1"/>
  <c r="K433" i="15"/>
  <c r="D433" i="15"/>
  <c r="C652" i="15"/>
  <c r="AF607" i="15"/>
  <c r="AX607" i="15"/>
  <c r="AR607" i="15"/>
  <c r="AM607" i="15"/>
  <c r="AL607" i="15"/>
  <c r="AS607" i="15"/>
  <c r="AG607" i="15"/>
  <c r="AY607" i="15"/>
  <c r="AB525" i="15"/>
  <c r="AC525" i="15" s="1"/>
  <c r="U525" i="15"/>
  <c r="V525" i="15" s="1"/>
  <c r="L525" i="15"/>
  <c r="K525" i="15"/>
  <c r="D525" i="15"/>
  <c r="E525" i="15"/>
  <c r="S38" i="15"/>
  <c r="M38" i="15"/>
  <c r="J128" i="15"/>
  <c r="B172" i="15" s="1"/>
  <c r="O172" i="15" s="1"/>
  <c r="W172" i="15"/>
  <c r="P128" i="15"/>
  <c r="Z172" i="15" s="1"/>
  <c r="S128" i="15"/>
  <c r="AA172" i="15" s="1"/>
  <c r="AB172" i="15" s="1"/>
  <c r="K128" i="15"/>
  <c r="M172" i="15" s="1"/>
  <c r="N172" i="15" s="1"/>
  <c r="R128" i="15"/>
  <c r="P172" i="15" s="1"/>
  <c r="AC172" i="15" s="1"/>
  <c r="I128" i="15"/>
  <c r="C172" i="15" s="1"/>
  <c r="N128" i="15"/>
  <c r="X172" i="15"/>
  <c r="V128" i="15"/>
  <c r="I172" i="15"/>
  <c r="AB128" i="15"/>
  <c r="H128" i="15"/>
  <c r="L172" i="15" s="1"/>
  <c r="J172" i="15"/>
  <c r="O128" i="15"/>
  <c r="W128" i="15"/>
  <c r="V121" i="15"/>
  <c r="D659" i="15"/>
  <c r="P614" i="15"/>
  <c r="C614" i="15"/>
  <c r="O614" i="15"/>
  <c r="V614" i="15"/>
  <c r="J614" i="15"/>
  <c r="D614" i="15"/>
  <c r="I614" i="15"/>
  <c r="U614" i="15"/>
  <c r="R48" i="13"/>
  <c r="S48" i="13"/>
  <c r="Q48" i="13"/>
  <c r="S124" i="15"/>
  <c r="AA168" i="15" s="1"/>
  <c r="AB168" i="15" s="1"/>
  <c r="N124" i="15"/>
  <c r="I124" i="15"/>
  <c r="C168" i="15" s="1"/>
  <c r="K124" i="15"/>
  <c r="M168" i="15" s="1"/>
  <c r="N168" i="15" s="1"/>
  <c r="H124" i="15"/>
  <c r="L168" i="15" s="1"/>
  <c r="P124" i="15"/>
  <c r="Z168" i="15" s="1"/>
  <c r="W168" i="15"/>
  <c r="J124" i="15"/>
  <c r="B168" i="15" s="1"/>
  <c r="O168" i="15" s="1"/>
  <c r="Q124" i="15"/>
  <c r="Q168" i="15" s="1"/>
  <c r="AB124" i="15"/>
  <c r="J168" i="15"/>
  <c r="X168" i="15"/>
  <c r="W124" i="15"/>
  <c r="I168" i="15"/>
  <c r="V124" i="15"/>
  <c r="R124" i="15"/>
  <c r="P168" i="15" s="1"/>
  <c r="AC168" i="15" s="1"/>
  <c r="D651" i="15"/>
  <c r="U606" i="15"/>
  <c r="I606" i="15"/>
  <c r="C606" i="15"/>
  <c r="O606" i="15"/>
  <c r="D606" i="15"/>
  <c r="J606" i="15"/>
  <c r="V606" i="15"/>
  <c r="P606" i="15"/>
  <c r="K43" i="15"/>
  <c r="O43" i="15" s="1"/>
  <c r="V209" i="15"/>
  <c r="C661" i="15"/>
  <c r="AX616" i="15"/>
  <c r="AL616" i="15"/>
  <c r="AR616" i="15"/>
  <c r="AG616" i="15"/>
  <c r="AY616" i="15"/>
  <c r="AF616" i="15"/>
  <c r="AS616" i="15"/>
  <c r="AM616" i="15"/>
  <c r="I164" i="15"/>
  <c r="W164" i="15"/>
  <c r="X164" i="15"/>
  <c r="V120" i="15"/>
  <c r="J164" i="15"/>
  <c r="O120" i="15"/>
  <c r="N120" i="15"/>
  <c r="P120" i="15"/>
  <c r="Z164" i="15" s="1"/>
  <c r="K120" i="15"/>
  <c r="M164" i="15" s="1"/>
  <c r="N164" i="15" s="1"/>
  <c r="J120" i="15"/>
  <c r="B164" i="15" s="1"/>
  <c r="O164" i="15" s="1"/>
  <c r="Q120" i="15"/>
  <c r="Q164" i="15" s="1"/>
  <c r="H120" i="15"/>
  <c r="L164" i="15" s="1"/>
  <c r="S120" i="15"/>
  <c r="AA164" i="15" s="1"/>
  <c r="AB164" i="15" s="1"/>
  <c r="I120" i="15"/>
  <c r="C164" i="15" s="1"/>
  <c r="R120" i="15"/>
  <c r="P164" i="15" s="1"/>
  <c r="AC164" i="15" s="1"/>
  <c r="AB120" i="15"/>
  <c r="O206" i="15"/>
  <c r="X252" i="15" s="1"/>
  <c r="L209" i="15"/>
  <c r="H209" i="15"/>
  <c r="C255" i="15" s="1"/>
  <c r="F255" i="15" s="1"/>
  <c r="P209" i="15"/>
  <c r="AE255" i="15" s="1"/>
  <c r="Q209" i="15"/>
  <c r="S255" i="15" s="1"/>
  <c r="AI255" i="15" s="1"/>
  <c r="K209" i="15"/>
  <c r="B255" i="15" s="1"/>
  <c r="R255" i="15" s="1"/>
  <c r="O209" i="15"/>
  <c r="X255" i="15" s="1"/>
  <c r="I209" i="15"/>
  <c r="G255" i="15" s="1"/>
  <c r="N209" i="15"/>
  <c r="T255" i="15" s="1"/>
  <c r="W255" i="15" s="1"/>
  <c r="R209" i="15"/>
  <c r="J209" i="15"/>
  <c r="N255" i="15" s="1"/>
  <c r="M209" i="15"/>
  <c r="V213" i="15"/>
  <c r="C653" i="15"/>
  <c r="AR608" i="15"/>
  <c r="AF608" i="15"/>
  <c r="AM608" i="15"/>
  <c r="AX608" i="15"/>
  <c r="AG608" i="15"/>
  <c r="AS608" i="15"/>
  <c r="AL608" i="15"/>
  <c r="AY608" i="15"/>
  <c r="D650" i="15"/>
  <c r="D605" i="15"/>
  <c r="P605" i="15"/>
  <c r="J605" i="15"/>
  <c r="O605" i="15"/>
  <c r="C605" i="15"/>
  <c r="V605" i="15"/>
  <c r="I605" i="15"/>
  <c r="U605" i="15"/>
  <c r="U442" i="15"/>
  <c r="V442" i="15" s="1"/>
  <c r="L442" i="15"/>
  <c r="K442" i="15"/>
  <c r="E442" i="15"/>
  <c r="D442" i="15"/>
  <c r="AB442" i="15"/>
  <c r="AC442" i="15" s="1"/>
  <c r="R30" i="15"/>
  <c r="T30" i="15"/>
  <c r="U72" i="15" s="1"/>
  <c r="O79" i="15"/>
  <c r="P79" i="15"/>
  <c r="Z120" i="15"/>
  <c r="P77" i="15"/>
  <c r="O77" i="15"/>
  <c r="C648" i="15"/>
  <c r="AS603" i="15"/>
  <c r="AX603" i="15"/>
  <c r="AL603" i="15"/>
  <c r="AR603" i="15"/>
  <c r="AF603" i="15"/>
  <c r="AY603" i="15"/>
  <c r="AG603" i="15"/>
  <c r="AM603" i="15"/>
  <c r="D657" i="15"/>
  <c r="C612" i="15"/>
  <c r="O612" i="15"/>
  <c r="V612" i="15"/>
  <c r="D612" i="15"/>
  <c r="J612" i="15"/>
  <c r="I612" i="15"/>
  <c r="U612" i="15"/>
  <c r="P612" i="15"/>
  <c r="O211" i="15"/>
  <c r="X257" i="15" s="1"/>
  <c r="R211" i="15"/>
  <c r="N211" i="15"/>
  <c r="T257" i="15" s="1"/>
  <c r="W257" i="15" s="1"/>
  <c r="S211" i="15"/>
  <c r="K211" i="15"/>
  <c r="B257" i="15" s="1"/>
  <c r="R257" i="15" s="1"/>
  <c r="Q211" i="15"/>
  <c r="S257" i="15" s="1"/>
  <c r="AI257" i="15" s="1"/>
  <c r="M211" i="15"/>
  <c r="L211" i="15"/>
  <c r="P211" i="15"/>
  <c r="AE257" i="15" s="1"/>
  <c r="J211" i="15"/>
  <c r="N257" i="15" s="1"/>
  <c r="I211" i="15"/>
  <c r="G257" i="15" s="1"/>
  <c r="H211" i="15"/>
  <c r="C257" i="15" s="1"/>
  <c r="F257" i="15" s="1"/>
  <c r="C68" i="15"/>
  <c r="F68" i="15" s="1"/>
  <c r="L26" i="15"/>
  <c r="Q44" i="13"/>
  <c r="R10" i="15"/>
  <c r="V10" i="15"/>
  <c r="Z52" i="15" s="1"/>
  <c r="K7" i="15"/>
  <c r="G47" i="15"/>
  <c r="J47" i="15" s="1"/>
  <c r="M47" i="15" s="1"/>
  <c r="X60" i="15"/>
  <c r="AA60" i="15" s="1"/>
  <c r="AD60" i="15" s="1"/>
  <c r="U18" i="15"/>
  <c r="AB60" i="15" s="1"/>
  <c r="V14" i="15"/>
  <c r="Z56" i="15" s="1"/>
  <c r="R14" i="15"/>
  <c r="AE56" i="15" s="1"/>
  <c r="AH56" i="15" s="1"/>
  <c r="AR104" i="13"/>
  <c r="AN123" i="13"/>
  <c r="M22" i="15"/>
  <c r="Z75" i="15"/>
  <c r="Y75" i="15"/>
  <c r="L217" i="15"/>
  <c r="Q217" i="15"/>
  <c r="S263" i="15" s="1"/>
  <c r="AI263" i="15" s="1"/>
  <c r="M217" i="15"/>
  <c r="O217" i="15"/>
  <c r="X263" i="15" s="1"/>
  <c r="P217" i="15"/>
  <c r="AE263" i="15" s="1"/>
  <c r="K217" i="15"/>
  <c r="B263" i="15" s="1"/>
  <c r="R263" i="15" s="1"/>
  <c r="I217" i="15"/>
  <c r="G263" i="15" s="1"/>
  <c r="J217" i="15"/>
  <c r="N263" i="15" s="1"/>
  <c r="H217" i="15"/>
  <c r="C263" i="15" s="1"/>
  <c r="F263" i="15" s="1"/>
  <c r="R217" i="15"/>
  <c r="N217" i="15"/>
  <c r="T263" i="15" s="1"/>
  <c r="W263" i="15" s="1"/>
  <c r="D526" i="15"/>
  <c r="E526" i="15"/>
  <c r="AB526" i="15"/>
  <c r="AC526" i="15" s="1"/>
  <c r="K526" i="15"/>
  <c r="L526" i="15"/>
  <c r="U526" i="15"/>
  <c r="V526" i="15" s="1"/>
  <c r="T40" i="15"/>
  <c r="S125" i="15"/>
  <c r="AA169" i="15" s="1"/>
  <c r="AB169" i="15" s="1"/>
  <c r="K125" i="15"/>
  <c r="M169" i="15" s="1"/>
  <c r="N169" i="15" s="1"/>
  <c r="Q125" i="15"/>
  <c r="Q169" i="15" s="1"/>
  <c r="I169" i="15"/>
  <c r="I125" i="15"/>
  <c r="C169" i="15" s="1"/>
  <c r="P125" i="15"/>
  <c r="Z169" i="15" s="1"/>
  <c r="J125" i="15"/>
  <c r="B169" i="15" s="1"/>
  <c r="O169" i="15" s="1"/>
  <c r="J169" i="15"/>
  <c r="O125" i="15"/>
  <c r="X169" i="15"/>
  <c r="H125" i="15"/>
  <c r="L169" i="15" s="1"/>
  <c r="W169" i="15"/>
  <c r="AB125" i="15"/>
  <c r="R125" i="15"/>
  <c r="P169" i="15" s="1"/>
  <c r="AC169" i="15" s="1"/>
  <c r="N125" i="15"/>
  <c r="W125" i="15"/>
  <c r="T80" i="15"/>
  <c r="W80" i="15" s="1"/>
  <c r="D521" i="15"/>
  <c r="E521" i="15"/>
  <c r="AB521" i="15"/>
  <c r="AC521" i="15" s="1"/>
  <c r="L521" i="15"/>
  <c r="K521" i="15"/>
  <c r="U521" i="15"/>
  <c r="V521" i="15" s="1"/>
  <c r="R25" i="13"/>
  <c r="Q25" i="13"/>
  <c r="S25" i="13"/>
  <c r="E523" i="15"/>
  <c r="AB523" i="15"/>
  <c r="AC523" i="15" s="1"/>
  <c r="L523" i="15"/>
  <c r="D523" i="15"/>
  <c r="U523" i="15"/>
  <c r="V523" i="15" s="1"/>
  <c r="K523" i="15"/>
  <c r="E427" i="15"/>
  <c r="L427" i="15"/>
  <c r="D427" i="15"/>
  <c r="K427" i="15"/>
  <c r="AB427" i="15"/>
  <c r="AC427" i="15" s="1"/>
  <c r="U427" i="15"/>
  <c r="V427" i="15" s="1"/>
  <c r="Y121" i="15"/>
  <c r="K519" i="15"/>
  <c r="E519" i="15"/>
  <c r="U519" i="15"/>
  <c r="V519" i="15" s="1"/>
  <c r="D519" i="15"/>
  <c r="AB519" i="15"/>
  <c r="AC519" i="15" s="1"/>
  <c r="L519" i="15"/>
  <c r="O81" i="15"/>
  <c r="P81" i="15"/>
  <c r="O216" i="15"/>
  <c r="X262" i="15" s="1"/>
  <c r="N216" i="15"/>
  <c r="T262" i="15" s="1"/>
  <c r="W262" i="15" s="1"/>
  <c r="Q216" i="15"/>
  <c r="S262" i="15" s="1"/>
  <c r="AI262" i="15" s="1"/>
  <c r="K216" i="15"/>
  <c r="B262" i="15" s="1"/>
  <c r="R262" i="15" s="1"/>
  <c r="S216" i="15"/>
  <c r="H216" i="15"/>
  <c r="C262" i="15" s="1"/>
  <c r="F262" i="15" s="1"/>
  <c r="J216" i="15"/>
  <c r="N262" i="15" s="1"/>
  <c r="R216" i="15"/>
  <c r="P216" i="15"/>
  <c r="AE262" i="15" s="1"/>
  <c r="I216" i="15"/>
  <c r="G262" i="15" s="1"/>
  <c r="M216" i="15"/>
  <c r="D663" i="15"/>
  <c r="C618" i="15"/>
  <c r="O618" i="15"/>
  <c r="V618" i="15"/>
  <c r="U618" i="15"/>
  <c r="P618" i="15"/>
  <c r="J618" i="15"/>
  <c r="I618" i="15"/>
  <c r="D618" i="15"/>
  <c r="AG71" i="15"/>
  <c r="AF71" i="15"/>
  <c r="R204" i="15"/>
  <c r="K204" i="15"/>
  <c r="B250" i="15" s="1"/>
  <c r="R250" i="15" s="1"/>
  <c r="J204" i="15"/>
  <c r="N250" i="15" s="1"/>
  <c r="M204" i="15"/>
  <c r="L204" i="15"/>
  <c r="H204" i="15"/>
  <c r="C250" i="15" s="1"/>
  <c r="F250" i="15" s="1"/>
  <c r="P204" i="15"/>
  <c r="AE250" i="15" s="1"/>
  <c r="O204" i="15"/>
  <c r="X250" i="15" s="1"/>
  <c r="S204" i="15"/>
  <c r="N204" i="15"/>
  <c r="T250" i="15" s="1"/>
  <c r="W250" i="15" s="1"/>
  <c r="I204" i="15"/>
  <c r="G250" i="15" s="1"/>
  <c r="Q204" i="15"/>
  <c r="S250" i="15" s="1"/>
  <c r="AI250" i="15" s="1"/>
  <c r="M30" i="15"/>
  <c r="I79" i="15"/>
  <c r="H79" i="15"/>
  <c r="R213" i="15"/>
  <c r="P213" i="15"/>
  <c r="AE259" i="15" s="1"/>
  <c r="I213" i="15"/>
  <c r="G259" i="15" s="1"/>
  <c r="H213" i="15"/>
  <c r="C259" i="15" s="1"/>
  <c r="F259" i="15" s="1"/>
  <c r="L213" i="15"/>
  <c r="S213" i="15"/>
  <c r="N213" i="15"/>
  <c r="T259" i="15" s="1"/>
  <c r="W259" i="15" s="1"/>
  <c r="Q213" i="15"/>
  <c r="S259" i="15" s="1"/>
  <c r="AI259" i="15" s="1"/>
  <c r="J213" i="15"/>
  <c r="N259" i="15" s="1"/>
  <c r="O213" i="15"/>
  <c r="X259" i="15" s="1"/>
  <c r="K213" i="15"/>
  <c r="B259" i="15" s="1"/>
  <c r="R259" i="15" s="1"/>
  <c r="M213" i="15"/>
  <c r="Y118" i="15"/>
  <c r="H84" i="15"/>
  <c r="I84" i="15"/>
  <c r="AG78" i="15"/>
  <c r="AF78" i="15"/>
  <c r="N40" i="15"/>
  <c r="AG74" i="15"/>
  <c r="AF74" i="15"/>
  <c r="Z76" i="15"/>
  <c r="Y76" i="15"/>
  <c r="D434" i="15"/>
  <c r="L434" i="15"/>
  <c r="AB434" i="15"/>
  <c r="AC434" i="15" s="1"/>
  <c r="U434" i="15"/>
  <c r="V434" i="15" s="1"/>
  <c r="E434" i="15"/>
  <c r="K434" i="15"/>
  <c r="D660" i="15"/>
  <c r="V615" i="15"/>
  <c r="J615" i="15"/>
  <c r="I615" i="15"/>
  <c r="P615" i="15"/>
  <c r="O615" i="15"/>
  <c r="D615" i="15"/>
  <c r="U615" i="15"/>
  <c r="C615" i="15"/>
  <c r="T26" i="15"/>
  <c r="V68" i="15" s="1"/>
  <c r="Q40" i="13"/>
  <c r="K10" i="15"/>
  <c r="S7" i="15"/>
  <c r="AE49" i="15" s="1"/>
  <c r="AH49" i="15" s="1"/>
  <c r="X47" i="15"/>
  <c r="AA47" i="15" s="1"/>
  <c r="AD47" i="15" s="1"/>
  <c r="J18" i="15"/>
  <c r="N18" i="15"/>
  <c r="I60" i="15" s="1"/>
  <c r="K14" i="15"/>
  <c r="AQ123" i="13"/>
  <c r="J22" i="15"/>
  <c r="U22" i="15"/>
  <c r="P75" i="15"/>
  <c r="O75" i="15"/>
  <c r="D654" i="15"/>
  <c r="P609" i="15"/>
  <c r="C609" i="15"/>
  <c r="D609" i="15"/>
  <c r="U609" i="15"/>
  <c r="V609" i="15"/>
  <c r="I609" i="15"/>
  <c r="O609" i="15"/>
  <c r="J609" i="15"/>
  <c r="AB126" i="15"/>
  <c r="Q126" i="15"/>
  <c r="Q170" i="15" s="1"/>
  <c r="J126" i="15"/>
  <c r="B170" i="15" s="1"/>
  <c r="O170" i="15" s="1"/>
  <c r="I126" i="15"/>
  <c r="C170" i="15" s="1"/>
  <c r="I170" i="15"/>
  <c r="W126" i="15"/>
  <c r="H126" i="15"/>
  <c r="L170" i="15" s="1"/>
  <c r="P126" i="15"/>
  <c r="Z170" i="15" s="1"/>
  <c r="O126" i="15"/>
  <c r="V126" i="15"/>
  <c r="X170" i="15"/>
  <c r="R126" i="15"/>
  <c r="P170" i="15" s="1"/>
  <c r="AC170" i="15" s="1"/>
  <c r="S126" i="15"/>
  <c r="AA170" i="15" s="1"/>
  <c r="AB170" i="15" s="1"/>
  <c r="K126" i="15"/>
  <c r="M170" i="15" s="1"/>
  <c r="N170" i="15" s="1"/>
  <c r="N126" i="15"/>
  <c r="J170" i="15"/>
  <c r="W170" i="15"/>
  <c r="U40" i="15"/>
  <c r="C658" i="15"/>
  <c r="AS613" i="15"/>
  <c r="AX613" i="15"/>
  <c r="AG613" i="15"/>
  <c r="AL613" i="15"/>
  <c r="AF613" i="15"/>
  <c r="AR613" i="15"/>
  <c r="AY613" i="15"/>
  <c r="AM613" i="15"/>
  <c r="L34" i="15"/>
  <c r="N34" i="15"/>
  <c r="S217" i="15"/>
  <c r="D648" i="15"/>
  <c r="O603" i="15"/>
  <c r="P603" i="15"/>
  <c r="D603" i="15"/>
  <c r="C603" i="15"/>
  <c r="V603" i="15"/>
  <c r="I603" i="15"/>
  <c r="U603" i="15"/>
  <c r="J603" i="15"/>
  <c r="Q207" i="15"/>
  <c r="S253" i="15" s="1"/>
  <c r="AI253" i="15" s="1"/>
  <c r="K207" i="15"/>
  <c r="B253" i="15" s="1"/>
  <c r="R253" i="15" s="1"/>
  <c r="L207" i="15"/>
  <c r="M207" i="15"/>
  <c r="J207" i="15"/>
  <c r="N253" i="15" s="1"/>
  <c r="P207" i="15"/>
  <c r="AE253" i="15" s="1"/>
  <c r="H207" i="15"/>
  <c r="C253" i="15" s="1"/>
  <c r="F253" i="15" s="1"/>
  <c r="O207" i="15"/>
  <c r="X253" i="15" s="1"/>
  <c r="R207" i="15"/>
  <c r="N207" i="15"/>
  <c r="T253" i="15" s="1"/>
  <c r="W253" i="15" s="1"/>
  <c r="S207" i="15"/>
  <c r="D437" i="15"/>
  <c r="K437" i="15"/>
  <c r="AB437" i="15"/>
  <c r="AC437" i="15" s="1"/>
  <c r="U437" i="15"/>
  <c r="V437" i="15" s="1"/>
  <c r="L437" i="15"/>
  <c r="E437" i="15"/>
  <c r="O119" i="15"/>
  <c r="P83" i="15"/>
  <c r="O83" i="15"/>
  <c r="AB515" i="15"/>
  <c r="AC515" i="15" s="1"/>
  <c r="L515" i="15"/>
  <c r="D515" i="15"/>
  <c r="E515" i="15"/>
  <c r="U515" i="15"/>
  <c r="V515" i="15" s="1"/>
  <c r="K515" i="15"/>
  <c r="I207" i="15"/>
  <c r="G253" i="15" s="1"/>
  <c r="AB517" i="15"/>
  <c r="AC517" i="15" s="1"/>
  <c r="D517" i="15"/>
  <c r="K517" i="15"/>
  <c r="L517" i="15"/>
  <c r="E517" i="15"/>
  <c r="U517" i="15"/>
  <c r="V517" i="15" s="1"/>
  <c r="C659" i="15"/>
  <c r="AG614" i="15"/>
  <c r="AL614" i="15"/>
  <c r="AM614" i="15"/>
  <c r="AS614" i="15"/>
  <c r="AR614" i="15"/>
  <c r="AY614" i="15"/>
  <c r="AX614" i="15"/>
  <c r="AF614" i="15"/>
  <c r="AB118" i="15"/>
  <c r="J162" i="15"/>
  <c r="W162" i="15"/>
  <c r="Q118" i="15"/>
  <c r="Q162" i="15" s="1"/>
  <c r="J118" i="15"/>
  <c r="B162" i="15" s="1"/>
  <c r="O162" i="15" s="1"/>
  <c r="I118" i="15"/>
  <c r="C162" i="15" s="1"/>
  <c r="I162" i="15"/>
  <c r="W118" i="15"/>
  <c r="H118" i="15"/>
  <c r="L162" i="15" s="1"/>
  <c r="R118" i="15"/>
  <c r="P162" i="15" s="1"/>
  <c r="AC162" i="15" s="1"/>
  <c r="O118" i="15"/>
  <c r="V118" i="15"/>
  <c r="X162" i="15"/>
  <c r="S118" i="15"/>
  <c r="AA162" i="15" s="1"/>
  <c r="AB162" i="15" s="1"/>
  <c r="P118" i="15"/>
  <c r="Z162" i="15" s="1"/>
  <c r="K118" i="15"/>
  <c r="M162" i="15" s="1"/>
  <c r="N162" i="15" s="1"/>
  <c r="N118" i="15"/>
  <c r="I71" i="15"/>
  <c r="H71" i="15"/>
  <c r="U204" i="15"/>
  <c r="C654" i="15"/>
  <c r="AF609" i="15"/>
  <c r="AX609" i="15"/>
  <c r="AL609" i="15"/>
  <c r="AM609" i="15"/>
  <c r="AY609" i="15"/>
  <c r="AG609" i="15"/>
  <c r="AR609" i="15"/>
  <c r="AS609" i="15"/>
  <c r="D527" i="15"/>
  <c r="U527" i="15"/>
  <c r="V527" i="15" s="1"/>
  <c r="AB527" i="15"/>
  <c r="AC527" i="15" s="1"/>
  <c r="L527" i="15"/>
  <c r="E527" i="15"/>
  <c r="K527" i="15"/>
  <c r="K530" i="15"/>
  <c r="E530" i="15"/>
  <c r="AB530" i="15"/>
  <c r="AC530" i="15" s="1"/>
  <c r="D530" i="15"/>
  <c r="L530" i="15"/>
  <c r="U530" i="15"/>
  <c r="V530" i="15" s="1"/>
  <c r="U439" i="15"/>
  <c r="V439" i="15" s="1"/>
  <c r="K439" i="15"/>
  <c r="AB439" i="15"/>
  <c r="AC439" i="15" s="1"/>
  <c r="D439" i="15"/>
  <c r="E439" i="15"/>
  <c r="L439" i="15"/>
  <c r="I78" i="15"/>
  <c r="H78" i="15"/>
  <c r="I86" i="15"/>
  <c r="H86" i="15"/>
  <c r="O74" i="15"/>
  <c r="P74" i="15"/>
  <c r="L7" i="15"/>
  <c r="I75" i="15"/>
  <c r="H75" i="15"/>
  <c r="D661" i="15"/>
  <c r="U616" i="15"/>
  <c r="O616" i="15"/>
  <c r="D616" i="15"/>
  <c r="C616" i="15"/>
  <c r="V616" i="15"/>
  <c r="J616" i="15"/>
  <c r="P616" i="15"/>
  <c r="I616" i="15"/>
  <c r="C651" i="15"/>
  <c r="AM606" i="15"/>
  <c r="AF606" i="15"/>
  <c r="AL606" i="15"/>
  <c r="AX606" i="15"/>
  <c r="AS606" i="15"/>
  <c r="AR606" i="15"/>
  <c r="AG606" i="15"/>
  <c r="AY606" i="15"/>
  <c r="W123" i="15"/>
  <c r="S123" i="15"/>
  <c r="AA167" i="15" s="1"/>
  <c r="AB167" i="15" s="1"/>
  <c r="H123" i="15"/>
  <c r="L167" i="15" s="1"/>
  <c r="N123" i="15"/>
  <c r="I167" i="15"/>
  <c r="R123" i="15"/>
  <c r="P167" i="15" s="1"/>
  <c r="AC167" i="15" s="1"/>
  <c r="J123" i="15"/>
  <c r="B167" i="15" s="1"/>
  <c r="O167" i="15" s="1"/>
  <c r="AB123" i="15"/>
  <c r="O123" i="15"/>
  <c r="I123" i="15"/>
  <c r="C167" i="15" s="1"/>
  <c r="Q123" i="15"/>
  <c r="Q167" i="15" s="1"/>
  <c r="W167" i="15"/>
  <c r="K123" i="15"/>
  <c r="M167" i="15" s="1"/>
  <c r="N167" i="15" s="1"/>
  <c r="V123" i="15"/>
  <c r="J167" i="15"/>
  <c r="P123" i="15"/>
  <c r="Z167" i="15" s="1"/>
  <c r="U207" i="15"/>
  <c r="Q24" i="13"/>
  <c r="R24" i="13"/>
  <c r="S24" i="13"/>
  <c r="L436" i="15"/>
  <c r="E436" i="15"/>
  <c r="U436" i="15"/>
  <c r="V436" i="15" s="1"/>
  <c r="AB436" i="15"/>
  <c r="AC436" i="15" s="1"/>
  <c r="K436" i="15"/>
  <c r="D436" i="15"/>
  <c r="X159" i="15"/>
  <c r="R117" i="15"/>
  <c r="P161" i="15" s="1"/>
  <c r="AC161" i="15" s="1"/>
  <c r="U518" i="15"/>
  <c r="V518" i="15" s="1"/>
  <c r="AB518" i="15"/>
  <c r="AC518" i="15" s="1"/>
  <c r="D518" i="15"/>
  <c r="L518" i="15"/>
  <c r="E518" i="15"/>
  <c r="K518" i="15"/>
  <c r="E522" i="15"/>
  <c r="AB522" i="15"/>
  <c r="AC522" i="15" s="1"/>
  <c r="U522" i="15"/>
  <c r="V522" i="15" s="1"/>
  <c r="D522" i="15"/>
  <c r="K522" i="15"/>
  <c r="L522" i="15"/>
  <c r="AB428" i="15"/>
  <c r="AC428" i="15" s="1"/>
  <c r="K428" i="15"/>
  <c r="D428" i="15"/>
  <c r="U428" i="15"/>
  <c r="V428" i="15" s="1"/>
  <c r="L428" i="15"/>
  <c r="E428" i="15"/>
  <c r="Z123" i="15"/>
  <c r="S130" i="15"/>
  <c r="AA174" i="15" s="1"/>
  <c r="AB174" i="15" s="1"/>
  <c r="R130" i="15"/>
  <c r="P174" i="15" s="1"/>
  <c r="AC174" i="15" s="1"/>
  <c r="K130" i="15"/>
  <c r="M174" i="15" s="1"/>
  <c r="N174" i="15" s="1"/>
  <c r="P130" i="15"/>
  <c r="Z174" i="15" s="1"/>
  <c r="H130" i="15"/>
  <c r="L174" i="15" s="1"/>
  <c r="X174" i="15"/>
  <c r="N130" i="15"/>
  <c r="Q130" i="15"/>
  <c r="Q174" i="15" s="1"/>
  <c r="J130" i="15"/>
  <c r="B174" i="15" s="1"/>
  <c r="O174" i="15" s="1"/>
  <c r="AB130" i="15"/>
  <c r="I130" i="15"/>
  <c r="C174" i="15" s="1"/>
  <c r="W174" i="15"/>
  <c r="J174" i="15"/>
  <c r="W130" i="15"/>
  <c r="V130" i="15"/>
  <c r="I174" i="15"/>
  <c r="O130" i="15"/>
  <c r="Y84" i="15"/>
  <c r="Z84" i="15"/>
  <c r="H77" i="15"/>
  <c r="I77" i="15"/>
  <c r="Z77" i="15"/>
  <c r="Y77" i="15"/>
  <c r="O86" i="15"/>
  <c r="P86" i="15"/>
  <c r="U196" i="15"/>
  <c r="V201" i="15"/>
  <c r="V197" i="15"/>
  <c r="U194" i="15"/>
  <c r="V198" i="15"/>
  <c r="AC70" i="15"/>
  <c r="BD116" i="13"/>
  <c r="Y111" i="15"/>
  <c r="Z113" i="15"/>
  <c r="U34" i="13"/>
  <c r="BA116" i="13"/>
  <c r="U23" i="13"/>
  <c r="BB116" i="13"/>
  <c r="BE116" i="13"/>
  <c r="AQ104" i="13"/>
  <c r="AR103" i="13"/>
  <c r="AP123" i="13"/>
  <c r="AR123" i="13"/>
  <c r="AN103" i="13"/>
  <c r="H187" i="15"/>
  <c r="C233" i="15" s="1"/>
  <c r="F233" i="15" s="1"/>
  <c r="J187" i="15"/>
  <c r="N233" i="15" s="1"/>
  <c r="Q233" i="15" s="1"/>
  <c r="M187" i="15"/>
  <c r="K233" i="15" s="1"/>
  <c r="K187" i="15"/>
  <c r="B233" i="15" s="1"/>
  <c r="R233" i="15" s="1"/>
  <c r="R187" i="15"/>
  <c r="U233" i="15" s="1"/>
  <c r="S187" i="15"/>
  <c r="AC233" i="15" s="1"/>
  <c r="K70" i="15"/>
  <c r="L187" i="15"/>
  <c r="E233" i="15" s="1"/>
  <c r="N187" i="15"/>
  <c r="T233" i="15" s="1"/>
  <c r="W233" i="15" s="1"/>
  <c r="O187" i="15"/>
  <c r="X233" i="15" s="1"/>
  <c r="AA233" i="15" s="1"/>
  <c r="AD233" i="15" s="1"/>
  <c r="U199" i="15"/>
  <c r="P187" i="15"/>
  <c r="AE233" i="15" s="1"/>
  <c r="AG233" i="15" s="1"/>
  <c r="Z112" i="15"/>
  <c r="Z99" i="15"/>
  <c r="AN104" i="13"/>
  <c r="AO103" i="13"/>
  <c r="Q45" i="13"/>
  <c r="Y107" i="15"/>
  <c r="AO104" i="13"/>
  <c r="V81" i="13"/>
  <c r="AU158" i="13"/>
  <c r="AM158" i="13"/>
  <c r="AO158" i="13"/>
  <c r="AT158" i="13"/>
  <c r="AS158" i="13"/>
  <c r="AQ158" i="13"/>
  <c r="AN158" i="13"/>
  <c r="AP158" i="13"/>
  <c r="AR158" i="13"/>
  <c r="AV158" i="13"/>
  <c r="AW158" i="13"/>
  <c r="AX158" i="13"/>
  <c r="AY158" i="13"/>
  <c r="AZ158" i="13"/>
  <c r="BA158" i="13"/>
  <c r="BB158" i="13"/>
  <c r="BC158" i="13"/>
  <c r="BD158" i="13"/>
  <c r="BE158" i="13"/>
  <c r="BF158" i="13"/>
  <c r="BG158" i="13"/>
  <c r="BH158" i="13"/>
  <c r="BI158" i="13"/>
  <c r="BJ158" i="13"/>
  <c r="BK158" i="13"/>
  <c r="BL158" i="13"/>
  <c r="BM158" i="13" s="1"/>
  <c r="S68" i="13"/>
  <c r="T62" i="13"/>
  <c r="Q62" i="13"/>
  <c r="R62" i="13" s="1"/>
  <c r="S62" i="13"/>
  <c r="AP156" i="13"/>
  <c r="AU156" i="13"/>
  <c r="AS156" i="13"/>
  <c r="AO156" i="13"/>
  <c r="AN156" i="13"/>
  <c r="AR156" i="13"/>
  <c r="AQ156" i="13"/>
  <c r="AT156" i="13"/>
  <c r="AM156" i="13"/>
  <c r="AV156" i="13"/>
  <c r="AW156" i="13"/>
  <c r="AX156" i="13"/>
  <c r="AY156" i="13"/>
  <c r="AZ156" i="13"/>
  <c r="BA156" i="13"/>
  <c r="BB156" i="13"/>
  <c r="BC156" i="13"/>
  <c r="BD156" i="13"/>
  <c r="BE156" i="13"/>
  <c r="BF156" i="13"/>
  <c r="BG156" i="13"/>
  <c r="BH156" i="13"/>
  <c r="BI156" i="13"/>
  <c r="BJ156" i="13"/>
  <c r="BK156" i="13"/>
  <c r="BL156" i="13"/>
  <c r="BM156" i="13" s="1"/>
  <c r="S59" i="13"/>
  <c r="Q59" i="13"/>
  <c r="R59" i="13" s="1"/>
  <c r="T59" i="13"/>
  <c r="S65" i="13"/>
  <c r="Q65" i="13"/>
  <c r="R65" i="13" s="1"/>
  <c r="T65" i="13"/>
  <c r="U192" i="15"/>
  <c r="AP110" i="13"/>
  <c r="Y68" i="13"/>
  <c r="X68" i="13"/>
  <c r="V68" i="13"/>
  <c r="W68" i="13" s="1"/>
  <c r="AS163" i="13"/>
  <c r="AT163" i="13"/>
  <c r="AO163" i="13"/>
  <c r="AN163" i="13"/>
  <c r="AR163" i="13"/>
  <c r="AP163" i="13"/>
  <c r="AQ163" i="13"/>
  <c r="AU163" i="13"/>
  <c r="AM163" i="13"/>
  <c r="AV163" i="13"/>
  <c r="AW163" i="13"/>
  <c r="AX163" i="13"/>
  <c r="AY163" i="13"/>
  <c r="AZ163" i="13"/>
  <c r="BA163" i="13"/>
  <c r="BB163" i="13"/>
  <c r="BC163" i="13"/>
  <c r="BD163" i="13"/>
  <c r="BE163" i="13"/>
  <c r="BF163" i="13"/>
  <c r="BG163" i="13"/>
  <c r="BH163" i="13"/>
  <c r="BI163" i="13"/>
  <c r="BJ163" i="13"/>
  <c r="BK163" i="13"/>
  <c r="BL163" i="13"/>
  <c r="BM163" i="13" s="1"/>
  <c r="S82" i="13"/>
  <c r="T82" i="13" s="1"/>
  <c r="R82" i="13"/>
  <c r="S83" i="13"/>
  <c r="T83" i="13" s="1"/>
  <c r="R83" i="13"/>
  <c r="AS187" i="13"/>
  <c r="Y109" i="15"/>
  <c r="AR110" i="13"/>
  <c r="V195" i="15"/>
  <c r="AQ110" i="13"/>
  <c r="AM172" i="13"/>
  <c r="AR172" i="13"/>
  <c r="AT172" i="13"/>
  <c r="AW172" i="13"/>
  <c r="AS172" i="13"/>
  <c r="AU172" i="13"/>
  <c r="AO172" i="13"/>
  <c r="AP172" i="13"/>
  <c r="AV172" i="13"/>
  <c r="AQ172" i="13"/>
  <c r="AN172" i="13"/>
  <c r="AX172" i="13"/>
  <c r="AY172" i="13"/>
  <c r="AZ172" i="13"/>
  <c r="BA172" i="13"/>
  <c r="BB172" i="13"/>
  <c r="BC172" i="13"/>
  <c r="BD172" i="13"/>
  <c r="BE172" i="13"/>
  <c r="BF172" i="13"/>
  <c r="BG172" i="13"/>
  <c r="BH172" i="13"/>
  <c r="BI172" i="13"/>
  <c r="BJ172" i="13"/>
  <c r="BK172" i="13"/>
  <c r="BL172" i="13"/>
  <c r="AN110" i="13"/>
  <c r="AN185" i="13"/>
  <c r="AS185" i="13"/>
  <c r="AO185" i="13"/>
  <c r="AR185" i="13"/>
  <c r="AQ185" i="13"/>
  <c r="AP185" i="13"/>
  <c r="AU185" i="13"/>
  <c r="AM185" i="13"/>
  <c r="AT185" i="13"/>
  <c r="AV185" i="13"/>
  <c r="AW185" i="13"/>
  <c r="AX185" i="13"/>
  <c r="AY185" i="13"/>
  <c r="AZ185" i="13"/>
  <c r="BA185" i="13"/>
  <c r="BB185" i="13"/>
  <c r="BC185" i="13"/>
  <c r="BD185" i="13"/>
  <c r="BE185" i="13"/>
  <c r="BF185" i="13"/>
  <c r="BG185" i="13"/>
  <c r="BH185" i="13"/>
  <c r="BI185" i="13"/>
  <c r="BJ185" i="13"/>
  <c r="BK185" i="13"/>
  <c r="BL185" i="13"/>
  <c r="S86" i="13"/>
  <c r="T86" i="13" s="1"/>
  <c r="R86" i="13"/>
  <c r="AM154" i="13"/>
  <c r="AT154" i="13"/>
  <c r="AO154" i="13"/>
  <c r="AS154" i="13"/>
  <c r="AR154" i="13"/>
  <c r="AN154" i="13"/>
  <c r="AU154" i="13"/>
  <c r="AP154" i="13"/>
  <c r="AQ154" i="13"/>
  <c r="AV154" i="13"/>
  <c r="AW154" i="13"/>
  <c r="AX154" i="13"/>
  <c r="AY154" i="13"/>
  <c r="AZ154" i="13"/>
  <c r="BA154" i="13"/>
  <c r="BB154" i="13"/>
  <c r="BC154" i="13"/>
  <c r="BD154" i="13"/>
  <c r="BE154" i="13"/>
  <c r="BF154" i="13"/>
  <c r="BG154" i="13"/>
  <c r="BH154" i="13"/>
  <c r="BI154" i="13"/>
  <c r="BJ154" i="13"/>
  <c r="BK154" i="13"/>
  <c r="BL154" i="13"/>
  <c r="BM154" i="13" s="1"/>
  <c r="L69" i="15"/>
  <c r="E70" i="15"/>
  <c r="Y57" i="13"/>
  <c r="X57" i="13"/>
  <c r="V57" i="13"/>
  <c r="W57" i="13" s="1"/>
  <c r="V80" i="13"/>
  <c r="S63" i="13"/>
  <c r="Q63" i="13"/>
  <c r="R63" i="13" s="1"/>
  <c r="T63" i="13"/>
  <c r="E69" i="15"/>
  <c r="U69" i="15"/>
  <c r="Y101" i="15"/>
  <c r="Y104" i="15"/>
  <c r="V70" i="15"/>
  <c r="Z94" i="15"/>
  <c r="AC69" i="15"/>
  <c r="U180" i="15"/>
  <c r="U181" i="15"/>
  <c r="V190" i="15"/>
  <c r="U184" i="15"/>
  <c r="U187" i="15"/>
  <c r="U182" i="15"/>
  <c r="Y92" i="15"/>
  <c r="Y93" i="15"/>
  <c r="Y91" i="15"/>
  <c r="U186" i="15"/>
  <c r="Z95" i="15"/>
  <c r="Y97" i="15"/>
  <c r="AY600" i="15"/>
  <c r="AL600" i="15"/>
  <c r="AX600" i="15"/>
  <c r="AF600" i="15"/>
  <c r="C645" i="15"/>
  <c r="AG600" i="15"/>
  <c r="AS600" i="15"/>
  <c r="AR600" i="15"/>
  <c r="AM600" i="15"/>
  <c r="E411" i="15"/>
  <c r="D411" i="15"/>
  <c r="K411" i="15"/>
  <c r="AB411" i="15"/>
  <c r="AC411" i="15" s="1"/>
  <c r="L411" i="15"/>
  <c r="U411" i="15"/>
  <c r="V411" i="15" s="1"/>
  <c r="D639" i="15"/>
  <c r="V594" i="15"/>
  <c r="U594" i="15"/>
  <c r="C594" i="15"/>
  <c r="J594" i="15"/>
  <c r="I594" i="15"/>
  <c r="P594" i="15"/>
  <c r="O594" i="15"/>
  <c r="D594" i="15"/>
  <c r="AG69" i="15"/>
  <c r="AF69" i="15"/>
  <c r="J139" i="15"/>
  <c r="X139" i="15"/>
  <c r="W95" i="15"/>
  <c r="O95" i="15"/>
  <c r="V95" i="15"/>
  <c r="N95" i="15"/>
  <c r="W139" i="15"/>
  <c r="I139" i="15"/>
  <c r="R95" i="15"/>
  <c r="P139" i="15" s="1"/>
  <c r="AC139" i="15" s="1"/>
  <c r="J95" i="15"/>
  <c r="B139" i="15" s="1"/>
  <c r="O139" i="15" s="1"/>
  <c r="Q95" i="15"/>
  <c r="Q139" i="15" s="1"/>
  <c r="P95" i="15"/>
  <c r="Z139" i="15" s="1"/>
  <c r="K95" i="15"/>
  <c r="M139" i="15" s="1"/>
  <c r="N139" i="15" s="1"/>
  <c r="I95" i="15"/>
  <c r="C139" i="15" s="1"/>
  <c r="H95" i="15"/>
  <c r="L139" i="15" s="1"/>
  <c r="S95" i="15"/>
  <c r="AA139" i="15" s="1"/>
  <c r="AB139" i="15" s="1"/>
  <c r="AB95" i="15"/>
  <c r="X148" i="15"/>
  <c r="W104" i="15"/>
  <c r="O104" i="15"/>
  <c r="J148" i="15"/>
  <c r="S104" i="15"/>
  <c r="AA148" i="15" s="1"/>
  <c r="AB148" i="15" s="1"/>
  <c r="K104" i="15"/>
  <c r="M148" i="15" s="1"/>
  <c r="N148" i="15" s="1"/>
  <c r="W148" i="15"/>
  <c r="J104" i="15"/>
  <c r="B148" i="15" s="1"/>
  <c r="O148" i="15" s="1"/>
  <c r="I148" i="15"/>
  <c r="I104" i="15"/>
  <c r="C148" i="15" s="1"/>
  <c r="R104" i="15"/>
  <c r="P148" i="15" s="1"/>
  <c r="AC148" i="15" s="1"/>
  <c r="H104" i="15"/>
  <c r="L148" i="15" s="1"/>
  <c r="Q104" i="15"/>
  <c r="Q148" i="15" s="1"/>
  <c r="P104" i="15"/>
  <c r="Z148" i="15" s="1"/>
  <c r="N104" i="15"/>
  <c r="V104" i="15"/>
  <c r="AB104" i="15"/>
  <c r="D643" i="15"/>
  <c r="Y110" i="15"/>
  <c r="Q112" i="15"/>
  <c r="Q156" i="15" s="1"/>
  <c r="I112" i="15"/>
  <c r="C156" i="15" s="1"/>
  <c r="X156" i="15"/>
  <c r="W112" i="15"/>
  <c r="O112" i="15"/>
  <c r="J156" i="15"/>
  <c r="S112" i="15"/>
  <c r="AA156" i="15" s="1"/>
  <c r="AB156" i="15" s="1"/>
  <c r="K112" i="15"/>
  <c r="M156" i="15" s="1"/>
  <c r="N156" i="15" s="1"/>
  <c r="W156" i="15"/>
  <c r="V112" i="15"/>
  <c r="I156" i="15"/>
  <c r="R112" i="15"/>
  <c r="P156" i="15" s="1"/>
  <c r="AC156" i="15" s="1"/>
  <c r="P112" i="15"/>
  <c r="Z156" i="15" s="1"/>
  <c r="N112" i="15"/>
  <c r="J112" i="15"/>
  <c r="B156" i="15" s="1"/>
  <c r="O156" i="15" s="1"/>
  <c r="H112" i="15"/>
  <c r="L156" i="15" s="1"/>
  <c r="AB112" i="15"/>
  <c r="Z102" i="15"/>
  <c r="U597" i="15"/>
  <c r="D642" i="15"/>
  <c r="V597" i="15"/>
  <c r="O597" i="15"/>
  <c r="I597" i="15"/>
  <c r="P597" i="15"/>
  <c r="J597" i="15"/>
  <c r="C597" i="15"/>
  <c r="D597" i="15"/>
  <c r="D645" i="15"/>
  <c r="U600" i="15"/>
  <c r="V600" i="15"/>
  <c r="C600" i="15"/>
  <c r="D600" i="15"/>
  <c r="I600" i="15"/>
  <c r="J600" i="15"/>
  <c r="O600" i="15"/>
  <c r="P600" i="15"/>
  <c r="AX591" i="15"/>
  <c r="AG591" i="15"/>
  <c r="AF591" i="15"/>
  <c r="AS591" i="15"/>
  <c r="AL591" i="15"/>
  <c r="C636" i="15"/>
  <c r="AM591" i="15"/>
  <c r="AR591" i="15"/>
  <c r="AY591" i="15"/>
  <c r="R189" i="15"/>
  <c r="J189" i="15"/>
  <c r="N235" i="15" s="1"/>
  <c r="O189" i="15"/>
  <c r="X235" i="15" s="1"/>
  <c r="I189" i="15"/>
  <c r="G235" i="15" s="1"/>
  <c r="S189" i="15"/>
  <c r="H189" i="15"/>
  <c r="C235" i="15" s="1"/>
  <c r="F235" i="15" s="1"/>
  <c r="P189" i="15"/>
  <c r="AE235" i="15" s="1"/>
  <c r="N189" i="15"/>
  <c r="T235" i="15" s="1"/>
  <c r="W235" i="15" s="1"/>
  <c r="M189" i="15"/>
  <c r="K189" i="15"/>
  <c r="B235" i="15" s="1"/>
  <c r="R235" i="15" s="1"/>
  <c r="Q189" i="15"/>
  <c r="S235" i="15" s="1"/>
  <c r="AI235" i="15" s="1"/>
  <c r="L189" i="15"/>
  <c r="U179" i="15"/>
  <c r="V188" i="15"/>
  <c r="AR583" i="15"/>
  <c r="AG583" i="15"/>
  <c r="AY583" i="15"/>
  <c r="AX583" i="15"/>
  <c r="AM583" i="15"/>
  <c r="C628" i="15"/>
  <c r="AL583" i="15"/>
  <c r="AS583" i="15"/>
  <c r="AF583" i="15"/>
  <c r="Y108" i="15"/>
  <c r="D415" i="15"/>
  <c r="E415" i="15"/>
  <c r="AB415" i="15"/>
  <c r="AC415" i="15" s="1"/>
  <c r="U415" i="15"/>
  <c r="V415" i="15" s="1"/>
  <c r="L415" i="15"/>
  <c r="K415" i="15"/>
  <c r="D626" i="15"/>
  <c r="V581" i="15"/>
  <c r="U581" i="15"/>
  <c r="C581" i="15"/>
  <c r="I581" i="15"/>
  <c r="P581" i="15"/>
  <c r="O581" i="15"/>
  <c r="J581" i="15"/>
  <c r="D581" i="15"/>
  <c r="U408" i="15"/>
  <c r="V408" i="15" s="1"/>
  <c r="K408" i="15"/>
  <c r="E408" i="15"/>
  <c r="D408" i="15"/>
  <c r="L408" i="15"/>
  <c r="AB408" i="15"/>
  <c r="AC408" i="15" s="1"/>
  <c r="K409" i="15"/>
  <c r="D409" i="15"/>
  <c r="U409" i="15"/>
  <c r="V409" i="15" s="1"/>
  <c r="L409" i="15"/>
  <c r="AB409" i="15"/>
  <c r="AC409" i="15" s="1"/>
  <c r="E409" i="15"/>
  <c r="J147" i="15"/>
  <c r="Q103" i="15"/>
  <c r="Q147" i="15" s="1"/>
  <c r="I103" i="15"/>
  <c r="C147" i="15" s="1"/>
  <c r="X147" i="15"/>
  <c r="O103" i="15"/>
  <c r="N103" i="15"/>
  <c r="W147" i="15"/>
  <c r="W103" i="15"/>
  <c r="I147" i="15"/>
  <c r="V103" i="15"/>
  <c r="K103" i="15"/>
  <c r="M147" i="15" s="1"/>
  <c r="N147" i="15" s="1"/>
  <c r="S103" i="15"/>
  <c r="AA147" i="15" s="1"/>
  <c r="AB147" i="15" s="1"/>
  <c r="H103" i="15"/>
  <c r="L147" i="15" s="1"/>
  <c r="R103" i="15"/>
  <c r="P147" i="15" s="1"/>
  <c r="AC147" i="15" s="1"/>
  <c r="P103" i="15"/>
  <c r="Z147" i="15" s="1"/>
  <c r="J103" i="15"/>
  <c r="B147" i="15" s="1"/>
  <c r="O147" i="15" s="1"/>
  <c r="AB103" i="15"/>
  <c r="L494" i="15"/>
  <c r="K494" i="15"/>
  <c r="E494" i="15"/>
  <c r="AB494" i="15"/>
  <c r="AC494" i="15" s="1"/>
  <c r="D494" i="15"/>
  <c r="U494" i="15"/>
  <c r="V494" i="15" s="1"/>
  <c r="D633" i="15"/>
  <c r="U588" i="15"/>
  <c r="V588" i="15"/>
  <c r="C588" i="15"/>
  <c r="O588" i="15"/>
  <c r="D588" i="15"/>
  <c r="P588" i="15"/>
  <c r="I588" i="15"/>
  <c r="J588" i="15"/>
  <c r="P69" i="15"/>
  <c r="O69" i="15"/>
  <c r="K426" i="15"/>
  <c r="U426" i="15"/>
  <c r="V426" i="15" s="1"/>
  <c r="D426" i="15"/>
  <c r="E426" i="15"/>
  <c r="AB426" i="15"/>
  <c r="AC426" i="15" s="1"/>
  <c r="L426" i="15"/>
  <c r="E416" i="15"/>
  <c r="D416" i="15"/>
  <c r="AB416" i="15"/>
  <c r="AC416" i="15" s="1"/>
  <c r="U416" i="15"/>
  <c r="V416" i="15" s="1"/>
  <c r="K416" i="15"/>
  <c r="L416" i="15"/>
  <c r="L201" i="15"/>
  <c r="S201" i="15"/>
  <c r="K201" i="15"/>
  <c r="B247" i="15" s="1"/>
  <c r="R247" i="15" s="1"/>
  <c r="R201" i="15"/>
  <c r="J201" i="15"/>
  <c r="N247" i="15" s="1"/>
  <c r="O201" i="15"/>
  <c r="X247" i="15" s="1"/>
  <c r="N201" i="15"/>
  <c r="T247" i="15" s="1"/>
  <c r="W247" i="15" s="1"/>
  <c r="M201" i="15"/>
  <c r="H201" i="15"/>
  <c r="C247" i="15" s="1"/>
  <c r="F247" i="15" s="1"/>
  <c r="Q201" i="15"/>
  <c r="S247" i="15" s="1"/>
  <c r="AI247" i="15" s="1"/>
  <c r="P201" i="15"/>
  <c r="AE247" i="15" s="1"/>
  <c r="I201" i="15"/>
  <c r="G247" i="15" s="1"/>
  <c r="L492" i="15"/>
  <c r="K492" i="15"/>
  <c r="D492" i="15"/>
  <c r="E492" i="15"/>
  <c r="D491" i="15"/>
  <c r="L491" i="15"/>
  <c r="AB491" i="15"/>
  <c r="AC491" i="15" s="1"/>
  <c r="K491" i="15"/>
  <c r="U491" i="15"/>
  <c r="V491" i="15" s="1"/>
  <c r="E491" i="15"/>
  <c r="L508" i="15"/>
  <c r="AB508" i="15"/>
  <c r="AC508" i="15" s="1"/>
  <c r="U508" i="15"/>
  <c r="V508" i="15" s="1"/>
  <c r="E508" i="15"/>
  <c r="K508" i="15"/>
  <c r="D508" i="15"/>
  <c r="C624" i="15"/>
  <c r="U580" i="15"/>
  <c r="V580" i="15"/>
  <c r="D625" i="15"/>
  <c r="C580" i="15"/>
  <c r="J580" i="15"/>
  <c r="P580" i="15"/>
  <c r="O580" i="15"/>
  <c r="D580" i="15"/>
  <c r="I580" i="15"/>
  <c r="U185" i="15"/>
  <c r="Q200" i="15"/>
  <c r="S246" i="15" s="1"/>
  <c r="AI246" i="15" s="1"/>
  <c r="I200" i="15"/>
  <c r="G246" i="15" s="1"/>
  <c r="P200" i="15"/>
  <c r="AE246" i="15" s="1"/>
  <c r="H200" i="15"/>
  <c r="C246" i="15" s="1"/>
  <c r="F246" i="15" s="1"/>
  <c r="M200" i="15"/>
  <c r="J200" i="15"/>
  <c r="N246" i="15" s="1"/>
  <c r="R200" i="15"/>
  <c r="O200" i="15"/>
  <c r="X246" i="15" s="1"/>
  <c r="N200" i="15"/>
  <c r="T246" i="15" s="1"/>
  <c r="W246" i="15" s="1"/>
  <c r="K200" i="15"/>
  <c r="B246" i="15" s="1"/>
  <c r="R246" i="15" s="1"/>
  <c r="S200" i="15"/>
  <c r="L200" i="15"/>
  <c r="L182" i="15"/>
  <c r="Q182" i="15"/>
  <c r="S228" i="15" s="1"/>
  <c r="AI228" i="15" s="1"/>
  <c r="I182" i="15"/>
  <c r="G228" i="15" s="1"/>
  <c r="O182" i="15"/>
  <c r="X228" i="15" s="1"/>
  <c r="M182" i="15"/>
  <c r="J182" i="15"/>
  <c r="N228" i="15" s="1"/>
  <c r="R182" i="15"/>
  <c r="K182" i="15"/>
  <c r="B228" i="15" s="1"/>
  <c r="R228" i="15" s="1"/>
  <c r="H182" i="15"/>
  <c r="C228" i="15" s="1"/>
  <c r="F228" i="15" s="1"/>
  <c r="S182" i="15"/>
  <c r="P182" i="15"/>
  <c r="AE228" i="15" s="1"/>
  <c r="N182" i="15"/>
  <c r="T228" i="15" s="1"/>
  <c r="W228" i="15" s="1"/>
  <c r="AF601" i="15"/>
  <c r="AX601" i="15"/>
  <c r="AS601" i="15"/>
  <c r="AY601" i="15"/>
  <c r="AR601" i="15"/>
  <c r="AM601" i="15"/>
  <c r="C646" i="15"/>
  <c r="AL601" i="15"/>
  <c r="AG601" i="15"/>
  <c r="D632" i="15"/>
  <c r="V587" i="15"/>
  <c r="U587" i="15"/>
  <c r="P587" i="15"/>
  <c r="D587" i="15"/>
  <c r="C587" i="15"/>
  <c r="J587" i="15"/>
  <c r="I587" i="15"/>
  <c r="O587" i="15"/>
  <c r="C638" i="15"/>
  <c r="S197" i="15"/>
  <c r="K197" i="15"/>
  <c r="B243" i="15" s="1"/>
  <c r="R243" i="15" s="1"/>
  <c r="R197" i="15"/>
  <c r="J197" i="15"/>
  <c r="N243" i="15" s="1"/>
  <c r="O197" i="15"/>
  <c r="X243" i="15" s="1"/>
  <c r="M197" i="15"/>
  <c r="L197" i="15"/>
  <c r="H197" i="15"/>
  <c r="C243" i="15" s="1"/>
  <c r="F243" i="15" s="1"/>
  <c r="Q197" i="15"/>
  <c r="S243" i="15" s="1"/>
  <c r="AI243" i="15" s="1"/>
  <c r="N197" i="15"/>
  <c r="T243" i="15" s="1"/>
  <c r="W243" i="15" s="1"/>
  <c r="P197" i="15"/>
  <c r="AE243" i="15" s="1"/>
  <c r="I197" i="15"/>
  <c r="G243" i="15" s="1"/>
  <c r="AY594" i="15"/>
  <c r="AX594" i="15"/>
  <c r="AF594" i="15"/>
  <c r="AG594" i="15"/>
  <c r="AS594" i="15"/>
  <c r="AM594" i="15"/>
  <c r="AR594" i="15"/>
  <c r="C639" i="15"/>
  <c r="AL594" i="15"/>
  <c r="E417" i="15"/>
  <c r="L417" i="15"/>
  <c r="D417" i="15"/>
  <c r="K417" i="15"/>
  <c r="AB417" i="15"/>
  <c r="AC417" i="15" s="1"/>
  <c r="U417" i="15"/>
  <c r="V417" i="15" s="1"/>
  <c r="U510" i="15"/>
  <c r="V510" i="15" s="1"/>
  <c r="E510" i="15"/>
  <c r="D510" i="15"/>
  <c r="L510" i="15"/>
  <c r="K510" i="15"/>
  <c r="AB510" i="15"/>
  <c r="AC510" i="15" s="1"/>
  <c r="AL596" i="15"/>
  <c r="AS596" i="15"/>
  <c r="AF596" i="15"/>
  <c r="C641" i="15"/>
  <c r="AR596" i="15"/>
  <c r="AX596" i="15"/>
  <c r="AG596" i="15"/>
  <c r="AY596" i="15"/>
  <c r="AM596" i="15"/>
  <c r="I69" i="15"/>
  <c r="H69" i="15"/>
  <c r="AL597" i="15"/>
  <c r="AS597" i="15"/>
  <c r="AR597" i="15"/>
  <c r="AY597" i="15"/>
  <c r="C642" i="15"/>
  <c r="AX597" i="15"/>
  <c r="AG597" i="15"/>
  <c r="AF597" i="15"/>
  <c r="AM597" i="15"/>
  <c r="P70" i="15"/>
  <c r="O70" i="15"/>
  <c r="L186" i="15"/>
  <c r="Q186" i="15"/>
  <c r="S232" i="15" s="1"/>
  <c r="AI232" i="15" s="1"/>
  <c r="I186" i="15"/>
  <c r="G232" i="15" s="1"/>
  <c r="M186" i="15"/>
  <c r="K186" i="15"/>
  <c r="B232" i="15" s="1"/>
  <c r="R232" i="15" s="1"/>
  <c r="S186" i="15"/>
  <c r="H186" i="15"/>
  <c r="C232" i="15" s="1"/>
  <c r="F232" i="15" s="1"/>
  <c r="P186" i="15"/>
  <c r="AE232" i="15" s="1"/>
  <c r="N186" i="15"/>
  <c r="T232" i="15" s="1"/>
  <c r="W232" i="15" s="1"/>
  <c r="R186" i="15"/>
  <c r="O186" i="15"/>
  <c r="X232" i="15" s="1"/>
  <c r="J186" i="15"/>
  <c r="N232" i="15" s="1"/>
  <c r="D514" i="15"/>
  <c r="E514" i="15"/>
  <c r="L514" i="15"/>
  <c r="K514" i="15"/>
  <c r="L420" i="15"/>
  <c r="K420" i="15"/>
  <c r="U420" i="15"/>
  <c r="V420" i="15" s="1"/>
  <c r="AB420" i="15"/>
  <c r="AC420" i="15" s="1"/>
  <c r="D420" i="15"/>
  <c r="E420" i="15"/>
  <c r="P188" i="15"/>
  <c r="AE234" i="15" s="1"/>
  <c r="H188" i="15"/>
  <c r="C234" i="15" s="1"/>
  <c r="F234" i="15" s="1"/>
  <c r="M188" i="15"/>
  <c r="J188" i="15"/>
  <c r="N234" i="15" s="1"/>
  <c r="S188" i="15"/>
  <c r="I188" i="15"/>
  <c r="G234" i="15" s="1"/>
  <c r="Q188" i="15"/>
  <c r="S234" i="15" s="1"/>
  <c r="AI234" i="15" s="1"/>
  <c r="O188" i="15"/>
  <c r="X234" i="15" s="1"/>
  <c r="N188" i="15"/>
  <c r="T234" i="15" s="1"/>
  <c r="W234" i="15" s="1"/>
  <c r="K188" i="15"/>
  <c r="B234" i="15" s="1"/>
  <c r="R234" i="15" s="1"/>
  <c r="R188" i="15"/>
  <c r="L188" i="15"/>
  <c r="J135" i="15"/>
  <c r="X135" i="15"/>
  <c r="W91" i="15"/>
  <c r="O91" i="15"/>
  <c r="V91" i="15"/>
  <c r="N91" i="15"/>
  <c r="W135" i="15"/>
  <c r="I135" i="15"/>
  <c r="Q91" i="15"/>
  <c r="Q135" i="15" s="1"/>
  <c r="P91" i="15"/>
  <c r="Z135" i="15" s="1"/>
  <c r="K91" i="15"/>
  <c r="M135" i="15" s="1"/>
  <c r="N135" i="15" s="1"/>
  <c r="J91" i="15"/>
  <c r="B135" i="15" s="1"/>
  <c r="O135" i="15" s="1"/>
  <c r="I91" i="15"/>
  <c r="C135" i="15" s="1"/>
  <c r="H91" i="15"/>
  <c r="L135" i="15" s="1"/>
  <c r="S91" i="15"/>
  <c r="AA135" i="15" s="1"/>
  <c r="AB135" i="15" s="1"/>
  <c r="R91" i="15"/>
  <c r="P135" i="15" s="1"/>
  <c r="AC135" i="15" s="1"/>
  <c r="AB91" i="15"/>
  <c r="Q108" i="15"/>
  <c r="Q152" i="15" s="1"/>
  <c r="I108" i="15"/>
  <c r="C152" i="15" s="1"/>
  <c r="X152" i="15"/>
  <c r="W108" i="15"/>
  <c r="O108" i="15"/>
  <c r="J152" i="15"/>
  <c r="S108" i="15"/>
  <c r="AA152" i="15" s="1"/>
  <c r="AB152" i="15" s="1"/>
  <c r="K108" i="15"/>
  <c r="M152" i="15" s="1"/>
  <c r="N152" i="15" s="1"/>
  <c r="W152" i="15"/>
  <c r="N108" i="15"/>
  <c r="I152" i="15"/>
  <c r="J108" i="15"/>
  <c r="B152" i="15" s="1"/>
  <c r="O152" i="15" s="1"/>
  <c r="H108" i="15"/>
  <c r="L152" i="15" s="1"/>
  <c r="V108" i="15"/>
  <c r="R108" i="15"/>
  <c r="P152" i="15" s="1"/>
  <c r="AC152" i="15" s="1"/>
  <c r="P108" i="15"/>
  <c r="Z152" i="15" s="1"/>
  <c r="AB108" i="15"/>
  <c r="K403" i="15"/>
  <c r="U403" i="15"/>
  <c r="V403" i="15" s="1"/>
  <c r="E403" i="15"/>
  <c r="D403" i="15"/>
  <c r="AB403" i="15"/>
  <c r="AC403" i="15" s="1"/>
  <c r="L403" i="15"/>
  <c r="K423" i="15"/>
  <c r="E423" i="15"/>
  <c r="D423" i="15"/>
  <c r="AB423" i="15"/>
  <c r="AC423" i="15" s="1"/>
  <c r="U423" i="15"/>
  <c r="V423" i="15" s="1"/>
  <c r="L423" i="15"/>
  <c r="V200" i="15"/>
  <c r="C631" i="15"/>
  <c r="AS586" i="15"/>
  <c r="AF586" i="15"/>
  <c r="AG586" i="15"/>
  <c r="AY586" i="15"/>
  <c r="AX586" i="15"/>
  <c r="AM586" i="15"/>
  <c r="AL586" i="15"/>
  <c r="AR586" i="15"/>
  <c r="D497" i="15"/>
  <c r="U497" i="15"/>
  <c r="V497" i="15" s="1"/>
  <c r="E497" i="15"/>
  <c r="AB497" i="15"/>
  <c r="AC497" i="15" s="1"/>
  <c r="L497" i="15"/>
  <c r="K497" i="15"/>
  <c r="V591" i="15"/>
  <c r="U591" i="15"/>
  <c r="D636" i="15"/>
  <c r="J591" i="15"/>
  <c r="D591" i="15"/>
  <c r="I591" i="15"/>
  <c r="P591" i="15"/>
  <c r="C591" i="15"/>
  <c r="O591" i="15"/>
  <c r="V584" i="15"/>
  <c r="U584" i="15"/>
  <c r="D629" i="15"/>
  <c r="J584" i="15"/>
  <c r="C584" i="15"/>
  <c r="P584" i="15"/>
  <c r="D584" i="15"/>
  <c r="O584" i="15"/>
  <c r="I584" i="15"/>
  <c r="AY592" i="15"/>
  <c r="AX592" i="15"/>
  <c r="AM592" i="15"/>
  <c r="AL592" i="15"/>
  <c r="AF592" i="15"/>
  <c r="AS592" i="15"/>
  <c r="AR592" i="15"/>
  <c r="C637" i="15"/>
  <c r="AG592" i="15"/>
  <c r="V202" i="15"/>
  <c r="D630" i="15"/>
  <c r="X154" i="15"/>
  <c r="S110" i="15"/>
  <c r="AA154" i="15" s="1"/>
  <c r="AB154" i="15" s="1"/>
  <c r="K110" i="15"/>
  <c r="M154" i="15" s="1"/>
  <c r="N154" i="15" s="1"/>
  <c r="J154" i="15"/>
  <c r="Q110" i="15"/>
  <c r="Q154" i="15" s="1"/>
  <c r="I110" i="15"/>
  <c r="C154" i="15" s="1"/>
  <c r="W110" i="15"/>
  <c r="O110" i="15"/>
  <c r="J110" i="15"/>
  <c r="B154" i="15" s="1"/>
  <c r="O154" i="15" s="1"/>
  <c r="H110" i="15"/>
  <c r="L154" i="15" s="1"/>
  <c r="V110" i="15"/>
  <c r="W154" i="15"/>
  <c r="R110" i="15"/>
  <c r="P154" i="15" s="1"/>
  <c r="AC154" i="15" s="1"/>
  <c r="I154" i="15"/>
  <c r="P110" i="15"/>
  <c r="Z154" i="15" s="1"/>
  <c r="N110" i="15"/>
  <c r="AB110" i="15"/>
  <c r="V33" i="13"/>
  <c r="R45" i="13"/>
  <c r="R40" i="13"/>
  <c r="R44" i="13"/>
  <c r="V36" i="13"/>
  <c r="V37" i="13"/>
  <c r="R36" i="13"/>
  <c r="U193" i="15"/>
  <c r="U183" i="15"/>
  <c r="C644" i="15"/>
  <c r="AL599" i="15"/>
  <c r="AR599" i="15"/>
  <c r="AY599" i="15"/>
  <c r="AS599" i="15"/>
  <c r="AX599" i="15"/>
  <c r="AG599" i="15"/>
  <c r="AF599" i="15"/>
  <c r="AM599" i="15"/>
  <c r="C630" i="15"/>
  <c r="V602" i="15"/>
  <c r="U602" i="15"/>
  <c r="D647" i="15"/>
  <c r="D602" i="15"/>
  <c r="I602" i="15"/>
  <c r="C602" i="15"/>
  <c r="J602" i="15"/>
  <c r="O602" i="15"/>
  <c r="P602" i="15"/>
  <c r="E407" i="15"/>
  <c r="D407" i="15"/>
  <c r="L407" i="15"/>
  <c r="K407" i="15"/>
  <c r="AB407" i="15"/>
  <c r="AC407" i="15" s="1"/>
  <c r="U407" i="15"/>
  <c r="V407" i="15" s="1"/>
  <c r="D637" i="15"/>
  <c r="U592" i="15"/>
  <c r="V592" i="15"/>
  <c r="P592" i="15"/>
  <c r="O592" i="15"/>
  <c r="J592" i="15"/>
  <c r="D592" i="15"/>
  <c r="C592" i="15"/>
  <c r="I592" i="15"/>
  <c r="Y98" i="15"/>
  <c r="X158" i="15"/>
  <c r="S114" i="15"/>
  <c r="AA158" i="15" s="1"/>
  <c r="AB158" i="15" s="1"/>
  <c r="K114" i="15"/>
  <c r="M158" i="15" s="1"/>
  <c r="N158" i="15" s="1"/>
  <c r="J158" i="15"/>
  <c r="Q114" i="15"/>
  <c r="Q158" i="15" s="1"/>
  <c r="I114" i="15"/>
  <c r="C158" i="15" s="1"/>
  <c r="W114" i="15"/>
  <c r="O114" i="15"/>
  <c r="R114" i="15"/>
  <c r="P158" i="15" s="1"/>
  <c r="AC158" i="15" s="1"/>
  <c r="P114" i="15"/>
  <c r="Z158" i="15" s="1"/>
  <c r="N114" i="15"/>
  <c r="W158" i="15"/>
  <c r="J114" i="15"/>
  <c r="B158" i="15" s="1"/>
  <c r="O158" i="15" s="1"/>
  <c r="I158" i="15"/>
  <c r="H114" i="15"/>
  <c r="L158" i="15" s="1"/>
  <c r="V114" i="15"/>
  <c r="AB114" i="15"/>
  <c r="Y106" i="15"/>
  <c r="X136" i="15"/>
  <c r="J136" i="15"/>
  <c r="W136" i="15"/>
  <c r="I136" i="15"/>
  <c r="S92" i="15"/>
  <c r="AA136" i="15" s="1"/>
  <c r="AB136" i="15" s="1"/>
  <c r="K92" i="15"/>
  <c r="M136" i="15" s="1"/>
  <c r="N136" i="15" s="1"/>
  <c r="R92" i="15"/>
  <c r="P136" i="15" s="1"/>
  <c r="AC136" i="15" s="1"/>
  <c r="J92" i="15"/>
  <c r="B136" i="15" s="1"/>
  <c r="O136" i="15" s="1"/>
  <c r="W92" i="15"/>
  <c r="V92" i="15"/>
  <c r="Q92" i="15"/>
  <c r="Q136" i="15" s="1"/>
  <c r="P92" i="15"/>
  <c r="Z136" i="15" s="1"/>
  <c r="O92" i="15"/>
  <c r="N92" i="15"/>
  <c r="I92" i="15"/>
  <c r="C136" i="15" s="1"/>
  <c r="H92" i="15"/>
  <c r="L136" i="15" s="1"/>
  <c r="AB92" i="15"/>
  <c r="D413" i="15"/>
  <c r="K413" i="15"/>
  <c r="U413" i="15"/>
  <c r="V413" i="15" s="1"/>
  <c r="E413" i="15"/>
  <c r="AB413" i="15"/>
  <c r="AC413" i="15" s="1"/>
  <c r="L413" i="15"/>
  <c r="E493" i="15"/>
  <c r="D493" i="15"/>
  <c r="K493" i="15"/>
  <c r="U493" i="15"/>
  <c r="V493" i="15" s="1"/>
  <c r="AB493" i="15"/>
  <c r="AC493" i="15" s="1"/>
  <c r="L493" i="15"/>
  <c r="E499" i="15"/>
  <c r="D499" i="15"/>
  <c r="K499" i="15"/>
  <c r="L499" i="15"/>
  <c r="Y103" i="15"/>
  <c r="X79" i="13"/>
  <c r="X81" i="13"/>
  <c r="X91" i="13"/>
  <c r="X80" i="13"/>
  <c r="X77" i="13"/>
  <c r="X92" i="13"/>
  <c r="U500" i="15"/>
  <c r="V500" i="15" s="1"/>
  <c r="E500" i="15"/>
  <c r="L500" i="15"/>
  <c r="K500" i="15"/>
  <c r="AB500" i="15"/>
  <c r="AC500" i="15" s="1"/>
  <c r="D500" i="15"/>
  <c r="X138" i="15"/>
  <c r="J138" i="15"/>
  <c r="Q94" i="15"/>
  <c r="Q138" i="15" s="1"/>
  <c r="I94" i="15"/>
  <c r="C138" i="15" s="1"/>
  <c r="P94" i="15"/>
  <c r="Z138" i="15" s="1"/>
  <c r="H94" i="15"/>
  <c r="L138" i="15" s="1"/>
  <c r="W94" i="15"/>
  <c r="O94" i="15"/>
  <c r="V94" i="15"/>
  <c r="N94" i="15"/>
  <c r="W138" i="15"/>
  <c r="I138" i="15"/>
  <c r="S94" i="15"/>
  <c r="AA138" i="15" s="1"/>
  <c r="AB138" i="15" s="1"/>
  <c r="R94" i="15"/>
  <c r="P138" i="15" s="1"/>
  <c r="AC138" i="15" s="1"/>
  <c r="K94" i="15"/>
  <c r="M138" i="15" s="1"/>
  <c r="N138" i="15" s="1"/>
  <c r="J94" i="15"/>
  <c r="B138" i="15" s="1"/>
  <c r="O138" i="15" s="1"/>
  <c r="AB94" i="15"/>
  <c r="K496" i="15"/>
  <c r="U496" i="15"/>
  <c r="V496" i="15" s="1"/>
  <c r="AB496" i="15"/>
  <c r="AC496" i="15" s="1"/>
  <c r="D496" i="15"/>
  <c r="L496" i="15"/>
  <c r="E496" i="15"/>
  <c r="P184" i="15"/>
  <c r="AE230" i="15" s="1"/>
  <c r="H184" i="15"/>
  <c r="C230" i="15" s="1"/>
  <c r="F230" i="15" s="1"/>
  <c r="M184" i="15"/>
  <c r="L184" i="15"/>
  <c r="J184" i="15"/>
  <c r="N230" i="15" s="1"/>
  <c r="R184" i="15"/>
  <c r="O184" i="15"/>
  <c r="X230" i="15" s="1"/>
  <c r="S184" i="15"/>
  <c r="Q184" i="15"/>
  <c r="S230" i="15" s="1"/>
  <c r="AI230" i="15" s="1"/>
  <c r="N184" i="15"/>
  <c r="T230" i="15" s="1"/>
  <c r="W230" i="15" s="1"/>
  <c r="K184" i="15"/>
  <c r="B230" i="15" s="1"/>
  <c r="R230" i="15" s="1"/>
  <c r="I184" i="15"/>
  <c r="G230" i="15" s="1"/>
  <c r="U593" i="15"/>
  <c r="D638" i="15"/>
  <c r="V593" i="15"/>
  <c r="K406" i="15"/>
  <c r="E406" i="15"/>
  <c r="AB406" i="15"/>
  <c r="AC406" i="15" s="1"/>
  <c r="L406" i="15"/>
  <c r="D406" i="15"/>
  <c r="U406" i="15"/>
  <c r="V406" i="15" s="1"/>
  <c r="P192" i="15"/>
  <c r="AE238" i="15" s="1"/>
  <c r="H192" i="15"/>
  <c r="C238" i="15" s="1"/>
  <c r="F238" i="15" s="1"/>
  <c r="M192" i="15"/>
  <c r="Q192" i="15"/>
  <c r="S238" i="15" s="1"/>
  <c r="AI238" i="15" s="1"/>
  <c r="O192" i="15"/>
  <c r="X238" i="15" s="1"/>
  <c r="L192" i="15"/>
  <c r="K192" i="15"/>
  <c r="B238" i="15" s="1"/>
  <c r="R238" i="15" s="1"/>
  <c r="J192" i="15"/>
  <c r="N238" i="15" s="1"/>
  <c r="R192" i="15"/>
  <c r="S192" i="15"/>
  <c r="N192" i="15"/>
  <c r="T238" i="15" s="1"/>
  <c r="W238" i="15" s="1"/>
  <c r="I192" i="15"/>
  <c r="G238" i="15" s="1"/>
  <c r="R193" i="15"/>
  <c r="J193" i="15"/>
  <c r="N239" i="15" s="1"/>
  <c r="O193" i="15"/>
  <c r="X239" i="15" s="1"/>
  <c r="P193" i="15"/>
  <c r="AE239" i="15" s="1"/>
  <c r="N193" i="15"/>
  <c r="T239" i="15" s="1"/>
  <c r="W239" i="15" s="1"/>
  <c r="L193" i="15"/>
  <c r="K193" i="15"/>
  <c r="B239" i="15" s="1"/>
  <c r="R239" i="15" s="1"/>
  <c r="I193" i="15"/>
  <c r="G239" i="15" s="1"/>
  <c r="Q193" i="15"/>
  <c r="S239" i="15" s="1"/>
  <c r="AI239" i="15" s="1"/>
  <c r="M193" i="15"/>
  <c r="H193" i="15"/>
  <c r="C239" i="15" s="1"/>
  <c r="F239" i="15" s="1"/>
  <c r="S193" i="15"/>
  <c r="L495" i="15"/>
  <c r="AB495" i="15"/>
  <c r="AC495" i="15" s="1"/>
  <c r="U495" i="15"/>
  <c r="V495" i="15" s="1"/>
  <c r="K495" i="15"/>
  <c r="E495" i="15"/>
  <c r="D495" i="15"/>
  <c r="N183" i="15"/>
  <c r="T229" i="15" s="1"/>
  <c r="W229" i="15" s="1"/>
  <c r="S183" i="15"/>
  <c r="K183" i="15"/>
  <c r="B229" i="15" s="1"/>
  <c r="R229" i="15" s="1"/>
  <c r="M183" i="15"/>
  <c r="J183" i="15"/>
  <c r="N229" i="15" s="1"/>
  <c r="R183" i="15"/>
  <c r="H183" i="15"/>
  <c r="C229" i="15" s="1"/>
  <c r="F229" i="15" s="1"/>
  <c r="P183" i="15"/>
  <c r="AE229" i="15" s="1"/>
  <c r="Q183" i="15"/>
  <c r="S229" i="15" s="1"/>
  <c r="AI229" i="15" s="1"/>
  <c r="O183" i="15"/>
  <c r="X229" i="15" s="1"/>
  <c r="L183" i="15"/>
  <c r="I183" i="15"/>
  <c r="G229" i="15" s="1"/>
  <c r="I70" i="15"/>
  <c r="H70" i="15"/>
  <c r="U421" i="15"/>
  <c r="V421" i="15" s="1"/>
  <c r="AB421" i="15"/>
  <c r="AC421" i="15" s="1"/>
  <c r="E421" i="15"/>
  <c r="D421" i="15"/>
  <c r="L421" i="15"/>
  <c r="K421" i="15"/>
  <c r="L410" i="15"/>
  <c r="E410" i="15"/>
  <c r="U410" i="15"/>
  <c r="V410" i="15" s="1"/>
  <c r="D410" i="15"/>
  <c r="K410" i="15"/>
  <c r="AB410" i="15"/>
  <c r="AC410" i="15" s="1"/>
  <c r="U596" i="15"/>
  <c r="V596" i="15"/>
  <c r="D641" i="15"/>
  <c r="I596" i="15"/>
  <c r="J596" i="15"/>
  <c r="P596" i="15"/>
  <c r="O596" i="15"/>
  <c r="C596" i="15"/>
  <c r="D596" i="15"/>
  <c r="O199" i="15"/>
  <c r="X245" i="15" s="1"/>
  <c r="N199" i="15"/>
  <c r="T245" i="15" s="1"/>
  <c r="W245" i="15" s="1"/>
  <c r="S199" i="15"/>
  <c r="K199" i="15"/>
  <c r="B245" i="15" s="1"/>
  <c r="R245" i="15" s="1"/>
  <c r="R199" i="15"/>
  <c r="Q199" i="15"/>
  <c r="S245" i="15" s="1"/>
  <c r="AI245" i="15" s="1"/>
  <c r="M199" i="15"/>
  <c r="L199" i="15"/>
  <c r="J199" i="15"/>
  <c r="N245" i="15" s="1"/>
  <c r="H199" i="15"/>
  <c r="C245" i="15" s="1"/>
  <c r="F245" i="15" s="1"/>
  <c r="P199" i="15"/>
  <c r="AE245" i="15" s="1"/>
  <c r="I199" i="15"/>
  <c r="G245" i="15" s="1"/>
  <c r="AX588" i="15"/>
  <c r="AM588" i="15"/>
  <c r="AY588" i="15"/>
  <c r="AL588" i="15"/>
  <c r="AS588" i="15"/>
  <c r="AR588" i="15"/>
  <c r="AF588" i="15"/>
  <c r="C633" i="15"/>
  <c r="AG588" i="15"/>
  <c r="AG581" i="15"/>
  <c r="AS581" i="15"/>
  <c r="AF581" i="15"/>
  <c r="AX581" i="15"/>
  <c r="AM581" i="15"/>
  <c r="AY581" i="15"/>
  <c r="C626" i="15"/>
  <c r="AL581" i="15"/>
  <c r="AR581" i="15"/>
  <c r="C629" i="15"/>
  <c r="AY584" i="15"/>
  <c r="AM584" i="15"/>
  <c r="AL584" i="15"/>
  <c r="AS584" i="15"/>
  <c r="AR584" i="15"/>
  <c r="AF584" i="15"/>
  <c r="AX584" i="15"/>
  <c r="AG584" i="15"/>
  <c r="D509" i="15"/>
  <c r="E509" i="15"/>
  <c r="K509" i="15"/>
  <c r="L509" i="15"/>
  <c r="E511" i="15"/>
  <c r="D511" i="15"/>
  <c r="AB511" i="15"/>
  <c r="AC511" i="15" s="1"/>
  <c r="L511" i="15"/>
  <c r="U511" i="15"/>
  <c r="V511" i="15" s="1"/>
  <c r="K511" i="15"/>
  <c r="Z114" i="15"/>
  <c r="D624" i="15"/>
  <c r="D644" i="15"/>
  <c r="U599" i="15"/>
  <c r="V599" i="15"/>
  <c r="O599" i="15"/>
  <c r="P599" i="15"/>
  <c r="C599" i="15"/>
  <c r="J599" i="15"/>
  <c r="I599" i="15"/>
  <c r="D599" i="15"/>
  <c r="J141" i="15"/>
  <c r="X141" i="15"/>
  <c r="I141" i="15"/>
  <c r="S97" i="15"/>
  <c r="AA141" i="15" s="1"/>
  <c r="AB141" i="15" s="1"/>
  <c r="K97" i="15"/>
  <c r="M141" i="15" s="1"/>
  <c r="N141" i="15" s="1"/>
  <c r="R97" i="15"/>
  <c r="P141" i="15" s="1"/>
  <c r="AC141" i="15" s="1"/>
  <c r="J97" i="15"/>
  <c r="B141" i="15" s="1"/>
  <c r="O141" i="15" s="1"/>
  <c r="Q97" i="15"/>
  <c r="Q141" i="15" s="1"/>
  <c r="I97" i="15"/>
  <c r="C141" i="15" s="1"/>
  <c r="P97" i="15"/>
  <c r="Z141" i="15" s="1"/>
  <c r="H97" i="15"/>
  <c r="L141" i="15" s="1"/>
  <c r="V97" i="15"/>
  <c r="N97" i="15"/>
  <c r="W141" i="15"/>
  <c r="W97" i="15"/>
  <c r="O97" i="15"/>
  <c r="AB97" i="15"/>
  <c r="R185" i="15"/>
  <c r="J185" i="15"/>
  <c r="N231" i="15" s="1"/>
  <c r="O185" i="15"/>
  <c r="X231" i="15" s="1"/>
  <c r="L185" i="15"/>
  <c r="I185" i="15"/>
  <c r="G231" i="15" s="1"/>
  <c r="Q185" i="15"/>
  <c r="S231" i="15" s="1"/>
  <c r="AI231" i="15" s="1"/>
  <c r="N185" i="15"/>
  <c r="T231" i="15" s="1"/>
  <c r="W231" i="15" s="1"/>
  <c r="S185" i="15"/>
  <c r="P185" i="15"/>
  <c r="AE231" i="15" s="1"/>
  <c r="M185" i="15"/>
  <c r="K185" i="15"/>
  <c r="B231" i="15" s="1"/>
  <c r="R231" i="15" s="1"/>
  <c r="H185" i="15"/>
  <c r="C231" i="15" s="1"/>
  <c r="F231" i="15" s="1"/>
  <c r="L419" i="15"/>
  <c r="K419" i="15"/>
  <c r="U419" i="15"/>
  <c r="V419" i="15" s="1"/>
  <c r="D419" i="15"/>
  <c r="E419" i="15"/>
  <c r="AB419" i="15"/>
  <c r="AC419" i="15" s="1"/>
  <c r="Y105" i="15"/>
  <c r="L505" i="15"/>
  <c r="K505" i="15"/>
  <c r="U505" i="15"/>
  <c r="V505" i="15" s="1"/>
  <c r="E505" i="15"/>
  <c r="D505" i="15"/>
  <c r="AB505" i="15"/>
  <c r="AC505" i="15" s="1"/>
  <c r="Y96" i="15"/>
  <c r="L194" i="15"/>
  <c r="Q194" i="15"/>
  <c r="S240" i="15" s="1"/>
  <c r="AI240" i="15" s="1"/>
  <c r="I194" i="15"/>
  <c r="G240" i="15" s="1"/>
  <c r="O194" i="15"/>
  <c r="X240" i="15" s="1"/>
  <c r="N194" i="15"/>
  <c r="T240" i="15" s="1"/>
  <c r="W240" i="15" s="1"/>
  <c r="K194" i="15"/>
  <c r="B240" i="15" s="1"/>
  <c r="R240" i="15" s="1"/>
  <c r="J194" i="15"/>
  <c r="N240" i="15" s="1"/>
  <c r="S194" i="15"/>
  <c r="H194" i="15"/>
  <c r="C240" i="15" s="1"/>
  <c r="F240" i="15" s="1"/>
  <c r="P194" i="15"/>
  <c r="AE240" i="15" s="1"/>
  <c r="R194" i="15"/>
  <c r="M194" i="15"/>
  <c r="L502" i="15"/>
  <c r="K502" i="15"/>
  <c r="U502" i="15"/>
  <c r="V502" i="15" s="1"/>
  <c r="AB502" i="15"/>
  <c r="AC502" i="15" s="1"/>
  <c r="E502" i="15"/>
  <c r="D502" i="15"/>
  <c r="R13" i="13"/>
  <c r="R21" i="13"/>
  <c r="R8" i="13"/>
  <c r="V10" i="13"/>
  <c r="V23" i="13"/>
  <c r="R17" i="13"/>
  <c r="D414" i="15"/>
  <c r="K414" i="15"/>
  <c r="L414" i="15"/>
  <c r="U414" i="15"/>
  <c r="V414" i="15" s="1"/>
  <c r="AB414" i="15"/>
  <c r="AC414" i="15" s="1"/>
  <c r="E414" i="15"/>
  <c r="Z70" i="15"/>
  <c r="Y70" i="15"/>
  <c r="L501" i="15"/>
  <c r="K501" i="15"/>
  <c r="E501" i="15"/>
  <c r="AB501" i="15"/>
  <c r="AC501" i="15" s="1"/>
  <c r="D501" i="15"/>
  <c r="U501" i="15"/>
  <c r="V501" i="15" s="1"/>
  <c r="U191" i="15"/>
  <c r="H180" i="15"/>
  <c r="C226" i="15" s="1"/>
  <c r="F226" i="15" s="1"/>
  <c r="N180" i="15"/>
  <c r="T226" i="15" s="1"/>
  <c r="W226" i="15" s="1"/>
  <c r="I180" i="15"/>
  <c r="G226" i="15" s="1"/>
  <c r="O180" i="15"/>
  <c r="X226" i="15" s="1"/>
  <c r="J153" i="15"/>
  <c r="W109" i="15"/>
  <c r="O109" i="15"/>
  <c r="S109" i="15"/>
  <c r="AA153" i="15" s="1"/>
  <c r="AB153" i="15" s="1"/>
  <c r="K109" i="15"/>
  <c r="M153" i="15" s="1"/>
  <c r="N153" i="15" s="1"/>
  <c r="X153" i="15"/>
  <c r="Q109" i="15"/>
  <c r="Q153" i="15" s="1"/>
  <c r="I109" i="15"/>
  <c r="C153" i="15" s="1"/>
  <c r="I153" i="15"/>
  <c r="R109" i="15"/>
  <c r="P153" i="15" s="1"/>
  <c r="AC153" i="15" s="1"/>
  <c r="P109" i="15"/>
  <c r="Z153" i="15" s="1"/>
  <c r="N109" i="15"/>
  <c r="J109" i="15"/>
  <c r="B153" i="15" s="1"/>
  <c r="O153" i="15" s="1"/>
  <c r="W153" i="15"/>
  <c r="V109" i="15"/>
  <c r="H109" i="15"/>
  <c r="L153" i="15" s="1"/>
  <c r="AB109" i="15"/>
  <c r="J155" i="15"/>
  <c r="S111" i="15"/>
  <c r="AA155" i="15" s="1"/>
  <c r="AB155" i="15" s="1"/>
  <c r="K111" i="15"/>
  <c r="M155" i="15" s="1"/>
  <c r="N155" i="15" s="1"/>
  <c r="Q111" i="15"/>
  <c r="Q155" i="15" s="1"/>
  <c r="I111" i="15"/>
  <c r="C155" i="15" s="1"/>
  <c r="W111" i="15"/>
  <c r="O111" i="15"/>
  <c r="X155" i="15"/>
  <c r="P111" i="15"/>
  <c r="Z155" i="15" s="1"/>
  <c r="N111" i="15"/>
  <c r="W155" i="15"/>
  <c r="I155" i="15"/>
  <c r="J111" i="15"/>
  <c r="B155" i="15" s="1"/>
  <c r="O155" i="15" s="1"/>
  <c r="H111" i="15"/>
  <c r="L155" i="15" s="1"/>
  <c r="V111" i="15"/>
  <c r="R111" i="15"/>
  <c r="P155" i="15" s="1"/>
  <c r="AC155" i="15" s="1"/>
  <c r="AB111" i="15"/>
  <c r="D634" i="15"/>
  <c r="R181" i="15"/>
  <c r="J181" i="15"/>
  <c r="N227" i="15" s="1"/>
  <c r="O181" i="15"/>
  <c r="X227" i="15" s="1"/>
  <c r="P181" i="15"/>
  <c r="AE227" i="15" s="1"/>
  <c r="M181" i="15"/>
  <c r="K181" i="15"/>
  <c r="B227" i="15" s="1"/>
  <c r="R227" i="15" s="1"/>
  <c r="S181" i="15"/>
  <c r="H181" i="15"/>
  <c r="C227" i="15" s="1"/>
  <c r="F227" i="15" s="1"/>
  <c r="L181" i="15"/>
  <c r="I181" i="15"/>
  <c r="G227" i="15" s="1"/>
  <c r="Q181" i="15"/>
  <c r="S227" i="15" s="1"/>
  <c r="AI227" i="15" s="1"/>
  <c r="N181" i="15"/>
  <c r="T227" i="15" s="1"/>
  <c r="W227" i="15" s="1"/>
  <c r="V189" i="15"/>
  <c r="AY590" i="15"/>
  <c r="C635" i="15"/>
  <c r="AS590" i="15"/>
  <c r="AX590" i="15"/>
  <c r="AF590" i="15"/>
  <c r="AM590" i="15"/>
  <c r="AG590" i="15"/>
  <c r="AL590" i="15"/>
  <c r="AR590" i="15"/>
  <c r="K425" i="15"/>
  <c r="L425" i="15"/>
  <c r="E425" i="15"/>
  <c r="D425" i="15"/>
  <c r="U425" i="15"/>
  <c r="V425" i="15" s="1"/>
  <c r="AB425" i="15"/>
  <c r="AC425" i="15" s="1"/>
  <c r="L190" i="15"/>
  <c r="Q190" i="15"/>
  <c r="S236" i="15" s="1"/>
  <c r="AI236" i="15" s="1"/>
  <c r="I190" i="15"/>
  <c r="G236" i="15" s="1"/>
  <c r="S190" i="15"/>
  <c r="H190" i="15"/>
  <c r="C236" i="15" s="1"/>
  <c r="F236" i="15" s="1"/>
  <c r="R190" i="15"/>
  <c r="O190" i="15"/>
  <c r="X236" i="15" s="1"/>
  <c r="N190" i="15"/>
  <c r="T236" i="15" s="1"/>
  <c r="W236" i="15" s="1"/>
  <c r="M190" i="15"/>
  <c r="J190" i="15"/>
  <c r="N236" i="15" s="1"/>
  <c r="P190" i="15"/>
  <c r="AE236" i="15" s="1"/>
  <c r="K190" i="15"/>
  <c r="B236" i="15" s="1"/>
  <c r="R236" i="15" s="1"/>
  <c r="AS587" i="15"/>
  <c r="AM587" i="15"/>
  <c r="AR587" i="15"/>
  <c r="AF587" i="15"/>
  <c r="C632" i="15"/>
  <c r="AG587" i="15"/>
  <c r="AY587" i="15"/>
  <c r="AX587" i="15"/>
  <c r="AL587" i="15"/>
  <c r="J149" i="15"/>
  <c r="X149" i="15"/>
  <c r="Q105" i="15"/>
  <c r="Q149" i="15" s="1"/>
  <c r="I105" i="15"/>
  <c r="C149" i="15" s="1"/>
  <c r="I149" i="15"/>
  <c r="P105" i="15"/>
  <c r="Z149" i="15" s="1"/>
  <c r="O105" i="15"/>
  <c r="N105" i="15"/>
  <c r="W105" i="15"/>
  <c r="V105" i="15"/>
  <c r="K105" i="15"/>
  <c r="M149" i="15" s="1"/>
  <c r="N149" i="15" s="1"/>
  <c r="J105" i="15"/>
  <c r="B149" i="15" s="1"/>
  <c r="O149" i="15" s="1"/>
  <c r="W149" i="15"/>
  <c r="S105" i="15"/>
  <c r="AA149" i="15" s="1"/>
  <c r="AB149" i="15" s="1"/>
  <c r="R105" i="15"/>
  <c r="P149" i="15" s="1"/>
  <c r="AC149" i="15" s="1"/>
  <c r="H105" i="15"/>
  <c r="L149" i="15" s="1"/>
  <c r="AB105" i="15"/>
  <c r="K94" i="13"/>
  <c r="K83" i="13"/>
  <c r="K75" i="13"/>
  <c r="K88" i="13"/>
  <c r="K81" i="13"/>
  <c r="K84" i="13"/>
  <c r="K89" i="13"/>
  <c r="K92" i="13"/>
  <c r="K77" i="13"/>
  <c r="K86" i="13"/>
  <c r="K82" i="13"/>
  <c r="K91" i="13"/>
  <c r="K90" i="13"/>
  <c r="K80" i="13"/>
  <c r="K79" i="13"/>
  <c r="K93" i="13"/>
  <c r="K87" i="13"/>
  <c r="K76" i="13"/>
  <c r="K85" i="13"/>
  <c r="K78" i="13"/>
  <c r="X144" i="15"/>
  <c r="J144" i="15"/>
  <c r="W144" i="15"/>
  <c r="I144" i="15"/>
  <c r="S100" i="15"/>
  <c r="AA144" i="15" s="1"/>
  <c r="AB144" i="15" s="1"/>
  <c r="K100" i="15"/>
  <c r="M144" i="15" s="1"/>
  <c r="N144" i="15" s="1"/>
  <c r="R100" i="15"/>
  <c r="P144" i="15" s="1"/>
  <c r="AC144" i="15" s="1"/>
  <c r="J100" i="15"/>
  <c r="B144" i="15" s="1"/>
  <c r="O144" i="15" s="1"/>
  <c r="P100" i="15"/>
  <c r="Z144" i="15" s="1"/>
  <c r="H100" i="15"/>
  <c r="L144" i="15" s="1"/>
  <c r="W100" i="15"/>
  <c r="V100" i="15"/>
  <c r="Q100" i="15"/>
  <c r="Q144" i="15" s="1"/>
  <c r="O100" i="15"/>
  <c r="N100" i="15"/>
  <c r="I100" i="15"/>
  <c r="C144" i="15" s="1"/>
  <c r="AB100" i="15"/>
  <c r="X140" i="15"/>
  <c r="J140" i="15"/>
  <c r="W140" i="15"/>
  <c r="I140" i="15"/>
  <c r="S96" i="15"/>
  <c r="AA140" i="15" s="1"/>
  <c r="AB140" i="15" s="1"/>
  <c r="K96" i="15"/>
  <c r="M140" i="15" s="1"/>
  <c r="N140" i="15" s="1"/>
  <c r="R96" i="15"/>
  <c r="P140" i="15" s="1"/>
  <c r="AC140" i="15" s="1"/>
  <c r="J96" i="15"/>
  <c r="B140" i="15" s="1"/>
  <c r="O140" i="15" s="1"/>
  <c r="P96" i="15"/>
  <c r="Z140" i="15" s="1"/>
  <c r="H96" i="15"/>
  <c r="L140" i="15" s="1"/>
  <c r="N96" i="15"/>
  <c r="I96" i="15"/>
  <c r="C140" i="15" s="1"/>
  <c r="W96" i="15"/>
  <c r="V96" i="15"/>
  <c r="Q96" i="15"/>
  <c r="Q140" i="15" s="1"/>
  <c r="O96" i="15"/>
  <c r="AB96" i="15"/>
  <c r="U418" i="15"/>
  <c r="V418" i="15" s="1"/>
  <c r="E418" i="15"/>
  <c r="D418" i="15"/>
  <c r="K418" i="15"/>
  <c r="AB418" i="15"/>
  <c r="AC418" i="15" s="1"/>
  <c r="L418" i="15"/>
  <c r="X146" i="15"/>
  <c r="S102" i="15"/>
  <c r="AA146" i="15" s="1"/>
  <c r="AB146" i="15" s="1"/>
  <c r="K102" i="15"/>
  <c r="M146" i="15" s="1"/>
  <c r="N146" i="15" s="1"/>
  <c r="J146" i="15"/>
  <c r="J102" i="15"/>
  <c r="B146" i="15" s="1"/>
  <c r="O146" i="15" s="1"/>
  <c r="R102" i="15"/>
  <c r="P146" i="15" s="1"/>
  <c r="AC146" i="15" s="1"/>
  <c r="I102" i="15"/>
  <c r="C146" i="15" s="1"/>
  <c r="Q102" i="15"/>
  <c r="Q146" i="15" s="1"/>
  <c r="H102" i="15"/>
  <c r="L146" i="15" s="1"/>
  <c r="W146" i="15"/>
  <c r="I146" i="15"/>
  <c r="O102" i="15"/>
  <c r="V102" i="15"/>
  <c r="P102" i="15"/>
  <c r="Z146" i="15" s="1"/>
  <c r="N102" i="15"/>
  <c r="W102" i="15"/>
  <c r="AB102" i="15"/>
  <c r="V582" i="15"/>
  <c r="U582" i="15"/>
  <c r="D627" i="15"/>
  <c r="P582" i="15"/>
  <c r="I582" i="15"/>
  <c r="C582" i="15"/>
  <c r="D582" i="15"/>
  <c r="J582" i="15"/>
  <c r="O582" i="15"/>
  <c r="M198" i="15"/>
  <c r="L198" i="15"/>
  <c r="Q198" i="15"/>
  <c r="S244" i="15" s="1"/>
  <c r="AI244" i="15" s="1"/>
  <c r="I198" i="15"/>
  <c r="G244" i="15" s="1"/>
  <c r="P198" i="15"/>
  <c r="AE244" i="15" s="1"/>
  <c r="O198" i="15"/>
  <c r="X244" i="15" s="1"/>
  <c r="K198" i="15"/>
  <c r="B244" i="15" s="1"/>
  <c r="R244" i="15" s="1"/>
  <c r="J198" i="15"/>
  <c r="N244" i="15" s="1"/>
  <c r="H198" i="15"/>
  <c r="C244" i="15" s="1"/>
  <c r="F244" i="15" s="1"/>
  <c r="R198" i="15"/>
  <c r="N198" i="15"/>
  <c r="T244" i="15" s="1"/>
  <c r="W244" i="15" s="1"/>
  <c r="S198" i="15"/>
  <c r="Z69" i="15"/>
  <c r="Y69" i="15"/>
  <c r="E506" i="15"/>
  <c r="D506" i="15"/>
  <c r="L506" i="15"/>
  <c r="K506" i="15"/>
  <c r="AB506" i="15"/>
  <c r="AC506" i="15" s="1"/>
  <c r="U506" i="15"/>
  <c r="V506" i="15" s="1"/>
  <c r="AM580" i="15"/>
  <c r="AL580" i="15"/>
  <c r="AY580" i="15"/>
  <c r="C625" i="15"/>
  <c r="AX580" i="15"/>
  <c r="AG580" i="15"/>
  <c r="AF580" i="15"/>
  <c r="AS580" i="15"/>
  <c r="AR580" i="15"/>
  <c r="AB422" i="15"/>
  <c r="AC422" i="15" s="1"/>
  <c r="L422" i="15"/>
  <c r="K422" i="15"/>
  <c r="E422" i="15"/>
  <c r="U422" i="15"/>
  <c r="V422" i="15" s="1"/>
  <c r="D422" i="15"/>
  <c r="AG70" i="15"/>
  <c r="AF70" i="15"/>
  <c r="D498" i="15"/>
  <c r="E498" i="15"/>
  <c r="AB498" i="15"/>
  <c r="AC498" i="15" s="1"/>
  <c r="U498" i="15"/>
  <c r="V498" i="15" s="1"/>
  <c r="L498" i="15"/>
  <c r="K498" i="15"/>
  <c r="U586" i="15"/>
  <c r="V586" i="15"/>
  <c r="D631" i="15"/>
  <c r="I586" i="15"/>
  <c r="J586" i="15"/>
  <c r="D586" i="15"/>
  <c r="P586" i="15"/>
  <c r="O586" i="15"/>
  <c r="C586" i="15"/>
  <c r="U424" i="15"/>
  <c r="V424" i="15" s="1"/>
  <c r="E424" i="15"/>
  <c r="D424" i="15"/>
  <c r="L424" i="15"/>
  <c r="K424" i="15"/>
  <c r="AB424" i="15"/>
  <c r="AC424" i="15" s="1"/>
  <c r="J145" i="15"/>
  <c r="X145" i="15"/>
  <c r="I145" i="15"/>
  <c r="S101" i="15"/>
  <c r="AA145" i="15" s="1"/>
  <c r="AB145" i="15" s="1"/>
  <c r="K101" i="15"/>
  <c r="M145" i="15" s="1"/>
  <c r="N145" i="15" s="1"/>
  <c r="R101" i="15"/>
  <c r="P145" i="15" s="1"/>
  <c r="AC145" i="15" s="1"/>
  <c r="J101" i="15"/>
  <c r="B145" i="15" s="1"/>
  <c r="O145" i="15" s="1"/>
  <c r="Q101" i="15"/>
  <c r="Q145" i="15" s="1"/>
  <c r="I101" i="15"/>
  <c r="C145" i="15" s="1"/>
  <c r="P101" i="15"/>
  <c r="Z145" i="15" s="1"/>
  <c r="H101" i="15"/>
  <c r="L145" i="15" s="1"/>
  <c r="W101" i="15"/>
  <c r="N101" i="15"/>
  <c r="W145" i="15"/>
  <c r="V101" i="15"/>
  <c r="O101" i="15"/>
  <c r="AB101" i="15"/>
  <c r="Z100" i="15"/>
  <c r="N191" i="15"/>
  <c r="T237" i="15" s="1"/>
  <c r="W237" i="15" s="1"/>
  <c r="S191" i="15"/>
  <c r="K191" i="15"/>
  <c r="B237" i="15" s="1"/>
  <c r="R237" i="15" s="1"/>
  <c r="Q191" i="15"/>
  <c r="S237" i="15" s="1"/>
  <c r="AI237" i="15" s="1"/>
  <c r="P191" i="15"/>
  <c r="AE237" i="15" s="1"/>
  <c r="M191" i="15"/>
  <c r="L191" i="15"/>
  <c r="J191" i="15"/>
  <c r="N237" i="15" s="1"/>
  <c r="R191" i="15"/>
  <c r="H191" i="15"/>
  <c r="C237" i="15" s="1"/>
  <c r="F237" i="15" s="1"/>
  <c r="O191" i="15"/>
  <c r="X237" i="15" s="1"/>
  <c r="I191" i="15"/>
  <c r="G237" i="15" s="1"/>
  <c r="D513" i="15"/>
  <c r="E513" i="15"/>
  <c r="K513" i="15"/>
  <c r="L513" i="15"/>
  <c r="J137" i="15"/>
  <c r="X137" i="15"/>
  <c r="I137" i="15"/>
  <c r="S93" i="15"/>
  <c r="AA137" i="15" s="1"/>
  <c r="AB137" i="15" s="1"/>
  <c r="K93" i="15"/>
  <c r="M137" i="15" s="1"/>
  <c r="N137" i="15" s="1"/>
  <c r="R93" i="15"/>
  <c r="P137" i="15" s="1"/>
  <c r="AC137" i="15" s="1"/>
  <c r="J93" i="15"/>
  <c r="B137" i="15" s="1"/>
  <c r="O137" i="15" s="1"/>
  <c r="Q93" i="15"/>
  <c r="Q137" i="15" s="1"/>
  <c r="I93" i="15"/>
  <c r="C137" i="15" s="1"/>
  <c r="P93" i="15"/>
  <c r="Z137" i="15" s="1"/>
  <c r="H93" i="15"/>
  <c r="L137" i="15" s="1"/>
  <c r="V93" i="15"/>
  <c r="W137" i="15"/>
  <c r="W93" i="15"/>
  <c r="O93" i="15"/>
  <c r="N93" i="15"/>
  <c r="AB93" i="15"/>
  <c r="AB507" i="15"/>
  <c r="AC507" i="15" s="1"/>
  <c r="E507" i="15"/>
  <c r="D507" i="15"/>
  <c r="U507" i="15"/>
  <c r="V507" i="15" s="1"/>
  <c r="L507" i="15"/>
  <c r="K507" i="15"/>
  <c r="E405" i="15"/>
  <c r="D405" i="15"/>
  <c r="L405" i="15"/>
  <c r="U405" i="15"/>
  <c r="V405" i="15" s="1"/>
  <c r="K405" i="15"/>
  <c r="AB405" i="15"/>
  <c r="AC405" i="15" s="1"/>
  <c r="D640" i="15"/>
  <c r="U595" i="15"/>
  <c r="V595" i="15"/>
  <c r="J595" i="15"/>
  <c r="D595" i="15"/>
  <c r="I595" i="15"/>
  <c r="C595" i="15"/>
  <c r="P595" i="15"/>
  <c r="O595" i="15"/>
  <c r="J143" i="15"/>
  <c r="X143" i="15"/>
  <c r="W99" i="15"/>
  <c r="O99" i="15"/>
  <c r="V99" i="15"/>
  <c r="N99" i="15"/>
  <c r="W143" i="15"/>
  <c r="I143" i="15"/>
  <c r="R99" i="15"/>
  <c r="P143" i="15" s="1"/>
  <c r="AC143" i="15" s="1"/>
  <c r="J99" i="15"/>
  <c r="B143" i="15" s="1"/>
  <c r="O143" i="15" s="1"/>
  <c r="K99" i="15"/>
  <c r="M143" i="15" s="1"/>
  <c r="N143" i="15" s="1"/>
  <c r="I99" i="15"/>
  <c r="C143" i="15" s="1"/>
  <c r="H99" i="15"/>
  <c r="L143" i="15" s="1"/>
  <c r="S99" i="15"/>
  <c r="AA143" i="15" s="1"/>
  <c r="AB143" i="15" s="1"/>
  <c r="Q99" i="15"/>
  <c r="Q143" i="15" s="1"/>
  <c r="P99" i="15"/>
  <c r="Z143" i="15" s="1"/>
  <c r="AB99" i="15"/>
  <c r="N195" i="15"/>
  <c r="T241" i="15" s="1"/>
  <c r="W241" i="15" s="1"/>
  <c r="S195" i="15"/>
  <c r="K195" i="15"/>
  <c r="B241" i="15" s="1"/>
  <c r="R241" i="15" s="1"/>
  <c r="M195" i="15"/>
  <c r="L195" i="15"/>
  <c r="I195" i="15"/>
  <c r="G241" i="15" s="1"/>
  <c r="R195" i="15"/>
  <c r="H195" i="15"/>
  <c r="C241" i="15" s="1"/>
  <c r="F241" i="15" s="1"/>
  <c r="Q195" i="15"/>
  <c r="S241" i="15" s="1"/>
  <c r="AI241" i="15" s="1"/>
  <c r="O195" i="15"/>
  <c r="X241" i="15" s="1"/>
  <c r="P195" i="15"/>
  <c r="AE241" i="15" s="1"/>
  <c r="J195" i="15"/>
  <c r="N241" i="15" s="1"/>
  <c r="N202" i="15"/>
  <c r="T248" i="15" s="1"/>
  <c r="W248" i="15" s="1"/>
  <c r="M202" i="15"/>
  <c r="L202" i="15"/>
  <c r="Q202" i="15"/>
  <c r="S248" i="15" s="1"/>
  <c r="AI248" i="15" s="1"/>
  <c r="I202" i="15"/>
  <c r="G248" i="15" s="1"/>
  <c r="S202" i="15"/>
  <c r="P202" i="15"/>
  <c r="AE248" i="15" s="1"/>
  <c r="O202" i="15"/>
  <c r="X248" i="15" s="1"/>
  <c r="K202" i="15"/>
  <c r="B248" i="15" s="1"/>
  <c r="R248" i="15" s="1"/>
  <c r="J202" i="15"/>
  <c r="N248" i="15" s="1"/>
  <c r="H202" i="15"/>
  <c r="C248" i="15" s="1"/>
  <c r="F248" i="15" s="1"/>
  <c r="R202" i="15"/>
  <c r="AB503" i="15"/>
  <c r="AC503" i="15" s="1"/>
  <c r="U503" i="15"/>
  <c r="V503" i="15" s="1"/>
  <c r="K503" i="15"/>
  <c r="L503" i="15"/>
  <c r="D503" i="15"/>
  <c r="E503" i="15"/>
  <c r="P196" i="15"/>
  <c r="AE242" i="15" s="1"/>
  <c r="H196" i="15"/>
  <c r="C242" i="15" s="1"/>
  <c r="F242" i="15" s="1"/>
  <c r="M196" i="15"/>
  <c r="L196" i="15"/>
  <c r="K196" i="15"/>
  <c r="B242" i="15" s="1"/>
  <c r="R242" i="15" s="1"/>
  <c r="S196" i="15"/>
  <c r="I196" i="15"/>
  <c r="G242" i="15" s="1"/>
  <c r="R196" i="15"/>
  <c r="Q196" i="15"/>
  <c r="S242" i="15" s="1"/>
  <c r="AI242" i="15" s="1"/>
  <c r="N196" i="15"/>
  <c r="T242" i="15" s="1"/>
  <c r="W242" i="15" s="1"/>
  <c r="O196" i="15"/>
  <c r="X242" i="15" s="1"/>
  <c r="J196" i="15"/>
  <c r="N242" i="15" s="1"/>
  <c r="AB412" i="15"/>
  <c r="AC412" i="15" s="1"/>
  <c r="D412" i="15"/>
  <c r="E412" i="15"/>
  <c r="U412" i="15"/>
  <c r="V412" i="15" s="1"/>
  <c r="L412" i="15"/>
  <c r="K412" i="15"/>
  <c r="X150" i="15"/>
  <c r="S106" i="15"/>
  <c r="AA150" i="15" s="1"/>
  <c r="AB150" i="15" s="1"/>
  <c r="K106" i="15"/>
  <c r="M150" i="15" s="1"/>
  <c r="N150" i="15" s="1"/>
  <c r="J150" i="15"/>
  <c r="W106" i="15"/>
  <c r="O106" i="15"/>
  <c r="V106" i="15"/>
  <c r="J106" i="15"/>
  <c r="B150" i="15" s="1"/>
  <c r="O150" i="15" s="1"/>
  <c r="I106" i="15"/>
  <c r="C150" i="15" s="1"/>
  <c r="R106" i="15"/>
  <c r="P150" i="15" s="1"/>
  <c r="AC150" i="15" s="1"/>
  <c r="H106" i="15"/>
  <c r="L150" i="15" s="1"/>
  <c r="W150" i="15"/>
  <c r="Q106" i="15"/>
  <c r="Q150" i="15" s="1"/>
  <c r="I150" i="15"/>
  <c r="P106" i="15"/>
  <c r="Z150" i="15" s="1"/>
  <c r="N106" i="15"/>
  <c r="AB106" i="15"/>
  <c r="V590" i="15"/>
  <c r="U590" i="15"/>
  <c r="D635" i="15"/>
  <c r="O590" i="15"/>
  <c r="J590" i="15"/>
  <c r="D590" i="15"/>
  <c r="C590" i="15"/>
  <c r="I590" i="15"/>
  <c r="P590" i="15"/>
  <c r="L504" i="15"/>
  <c r="K504" i="15"/>
  <c r="D504" i="15"/>
  <c r="E504" i="15"/>
  <c r="C643" i="15"/>
  <c r="AR582" i="15"/>
  <c r="C627" i="15"/>
  <c r="AY582" i="15"/>
  <c r="AX582" i="15"/>
  <c r="AF582" i="15"/>
  <c r="AG582" i="15"/>
  <c r="AM582" i="15"/>
  <c r="AS582" i="15"/>
  <c r="AL582" i="15"/>
  <c r="C634" i="15"/>
  <c r="D628" i="15"/>
  <c r="V583" i="15"/>
  <c r="U583" i="15"/>
  <c r="O583" i="15"/>
  <c r="D583" i="15"/>
  <c r="P583" i="15"/>
  <c r="J583" i="15"/>
  <c r="I583" i="15"/>
  <c r="C583" i="15"/>
  <c r="X142" i="15"/>
  <c r="J142" i="15"/>
  <c r="Q98" i="15"/>
  <c r="Q142" i="15" s="1"/>
  <c r="I98" i="15"/>
  <c r="C142" i="15" s="1"/>
  <c r="P98" i="15"/>
  <c r="Z142" i="15" s="1"/>
  <c r="H98" i="15"/>
  <c r="L142" i="15" s="1"/>
  <c r="W98" i="15"/>
  <c r="O98" i="15"/>
  <c r="V98" i="15"/>
  <c r="N98" i="15"/>
  <c r="W142" i="15"/>
  <c r="I142" i="15"/>
  <c r="S98" i="15"/>
  <c r="AA142" i="15" s="1"/>
  <c r="AB142" i="15" s="1"/>
  <c r="R98" i="15"/>
  <c r="P142" i="15" s="1"/>
  <c r="AC142" i="15" s="1"/>
  <c r="K98" i="15"/>
  <c r="M142" i="15" s="1"/>
  <c r="N142" i="15" s="1"/>
  <c r="J98" i="15"/>
  <c r="B142" i="15" s="1"/>
  <c r="O142" i="15" s="1"/>
  <c r="AB98" i="15"/>
  <c r="K512" i="15"/>
  <c r="D512" i="15"/>
  <c r="E512" i="15"/>
  <c r="L512" i="15"/>
  <c r="AB512" i="15"/>
  <c r="AC512" i="15" s="1"/>
  <c r="U512" i="15"/>
  <c r="V512" i="15" s="1"/>
  <c r="N179" i="15"/>
  <c r="T225" i="15" s="1"/>
  <c r="W225" i="15" s="1"/>
  <c r="S179" i="15"/>
  <c r="K179" i="15"/>
  <c r="B225" i="15" s="1"/>
  <c r="R225" i="15" s="1"/>
  <c r="Q179" i="15"/>
  <c r="S225" i="15" s="1"/>
  <c r="AI225" i="15" s="1"/>
  <c r="O179" i="15"/>
  <c r="X225" i="15" s="1"/>
  <c r="L179" i="15"/>
  <c r="I179" i="15"/>
  <c r="G225" i="15" s="1"/>
  <c r="P179" i="15"/>
  <c r="AE225" i="15" s="1"/>
  <c r="M179" i="15"/>
  <c r="J179" i="15"/>
  <c r="N225" i="15" s="1"/>
  <c r="H179" i="15"/>
  <c r="C225" i="15" s="1"/>
  <c r="F225" i="15" s="1"/>
  <c r="R179" i="15"/>
  <c r="AF602" i="15"/>
  <c r="AR602" i="15"/>
  <c r="AY602" i="15"/>
  <c r="C647" i="15"/>
  <c r="AX602" i="15"/>
  <c r="AL602" i="15"/>
  <c r="AM602" i="15"/>
  <c r="AG602" i="15"/>
  <c r="AS602" i="15"/>
  <c r="AL595" i="15"/>
  <c r="C640" i="15"/>
  <c r="AG595" i="15"/>
  <c r="AY595" i="15"/>
  <c r="AX595" i="15"/>
  <c r="AS595" i="15"/>
  <c r="AR595" i="15"/>
  <c r="AF595" i="15"/>
  <c r="AM595" i="15"/>
  <c r="E404" i="15"/>
  <c r="D404" i="15"/>
  <c r="L404" i="15"/>
  <c r="U404" i="15"/>
  <c r="V404" i="15" s="1"/>
  <c r="AB404" i="15"/>
  <c r="AC404" i="15" s="1"/>
  <c r="K404" i="15"/>
  <c r="J157" i="15"/>
  <c r="W113" i="15"/>
  <c r="O113" i="15"/>
  <c r="S113" i="15"/>
  <c r="AA157" i="15" s="1"/>
  <c r="AB157" i="15" s="1"/>
  <c r="K113" i="15"/>
  <c r="M157" i="15" s="1"/>
  <c r="N157" i="15" s="1"/>
  <c r="X157" i="15"/>
  <c r="Q113" i="15"/>
  <c r="Q157" i="15" s="1"/>
  <c r="I113" i="15"/>
  <c r="C157" i="15" s="1"/>
  <c r="I157" i="15"/>
  <c r="J113" i="15"/>
  <c r="B157" i="15" s="1"/>
  <c r="O157" i="15" s="1"/>
  <c r="H113" i="15"/>
  <c r="L157" i="15" s="1"/>
  <c r="V113" i="15"/>
  <c r="R113" i="15"/>
  <c r="P157" i="15" s="1"/>
  <c r="AC157" i="15" s="1"/>
  <c r="W157" i="15"/>
  <c r="P113" i="15"/>
  <c r="Z157" i="15" s="1"/>
  <c r="N113" i="15"/>
  <c r="AB113" i="15"/>
  <c r="J151" i="15"/>
  <c r="S107" i="15"/>
  <c r="AA151" i="15" s="1"/>
  <c r="AB151" i="15" s="1"/>
  <c r="K107" i="15"/>
  <c r="M151" i="15" s="1"/>
  <c r="N151" i="15" s="1"/>
  <c r="Q107" i="15"/>
  <c r="Q151" i="15" s="1"/>
  <c r="I107" i="15"/>
  <c r="C151" i="15" s="1"/>
  <c r="W107" i="15"/>
  <c r="O107" i="15"/>
  <c r="X151" i="15"/>
  <c r="H107" i="15"/>
  <c r="L151" i="15" s="1"/>
  <c r="V107" i="15"/>
  <c r="W151" i="15"/>
  <c r="I151" i="15"/>
  <c r="R107" i="15"/>
  <c r="P151" i="15" s="1"/>
  <c r="AC151" i="15" s="1"/>
  <c r="P107" i="15"/>
  <c r="Z151" i="15" s="1"/>
  <c r="N107" i="15"/>
  <c r="J107" i="15"/>
  <c r="B151" i="15" s="1"/>
  <c r="O151" i="15" s="1"/>
  <c r="AB107" i="15"/>
  <c r="U601" i="15"/>
  <c r="D646" i="15"/>
  <c r="V601" i="15"/>
  <c r="P601" i="15"/>
  <c r="O601" i="15"/>
  <c r="D601" i="15"/>
  <c r="J601" i="15"/>
  <c r="C601" i="15"/>
  <c r="I601" i="15"/>
  <c r="F10" i="4"/>
  <c r="K53" i="4"/>
  <c r="J53" i="4"/>
  <c r="H10" i="4"/>
  <c r="K10" i="4"/>
  <c r="J10" i="4"/>
  <c r="G10" i="4"/>
  <c r="I10" i="4"/>
  <c r="R91" i="13" l="1"/>
  <c r="R94" i="13"/>
  <c r="Q22" i="13"/>
  <c r="R22" i="13"/>
  <c r="AO139" i="13"/>
  <c r="T68" i="13"/>
  <c r="J550" i="15"/>
  <c r="AE593" i="15" s="1"/>
  <c r="AH593" i="15" s="1"/>
  <c r="AY598" i="15"/>
  <c r="AX598" i="15"/>
  <c r="AB555" i="15"/>
  <c r="AW598" i="15" s="1"/>
  <c r="AZ598" i="15" s="1"/>
  <c r="T514" i="15"/>
  <c r="W514" i="15" s="1"/>
  <c r="G550" i="15"/>
  <c r="F593" i="15" s="1"/>
  <c r="H550" i="15"/>
  <c r="U598" i="15"/>
  <c r="R550" i="15"/>
  <c r="T550" i="15" s="1"/>
  <c r="L555" i="15"/>
  <c r="N555" i="15" s="1"/>
  <c r="C598" i="15"/>
  <c r="D598" i="15"/>
  <c r="P470" i="15"/>
  <c r="U513" i="15" s="1"/>
  <c r="V513" i="15" s="1"/>
  <c r="R555" i="15"/>
  <c r="T555" i="15" s="1"/>
  <c r="T513" i="15"/>
  <c r="W513" i="15" s="1"/>
  <c r="G555" i="15"/>
  <c r="F598" i="15" s="1"/>
  <c r="AF593" i="15"/>
  <c r="AG593" i="15"/>
  <c r="M471" i="15"/>
  <c r="N471" i="15" s="1"/>
  <c r="BA598" i="15"/>
  <c r="AR139" i="13"/>
  <c r="U550" i="15"/>
  <c r="W550" i="15" s="1"/>
  <c r="AN139" i="13"/>
  <c r="AQ139" i="13"/>
  <c r="Q470" i="15"/>
  <c r="AB513" i="15" s="1"/>
  <c r="AC513" i="15" s="1"/>
  <c r="N470" i="15"/>
  <c r="Y513" i="15"/>
  <c r="X513" i="15"/>
  <c r="AA513" i="15" s="1"/>
  <c r="AD513" i="15" s="1"/>
  <c r="Z513" i="15"/>
  <c r="AC550" i="15"/>
  <c r="AB550" i="15"/>
  <c r="AW593" i="15" s="1"/>
  <c r="AZ593" i="15" s="1"/>
  <c r="B598" i="15"/>
  <c r="E598" i="15" s="1"/>
  <c r="AI593" i="15"/>
  <c r="X593" i="15"/>
  <c r="J555" i="15"/>
  <c r="U555" i="15"/>
  <c r="K555" i="15"/>
  <c r="O555" i="15"/>
  <c r="S550" i="15"/>
  <c r="N593" i="15" s="1"/>
  <c r="Q593" i="15" s="1"/>
  <c r="M550" i="15"/>
  <c r="L593" i="15" s="1"/>
  <c r="X598" i="15"/>
  <c r="N550" i="15"/>
  <c r="O550" i="15"/>
  <c r="BB131" i="13"/>
  <c r="BA131" i="13"/>
  <c r="X71" i="13"/>
  <c r="BD131" i="13"/>
  <c r="BC131" i="13"/>
  <c r="BC104" i="13"/>
  <c r="V55" i="15"/>
  <c r="K55" i="15"/>
  <c r="D55" i="15"/>
  <c r="H55" i="15"/>
  <c r="Z55" i="15"/>
  <c r="AB55" i="15"/>
  <c r="AE55" i="15"/>
  <c r="AH55" i="15" s="1"/>
  <c r="W13" i="15"/>
  <c r="N55" i="15"/>
  <c r="Q55" i="15" s="1"/>
  <c r="O13" i="15"/>
  <c r="W14" i="15"/>
  <c r="BB104" i="13"/>
  <c r="BE104" i="13"/>
  <c r="BA104" i="13"/>
  <c r="X271" i="15"/>
  <c r="AS271" i="15"/>
  <c r="M271" i="15"/>
  <c r="AH271" i="15"/>
  <c r="AY166" i="13"/>
  <c r="BL162" i="13"/>
  <c r="BM162" i="13" s="1"/>
  <c r="BN162" i="13" s="1"/>
  <c r="BO162" i="13" s="1"/>
  <c r="BP162" i="13" s="1"/>
  <c r="AQ166" i="13"/>
  <c r="V11" i="13"/>
  <c r="BD162" i="13"/>
  <c r="AV162" i="13"/>
  <c r="AR162" i="13"/>
  <c r="BG166" i="13"/>
  <c r="BJ160" i="13"/>
  <c r="AW188" i="13"/>
  <c r="BB160" i="13"/>
  <c r="AT176" i="13"/>
  <c r="AN160" i="13"/>
  <c r="AM188" i="13"/>
  <c r="BI160" i="13"/>
  <c r="BA160" i="13"/>
  <c r="AR160" i="13"/>
  <c r="BK176" i="13"/>
  <c r="BH160" i="13"/>
  <c r="AZ160" i="13"/>
  <c r="AW160" i="13"/>
  <c r="BI176" i="13"/>
  <c r="BG160" i="13"/>
  <c r="AY160" i="13"/>
  <c r="AO160" i="13"/>
  <c r="BG188" i="13"/>
  <c r="BC176" i="13"/>
  <c r="BF160" i="13"/>
  <c r="AX160" i="13"/>
  <c r="AT160" i="13"/>
  <c r="BE188" i="13"/>
  <c r="BA176" i="13"/>
  <c r="BE160" i="13"/>
  <c r="AP160" i="13"/>
  <c r="AV160" i="13"/>
  <c r="AY188" i="13"/>
  <c r="AM176" i="13"/>
  <c r="BL160" i="13"/>
  <c r="BM160" i="13" s="1"/>
  <c r="BN160" i="13" s="1"/>
  <c r="BO160" i="13" s="1"/>
  <c r="BP160" i="13" s="1"/>
  <c r="BD160" i="13"/>
  <c r="AM160" i="13"/>
  <c r="AS160" i="13"/>
  <c r="AR188" i="13"/>
  <c r="AN176" i="13"/>
  <c r="BK160" i="13"/>
  <c r="BC160" i="13"/>
  <c r="AQ160" i="13"/>
  <c r="N466" i="15"/>
  <c r="Q466" i="15"/>
  <c r="AB509" i="15" s="1"/>
  <c r="AC509" i="15" s="1"/>
  <c r="Z509" i="15"/>
  <c r="Y509" i="15"/>
  <c r="X509" i="15"/>
  <c r="AA509" i="15" s="1"/>
  <c r="AD509" i="15" s="1"/>
  <c r="U45" i="13"/>
  <c r="U22" i="13"/>
  <c r="AB73" i="15"/>
  <c r="V22" i="13"/>
  <c r="V45" i="13"/>
  <c r="I73" i="15"/>
  <c r="U11" i="13"/>
  <c r="BE139" i="13"/>
  <c r="BB139" i="13"/>
  <c r="AT151" i="13"/>
  <c r="BD139" i="13"/>
  <c r="T71" i="13"/>
  <c r="S71" i="13"/>
  <c r="U13" i="13"/>
  <c r="BC139" i="13"/>
  <c r="Z73" i="15"/>
  <c r="BK162" i="13"/>
  <c r="BC162" i="13"/>
  <c r="AM162" i="13"/>
  <c r="AQ162" i="13"/>
  <c r="BC115" i="13"/>
  <c r="BF166" i="13"/>
  <c r="AX166" i="13"/>
  <c r="AS166" i="13"/>
  <c r="BJ162" i="13"/>
  <c r="BB162" i="13"/>
  <c r="AU162" i="13"/>
  <c r="BE166" i="13"/>
  <c r="AW166" i="13"/>
  <c r="AO166" i="13"/>
  <c r="BI162" i="13"/>
  <c r="BA162" i="13"/>
  <c r="AS162" i="13"/>
  <c r="BB115" i="13"/>
  <c r="BL166" i="13"/>
  <c r="BM166" i="13" s="1"/>
  <c r="BQ166" i="13" s="1"/>
  <c r="BD166" i="13"/>
  <c r="AV166" i="13"/>
  <c r="AM166" i="13"/>
  <c r="BH162" i="13"/>
  <c r="AZ162" i="13"/>
  <c r="AN162" i="13"/>
  <c r="BK166" i="13"/>
  <c r="BC166" i="13"/>
  <c r="AU166" i="13"/>
  <c r="AN166" i="13"/>
  <c r="BG162" i="13"/>
  <c r="AY162" i="13"/>
  <c r="AO162" i="13"/>
  <c r="BJ166" i="13"/>
  <c r="BB166" i="13"/>
  <c r="AT166" i="13"/>
  <c r="BD115" i="13"/>
  <c r="BF162" i="13"/>
  <c r="AX162" i="13"/>
  <c r="AT162" i="13"/>
  <c r="BE115" i="13"/>
  <c r="BI166" i="13"/>
  <c r="BA166" i="13"/>
  <c r="AR166" i="13"/>
  <c r="V42" i="13"/>
  <c r="BE162" i="13"/>
  <c r="AW162" i="13"/>
  <c r="BH166" i="13"/>
  <c r="AZ166" i="13"/>
  <c r="BK187" i="13"/>
  <c r="BC187" i="13"/>
  <c r="AN187" i="13"/>
  <c r="BJ187" i="13"/>
  <c r="BB187" i="13"/>
  <c r="AU187" i="13"/>
  <c r="V34" i="13"/>
  <c r="BI187" i="13"/>
  <c r="BA187" i="13"/>
  <c r="AO187" i="13"/>
  <c r="BH187" i="13"/>
  <c r="AZ187" i="13"/>
  <c r="AP187" i="13"/>
  <c r="BG187" i="13"/>
  <c r="AY187" i="13"/>
  <c r="AQ187" i="13"/>
  <c r="BF187" i="13"/>
  <c r="AX187" i="13"/>
  <c r="AR187" i="13"/>
  <c r="BE187" i="13"/>
  <c r="AW187" i="13"/>
  <c r="AM187" i="13"/>
  <c r="BL187" i="13"/>
  <c r="BN187" i="13" s="1"/>
  <c r="BD187" i="13"/>
  <c r="AV187" i="13"/>
  <c r="U46" i="13"/>
  <c r="BF188" i="13"/>
  <c r="AX188" i="13"/>
  <c r="AT188" i="13"/>
  <c r="BJ176" i="13"/>
  <c r="BB176" i="13"/>
  <c r="AU176" i="13"/>
  <c r="BL188" i="13"/>
  <c r="BN188" i="13" s="1"/>
  <c r="BD188" i="13"/>
  <c r="AU188" i="13"/>
  <c r="AP188" i="13"/>
  <c r="BH176" i="13"/>
  <c r="AZ176" i="13"/>
  <c r="AO176" i="13"/>
  <c r="V46" i="13"/>
  <c r="BK188" i="13"/>
  <c r="BC188" i="13"/>
  <c r="AS188" i="13"/>
  <c r="AQ188" i="13"/>
  <c r="BG176" i="13"/>
  <c r="AY176" i="13"/>
  <c r="AS176" i="13"/>
  <c r="BJ188" i="13"/>
  <c r="BB188" i="13"/>
  <c r="AN188" i="13"/>
  <c r="BF176" i="13"/>
  <c r="AX176" i="13"/>
  <c r="AQ176" i="13"/>
  <c r="BI188" i="13"/>
  <c r="BA188" i="13"/>
  <c r="AV188" i="13"/>
  <c r="BE176" i="13"/>
  <c r="AW176" i="13"/>
  <c r="AP176" i="13"/>
  <c r="BH188" i="13"/>
  <c r="AZ188" i="13"/>
  <c r="BL176" i="13"/>
  <c r="BM176" i="13" s="1"/>
  <c r="BQ176" i="13" s="1"/>
  <c r="BD176" i="13"/>
  <c r="AV176" i="13"/>
  <c r="BD181" i="13"/>
  <c r="AR114" i="13"/>
  <c r="K57" i="15"/>
  <c r="Y57" i="15"/>
  <c r="AW181" i="13"/>
  <c r="AZ181" i="13"/>
  <c r="BL181" i="13"/>
  <c r="BM181" i="13" s="1"/>
  <c r="BQ181" i="13" s="1"/>
  <c r="AO114" i="13"/>
  <c r="BE181" i="13"/>
  <c r="BH181" i="13"/>
  <c r="BI181" i="13"/>
  <c r="AX181" i="13"/>
  <c r="AP114" i="13"/>
  <c r="AO181" i="13"/>
  <c r="S54" i="13"/>
  <c r="V71" i="13"/>
  <c r="W71" i="13" s="1"/>
  <c r="BF181" i="13"/>
  <c r="AR181" i="13"/>
  <c r="AM181" i="13"/>
  <c r="BC181" i="13"/>
  <c r="BJ181" i="13"/>
  <c r="AS181" i="13"/>
  <c r="BB181" i="13"/>
  <c r="BG181" i="13"/>
  <c r="BK181" i="13"/>
  <c r="BA181" i="13"/>
  <c r="BH10" i="20"/>
  <c r="AQ181" i="13"/>
  <c r="W47" i="13"/>
  <c r="AN138" i="13"/>
  <c r="AP138" i="13"/>
  <c r="AO138" i="13"/>
  <c r="AR138" i="13"/>
  <c r="I58" i="15"/>
  <c r="AB57" i="15"/>
  <c r="R90" i="13"/>
  <c r="BC182" i="13"/>
  <c r="T67" i="13"/>
  <c r="H57" i="15"/>
  <c r="BL182" i="13"/>
  <c r="BM182" i="13" s="1"/>
  <c r="BQ182" i="13" s="1"/>
  <c r="X66" i="13"/>
  <c r="V66" i="13"/>
  <c r="W66" i="13" s="1"/>
  <c r="Q67" i="13"/>
  <c r="R67" i="13" s="1"/>
  <c r="AV181" i="13"/>
  <c r="AT181" i="13"/>
  <c r="AP181" i="13"/>
  <c r="AQ114" i="13"/>
  <c r="AY181" i="13"/>
  <c r="AN181" i="13"/>
  <c r="V47" i="13"/>
  <c r="E57" i="15"/>
  <c r="AO182" i="13"/>
  <c r="U57" i="15"/>
  <c r="AE57" i="15"/>
  <c r="AH57" i="15" s="1"/>
  <c r="W15" i="15"/>
  <c r="N57" i="15"/>
  <c r="Q57" i="15" s="1"/>
  <c r="O15" i="15"/>
  <c r="BI151" i="13"/>
  <c r="AB58" i="15"/>
  <c r="BH151" i="13"/>
  <c r="BA151" i="13"/>
  <c r="AZ151" i="13"/>
  <c r="AM151" i="13"/>
  <c r="U16" i="13"/>
  <c r="Z58" i="15"/>
  <c r="AX182" i="13"/>
  <c r="AN182" i="13"/>
  <c r="AT182" i="13"/>
  <c r="AZ182" i="13"/>
  <c r="AM182" i="13"/>
  <c r="BK182" i="13"/>
  <c r="AQ182" i="13"/>
  <c r="AY182" i="13"/>
  <c r="AW182" i="13"/>
  <c r="E58" i="15"/>
  <c r="AU182" i="13"/>
  <c r="K58" i="15"/>
  <c r="AV182" i="13"/>
  <c r="BE182" i="13"/>
  <c r="BA182" i="13"/>
  <c r="BG182" i="13"/>
  <c r="BJ182" i="13"/>
  <c r="BF182" i="13"/>
  <c r="AS182" i="13"/>
  <c r="BI182" i="13"/>
  <c r="U58" i="15"/>
  <c r="K73" i="15"/>
  <c r="U73" i="15"/>
  <c r="E73" i="15"/>
  <c r="BH182" i="13"/>
  <c r="BD182" i="13"/>
  <c r="AP182" i="13"/>
  <c r="BB182" i="13"/>
  <c r="V13" i="13"/>
  <c r="BG151" i="13"/>
  <c r="AY151" i="13"/>
  <c r="AN151" i="13"/>
  <c r="V7" i="13"/>
  <c r="BF151" i="13"/>
  <c r="AX151" i="13"/>
  <c r="AO151" i="13"/>
  <c r="AE73" i="15"/>
  <c r="AH73" i="15" s="1"/>
  <c r="W31" i="15"/>
  <c r="BE151" i="13"/>
  <c r="AW151" i="13"/>
  <c r="AU151" i="13"/>
  <c r="V31" i="13"/>
  <c r="BL151" i="13"/>
  <c r="BM151" i="13" s="1"/>
  <c r="BQ151" i="13" s="1"/>
  <c r="BD151" i="13"/>
  <c r="AV151" i="13"/>
  <c r="AR151" i="13"/>
  <c r="V69" i="13"/>
  <c r="W69" i="13" s="1"/>
  <c r="V16" i="13"/>
  <c r="BK151" i="13"/>
  <c r="BC151" i="13"/>
  <c r="AP151" i="13"/>
  <c r="AS151" i="13"/>
  <c r="X69" i="13"/>
  <c r="U7" i="13"/>
  <c r="AE58" i="15"/>
  <c r="AH58" i="15" s="1"/>
  <c r="W16" i="15"/>
  <c r="V39" i="13"/>
  <c r="BJ151" i="13"/>
  <c r="BB151" i="13"/>
  <c r="U39" i="13"/>
  <c r="N73" i="15"/>
  <c r="Q73" i="15" s="1"/>
  <c r="O31" i="15"/>
  <c r="N58" i="15"/>
  <c r="Q58" i="15" s="1"/>
  <c r="O16" i="15"/>
  <c r="BD133" i="13"/>
  <c r="BA133" i="13"/>
  <c r="BE133" i="13"/>
  <c r="BB133" i="13"/>
  <c r="R38" i="13"/>
  <c r="R9" i="13"/>
  <c r="BC106" i="13"/>
  <c r="BB106" i="13"/>
  <c r="Q69" i="13"/>
  <c r="R69" i="13" s="1"/>
  <c r="BD106" i="13"/>
  <c r="BA117" i="13"/>
  <c r="BD117" i="13"/>
  <c r="BB117" i="13"/>
  <c r="BC117" i="13"/>
  <c r="AQ111" i="13"/>
  <c r="AR111" i="13"/>
  <c r="V585" i="15"/>
  <c r="S75" i="13"/>
  <c r="T75" i="13" s="1"/>
  <c r="AN111" i="13"/>
  <c r="AO111" i="13"/>
  <c r="BE106" i="13"/>
  <c r="BE130" i="13"/>
  <c r="R19" i="13"/>
  <c r="U25" i="13"/>
  <c r="V25" i="13"/>
  <c r="S56" i="13"/>
  <c r="T56" i="13"/>
  <c r="V85" i="13"/>
  <c r="V17" i="13"/>
  <c r="BK178" i="13"/>
  <c r="BC178" i="13"/>
  <c r="AS178" i="13"/>
  <c r="AU178" i="13"/>
  <c r="BJ178" i="13"/>
  <c r="BB178" i="13"/>
  <c r="AQ178" i="13"/>
  <c r="BI178" i="13"/>
  <c r="BA178" i="13"/>
  <c r="AO178" i="13"/>
  <c r="R32" i="13"/>
  <c r="BH178" i="13"/>
  <c r="AZ178" i="13"/>
  <c r="AR178" i="13"/>
  <c r="BG178" i="13"/>
  <c r="AY178" i="13"/>
  <c r="AT178" i="13"/>
  <c r="BD101" i="13"/>
  <c r="BF178" i="13"/>
  <c r="AX178" i="13"/>
  <c r="AN178" i="13"/>
  <c r="BB130" i="13"/>
  <c r="BE178" i="13"/>
  <c r="AW178" i="13"/>
  <c r="AP178" i="13"/>
  <c r="BD130" i="13"/>
  <c r="S57" i="13"/>
  <c r="BL178" i="13"/>
  <c r="BM178" i="13" s="1"/>
  <c r="BQ178" i="13" s="1"/>
  <c r="BD178" i="13"/>
  <c r="AV178" i="13"/>
  <c r="BN175" i="13"/>
  <c r="BO175" i="13" s="1"/>
  <c r="AR102" i="13"/>
  <c r="AN173" i="13"/>
  <c r="X60" i="13"/>
  <c r="BG157" i="13"/>
  <c r="BI173" i="13"/>
  <c r="BA173" i="13"/>
  <c r="BA157" i="13"/>
  <c r="BH173" i="13"/>
  <c r="AZ173" i="13"/>
  <c r="AO173" i="13"/>
  <c r="V60" i="13"/>
  <c r="W60" i="13" s="1"/>
  <c r="AY157" i="13"/>
  <c r="BG173" i="13"/>
  <c r="AY173" i="13"/>
  <c r="AP173" i="13"/>
  <c r="AS157" i="13"/>
  <c r="BF173" i="13"/>
  <c r="AX173" i="13"/>
  <c r="AR173" i="13"/>
  <c r="V19" i="13"/>
  <c r="AO157" i="13"/>
  <c r="BE173" i="13"/>
  <c r="AW173" i="13"/>
  <c r="AQ173" i="13"/>
  <c r="BL173" i="13"/>
  <c r="BM173" i="13" s="1"/>
  <c r="BQ173" i="13" s="1"/>
  <c r="BD173" i="13"/>
  <c r="AV173" i="13"/>
  <c r="AS173" i="13"/>
  <c r="BK173" i="13"/>
  <c r="BC173" i="13"/>
  <c r="AU173" i="13"/>
  <c r="AT173" i="13"/>
  <c r="BI157" i="13"/>
  <c r="BJ173" i="13"/>
  <c r="BB173" i="13"/>
  <c r="Q9" i="13"/>
  <c r="BA130" i="13"/>
  <c r="AO102" i="13"/>
  <c r="AN102" i="13"/>
  <c r="AN152" i="13"/>
  <c r="BG190" i="13"/>
  <c r="R78" i="13"/>
  <c r="AY190" i="13"/>
  <c r="BI152" i="13"/>
  <c r="AR190" i="13"/>
  <c r="BA152" i="13"/>
  <c r="V82" i="13"/>
  <c r="M456" i="15"/>
  <c r="Q456" i="15" s="1"/>
  <c r="AB499" i="15" s="1"/>
  <c r="AC499" i="15" s="1"/>
  <c r="H542" i="15"/>
  <c r="L542" i="15"/>
  <c r="N542" i="15" s="1"/>
  <c r="R542" i="15"/>
  <c r="T542" i="15" s="1"/>
  <c r="P456" i="15"/>
  <c r="U499" i="15" s="1"/>
  <c r="V499" i="15" s="1"/>
  <c r="O546" i="15"/>
  <c r="Q546" i="15" s="1"/>
  <c r="O542" i="15"/>
  <c r="Q542" i="15" s="1"/>
  <c r="J546" i="15"/>
  <c r="AI589" i="15" s="1"/>
  <c r="AG589" i="15"/>
  <c r="AF589" i="15"/>
  <c r="AR150" i="13"/>
  <c r="AZ150" i="13"/>
  <c r="BK150" i="13"/>
  <c r="BH150" i="13"/>
  <c r="AW150" i="13"/>
  <c r="BE150" i="13"/>
  <c r="BF150" i="13"/>
  <c r="V579" i="15"/>
  <c r="U589" i="15"/>
  <c r="AB536" i="15"/>
  <c r="AW579" i="15" s="1"/>
  <c r="AZ579" i="15" s="1"/>
  <c r="H546" i="15"/>
  <c r="R546" i="15"/>
  <c r="T546" i="15" s="1"/>
  <c r="G546" i="15"/>
  <c r="F589" i="15" s="1"/>
  <c r="G536" i="15"/>
  <c r="F579" i="15" s="1"/>
  <c r="T504" i="15"/>
  <c r="W504" i="15" s="1"/>
  <c r="C579" i="15"/>
  <c r="D579" i="15"/>
  <c r="M449" i="15"/>
  <c r="Z492" i="15" s="1"/>
  <c r="R536" i="15"/>
  <c r="T536" i="15" s="1"/>
  <c r="L536" i="15"/>
  <c r="N536" i="15" s="1"/>
  <c r="R87" i="13"/>
  <c r="Q32" i="13"/>
  <c r="BJ148" i="13"/>
  <c r="P449" i="15"/>
  <c r="U492" i="15" s="1"/>
  <c r="V492" i="15" s="1"/>
  <c r="AX579" i="15"/>
  <c r="AY579" i="15"/>
  <c r="AS150" i="13"/>
  <c r="AP150" i="13"/>
  <c r="AM150" i="13"/>
  <c r="X579" i="15"/>
  <c r="U546" i="15"/>
  <c r="W546" i="15" s="1"/>
  <c r="AG585" i="15"/>
  <c r="AF585" i="15"/>
  <c r="J542" i="15"/>
  <c r="AI585" i="15" s="1"/>
  <c r="M461" i="15"/>
  <c r="X504" i="15" s="1"/>
  <c r="AA504" i="15" s="1"/>
  <c r="AD504" i="15" s="1"/>
  <c r="X589" i="15"/>
  <c r="AC546" i="15"/>
  <c r="AB546" i="15"/>
  <c r="AW589" i="15" s="1"/>
  <c r="AZ589" i="15" s="1"/>
  <c r="N546" i="15"/>
  <c r="X585" i="15"/>
  <c r="U542" i="15"/>
  <c r="O536" i="15"/>
  <c r="J536" i="15"/>
  <c r="K536" i="15"/>
  <c r="U536" i="15"/>
  <c r="B585" i="15"/>
  <c r="E585" i="15" s="1"/>
  <c r="M542" i="15"/>
  <c r="S542" i="15"/>
  <c r="AB542" i="15"/>
  <c r="AW585" i="15" s="1"/>
  <c r="AZ585" i="15" s="1"/>
  <c r="AC542" i="15"/>
  <c r="BF190" i="13"/>
  <c r="AX190" i="13"/>
  <c r="AO190" i="13"/>
  <c r="BE190" i="13"/>
  <c r="AW190" i="13"/>
  <c r="AS190" i="13"/>
  <c r="R34" i="13"/>
  <c r="BL190" i="13"/>
  <c r="BM190" i="13" s="1"/>
  <c r="BQ190" i="13" s="1"/>
  <c r="BD190" i="13"/>
  <c r="AV190" i="13"/>
  <c r="AM190" i="13"/>
  <c r="Q14" i="13"/>
  <c r="BK190" i="13"/>
  <c r="BC190" i="13"/>
  <c r="AU190" i="13"/>
  <c r="AN190" i="13"/>
  <c r="T61" i="13"/>
  <c r="BA147" i="13"/>
  <c r="BJ190" i="13"/>
  <c r="BB190" i="13"/>
  <c r="AT190" i="13"/>
  <c r="AN159" i="13"/>
  <c r="AN147" i="13"/>
  <c r="BI190" i="13"/>
  <c r="BA190" i="13"/>
  <c r="AP190" i="13"/>
  <c r="BH190" i="13"/>
  <c r="AZ190" i="13"/>
  <c r="AN126" i="13"/>
  <c r="AP126" i="13"/>
  <c r="AO126" i="13"/>
  <c r="BD150" i="13"/>
  <c r="AW159" i="13"/>
  <c r="BI150" i="13"/>
  <c r="AO159" i="13"/>
  <c r="AU150" i="13"/>
  <c r="AV150" i="13"/>
  <c r="AY150" i="13"/>
  <c r="AT150" i="13"/>
  <c r="Q38" i="13"/>
  <c r="BB159" i="13"/>
  <c r="BH159" i="13"/>
  <c r="BB150" i="13"/>
  <c r="BG150" i="13"/>
  <c r="AQ150" i="13"/>
  <c r="BC150" i="13"/>
  <c r="Q34" i="13"/>
  <c r="AT159" i="13"/>
  <c r="BL150" i="13"/>
  <c r="BM150" i="13" s="1"/>
  <c r="BN150" i="13" s="1"/>
  <c r="BO150" i="13" s="1"/>
  <c r="BP150" i="13" s="1"/>
  <c r="BJ150" i="13"/>
  <c r="AQ159" i="13"/>
  <c r="BL159" i="13"/>
  <c r="BM159" i="13" s="1"/>
  <c r="BQ159" i="13" s="1"/>
  <c r="AN150" i="13"/>
  <c r="AX150" i="13"/>
  <c r="BA150" i="13"/>
  <c r="AQ126" i="13"/>
  <c r="AQ102" i="13"/>
  <c r="BE148" i="13"/>
  <c r="Q6" i="13"/>
  <c r="R6" i="13"/>
  <c r="R18" i="13"/>
  <c r="R88" i="13"/>
  <c r="AN128" i="13"/>
  <c r="BA101" i="13"/>
  <c r="BB100" i="13"/>
  <c r="Q18" i="13"/>
  <c r="AQ128" i="13"/>
  <c r="AP128" i="13"/>
  <c r="AO128" i="13"/>
  <c r="BE101" i="13"/>
  <c r="V12" i="13"/>
  <c r="BG177" i="13"/>
  <c r="AV177" i="13"/>
  <c r="V9" i="13"/>
  <c r="AS149" i="13"/>
  <c r="U42" i="13"/>
  <c r="BG155" i="13"/>
  <c r="BK149" i="13"/>
  <c r="BC149" i="13"/>
  <c r="AM149" i="13"/>
  <c r="AP116" i="13"/>
  <c r="Q37" i="13"/>
  <c r="BE174" i="13"/>
  <c r="R37" i="13"/>
  <c r="R11" i="13"/>
  <c r="AR135" i="13"/>
  <c r="R31" i="13"/>
  <c r="BL177" i="13"/>
  <c r="BM177" i="13" s="1"/>
  <c r="BQ177" i="13" s="1"/>
  <c r="AP135" i="13"/>
  <c r="AO135" i="13"/>
  <c r="BD177" i="13"/>
  <c r="BB129" i="13"/>
  <c r="AY177" i="13"/>
  <c r="AN135" i="13"/>
  <c r="AN177" i="13"/>
  <c r="U9" i="13"/>
  <c r="AQ177" i="13"/>
  <c r="U31" i="13"/>
  <c r="AS159" i="13"/>
  <c r="AX159" i="13"/>
  <c r="BI148" i="13"/>
  <c r="BC101" i="13"/>
  <c r="AR148" i="13"/>
  <c r="AM148" i="13"/>
  <c r="R42" i="13"/>
  <c r="T57" i="13"/>
  <c r="AN174" i="13"/>
  <c r="AM174" i="13"/>
  <c r="R92" i="13"/>
  <c r="S60" i="13"/>
  <c r="BH152" i="13"/>
  <c r="AZ152" i="13"/>
  <c r="AU152" i="13"/>
  <c r="BG152" i="13"/>
  <c r="AY152" i="13"/>
  <c r="AQ152" i="13"/>
  <c r="BA105" i="13"/>
  <c r="BF152" i="13"/>
  <c r="AX152" i="13"/>
  <c r="AP152" i="13"/>
  <c r="BE125" i="13"/>
  <c r="BB105" i="13"/>
  <c r="BE152" i="13"/>
  <c r="AW152" i="13"/>
  <c r="AR152" i="13"/>
  <c r="U8" i="13"/>
  <c r="V8" i="13"/>
  <c r="BL152" i="13"/>
  <c r="BM152" i="13" s="1"/>
  <c r="BQ152" i="13" s="1"/>
  <c r="BD152" i="13"/>
  <c r="AV152" i="13"/>
  <c r="AM152" i="13"/>
  <c r="R15" i="13"/>
  <c r="BK152" i="13"/>
  <c r="BC152" i="13"/>
  <c r="AO152" i="13"/>
  <c r="AT152" i="13"/>
  <c r="BQ150" i="13"/>
  <c r="BI184" i="13"/>
  <c r="BJ152" i="13"/>
  <c r="BB152" i="13"/>
  <c r="BE105" i="13"/>
  <c r="AQ116" i="13"/>
  <c r="BF159" i="13"/>
  <c r="BI159" i="13"/>
  <c r="BA159" i="13"/>
  <c r="BK159" i="13"/>
  <c r="AP184" i="13"/>
  <c r="BC105" i="13"/>
  <c r="BC112" i="13"/>
  <c r="BJ159" i="13"/>
  <c r="BE159" i="13"/>
  <c r="BC159" i="13"/>
  <c r="AY159" i="13"/>
  <c r="U17" i="13"/>
  <c r="BD159" i="13"/>
  <c r="S52" i="13"/>
  <c r="BJ149" i="13"/>
  <c r="BB149" i="13"/>
  <c r="AQ149" i="13"/>
  <c r="AS164" i="13"/>
  <c r="Q46" i="13"/>
  <c r="R80" i="13"/>
  <c r="Q52" i="13"/>
  <c r="R52" i="13" s="1"/>
  <c r="BI149" i="13"/>
  <c r="BA149" i="13"/>
  <c r="AN149" i="13"/>
  <c r="AO109" i="13"/>
  <c r="BH149" i="13"/>
  <c r="AZ149" i="13"/>
  <c r="AO149" i="13"/>
  <c r="BG149" i="13"/>
  <c r="AY149" i="13"/>
  <c r="AP149" i="13"/>
  <c r="BF149" i="13"/>
  <c r="AX149" i="13"/>
  <c r="AT149" i="13"/>
  <c r="BE149" i="13"/>
  <c r="AW149" i="13"/>
  <c r="AR149" i="13"/>
  <c r="AR109" i="13"/>
  <c r="AQ109" i="13"/>
  <c r="BL149" i="13"/>
  <c r="BM149" i="13" s="1"/>
  <c r="BN149" i="13" s="1"/>
  <c r="BO149" i="13" s="1"/>
  <c r="BP149" i="13" s="1"/>
  <c r="BD149" i="13"/>
  <c r="AV149" i="13"/>
  <c r="AN109" i="13"/>
  <c r="R77" i="13"/>
  <c r="BF177" i="13"/>
  <c r="AX177" i="13"/>
  <c r="AO177" i="13"/>
  <c r="BI155" i="13"/>
  <c r="BE177" i="13"/>
  <c r="AW177" i="13"/>
  <c r="AS177" i="13"/>
  <c r="Q11" i="13"/>
  <c r="Q47" i="13"/>
  <c r="BA155" i="13"/>
  <c r="BK177" i="13"/>
  <c r="BC177" i="13"/>
  <c r="AP177" i="13"/>
  <c r="AR177" i="13"/>
  <c r="Q31" i="13"/>
  <c r="AY155" i="13"/>
  <c r="Y58" i="13"/>
  <c r="BJ177" i="13"/>
  <c r="BB177" i="13"/>
  <c r="AM177" i="13"/>
  <c r="R84" i="13"/>
  <c r="AQ155" i="13"/>
  <c r="X58" i="13"/>
  <c r="BI177" i="13"/>
  <c r="BA177" i="13"/>
  <c r="AT177" i="13"/>
  <c r="BA129" i="13"/>
  <c r="AM155" i="13"/>
  <c r="BE129" i="13"/>
  <c r="BH177" i="13"/>
  <c r="AZ177" i="13"/>
  <c r="BD129" i="13"/>
  <c r="U12" i="13"/>
  <c r="AQ112" i="13"/>
  <c r="Q41" i="13"/>
  <c r="BE100" i="13"/>
  <c r="AO112" i="13"/>
  <c r="R39" i="13"/>
  <c r="BA100" i="13"/>
  <c r="AP112" i="13"/>
  <c r="R41" i="13"/>
  <c r="BK165" i="13"/>
  <c r="BC165" i="13"/>
  <c r="BC136" i="13"/>
  <c r="G626" i="15"/>
  <c r="I626" i="15"/>
  <c r="O669" i="15" s="1"/>
  <c r="L669" i="15"/>
  <c r="T626" i="15"/>
  <c r="M669" i="15" s="1"/>
  <c r="AV159" i="13"/>
  <c r="AZ159" i="13"/>
  <c r="AM159" i="13"/>
  <c r="AP159" i="13"/>
  <c r="BG159" i="13"/>
  <c r="AU159" i="13"/>
  <c r="AN116" i="13"/>
  <c r="R14" i="13"/>
  <c r="R7" i="13"/>
  <c r="Q61" i="13"/>
  <c r="R61" i="13" s="1"/>
  <c r="X59" i="13"/>
  <c r="BA137" i="13"/>
  <c r="AQ108" i="13"/>
  <c r="AQ125" i="13"/>
  <c r="Y59" i="13"/>
  <c r="V55" i="13"/>
  <c r="W55" i="13" s="1"/>
  <c r="BC141" i="13"/>
  <c r="AP125" i="13"/>
  <c r="X55" i="13"/>
  <c r="BE137" i="13"/>
  <c r="AN125" i="13"/>
  <c r="H64" i="15"/>
  <c r="U48" i="13"/>
  <c r="BD141" i="13"/>
  <c r="BB141" i="13"/>
  <c r="AP108" i="13"/>
  <c r="W48" i="13"/>
  <c r="U35" i="13"/>
  <c r="H66" i="15"/>
  <c r="Q54" i="13"/>
  <c r="R54" i="13" s="1"/>
  <c r="V88" i="13"/>
  <c r="V35" i="13"/>
  <c r="BB137" i="13"/>
  <c r="BD137" i="13"/>
  <c r="BA141" i="13"/>
  <c r="U19" i="13"/>
  <c r="AO116" i="13"/>
  <c r="BA123" i="13"/>
  <c r="BB107" i="13"/>
  <c r="Q70" i="13"/>
  <c r="R70" i="13" s="1"/>
  <c r="AR125" i="13"/>
  <c r="V30" i="13"/>
  <c r="AU165" i="13"/>
  <c r="BB136" i="13"/>
  <c r="AP127" i="13"/>
  <c r="AT189" i="13"/>
  <c r="R23" i="13"/>
  <c r="Y54" i="13"/>
  <c r="AT165" i="13"/>
  <c r="BA136" i="13"/>
  <c r="X54" i="13"/>
  <c r="BD107" i="13"/>
  <c r="BC107" i="13"/>
  <c r="U14" i="13"/>
  <c r="BD136" i="13"/>
  <c r="BA189" i="13"/>
  <c r="V20" i="13"/>
  <c r="R85" i="13"/>
  <c r="AQ101" i="13"/>
  <c r="AP101" i="13"/>
  <c r="AO101" i="13"/>
  <c r="AR101" i="13"/>
  <c r="BE107" i="13"/>
  <c r="V14" i="13"/>
  <c r="V43" i="13"/>
  <c r="U43" i="13"/>
  <c r="Y67" i="15"/>
  <c r="D66" i="15"/>
  <c r="D67" i="15"/>
  <c r="AN189" i="13"/>
  <c r="AP189" i="13"/>
  <c r="BB189" i="13"/>
  <c r="BI189" i="13"/>
  <c r="U24" i="13"/>
  <c r="AW189" i="13"/>
  <c r="AY189" i="13"/>
  <c r="BJ189" i="13"/>
  <c r="V86" i="13"/>
  <c r="AN131" i="13"/>
  <c r="AO127" i="13"/>
  <c r="BE189" i="13"/>
  <c r="BG189" i="13"/>
  <c r="AQ189" i="13"/>
  <c r="V24" i="13"/>
  <c r="U20" i="13"/>
  <c r="AQ131" i="13"/>
  <c r="AM189" i="13"/>
  <c r="AU189" i="13"/>
  <c r="T70" i="13"/>
  <c r="U30" i="13"/>
  <c r="AV189" i="13"/>
  <c r="AR189" i="13"/>
  <c r="AZ189" i="13"/>
  <c r="BC189" i="13"/>
  <c r="BD189" i="13"/>
  <c r="AX189" i="13"/>
  <c r="BH189" i="13"/>
  <c r="BK189" i="13"/>
  <c r="AO131" i="13"/>
  <c r="AR131" i="13"/>
  <c r="BL189" i="13"/>
  <c r="BM189" i="13" s="1"/>
  <c r="BQ189" i="13" s="1"/>
  <c r="BF189" i="13"/>
  <c r="AS189" i="13"/>
  <c r="R16" i="13"/>
  <c r="BK147" i="13"/>
  <c r="AZ147" i="13"/>
  <c r="BD174" i="13"/>
  <c r="AT174" i="13"/>
  <c r="BC125" i="13"/>
  <c r="AQ184" i="13"/>
  <c r="AS184" i="13"/>
  <c r="BC184" i="13"/>
  <c r="AV184" i="13"/>
  <c r="BJ147" i="13"/>
  <c r="AY147" i="13"/>
  <c r="BL174" i="13"/>
  <c r="BM174" i="13" s="1"/>
  <c r="BQ174" i="13" s="1"/>
  <c r="BC174" i="13"/>
  <c r="AV174" i="13"/>
  <c r="BF179" i="13"/>
  <c r="AX184" i="13"/>
  <c r="AZ184" i="13"/>
  <c r="BK184" i="13"/>
  <c r="BI147" i="13"/>
  <c r="AO147" i="13"/>
  <c r="BK174" i="13"/>
  <c r="BB174" i="13"/>
  <c r="AS174" i="13"/>
  <c r="AX179" i="13"/>
  <c r="BA125" i="13"/>
  <c r="BF184" i="13"/>
  <c r="BH184" i="13"/>
  <c r="AU184" i="13"/>
  <c r="AM184" i="13"/>
  <c r="BB112" i="13"/>
  <c r="BH147" i="13"/>
  <c r="AQ147" i="13"/>
  <c r="BJ174" i="13"/>
  <c r="AZ174" i="13"/>
  <c r="AU174" i="13"/>
  <c r="AW179" i="13"/>
  <c r="BB125" i="13"/>
  <c r="AO141" i="13"/>
  <c r="BB184" i="13"/>
  <c r="BG147" i="13"/>
  <c r="AM147" i="13"/>
  <c r="BH174" i="13"/>
  <c r="AY174" i="13"/>
  <c r="AP174" i="13"/>
  <c r="AQ141" i="13"/>
  <c r="AW184" i="13"/>
  <c r="AO184" i="13"/>
  <c r="BJ184" i="13"/>
  <c r="BD184" i="13"/>
  <c r="BC147" i="13"/>
  <c r="AU147" i="13"/>
  <c r="BG174" i="13"/>
  <c r="AX174" i="13"/>
  <c r="AQ174" i="13"/>
  <c r="BE184" i="13"/>
  <c r="AY184" i="13"/>
  <c r="AN184" i="13"/>
  <c r="BL184" i="13"/>
  <c r="R10" i="13"/>
  <c r="Q10" i="13"/>
  <c r="BB147" i="13"/>
  <c r="AR147" i="13"/>
  <c r="BF174" i="13"/>
  <c r="AW174" i="13"/>
  <c r="AR174" i="13"/>
  <c r="BG184" i="13"/>
  <c r="BA184" i="13"/>
  <c r="AT184" i="13"/>
  <c r="BJ165" i="13"/>
  <c r="BB165" i="13"/>
  <c r="AN165" i="13"/>
  <c r="BI165" i="13"/>
  <c r="BA165" i="13"/>
  <c r="AM165" i="13"/>
  <c r="R93" i="13"/>
  <c r="BH165" i="13"/>
  <c r="AZ165" i="13"/>
  <c r="AP165" i="13"/>
  <c r="BG165" i="13"/>
  <c r="AY165" i="13"/>
  <c r="AS165" i="13"/>
  <c r="V65" i="15"/>
  <c r="V89" i="13"/>
  <c r="BF165" i="13"/>
  <c r="AX165" i="13"/>
  <c r="AO165" i="13"/>
  <c r="BE165" i="13"/>
  <c r="AW165" i="13"/>
  <c r="AQ165" i="13"/>
  <c r="BL165" i="13"/>
  <c r="BM165" i="13" s="1"/>
  <c r="BQ165" i="13" s="1"/>
  <c r="BD165" i="13"/>
  <c r="AV165" i="13"/>
  <c r="BE112" i="13"/>
  <c r="BA112" i="13"/>
  <c r="BE179" i="13"/>
  <c r="AU179" i="13"/>
  <c r="AS179" i="13"/>
  <c r="Q60" i="13"/>
  <c r="R60" i="13" s="1"/>
  <c r="BF147" i="13"/>
  <c r="AX147" i="13"/>
  <c r="AS147" i="13"/>
  <c r="BI174" i="13"/>
  <c r="BA174" i="13"/>
  <c r="BL179" i="13"/>
  <c r="BM179" i="13" s="1"/>
  <c r="BQ179" i="13" s="1"/>
  <c r="BD179" i="13"/>
  <c r="AN179" i="13"/>
  <c r="AT179" i="13"/>
  <c r="AO133" i="13"/>
  <c r="BE147" i="13"/>
  <c r="AW147" i="13"/>
  <c r="AT147" i="13"/>
  <c r="BK179" i="13"/>
  <c r="BC179" i="13"/>
  <c r="AP179" i="13"/>
  <c r="AQ179" i="13"/>
  <c r="BL147" i="13"/>
  <c r="BM147" i="13" s="1"/>
  <c r="BQ147" i="13" s="1"/>
  <c r="BD147" i="13"/>
  <c r="AV147" i="13"/>
  <c r="BJ179" i="13"/>
  <c r="BB179" i="13"/>
  <c r="AM179" i="13"/>
  <c r="BA113" i="13"/>
  <c r="AP141" i="13"/>
  <c r="BI179" i="13"/>
  <c r="BA179" i="13"/>
  <c r="AV179" i="13"/>
  <c r="BH179" i="13"/>
  <c r="AZ179" i="13"/>
  <c r="AO179" i="13"/>
  <c r="BD113" i="13"/>
  <c r="AN141" i="13"/>
  <c r="BG179" i="13"/>
  <c r="AY179" i="13"/>
  <c r="S69" i="13"/>
  <c r="BD148" i="13"/>
  <c r="AQ148" i="13"/>
  <c r="AU148" i="13"/>
  <c r="AZ148" i="13"/>
  <c r="BL148" i="13"/>
  <c r="BM148" i="13" s="1"/>
  <c r="BQ148" i="13" s="1"/>
  <c r="BF148" i="13"/>
  <c r="BH148" i="13"/>
  <c r="AT148" i="13"/>
  <c r="BG148" i="13"/>
  <c r="AN132" i="13"/>
  <c r="BC148" i="13"/>
  <c r="BK148" i="13"/>
  <c r="R79" i="13"/>
  <c r="AO148" i="13"/>
  <c r="E65" i="15"/>
  <c r="V93" i="13"/>
  <c r="J180" i="15"/>
  <c r="N226" i="15" s="1"/>
  <c r="O226" i="15" s="1"/>
  <c r="M180" i="15"/>
  <c r="L226" i="15" s="1"/>
  <c r="L180" i="15"/>
  <c r="E226" i="15" s="1"/>
  <c r="Q180" i="15"/>
  <c r="S226" i="15" s="1"/>
  <c r="AI226" i="15" s="1"/>
  <c r="BH155" i="13"/>
  <c r="AZ155" i="13"/>
  <c r="AN155" i="13"/>
  <c r="BH157" i="13"/>
  <c r="AZ157" i="13"/>
  <c r="AN157" i="13"/>
  <c r="AM164" i="13"/>
  <c r="S47" i="13"/>
  <c r="BF155" i="13"/>
  <c r="AX155" i="13"/>
  <c r="AO155" i="13"/>
  <c r="BF157" i="13"/>
  <c r="AX157" i="13"/>
  <c r="AP157" i="13"/>
  <c r="BL164" i="13"/>
  <c r="BM164" i="13" s="1"/>
  <c r="BN164" i="13" s="1"/>
  <c r="BO164" i="13" s="1"/>
  <c r="BP164" i="13" s="1"/>
  <c r="P180" i="15"/>
  <c r="AE226" i="15" s="1"/>
  <c r="AG226" i="15" s="1"/>
  <c r="R46" i="13"/>
  <c r="BE155" i="13"/>
  <c r="AR155" i="13"/>
  <c r="AV155" i="13"/>
  <c r="BE157" i="13"/>
  <c r="AW157" i="13"/>
  <c r="AU157" i="13"/>
  <c r="BI164" i="13"/>
  <c r="V29" i="13"/>
  <c r="BL155" i="13"/>
  <c r="BM155" i="13" s="1"/>
  <c r="BN155" i="13" s="1"/>
  <c r="BO155" i="13" s="1"/>
  <c r="BP155" i="13" s="1"/>
  <c r="BD155" i="13"/>
  <c r="AS155" i="13"/>
  <c r="AU155" i="13"/>
  <c r="BL157" i="13"/>
  <c r="BM157" i="13" s="1"/>
  <c r="BN157" i="13" s="1"/>
  <c r="BO157" i="13" s="1"/>
  <c r="BP157" i="13" s="1"/>
  <c r="BD157" i="13"/>
  <c r="AV157" i="13"/>
  <c r="AT157" i="13"/>
  <c r="BD164" i="13"/>
  <c r="K67" i="15"/>
  <c r="AQ117" i="13"/>
  <c r="R180" i="15"/>
  <c r="V226" i="15" s="1"/>
  <c r="S180" i="15"/>
  <c r="AC226" i="15" s="1"/>
  <c r="BK155" i="13"/>
  <c r="BC155" i="13"/>
  <c r="AP155" i="13"/>
  <c r="AW155" i="13"/>
  <c r="BK157" i="13"/>
  <c r="BC157" i="13"/>
  <c r="AM157" i="13"/>
  <c r="AR157" i="13"/>
  <c r="BA164" i="13"/>
  <c r="K180" i="15"/>
  <c r="B226" i="15" s="1"/>
  <c r="R226" i="15" s="1"/>
  <c r="BJ155" i="13"/>
  <c r="BB155" i="13"/>
  <c r="BJ157" i="13"/>
  <c r="BB157" i="13"/>
  <c r="AQ164" i="13"/>
  <c r="Q42" i="13"/>
  <c r="H53" i="15"/>
  <c r="L66" i="15"/>
  <c r="BK164" i="13"/>
  <c r="BC164" i="13"/>
  <c r="AO164" i="13"/>
  <c r="AN164" i="13"/>
  <c r="AO117" i="13"/>
  <c r="BJ164" i="13"/>
  <c r="BB164" i="13"/>
  <c r="AR164" i="13"/>
  <c r="AR117" i="13"/>
  <c r="Q15" i="13"/>
  <c r="Q39" i="13"/>
  <c r="AQ107" i="13"/>
  <c r="AQ99" i="13"/>
  <c r="BH164" i="13"/>
  <c r="AZ164" i="13"/>
  <c r="AP164" i="13"/>
  <c r="AN117" i="13"/>
  <c r="AR107" i="13"/>
  <c r="BG164" i="13"/>
  <c r="AY164" i="13"/>
  <c r="AT164" i="13"/>
  <c r="AQ100" i="13"/>
  <c r="AO107" i="13"/>
  <c r="BF164" i="13"/>
  <c r="AX164" i="13"/>
  <c r="AU164" i="13"/>
  <c r="AR100" i="13"/>
  <c r="AN107" i="13"/>
  <c r="BE164" i="13"/>
  <c r="AW164" i="13"/>
  <c r="AP100" i="13"/>
  <c r="BA124" i="13"/>
  <c r="V83" i="13"/>
  <c r="AQ127" i="13"/>
  <c r="Q7" i="13"/>
  <c r="BK183" i="13"/>
  <c r="U53" i="15"/>
  <c r="AV183" i="13"/>
  <c r="AX148" i="13"/>
  <c r="AR136" i="13"/>
  <c r="AW148" i="13"/>
  <c r="AQ133" i="13"/>
  <c r="AN127" i="13"/>
  <c r="AP99" i="13"/>
  <c r="BA148" i="13"/>
  <c r="BB148" i="13"/>
  <c r="AN148" i="13"/>
  <c r="AO100" i="13"/>
  <c r="AV148" i="13"/>
  <c r="AP148" i="13"/>
  <c r="AO108" i="13"/>
  <c r="AR108" i="13"/>
  <c r="AY148" i="13"/>
  <c r="AR99" i="13"/>
  <c r="R89" i="13"/>
  <c r="AS183" i="13"/>
  <c r="BE183" i="13"/>
  <c r="BC124" i="13"/>
  <c r="AW183" i="13"/>
  <c r="BD183" i="13"/>
  <c r="AX183" i="13"/>
  <c r="U29" i="13"/>
  <c r="BD124" i="13"/>
  <c r="BB123" i="13"/>
  <c r="I65" i="15"/>
  <c r="AB53" i="15"/>
  <c r="H68" i="15"/>
  <c r="K65" i="15"/>
  <c r="Z64" i="15"/>
  <c r="L53" i="15"/>
  <c r="Z66" i="15"/>
  <c r="I67" i="15"/>
  <c r="V66" i="15"/>
  <c r="E53" i="15"/>
  <c r="AR132" i="13"/>
  <c r="AO132" i="13"/>
  <c r="AQ132" i="13"/>
  <c r="BC142" i="13"/>
  <c r="BB108" i="13"/>
  <c r="BD108" i="13"/>
  <c r="V32" i="13"/>
  <c r="BE142" i="13"/>
  <c r="BA108" i="13"/>
  <c r="R76" i="13"/>
  <c r="Y53" i="15"/>
  <c r="U67" i="15"/>
  <c r="U32" i="13"/>
  <c r="BE134" i="13"/>
  <c r="BC134" i="13"/>
  <c r="BB134" i="13"/>
  <c r="Q23" i="13"/>
  <c r="Q19" i="13"/>
  <c r="BB110" i="13"/>
  <c r="BE110" i="13"/>
  <c r="BA110" i="13"/>
  <c r="BC110" i="13"/>
  <c r="BD110" i="13"/>
  <c r="AP137" i="13"/>
  <c r="BD134" i="13"/>
  <c r="S33" i="13"/>
  <c r="Q33" i="13"/>
  <c r="Y65" i="15"/>
  <c r="AB65" i="15"/>
  <c r="AB67" i="15"/>
  <c r="E61" i="15"/>
  <c r="K59" i="15"/>
  <c r="AC66" i="15"/>
  <c r="W24" i="15"/>
  <c r="W11" i="15"/>
  <c r="BB124" i="13"/>
  <c r="AP133" i="13"/>
  <c r="AR124" i="13"/>
  <c r="AO124" i="13"/>
  <c r="AN124" i="13"/>
  <c r="AR133" i="13"/>
  <c r="AN99" i="13"/>
  <c r="AQ124" i="13"/>
  <c r="BB183" i="13"/>
  <c r="BG183" i="13"/>
  <c r="W25" i="15"/>
  <c r="BE113" i="13"/>
  <c r="V94" i="13"/>
  <c r="Q16" i="13"/>
  <c r="AR112" i="13"/>
  <c r="BC108" i="13"/>
  <c r="BC113" i="13"/>
  <c r="AE65" i="15"/>
  <c r="AH65" i="15" s="1"/>
  <c r="W23" i="15"/>
  <c r="N66" i="15"/>
  <c r="Q66" i="15" s="1"/>
  <c r="O24" i="15"/>
  <c r="W22" i="15"/>
  <c r="AG64" i="15" s="1"/>
  <c r="O26" i="15"/>
  <c r="P68" i="15" s="1"/>
  <c r="O22" i="15"/>
  <c r="O64" i="15" s="1"/>
  <c r="AN137" i="13"/>
  <c r="N65" i="15"/>
  <c r="Q65" i="15" s="1"/>
  <c r="O23" i="15"/>
  <c r="W10" i="15"/>
  <c r="AG52" i="15" s="1"/>
  <c r="N67" i="15"/>
  <c r="Q67" i="15" s="1"/>
  <c r="O25" i="15"/>
  <c r="AO137" i="13"/>
  <c r="N53" i="15"/>
  <c r="Q53" i="15" s="1"/>
  <c r="O11" i="15"/>
  <c r="AT183" i="13"/>
  <c r="AR183" i="13"/>
  <c r="BA183" i="13"/>
  <c r="AQ183" i="13"/>
  <c r="BL183" i="13"/>
  <c r="AU183" i="13"/>
  <c r="BI183" i="13"/>
  <c r="BC183" i="13"/>
  <c r="AY183" i="13"/>
  <c r="BJ183" i="13"/>
  <c r="AP183" i="13"/>
  <c r="AO183" i="13"/>
  <c r="S30" i="13"/>
  <c r="Q30" i="13"/>
  <c r="S29" i="13"/>
  <c r="Q29" i="13"/>
  <c r="BD142" i="13"/>
  <c r="BA142" i="13"/>
  <c r="AR137" i="13"/>
  <c r="V18" i="13"/>
  <c r="BA109" i="13"/>
  <c r="BD109" i="13"/>
  <c r="X53" i="13"/>
  <c r="AQ136" i="13"/>
  <c r="AP136" i="13"/>
  <c r="AM183" i="13"/>
  <c r="AN183" i="13"/>
  <c r="AZ183" i="13"/>
  <c r="BH183" i="13"/>
  <c r="Y53" i="13"/>
  <c r="BE109" i="13"/>
  <c r="U18" i="13"/>
  <c r="W87" i="13"/>
  <c r="X87" i="13" s="1"/>
  <c r="V87" i="13"/>
  <c r="AO136" i="13"/>
  <c r="BB109" i="13"/>
  <c r="AC59" i="15"/>
  <c r="U51" i="15"/>
  <c r="Y59" i="15"/>
  <c r="BA102" i="13"/>
  <c r="BE123" i="13"/>
  <c r="AN129" i="13"/>
  <c r="BD123" i="13"/>
  <c r="H54" i="15"/>
  <c r="E59" i="15"/>
  <c r="Y51" i="15"/>
  <c r="V59" i="15"/>
  <c r="D62" i="15"/>
  <c r="H59" i="15"/>
  <c r="N62" i="15"/>
  <c r="Q62" i="15" s="1"/>
  <c r="BA99" i="13"/>
  <c r="W40" i="13"/>
  <c r="U40" i="13"/>
  <c r="S20" i="13"/>
  <c r="Q20" i="13"/>
  <c r="P62" i="15"/>
  <c r="O62" i="15"/>
  <c r="V78" i="13"/>
  <c r="O17" i="15"/>
  <c r="V64" i="13"/>
  <c r="W64" i="13" s="1"/>
  <c r="X64" i="13"/>
  <c r="AE59" i="15"/>
  <c r="AH59" i="15" s="1"/>
  <c r="W17" i="15"/>
  <c r="AC51" i="15"/>
  <c r="BD100" i="13"/>
  <c r="Y54" i="15"/>
  <c r="H61" i="15"/>
  <c r="K54" i="15"/>
  <c r="V76" i="13"/>
  <c r="V15" i="13"/>
  <c r="V38" i="13"/>
  <c r="AM180" i="13"/>
  <c r="AS171" i="13"/>
  <c r="AP129" i="13"/>
  <c r="I51" i="15"/>
  <c r="V54" i="15"/>
  <c r="R43" i="13"/>
  <c r="AO129" i="13"/>
  <c r="R81" i="13"/>
  <c r="BD102" i="13"/>
  <c r="AV180" i="13"/>
  <c r="AQ129" i="13"/>
  <c r="BD161" i="13"/>
  <c r="Q58" i="13"/>
  <c r="R58" i="13" s="1"/>
  <c r="S58" i="13"/>
  <c r="T58" i="13"/>
  <c r="AU153" i="13"/>
  <c r="AW153" i="13"/>
  <c r="BE153" i="13"/>
  <c r="AS153" i="13"/>
  <c r="AX153" i="13"/>
  <c r="BF153" i="13"/>
  <c r="AR153" i="13"/>
  <c r="AY153" i="13"/>
  <c r="BG153" i="13"/>
  <c r="AT153" i="13"/>
  <c r="AZ153" i="13"/>
  <c r="BH153" i="13"/>
  <c r="AO153" i="13"/>
  <c r="BA153" i="13"/>
  <c r="BI153" i="13"/>
  <c r="AP153" i="13"/>
  <c r="BB153" i="13"/>
  <c r="BJ153" i="13"/>
  <c r="AQ153" i="13"/>
  <c r="AN153" i="13"/>
  <c r="BC153" i="13"/>
  <c r="BK153" i="13"/>
  <c r="AM153" i="13"/>
  <c r="AV153" i="13"/>
  <c r="BD153" i="13"/>
  <c r="BL153" i="13"/>
  <c r="BM153" i="13" s="1"/>
  <c r="BE99" i="13"/>
  <c r="BD99" i="13"/>
  <c r="AN161" i="13"/>
  <c r="U15" i="13"/>
  <c r="S12" i="13"/>
  <c r="Q12" i="13"/>
  <c r="S35" i="13"/>
  <c r="Q35" i="13"/>
  <c r="BB102" i="13"/>
  <c r="BC102" i="13"/>
  <c r="BB99" i="13"/>
  <c r="AT180" i="13"/>
  <c r="AY161" i="13"/>
  <c r="E54" i="15"/>
  <c r="AC54" i="15"/>
  <c r="AR171" i="13"/>
  <c r="AP161" i="13"/>
  <c r="AO161" i="13"/>
  <c r="AN180" i="13"/>
  <c r="BE180" i="13"/>
  <c r="AX180" i="13"/>
  <c r="BC171" i="13"/>
  <c r="AQ171" i="13"/>
  <c r="AM161" i="13"/>
  <c r="BB161" i="13"/>
  <c r="BK161" i="13"/>
  <c r="BD180" i="13"/>
  <c r="BF180" i="13"/>
  <c r="AX171" i="13"/>
  <c r="BA161" i="13"/>
  <c r="BL180" i="13"/>
  <c r="U76" i="15"/>
  <c r="AV171" i="13"/>
  <c r="AW171" i="13"/>
  <c r="BH161" i="13"/>
  <c r="AV161" i="13"/>
  <c r="BG161" i="13"/>
  <c r="AY180" i="13"/>
  <c r="AW180" i="13"/>
  <c r="U38" i="13"/>
  <c r="BL171" i="13"/>
  <c r="BM171" i="13" s="1"/>
  <c r="BQ171" i="13" s="1"/>
  <c r="BE171" i="13"/>
  <c r="AN171" i="13"/>
  <c r="AR161" i="13"/>
  <c r="AX161" i="13"/>
  <c r="BG180" i="13"/>
  <c r="AZ180" i="13"/>
  <c r="AC60" i="15"/>
  <c r="BG171" i="13"/>
  <c r="AU161" i="13"/>
  <c r="BF161" i="13"/>
  <c r="AP180" i="13"/>
  <c r="W9" i="15"/>
  <c r="E51" i="15"/>
  <c r="L51" i="15"/>
  <c r="BD132" i="13"/>
  <c r="BC132" i="13"/>
  <c r="BB132" i="13"/>
  <c r="BA132" i="13"/>
  <c r="BE132" i="13"/>
  <c r="W84" i="13"/>
  <c r="X84" i="13" s="1"/>
  <c r="V84" i="13"/>
  <c r="N54" i="15"/>
  <c r="Q54" i="15" s="1"/>
  <c r="O12" i="15"/>
  <c r="N51" i="15"/>
  <c r="Q51" i="15" s="1"/>
  <c r="O9" i="15"/>
  <c r="AS180" i="13"/>
  <c r="BB180" i="13"/>
  <c r="BC180" i="13"/>
  <c r="BI180" i="13"/>
  <c r="AR180" i="13"/>
  <c r="BJ180" i="13"/>
  <c r="AQ180" i="13"/>
  <c r="BK180" i="13"/>
  <c r="AO180" i="13"/>
  <c r="AU180" i="13"/>
  <c r="BA180" i="13"/>
  <c r="AE54" i="15"/>
  <c r="AH54" i="15" s="1"/>
  <c r="W12" i="15"/>
  <c r="O8" i="15"/>
  <c r="P50" i="15" s="1"/>
  <c r="Q43" i="13"/>
  <c r="BK171" i="13"/>
  <c r="AY171" i="13"/>
  <c r="AZ161" i="13"/>
  <c r="BI161" i="13"/>
  <c r="BJ161" i="13"/>
  <c r="BC161" i="13"/>
  <c r="BL161" i="13"/>
  <c r="BM161" i="13" s="1"/>
  <c r="BD171" i="13"/>
  <c r="AO171" i="13"/>
  <c r="K63" i="15"/>
  <c r="V61" i="15"/>
  <c r="H62" i="15"/>
  <c r="V63" i="15"/>
  <c r="H63" i="15"/>
  <c r="Y63" i="15"/>
  <c r="Y62" i="15"/>
  <c r="Y61" i="15"/>
  <c r="L62" i="15"/>
  <c r="V75" i="13"/>
  <c r="W44" i="13"/>
  <c r="U44" i="13"/>
  <c r="BB135" i="13"/>
  <c r="BA135" i="13"/>
  <c r="BD135" i="13"/>
  <c r="BE135" i="13"/>
  <c r="BC135" i="13"/>
  <c r="W90" i="13"/>
  <c r="X90" i="13" s="1"/>
  <c r="V90" i="13"/>
  <c r="AR113" i="13"/>
  <c r="AO113" i="13"/>
  <c r="AN113" i="13"/>
  <c r="AP113" i="13"/>
  <c r="AQ113" i="13"/>
  <c r="AU186" i="13"/>
  <c r="AX186" i="13"/>
  <c r="BF186" i="13"/>
  <c r="AO186" i="13"/>
  <c r="AY186" i="13"/>
  <c r="BG186" i="13"/>
  <c r="AS186" i="13"/>
  <c r="AZ186" i="13"/>
  <c r="BH186" i="13"/>
  <c r="AN186" i="13"/>
  <c r="BA186" i="13"/>
  <c r="BI186" i="13"/>
  <c r="AP186" i="13"/>
  <c r="BB186" i="13"/>
  <c r="BJ186" i="13"/>
  <c r="AT186" i="13"/>
  <c r="AM186" i="13"/>
  <c r="BC186" i="13"/>
  <c r="BK186" i="13"/>
  <c r="AR186" i="13"/>
  <c r="AV186" i="13"/>
  <c r="BD186" i="13"/>
  <c r="BL186" i="13"/>
  <c r="AQ186" i="13"/>
  <c r="AW186" i="13"/>
  <c r="BE186" i="13"/>
  <c r="AP171" i="13"/>
  <c r="BI171" i="13"/>
  <c r="AU171" i="13"/>
  <c r="BJ171" i="13"/>
  <c r="AM171" i="13"/>
  <c r="AT171" i="13"/>
  <c r="AZ171" i="13"/>
  <c r="BA171" i="13"/>
  <c r="BB171" i="13"/>
  <c r="BH171" i="13"/>
  <c r="BE138" i="13"/>
  <c r="BC138" i="13"/>
  <c r="BB138" i="13"/>
  <c r="BA138" i="13"/>
  <c r="BD138" i="13"/>
  <c r="Y67" i="13"/>
  <c r="X67" i="13"/>
  <c r="V67" i="13"/>
  <c r="W67" i="13" s="1"/>
  <c r="W6" i="13"/>
  <c r="U6" i="13"/>
  <c r="W21" i="13"/>
  <c r="U21" i="13"/>
  <c r="AT161" i="13"/>
  <c r="AW161" i="13"/>
  <c r="AS161" i="13"/>
  <c r="BE161" i="13"/>
  <c r="BA114" i="13"/>
  <c r="BD114" i="13"/>
  <c r="BC114" i="13"/>
  <c r="BE114" i="13"/>
  <c r="BB114" i="13"/>
  <c r="W41" i="13"/>
  <c r="U41" i="13"/>
  <c r="S76" i="15"/>
  <c r="AI76" i="15" s="1"/>
  <c r="E63" i="15"/>
  <c r="AB62" i="15"/>
  <c r="U68" i="15"/>
  <c r="L61" i="15"/>
  <c r="AC63" i="15"/>
  <c r="U62" i="15"/>
  <c r="W19" i="15"/>
  <c r="AE62" i="15"/>
  <c r="AH62" i="15" s="1"/>
  <c r="W20" i="15"/>
  <c r="AE63" i="15"/>
  <c r="AH63" i="15" s="1"/>
  <c r="W21" i="15"/>
  <c r="AC61" i="15"/>
  <c r="O21" i="15"/>
  <c r="B80" i="15"/>
  <c r="R80" i="15" s="1"/>
  <c r="N61" i="15"/>
  <c r="Q61" i="15" s="1"/>
  <c r="O19" i="15"/>
  <c r="O18" i="15"/>
  <c r="P60" i="15" s="1"/>
  <c r="K60" i="15"/>
  <c r="AE68" i="15"/>
  <c r="AH68" i="15" s="1"/>
  <c r="CF5" i="17"/>
  <c r="CG10" i="17" s="1"/>
  <c r="H48" i="15"/>
  <c r="D48" i="15"/>
  <c r="D50" i="15"/>
  <c r="Y50" i="15"/>
  <c r="L50" i="15"/>
  <c r="U50" i="15"/>
  <c r="U48" i="15"/>
  <c r="I50" i="15"/>
  <c r="Y48" i="15"/>
  <c r="N52" i="15"/>
  <c r="Q52" i="15" s="1"/>
  <c r="L48" i="15"/>
  <c r="AB50" i="15"/>
  <c r="K49" i="15"/>
  <c r="AC52" i="15"/>
  <c r="AB48" i="15"/>
  <c r="I47" i="15"/>
  <c r="N47" i="15"/>
  <c r="Q47" i="15" s="1"/>
  <c r="K52" i="15"/>
  <c r="U49" i="15"/>
  <c r="U80" i="15"/>
  <c r="L47" i="15"/>
  <c r="O6" i="15"/>
  <c r="P48" i="15" s="1"/>
  <c r="W8" i="15"/>
  <c r="AG50" i="15" s="1"/>
  <c r="AC56" i="15"/>
  <c r="L56" i="15"/>
  <c r="AC47" i="15"/>
  <c r="AB47" i="15"/>
  <c r="D76" i="15"/>
  <c r="B76" i="15"/>
  <c r="R76" i="15" s="1"/>
  <c r="D47" i="15"/>
  <c r="AE48" i="15"/>
  <c r="AH48" i="15" s="1"/>
  <c r="W6" i="15"/>
  <c r="V72" i="15"/>
  <c r="S80" i="15"/>
  <c r="AI80" i="15" s="1"/>
  <c r="B72" i="15"/>
  <c r="R72" i="15" s="1"/>
  <c r="K64" i="15"/>
  <c r="B68" i="15"/>
  <c r="R68" i="15" s="1"/>
  <c r="S85" i="15"/>
  <c r="AI85" i="15" s="1"/>
  <c r="D52" i="15"/>
  <c r="U56" i="15"/>
  <c r="L85" i="15"/>
  <c r="E68" i="15"/>
  <c r="AB64" i="15"/>
  <c r="AB85" i="15"/>
  <c r="AE76" i="15"/>
  <c r="AH76" i="15" s="1"/>
  <c r="Z47" i="15"/>
  <c r="Y49" i="15"/>
  <c r="E47" i="15"/>
  <c r="CF23" i="17"/>
  <c r="CF21" i="17"/>
  <c r="CF22" i="17"/>
  <c r="CG24" i="17"/>
  <c r="CG23" i="17"/>
  <c r="CG21" i="17"/>
  <c r="CG22" i="17"/>
  <c r="L60" i="15"/>
  <c r="Y68" i="15"/>
  <c r="D68" i="15"/>
  <c r="L68" i="15"/>
  <c r="K47" i="15"/>
  <c r="V47" i="15"/>
  <c r="Y56" i="15"/>
  <c r="L64" i="15"/>
  <c r="N64" i="15"/>
  <c r="Q64" i="15" s="1"/>
  <c r="N60" i="15"/>
  <c r="Q60" i="15" s="1"/>
  <c r="N80" i="15"/>
  <c r="Q80" i="15" s="1"/>
  <c r="I85" i="15"/>
  <c r="E76" i="15"/>
  <c r="AE52" i="15"/>
  <c r="AH52" i="15" s="1"/>
  <c r="Y52" i="15"/>
  <c r="I52" i="15"/>
  <c r="W43" i="15"/>
  <c r="AG85" i="15" s="1"/>
  <c r="U264" i="15"/>
  <c r="E60" i="15"/>
  <c r="D64" i="15"/>
  <c r="K85" i="15"/>
  <c r="H49" i="15"/>
  <c r="AE64" i="15"/>
  <c r="AH64" i="15" s="1"/>
  <c r="J233" i="15"/>
  <c r="M233" i="15" s="1"/>
  <c r="AB255" i="15"/>
  <c r="H233" i="15"/>
  <c r="Y82" i="15"/>
  <c r="AC64" i="15"/>
  <c r="D171" i="15"/>
  <c r="G171" i="15" s="1"/>
  <c r="AC85" i="15"/>
  <c r="D233" i="15"/>
  <c r="K68" i="15"/>
  <c r="N72" i="15"/>
  <c r="Q72" i="15" s="1"/>
  <c r="U60" i="15"/>
  <c r="V56" i="15"/>
  <c r="Y60" i="15"/>
  <c r="U64" i="15"/>
  <c r="H80" i="15"/>
  <c r="Y254" i="15"/>
  <c r="W34" i="15"/>
  <c r="AF76" i="15" s="1"/>
  <c r="AA254" i="15"/>
  <c r="AD254" i="15" s="1"/>
  <c r="N68" i="15"/>
  <c r="Q68" i="15" s="1"/>
  <c r="O80" i="15"/>
  <c r="K56" i="15"/>
  <c r="AB56" i="15"/>
  <c r="V49" i="15"/>
  <c r="I56" i="15"/>
  <c r="H60" i="15"/>
  <c r="D56" i="15"/>
  <c r="L49" i="15"/>
  <c r="S68" i="15"/>
  <c r="AI68" i="15" s="1"/>
  <c r="W26" i="15"/>
  <c r="K82" i="15"/>
  <c r="L82" i="15"/>
  <c r="AC80" i="15"/>
  <c r="AB80" i="15"/>
  <c r="N82" i="15"/>
  <c r="Q82" i="15" s="1"/>
  <c r="O40" i="15"/>
  <c r="L80" i="15"/>
  <c r="K80" i="15"/>
  <c r="E52" i="15"/>
  <c r="AC76" i="15"/>
  <c r="AB76" i="15"/>
  <c r="AC68" i="15"/>
  <c r="E82" i="15"/>
  <c r="AG250" i="15"/>
  <c r="AF250" i="15"/>
  <c r="AH250" i="15"/>
  <c r="V249" i="15"/>
  <c r="U249" i="15"/>
  <c r="L253" i="15"/>
  <c r="K253" i="15"/>
  <c r="E263" i="15"/>
  <c r="D263" i="15"/>
  <c r="L257" i="15"/>
  <c r="K257" i="15"/>
  <c r="AB72" i="15"/>
  <c r="AC72" i="15"/>
  <c r="AA255" i="15"/>
  <c r="AD255" i="15" s="1"/>
  <c r="Z255" i="15"/>
  <c r="Y255" i="15"/>
  <c r="AA260" i="15"/>
  <c r="AD260" i="15" s="1"/>
  <c r="Z260" i="15"/>
  <c r="Y260" i="15"/>
  <c r="R166" i="15"/>
  <c r="U166" i="15" s="1"/>
  <c r="M122" i="15"/>
  <c r="F166" i="15"/>
  <c r="T166" i="15"/>
  <c r="V166" i="15"/>
  <c r="Y166" i="15" s="1"/>
  <c r="E166" i="15"/>
  <c r="H166" i="15"/>
  <c r="K166" i="15" s="1"/>
  <c r="U122" i="15"/>
  <c r="D166" i="15"/>
  <c r="G166" i="15" s="1"/>
  <c r="T122" i="15"/>
  <c r="S166" i="15"/>
  <c r="L122" i="15"/>
  <c r="D256" i="15"/>
  <c r="E256" i="15"/>
  <c r="AG252" i="15"/>
  <c r="AF252" i="15"/>
  <c r="AH252" i="15"/>
  <c r="R159" i="15"/>
  <c r="U159" i="15" s="1"/>
  <c r="M115" i="15"/>
  <c r="T159" i="15"/>
  <c r="H159" i="15"/>
  <c r="K159" i="15" s="1"/>
  <c r="V159" i="15"/>
  <c r="Y159" i="15" s="1"/>
  <c r="F159" i="15"/>
  <c r="U115" i="15"/>
  <c r="E159" i="15"/>
  <c r="T115" i="15"/>
  <c r="D159" i="15"/>
  <c r="G159" i="15" s="1"/>
  <c r="L115" i="15"/>
  <c r="S159" i="15"/>
  <c r="L251" i="15"/>
  <c r="K251" i="15"/>
  <c r="J251" i="15"/>
  <c r="M251" i="15" s="1"/>
  <c r="I251" i="15"/>
  <c r="H251" i="15"/>
  <c r="D262" i="15"/>
  <c r="E262" i="15"/>
  <c r="AG264" i="15"/>
  <c r="AH264" i="15"/>
  <c r="AF264" i="15"/>
  <c r="D163" i="15"/>
  <c r="G163" i="15" s="1"/>
  <c r="K254" i="15"/>
  <c r="L254" i="15"/>
  <c r="D60" i="15"/>
  <c r="E64" i="15"/>
  <c r="AB262" i="15"/>
  <c r="AC262" i="15"/>
  <c r="K256" i="15"/>
  <c r="L256" i="15"/>
  <c r="L252" i="15"/>
  <c r="K252" i="15"/>
  <c r="Z258" i="15"/>
  <c r="AA258" i="15"/>
  <c r="AD258" i="15" s="1"/>
  <c r="Y258" i="15"/>
  <c r="AB49" i="15"/>
  <c r="E49" i="15"/>
  <c r="AC253" i="15"/>
  <c r="AB253" i="15"/>
  <c r="D253" i="15"/>
  <c r="E253" i="15"/>
  <c r="H76" i="15"/>
  <c r="I76" i="15"/>
  <c r="AB259" i="15"/>
  <c r="AC259" i="15"/>
  <c r="E72" i="15"/>
  <c r="D72" i="15"/>
  <c r="E250" i="15"/>
  <c r="D250" i="15"/>
  <c r="K262" i="15"/>
  <c r="L262" i="15"/>
  <c r="P263" i="15"/>
  <c r="Q263" i="15"/>
  <c r="O263" i="15"/>
  <c r="AE72" i="15"/>
  <c r="AH72" i="15" s="1"/>
  <c r="S72" i="15"/>
  <c r="AI72" i="15" s="1"/>
  <c r="P85" i="15"/>
  <c r="O85" i="15"/>
  <c r="V168" i="15"/>
  <c r="Y168" i="15" s="1"/>
  <c r="R168" i="15"/>
  <c r="U168" i="15" s="1"/>
  <c r="H168" i="15"/>
  <c r="K168" i="15" s="1"/>
  <c r="D168" i="15"/>
  <c r="G168" i="15" s="1"/>
  <c r="M124" i="15"/>
  <c r="E168" i="15"/>
  <c r="T168" i="15"/>
  <c r="U124" i="15"/>
  <c r="F168" i="15"/>
  <c r="T124" i="15"/>
  <c r="S168" i="15"/>
  <c r="L124" i="15"/>
  <c r="L260" i="15"/>
  <c r="K260" i="15"/>
  <c r="I249" i="15"/>
  <c r="H249" i="15"/>
  <c r="J249" i="15"/>
  <c r="M249" i="15" s="1"/>
  <c r="AH249" i="15"/>
  <c r="AG249" i="15"/>
  <c r="AF249" i="15"/>
  <c r="R173" i="15"/>
  <c r="U173" i="15" s="1"/>
  <c r="T173" i="15"/>
  <c r="U129" i="15"/>
  <c r="D173" i="15"/>
  <c r="G173" i="15" s="1"/>
  <c r="M129" i="15"/>
  <c r="V173" i="15"/>
  <c r="Y173" i="15" s="1"/>
  <c r="L129" i="15"/>
  <c r="F173" i="15"/>
  <c r="T129" i="15"/>
  <c r="E173" i="15"/>
  <c r="S173" i="15"/>
  <c r="H173" i="15"/>
  <c r="K173" i="15" s="1"/>
  <c r="AA256" i="15"/>
  <c r="AD256" i="15" s="1"/>
  <c r="Y256" i="15"/>
  <c r="Z256" i="15"/>
  <c r="S64" i="15"/>
  <c r="AI64" i="15" s="1"/>
  <c r="J252" i="15"/>
  <c r="M252" i="15" s="1"/>
  <c r="I252" i="15"/>
  <c r="H252" i="15"/>
  <c r="D251" i="15"/>
  <c r="E251" i="15"/>
  <c r="AC261" i="15"/>
  <c r="AB261" i="15"/>
  <c r="AF72" i="15"/>
  <c r="AG72" i="15"/>
  <c r="I264" i="15"/>
  <c r="H264" i="15"/>
  <c r="J264" i="15"/>
  <c r="M264" i="15" s="1"/>
  <c r="AC258" i="15"/>
  <c r="AB258" i="15"/>
  <c r="P72" i="15"/>
  <c r="O72" i="15"/>
  <c r="E162" i="15"/>
  <c r="T162" i="15"/>
  <c r="L118" i="15"/>
  <c r="U118" i="15"/>
  <c r="D162" i="15"/>
  <c r="G162" i="15" s="1"/>
  <c r="M118" i="15"/>
  <c r="S162" i="15"/>
  <c r="T118" i="15"/>
  <c r="R162" i="15"/>
  <c r="U162" i="15" s="1"/>
  <c r="H162" i="15"/>
  <c r="K162" i="15" s="1"/>
  <c r="V162" i="15"/>
  <c r="Y162" i="15" s="1"/>
  <c r="F162" i="15"/>
  <c r="V263" i="15"/>
  <c r="U263" i="15"/>
  <c r="K76" i="15"/>
  <c r="L76" i="15"/>
  <c r="S49" i="15"/>
  <c r="AI49" i="15" s="1"/>
  <c r="W7" i="15"/>
  <c r="D259" i="15"/>
  <c r="E259" i="15"/>
  <c r="L250" i="15"/>
  <c r="K250" i="15"/>
  <c r="J262" i="15"/>
  <c r="M262" i="15" s="1"/>
  <c r="I262" i="15"/>
  <c r="H262" i="15"/>
  <c r="H263" i="15"/>
  <c r="J263" i="15"/>
  <c r="M263" i="15" s="1"/>
  <c r="I263" i="15"/>
  <c r="E80" i="15"/>
  <c r="D80" i="15"/>
  <c r="AH260" i="15"/>
  <c r="AF260" i="15"/>
  <c r="AG260" i="15"/>
  <c r="L249" i="15"/>
  <c r="K249" i="15"/>
  <c r="D249" i="15"/>
  <c r="E249" i="15"/>
  <c r="AG256" i="15"/>
  <c r="AF256" i="15"/>
  <c r="AH256" i="15"/>
  <c r="AC252" i="15"/>
  <c r="AB252" i="15"/>
  <c r="U252" i="15"/>
  <c r="V252" i="15"/>
  <c r="O251" i="15"/>
  <c r="Q251" i="15"/>
  <c r="P251" i="15"/>
  <c r="V251" i="15"/>
  <c r="U251" i="15"/>
  <c r="D261" i="15"/>
  <c r="E261" i="15"/>
  <c r="E56" i="15"/>
  <c r="E264" i="15"/>
  <c r="D264" i="15"/>
  <c r="L258" i="15"/>
  <c r="K258" i="15"/>
  <c r="V258" i="15"/>
  <c r="U258" i="15"/>
  <c r="O254" i="15"/>
  <c r="Q254" i="15"/>
  <c r="P254" i="15"/>
  <c r="V52" i="15"/>
  <c r="U130" i="15"/>
  <c r="E174" i="15"/>
  <c r="R174" i="15"/>
  <c r="U174" i="15" s="1"/>
  <c r="M130" i="15"/>
  <c r="D174" i="15"/>
  <c r="G174" i="15" s="1"/>
  <c r="T130" i="15"/>
  <c r="H174" i="15"/>
  <c r="K174" i="15" s="1"/>
  <c r="L130" i="15"/>
  <c r="V174" i="15"/>
  <c r="Y174" i="15" s="1"/>
  <c r="S174" i="15"/>
  <c r="T174" i="15"/>
  <c r="F174" i="15"/>
  <c r="I253" i="15"/>
  <c r="J253" i="15"/>
  <c r="M253" i="15" s="1"/>
  <c r="H253" i="15"/>
  <c r="O253" i="15"/>
  <c r="Q253" i="15"/>
  <c r="P253" i="15"/>
  <c r="H260" i="15"/>
  <c r="J260" i="15"/>
  <c r="M260" i="15" s="1"/>
  <c r="I260" i="15"/>
  <c r="P256" i="15"/>
  <c r="O256" i="15"/>
  <c r="Q256" i="15"/>
  <c r="AC254" i="15"/>
  <c r="AB254" i="15"/>
  <c r="S52" i="15"/>
  <c r="AI52" i="15" s="1"/>
  <c r="U253" i="15"/>
  <c r="V253" i="15"/>
  <c r="B52" i="15"/>
  <c r="R52" i="15" s="1"/>
  <c r="O10" i="15"/>
  <c r="L259" i="15"/>
  <c r="K259" i="15"/>
  <c r="I250" i="15"/>
  <c r="H250" i="15"/>
  <c r="J250" i="15"/>
  <c r="M250" i="15" s="1"/>
  <c r="Q250" i="15"/>
  <c r="P250" i="15"/>
  <c r="O250" i="15"/>
  <c r="AG262" i="15"/>
  <c r="AF262" i="15"/>
  <c r="AH262" i="15"/>
  <c r="Y262" i="15"/>
  <c r="Z262" i="15"/>
  <c r="AA262" i="15"/>
  <c r="AD262" i="15" s="1"/>
  <c r="AC257" i="15"/>
  <c r="AB257" i="15"/>
  <c r="K255" i="15"/>
  <c r="L255" i="15"/>
  <c r="AF255" i="15"/>
  <c r="AH255" i="15"/>
  <c r="AG255" i="15"/>
  <c r="AE80" i="15"/>
  <c r="AH80" i="15" s="1"/>
  <c r="W38" i="15"/>
  <c r="E260" i="15"/>
  <c r="D260" i="15"/>
  <c r="AC249" i="15"/>
  <c r="AB249" i="15"/>
  <c r="O249" i="15"/>
  <c r="Q249" i="15"/>
  <c r="P249" i="15"/>
  <c r="L72" i="15"/>
  <c r="K72" i="15"/>
  <c r="V256" i="15"/>
  <c r="U256" i="15"/>
  <c r="B60" i="15"/>
  <c r="R60" i="15" s="1"/>
  <c r="AC251" i="15"/>
  <c r="AB251" i="15"/>
  <c r="AA251" i="15"/>
  <c r="AD251" i="15" s="1"/>
  <c r="Z251" i="15"/>
  <c r="Y251" i="15"/>
  <c r="S47" i="15"/>
  <c r="AI47" i="15" s="1"/>
  <c r="W5" i="15"/>
  <c r="K261" i="15"/>
  <c r="L261" i="15"/>
  <c r="L264" i="15"/>
  <c r="K264" i="15"/>
  <c r="I258" i="15"/>
  <c r="H258" i="15"/>
  <c r="J258" i="15"/>
  <c r="M258" i="15" s="1"/>
  <c r="H254" i="15"/>
  <c r="J254" i="15"/>
  <c r="M254" i="15" s="1"/>
  <c r="I254" i="15"/>
  <c r="U121" i="15"/>
  <c r="H165" i="15"/>
  <c r="K165" i="15" s="1"/>
  <c r="M121" i="15"/>
  <c r="V165" i="15"/>
  <c r="Y165" i="15" s="1"/>
  <c r="L121" i="15"/>
  <c r="F165" i="15"/>
  <c r="R165" i="15"/>
  <c r="U165" i="15" s="1"/>
  <c r="T121" i="15"/>
  <c r="E165" i="15"/>
  <c r="T165" i="15"/>
  <c r="D165" i="15"/>
  <c r="G165" i="15" s="1"/>
  <c r="S165" i="15"/>
  <c r="AA253" i="15"/>
  <c r="AD253" i="15" s="1"/>
  <c r="Y253" i="15"/>
  <c r="Z253" i="15"/>
  <c r="AB82" i="15"/>
  <c r="AC82" i="15"/>
  <c r="I259" i="15"/>
  <c r="J259" i="15"/>
  <c r="M259" i="15" s="1"/>
  <c r="H259" i="15"/>
  <c r="U262" i="15"/>
  <c r="V262" i="15"/>
  <c r="R169" i="15"/>
  <c r="U169" i="15" s="1"/>
  <c r="H169" i="15"/>
  <c r="K169" i="15" s="1"/>
  <c r="V169" i="15"/>
  <c r="Y169" i="15" s="1"/>
  <c r="D169" i="15"/>
  <c r="G169" i="15" s="1"/>
  <c r="F169" i="15"/>
  <c r="M125" i="15"/>
  <c r="U125" i="15"/>
  <c r="E169" i="15"/>
  <c r="L125" i="15"/>
  <c r="T169" i="15"/>
  <c r="T125" i="15"/>
  <c r="S169" i="15"/>
  <c r="AF263" i="15"/>
  <c r="AG263" i="15"/>
  <c r="AH263" i="15"/>
  <c r="V64" i="15"/>
  <c r="I257" i="15"/>
  <c r="J257" i="15"/>
  <c r="M257" i="15" s="1"/>
  <c r="H257" i="15"/>
  <c r="P255" i="15"/>
  <c r="Q255" i="15"/>
  <c r="O255" i="15"/>
  <c r="B64" i="15"/>
  <c r="R64" i="15" s="1"/>
  <c r="E85" i="15"/>
  <c r="D85" i="15"/>
  <c r="V60" i="15"/>
  <c r="T127" i="15"/>
  <c r="V171" i="15"/>
  <c r="Y171" i="15" s="1"/>
  <c r="L127" i="15"/>
  <c r="T171" i="15"/>
  <c r="S171" i="15"/>
  <c r="R171" i="15"/>
  <c r="U171" i="15" s="1"/>
  <c r="H171" i="15"/>
  <c r="K171" i="15" s="1"/>
  <c r="U127" i="15"/>
  <c r="M127" i="15"/>
  <c r="E171" i="15"/>
  <c r="F171" i="15"/>
  <c r="R160" i="15"/>
  <c r="U160" i="15" s="1"/>
  <c r="T160" i="15"/>
  <c r="H160" i="15"/>
  <c r="K160" i="15" s="1"/>
  <c r="V160" i="15"/>
  <c r="Y160" i="15" s="1"/>
  <c r="F160" i="15"/>
  <c r="U116" i="15"/>
  <c r="E160" i="15"/>
  <c r="M116" i="15"/>
  <c r="L116" i="15"/>
  <c r="D160" i="15"/>
  <c r="G160" i="15" s="1"/>
  <c r="T116" i="15"/>
  <c r="S160" i="15"/>
  <c r="O34" i="15"/>
  <c r="N76" i="15"/>
  <c r="Q76" i="15" s="1"/>
  <c r="AC49" i="15"/>
  <c r="AH261" i="15"/>
  <c r="AG261" i="15"/>
  <c r="AF261" i="15"/>
  <c r="Y261" i="15"/>
  <c r="Z261" i="15"/>
  <c r="AA261" i="15"/>
  <c r="AD261" i="15" s="1"/>
  <c r="Q264" i="15"/>
  <c r="P264" i="15"/>
  <c r="O264" i="15"/>
  <c r="P258" i="15"/>
  <c r="Q258" i="15"/>
  <c r="O258" i="15"/>
  <c r="T163" i="15"/>
  <c r="L119" i="15"/>
  <c r="U119" i="15"/>
  <c r="M119" i="15"/>
  <c r="T119" i="15"/>
  <c r="S163" i="15"/>
  <c r="R163" i="15"/>
  <c r="U163" i="15" s="1"/>
  <c r="V163" i="15"/>
  <c r="Y163" i="15" s="1"/>
  <c r="E163" i="15"/>
  <c r="F163" i="15"/>
  <c r="H163" i="15"/>
  <c r="K163" i="15" s="1"/>
  <c r="AH254" i="15"/>
  <c r="AG254" i="15"/>
  <c r="AF254" i="15"/>
  <c r="AF82" i="15"/>
  <c r="AG82" i="15"/>
  <c r="D257" i="15"/>
  <c r="E257" i="15"/>
  <c r="D164" i="15"/>
  <c r="G164" i="15" s="1"/>
  <c r="T164" i="15"/>
  <c r="S164" i="15"/>
  <c r="R164" i="15"/>
  <c r="U164" i="15" s="1"/>
  <c r="U120" i="15"/>
  <c r="M120" i="15"/>
  <c r="L120" i="15"/>
  <c r="T120" i="15"/>
  <c r="E164" i="15"/>
  <c r="H164" i="15"/>
  <c r="K164" i="15" s="1"/>
  <c r="F164" i="15"/>
  <c r="V164" i="15"/>
  <c r="Y164" i="15" s="1"/>
  <c r="AB263" i="15"/>
  <c r="AC263" i="15"/>
  <c r="T170" i="15"/>
  <c r="U126" i="15"/>
  <c r="S170" i="15"/>
  <c r="M126" i="15"/>
  <c r="F170" i="15"/>
  <c r="T126" i="15"/>
  <c r="E170" i="15"/>
  <c r="V170" i="15"/>
  <c r="Y170" i="15" s="1"/>
  <c r="L126" i="15"/>
  <c r="D170" i="15"/>
  <c r="G170" i="15" s="1"/>
  <c r="R170" i="15"/>
  <c r="U170" i="15" s="1"/>
  <c r="H170" i="15"/>
  <c r="K170" i="15" s="1"/>
  <c r="B56" i="15"/>
  <c r="R56" i="15" s="1"/>
  <c r="O14" i="15"/>
  <c r="I82" i="15"/>
  <c r="H82" i="15"/>
  <c r="AA259" i="15"/>
  <c r="AD259" i="15" s="1"/>
  <c r="Z259" i="15"/>
  <c r="Y259" i="15"/>
  <c r="AF259" i="15"/>
  <c r="AH259" i="15"/>
  <c r="AG259" i="15"/>
  <c r="AC250" i="15"/>
  <c r="AB250" i="15"/>
  <c r="U250" i="15"/>
  <c r="V250" i="15"/>
  <c r="O262" i="15"/>
  <c r="Q262" i="15"/>
  <c r="P262" i="15"/>
  <c r="AA263" i="15"/>
  <c r="AD263" i="15" s="1"/>
  <c r="Z263" i="15"/>
  <c r="Y263" i="15"/>
  <c r="B49" i="15"/>
  <c r="R49" i="15" s="1"/>
  <c r="O7" i="15"/>
  <c r="P257" i="15"/>
  <c r="O257" i="15"/>
  <c r="Q257" i="15"/>
  <c r="V257" i="15"/>
  <c r="U257" i="15"/>
  <c r="V255" i="15"/>
  <c r="U255" i="15"/>
  <c r="D255" i="15"/>
  <c r="E255" i="15"/>
  <c r="S172" i="15"/>
  <c r="E172" i="15"/>
  <c r="T172" i="15"/>
  <c r="H172" i="15"/>
  <c r="K172" i="15" s="1"/>
  <c r="L128" i="15"/>
  <c r="T128" i="15"/>
  <c r="V172" i="15"/>
  <c r="Y172" i="15" s="1"/>
  <c r="F172" i="15"/>
  <c r="R172" i="15"/>
  <c r="U172" i="15" s="1"/>
  <c r="U128" i="15"/>
  <c r="M128" i="15"/>
  <c r="D172" i="15"/>
  <c r="G172" i="15" s="1"/>
  <c r="AB68" i="15"/>
  <c r="AB260" i="15"/>
  <c r="AC260" i="15"/>
  <c r="AA249" i="15"/>
  <c r="AD249" i="15" s="1"/>
  <c r="Z249" i="15"/>
  <c r="Y249" i="15"/>
  <c r="I256" i="15"/>
  <c r="H256" i="15"/>
  <c r="J256" i="15"/>
  <c r="M256" i="15" s="1"/>
  <c r="N49" i="15"/>
  <c r="Q49" i="15" s="1"/>
  <c r="E252" i="15"/>
  <c r="D252" i="15"/>
  <c r="I261" i="15"/>
  <c r="J261" i="15"/>
  <c r="M261" i="15" s="1"/>
  <c r="H261" i="15"/>
  <c r="AH251" i="15"/>
  <c r="AG251" i="15"/>
  <c r="AF251" i="15"/>
  <c r="U85" i="15"/>
  <c r="V85" i="15"/>
  <c r="Q261" i="15"/>
  <c r="O261" i="15"/>
  <c r="P261" i="15"/>
  <c r="AC264" i="15"/>
  <c r="AB264" i="15"/>
  <c r="E258" i="15"/>
  <c r="D258" i="15"/>
  <c r="S60" i="15"/>
  <c r="AI60" i="15" s="1"/>
  <c r="W18" i="15"/>
  <c r="T117" i="15"/>
  <c r="E161" i="15"/>
  <c r="F161" i="15"/>
  <c r="D161" i="15"/>
  <c r="G161" i="15" s="1"/>
  <c r="T161" i="15"/>
  <c r="U117" i="15"/>
  <c r="S161" i="15"/>
  <c r="H161" i="15"/>
  <c r="K161" i="15" s="1"/>
  <c r="R161" i="15"/>
  <c r="U161" i="15" s="1"/>
  <c r="M117" i="15"/>
  <c r="V161" i="15"/>
  <c r="Y161" i="15" s="1"/>
  <c r="L117" i="15"/>
  <c r="N56" i="15"/>
  <c r="Q56" i="15" s="1"/>
  <c r="V82" i="15"/>
  <c r="U82" i="15"/>
  <c r="H255" i="15"/>
  <c r="J255" i="15"/>
  <c r="M255" i="15" s="1"/>
  <c r="I255" i="15"/>
  <c r="N85" i="15"/>
  <c r="Q85" i="15" s="1"/>
  <c r="B85" i="15"/>
  <c r="R85" i="15" s="1"/>
  <c r="U52" i="15"/>
  <c r="D49" i="15"/>
  <c r="U123" i="15"/>
  <c r="T167" i="15"/>
  <c r="R167" i="15"/>
  <c r="U167" i="15" s="1"/>
  <c r="M123" i="15"/>
  <c r="S167" i="15"/>
  <c r="T123" i="15"/>
  <c r="V167" i="15"/>
  <c r="Y167" i="15" s="1"/>
  <c r="L123" i="15"/>
  <c r="F167" i="15"/>
  <c r="E167" i="15"/>
  <c r="D167" i="15"/>
  <c r="G167" i="15" s="1"/>
  <c r="H167" i="15"/>
  <c r="K167" i="15" s="1"/>
  <c r="S56" i="15"/>
  <c r="AI56" i="15" s="1"/>
  <c r="AG253" i="15"/>
  <c r="AH253" i="15"/>
  <c r="AF253" i="15"/>
  <c r="Q259" i="15"/>
  <c r="O259" i="15"/>
  <c r="P259" i="15"/>
  <c r="V259" i="15"/>
  <c r="U259" i="15"/>
  <c r="Y250" i="15"/>
  <c r="AA250" i="15"/>
  <c r="AD250" i="15" s="1"/>
  <c r="Z250" i="15"/>
  <c r="L263" i="15"/>
  <c r="K263" i="15"/>
  <c r="AH257" i="15"/>
  <c r="AF257" i="15"/>
  <c r="AG257" i="15"/>
  <c r="Y257" i="15"/>
  <c r="AA257" i="15"/>
  <c r="AD257" i="15" s="1"/>
  <c r="Z257" i="15"/>
  <c r="Y252" i="15"/>
  <c r="AA252" i="15"/>
  <c r="AD252" i="15" s="1"/>
  <c r="Z252" i="15"/>
  <c r="Q260" i="15"/>
  <c r="P260" i="15"/>
  <c r="O260" i="15"/>
  <c r="V260" i="15"/>
  <c r="U260" i="15"/>
  <c r="AC256" i="15"/>
  <c r="AB256" i="15"/>
  <c r="Q252" i="15"/>
  <c r="P252" i="15"/>
  <c r="O252" i="15"/>
  <c r="L52" i="15"/>
  <c r="V261" i="15"/>
  <c r="U261" i="15"/>
  <c r="AA264" i="15"/>
  <c r="AD264" i="15" s="1"/>
  <c r="Z264" i="15"/>
  <c r="Y264" i="15"/>
  <c r="AF258" i="15"/>
  <c r="AG258" i="15"/>
  <c r="AH258" i="15"/>
  <c r="E254" i="15"/>
  <c r="D254" i="15"/>
  <c r="V254" i="15"/>
  <c r="U254" i="15"/>
  <c r="B47" i="15"/>
  <c r="R47" i="15" s="1"/>
  <c r="O5" i="15"/>
  <c r="O233" i="15"/>
  <c r="P233" i="15"/>
  <c r="V233" i="15"/>
  <c r="L233" i="15"/>
  <c r="Y233" i="15"/>
  <c r="Z233" i="15"/>
  <c r="AH233" i="15"/>
  <c r="AF233" i="15"/>
  <c r="AB233" i="15"/>
  <c r="BM172" i="13"/>
  <c r="BQ172" i="13" s="1"/>
  <c r="BN172" i="13"/>
  <c r="BM185" i="13"/>
  <c r="BQ185" i="13" s="1"/>
  <c r="BN185" i="13"/>
  <c r="BQ154" i="13"/>
  <c r="BN154" i="13"/>
  <c r="BO154" i="13" s="1"/>
  <c r="BP154" i="13" s="1"/>
  <c r="BQ163" i="13"/>
  <c r="BN163" i="13"/>
  <c r="BO163" i="13" s="1"/>
  <c r="BP163" i="13" s="1"/>
  <c r="BN156" i="13"/>
  <c r="BO156" i="13" s="1"/>
  <c r="BP156" i="13" s="1"/>
  <c r="BQ156" i="13"/>
  <c r="BN158" i="13"/>
  <c r="BO158" i="13" s="1"/>
  <c r="BP158" i="13" s="1"/>
  <c r="BQ158" i="13"/>
  <c r="Q225" i="15"/>
  <c r="P225" i="15"/>
  <c r="O225" i="15"/>
  <c r="AC225" i="15"/>
  <c r="AB225" i="15"/>
  <c r="V242" i="15"/>
  <c r="U242" i="15"/>
  <c r="Q248" i="15"/>
  <c r="P248" i="15"/>
  <c r="O248" i="15"/>
  <c r="K248" i="15"/>
  <c r="L248" i="15"/>
  <c r="AH241" i="15"/>
  <c r="AG241" i="15"/>
  <c r="AF241" i="15"/>
  <c r="J237" i="15"/>
  <c r="M237" i="15" s="1"/>
  <c r="I237" i="15"/>
  <c r="H237" i="15"/>
  <c r="AH236" i="15"/>
  <c r="AG236" i="15"/>
  <c r="AF236" i="15"/>
  <c r="J236" i="15"/>
  <c r="M236" i="15" s="1"/>
  <c r="I236" i="15"/>
  <c r="H236" i="15"/>
  <c r="E227" i="15"/>
  <c r="D227" i="15"/>
  <c r="V227" i="15"/>
  <c r="U227" i="15"/>
  <c r="Y226" i="15"/>
  <c r="AA226" i="15"/>
  <c r="AD226" i="15" s="1"/>
  <c r="Z226" i="15"/>
  <c r="U240" i="15"/>
  <c r="V240" i="15"/>
  <c r="H240" i="15"/>
  <c r="J240" i="15"/>
  <c r="M240" i="15" s="1"/>
  <c r="I240" i="15"/>
  <c r="AH245" i="15"/>
  <c r="AG245" i="15"/>
  <c r="AF245" i="15"/>
  <c r="AC245" i="15"/>
  <c r="AB245" i="15"/>
  <c r="AH229" i="15"/>
  <c r="AG229" i="15"/>
  <c r="AF229" i="15"/>
  <c r="L239" i="15"/>
  <c r="K239" i="15"/>
  <c r="P239" i="15"/>
  <c r="O239" i="15"/>
  <c r="Q239" i="15"/>
  <c r="E238" i="15"/>
  <c r="D238" i="15"/>
  <c r="AC230" i="15"/>
  <c r="AB230" i="15"/>
  <c r="E234" i="15"/>
  <c r="D234" i="15"/>
  <c r="O234" i="15"/>
  <c r="Q234" i="15"/>
  <c r="P234" i="15"/>
  <c r="Q232" i="15"/>
  <c r="P232" i="15"/>
  <c r="O232" i="15"/>
  <c r="K232" i="15"/>
  <c r="L232" i="15"/>
  <c r="AH243" i="15"/>
  <c r="AG243" i="15"/>
  <c r="AF243" i="15"/>
  <c r="V243" i="15"/>
  <c r="U243" i="15"/>
  <c r="AC228" i="15"/>
  <c r="AB228" i="15"/>
  <c r="I246" i="15"/>
  <c r="H246" i="15"/>
  <c r="J246" i="15"/>
  <c r="M246" i="15" s="1"/>
  <c r="Q247" i="15"/>
  <c r="P247" i="15"/>
  <c r="O247" i="15"/>
  <c r="U113" i="15"/>
  <c r="M113" i="15"/>
  <c r="L113" i="15"/>
  <c r="T113" i="15"/>
  <c r="R157" i="15"/>
  <c r="U157" i="15" s="1"/>
  <c r="H157" i="15"/>
  <c r="K157" i="15" s="1"/>
  <c r="V157" i="15"/>
  <c r="Y157" i="15" s="1"/>
  <c r="F157" i="15"/>
  <c r="E157" i="15"/>
  <c r="T157" i="15"/>
  <c r="D157" i="15"/>
  <c r="G157" i="15" s="1"/>
  <c r="S157" i="15"/>
  <c r="K225" i="15"/>
  <c r="L225" i="15"/>
  <c r="H242" i="15"/>
  <c r="J242" i="15"/>
  <c r="M242" i="15" s="1"/>
  <c r="I242" i="15"/>
  <c r="AA241" i="15"/>
  <c r="AD241" i="15" s="1"/>
  <c r="Z241" i="15"/>
  <c r="Y241" i="15"/>
  <c r="AB241" i="15"/>
  <c r="AC241" i="15"/>
  <c r="M93" i="15"/>
  <c r="L93" i="15"/>
  <c r="U93" i="15"/>
  <c r="T93" i="15"/>
  <c r="E137" i="15"/>
  <c r="T137" i="15"/>
  <c r="D137" i="15"/>
  <c r="G137" i="15" s="1"/>
  <c r="S137" i="15"/>
  <c r="R137" i="15"/>
  <c r="U137" i="15" s="1"/>
  <c r="H137" i="15"/>
  <c r="K137" i="15" s="1"/>
  <c r="V137" i="15"/>
  <c r="Y137" i="15" s="1"/>
  <c r="F137" i="15"/>
  <c r="AA237" i="15"/>
  <c r="AD237" i="15" s="1"/>
  <c r="Z237" i="15"/>
  <c r="Y237" i="15"/>
  <c r="U101" i="15"/>
  <c r="T101" i="15"/>
  <c r="M101" i="15"/>
  <c r="L101" i="15"/>
  <c r="T145" i="15"/>
  <c r="S145" i="15"/>
  <c r="R145" i="15"/>
  <c r="U145" i="15" s="1"/>
  <c r="H145" i="15"/>
  <c r="K145" i="15" s="1"/>
  <c r="V145" i="15"/>
  <c r="Y145" i="15" s="1"/>
  <c r="F145" i="15"/>
  <c r="E145" i="15"/>
  <c r="D145" i="15"/>
  <c r="G145" i="15" s="1"/>
  <c r="U244" i="15"/>
  <c r="V244" i="15"/>
  <c r="D244" i="15"/>
  <c r="E244" i="15"/>
  <c r="O236" i="15"/>
  <c r="Q236" i="15"/>
  <c r="P236" i="15"/>
  <c r="U111" i="15"/>
  <c r="M111" i="15"/>
  <c r="L111" i="15"/>
  <c r="T111" i="15"/>
  <c r="T155" i="15"/>
  <c r="D155" i="15"/>
  <c r="G155" i="15" s="1"/>
  <c r="S155" i="15"/>
  <c r="R155" i="15"/>
  <c r="U155" i="15" s="1"/>
  <c r="H155" i="15"/>
  <c r="K155" i="15" s="1"/>
  <c r="V155" i="15"/>
  <c r="Y155" i="15" s="1"/>
  <c r="F155" i="15"/>
  <c r="E155" i="15"/>
  <c r="AH240" i="15"/>
  <c r="AG240" i="15"/>
  <c r="AF240" i="15"/>
  <c r="V239" i="15"/>
  <c r="U239" i="15"/>
  <c r="Y238" i="15"/>
  <c r="AA238" i="15"/>
  <c r="AD238" i="15" s="1"/>
  <c r="Z238" i="15"/>
  <c r="Y230" i="15"/>
  <c r="AA230" i="15"/>
  <c r="AD230" i="15" s="1"/>
  <c r="Z230" i="15"/>
  <c r="V234" i="15"/>
  <c r="U234" i="15"/>
  <c r="L234" i="15"/>
  <c r="K234" i="15"/>
  <c r="Y232" i="15"/>
  <c r="AA232" i="15"/>
  <c r="AD232" i="15" s="1"/>
  <c r="Z232" i="15"/>
  <c r="J232" i="15"/>
  <c r="M232" i="15" s="1"/>
  <c r="I232" i="15"/>
  <c r="H232" i="15"/>
  <c r="E228" i="15"/>
  <c r="D228" i="15"/>
  <c r="J247" i="15"/>
  <c r="M247" i="15" s="1"/>
  <c r="I247" i="15"/>
  <c r="H247" i="15"/>
  <c r="V247" i="15"/>
  <c r="U247" i="15"/>
  <c r="AH235" i="15"/>
  <c r="AG235" i="15"/>
  <c r="AF235" i="15"/>
  <c r="AH225" i="15"/>
  <c r="AG225" i="15"/>
  <c r="AF225" i="15"/>
  <c r="AC242" i="15"/>
  <c r="AB242" i="15"/>
  <c r="AA248" i="15"/>
  <c r="AD248" i="15" s="1"/>
  <c r="Z248" i="15"/>
  <c r="Y248" i="15"/>
  <c r="AC237" i="15"/>
  <c r="AB237" i="15"/>
  <c r="L244" i="15"/>
  <c r="K244" i="15"/>
  <c r="U100" i="15"/>
  <c r="M100" i="15"/>
  <c r="T100" i="15"/>
  <c r="L100" i="15"/>
  <c r="S144" i="15"/>
  <c r="R144" i="15"/>
  <c r="U144" i="15" s="1"/>
  <c r="H144" i="15"/>
  <c r="K144" i="15" s="1"/>
  <c r="V144" i="15"/>
  <c r="Y144" i="15" s="1"/>
  <c r="F144" i="15"/>
  <c r="E144" i="15"/>
  <c r="T144" i="15"/>
  <c r="D144" i="15"/>
  <c r="G144" i="15" s="1"/>
  <c r="L236" i="15"/>
  <c r="K236" i="15"/>
  <c r="E236" i="15"/>
  <c r="D236" i="15"/>
  <c r="AC227" i="15"/>
  <c r="AB227" i="15"/>
  <c r="E240" i="15"/>
  <c r="D240" i="15"/>
  <c r="J231" i="15"/>
  <c r="M231" i="15" s="1"/>
  <c r="I231" i="15"/>
  <c r="H231" i="15"/>
  <c r="Q245" i="15"/>
  <c r="P245" i="15"/>
  <c r="O245" i="15"/>
  <c r="Z245" i="15"/>
  <c r="Y245" i="15"/>
  <c r="AA245" i="15"/>
  <c r="AD245" i="15" s="1"/>
  <c r="V229" i="15"/>
  <c r="U229" i="15"/>
  <c r="J239" i="15"/>
  <c r="M239" i="15" s="1"/>
  <c r="I239" i="15"/>
  <c r="H239" i="15"/>
  <c r="I238" i="15"/>
  <c r="H238" i="15"/>
  <c r="J238" i="15"/>
  <c r="M238" i="15" s="1"/>
  <c r="U230" i="15"/>
  <c r="V230" i="15"/>
  <c r="U114" i="15"/>
  <c r="M114" i="15"/>
  <c r="T114" i="15"/>
  <c r="L114" i="15"/>
  <c r="S158" i="15"/>
  <c r="R158" i="15"/>
  <c r="U158" i="15" s="1"/>
  <c r="H158" i="15"/>
  <c r="K158" i="15" s="1"/>
  <c r="V158" i="15"/>
  <c r="Y158" i="15" s="1"/>
  <c r="F158" i="15"/>
  <c r="E158" i="15"/>
  <c r="T158" i="15"/>
  <c r="D158" i="15"/>
  <c r="G158" i="15" s="1"/>
  <c r="U232" i="15"/>
  <c r="V232" i="15"/>
  <c r="AC243" i="15"/>
  <c r="AB243" i="15"/>
  <c r="Z246" i="15"/>
  <c r="Y246" i="15"/>
  <c r="AA246" i="15"/>
  <c r="AD246" i="15" s="1"/>
  <c r="AH247" i="15"/>
  <c r="AG247" i="15"/>
  <c r="AF247" i="15"/>
  <c r="J225" i="15"/>
  <c r="M225" i="15" s="1"/>
  <c r="I225" i="15"/>
  <c r="H225" i="15"/>
  <c r="AH248" i="15"/>
  <c r="AG248" i="15"/>
  <c r="AF248" i="15"/>
  <c r="V237" i="15"/>
  <c r="U237" i="15"/>
  <c r="O244" i="15"/>
  <c r="Q244" i="15"/>
  <c r="P244" i="15"/>
  <c r="AC240" i="15"/>
  <c r="AB240" i="15"/>
  <c r="E231" i="15"/>
  <c r="D231" i="15"/>
  <c r="E245" i="15"/>
  <c r="D245" i="15"/>
  <c r="Q229" i="15"/>
  <c r="P229" i="15"/>
  <c r="O229" i="15"/>
  <c r="L238" i="15"/>
  <c r="K238" i="15"/>
  <c r="Q230" i="15"/>
  <c r="P230" i="15"/>
  <c r="O230" i="15"/>
  <c r="AG234" i="15"/>
  <c r="AF234" i="15"/>
  <c r="AH234" i="15"/>
  <c r="E232" i="15"/>
  <c r="D232" i="15"/>
  <c r="U228" i="15"/>
  <c r="V228" i="15"/>
  <c r="V246" i="15"/>
  <c r="U246" i="15"/>
  <c r="AC247" i="15"/>
  <c r="AB247" i="15"/>
  <c r="U103" i="15"/>
  <c r="M103" i="15"/>
  <c r="L103" i="15"/>
  <c r="T103" i="15"/>
  <c r="E147" i="15"/>
  <c r="D147" i="15"/>
  <c r="G147" i="15" s="1"/>
  <c r="T147" i="15"/>
  <c r="S147" i="15"/>
  <c r="R147" i="15"/>
  <c r="U147" i="15" s="1"/>
  <c r="H147" i="15"/>
  <c r="K147" i="15" s="1"/>
  <c r="V147" i="15"/>
  <c r="Y147" i="15" s="1"/>
  <c r="F147" i="15"/>
  <c r="AC235" i="15"/>
  <c r="AB235" i="15"/>
  <c r="U107" i="15"/>
  <c r="M107" i="15"/>
  <c r="T107" i="15"/>
  <c r="L107" i="15"/>
  <c r="S151" i="15"/>
  <c r="R151" i="15"/>
  <c r="U151" i="15" s="1"/>
  <c r="H151" i="15"/>
  <c r="K151" i="15" s="1"/>
  <c r="V151" i="15"/>
  <c r="Y151" i="15" s="1"/>
  <c r="F151" i="15"/>
  <c r="E151" i="15"/>
  <c r="T151" i="15"/>
  <c r="D151" i="15"/>
  <c r="G151" i="15" s="1"/>
  <c r="E225" i="15"/>
  <c r="D225" i="15"/>
  <c r="T98" i="15"/>
  <c r="L98" i="15"/>
  <c r="M98" i="15"/>
  <c r="U98" i="15"/>
  <c r="V142" i="15"/>
  <c r="Y142" i="15" s="1"/>
  <c r="F142" i="15"/>
  <c r="E142" i="15"/>
  <c r="T142" i="15"/>
  <c r="D142" i="15"/>
  <c r="G142" i="15" s="1"/>
  <c r="S142" i="15"/>
  <c r="R142" i="15"/>
  <c r="U142" i="15" s="1"/>
  <c r="H142" i="15"/>
  <c r="K142" i="15" s="1"/>
  <c r="P242" i="15"/>
  <c r="O242" i="15"/>
  <c r="Q242" i="15"/>
  <c r="E242" i="15"/>
  <c r="D242" i="15"/>
  <c r="AC248" i="15"/>
  <c r="AB248" i="15"/>
  <c r="V241" i="15"/>
  <c r="U241" i="15"/>
  <c r="U99" i="15"/>
  <c r="M99" i="15"/>
  <c r="T99" i="15"/>
  <c r="L99" i="15"/>
  <c r="F143" i="15"/>
  <c r="E143" i="15"/>
  <c r="T143" i="15"/>
  <c r="D143" i="15"/>
  <c r="G143" i="15" s="1"/>
  <c r="S143" i="15"/>
  <c r="R143" i="15"/>
  <c r="U143" i="15" s="1"/>
  <c r="H143" i="15"/>
  <c r="K143" i="15" s="1"/>
  <c r="V143" i="15"/>
  <c r="Y143" i="15" s="1"/>
  <c r="Q237" i="15"/>
  <c r="P237" i="15"/>
  <c r="O237" i="15"/>
  <c r="U102" i="15"/>
  <c r="L102" i="15"/>
  <c r="T102" i="15"/>
  <c r="M102" i="15"/>
  <c r="R146" i="15"/>
  <c r="U146" i="15" s="1"/>
  <c r="H146" i="15"/>
  <c r="K146" i="15" s="1"/>
  <c r="V146" i="15"/>
  <c r="Y146" i="15" s="1"/>
  <c r="F146" i="15"/>
  <c r="E146" i="15"/>
  <c r="T146" i="15"/>
  <c r="D146" i="15"/>
  <c r="G146" i="15" s="1"/>
  <c r="S146" i="15"/>
  <c r="AA236" i="15"/>
  <c r="AD236" i="15" s="1"/>
  <c r="Z236" i="15"/>
  <c r="Y236" i="15"/>
  <c r="L227" i="15"/>
  <c r="K227" i="15"/>
  <c r="I226" i="15"/>
  <c r="H226" i="15"/>
  <c r="J226" i="15"/>
  <c r="M226" i="15" s="1"/>
  <c r="O240" i="15"/>
  <c r="Q240" i="15"/>
  <c r="P240" i="15"/>
  <c r="AA231" i="15"/>
  <c r="AD231" i="15" s="1"/>
  <c r="Z231" i="15"/>
  <c r="Y231" i="15"/>
  <c r="K245" i="15"/>
  <c r="L245" i="15"/>
  <c r="H229" i="15"/>
  <c r="J229" i="15"/>
  <c r="M229" i="15" s="1"/>
  <c r="I229" i="15"/>
  <c r="L229" i="15"/>
  <c r="K229" i="15"/>
  <c r="E239" i="15"/>
  <c r="D239" i="15"/>
  <c r="AB238" i="15"/>
  <c r="AC238" i="15"/>
  <c r="J230" i="15"/>
  <c r="M230" i="15" s="1"/>
  <c r="I230" i="15"/>
  <c r="H230" i="15"/>
  <c r="E230" i="15"/>
  <c r="D230" i="15"/>
  <c r="U110" i="15"/>
  <c r="M110" i="15"/>
  <c r="T110" i="15"/>
  <c r="L110" i="15"/>
  <c r="D154" i="15"/>
  <c r="G154" i="15" s="1"/>
  <c r="S154" i="15"/>
  <c r="R154" i="15"/>
  <c r="U154" i="15" s="1"/>
  <c r="H154" i="15"/>
  <c r="K154" i="15" s="1"/>
  <c r="V154" i="15"/>
  <c r="Y154" i="15" s="1"/>
  <c r="F154" i="15"/>
  <c r="E154" i="15"/>
  <c r="T154" i="15"/>
  <c r="Y234" i="15"/>
  <c r="AA234" i="15"/>
  <c r="AD234" i="15" s="1"/>
  <c r="Z234" i="15"/>
  <c r="AH232" i="15"/>
  <c r="AG232" i="15"/>
  <c r="AF232" i="15"/>
  <c r="E243" i="15"/>
  <c r="D243" i="15"/>
  <c r="Q228" i="15"/>
  <c r="P228" i="15"/>
  <c r="O228" i="15"/>
  <c r="O246" i="15"/>
  <c r="Q246" i="15"/>
  <c r="P246" i="15"/>
  <c r="E247" i="15"/>
  <c r="D247" i="15"/>
  <c r="D235" i="15"/>
  <c r="E235" i="15"/>
  <c r="J235" i="15"/>
  <c r="M235" i="15" s="1"/>
  <c r="I235" i="15"/>
  <c r="H235" i="15"/>
  <c r="U104" i="15"/>
  <c r="T104" i="15"/>
  <c r="M104" i="15"/>
  <c r="L104" i="15"/>
  <c r="E148" i="15"/>
  <c r="T148" i="15"/>
  <c r="D148" i="15"/>
  <c r="G148" i="15" s="1"/>
  <c r="S148" i="15"/>
  <c r="R148" i="15"/>
  <c r="U148" i="15" s="1"/>
  <c r="H148" i="15"/>
  <c r="K148" i="15" s="1"/>
  <c r="V148" i="15"/>
  <c r="Y148" i="15" s="1"/>
  <c r="F148" i="15"/>
  <c r="Z225" i="15"/>
  <c r="Y225" i="15"/>
  <c r="AA225" i="15"/>
  <c r="AD225" i="15" s="1"/>
  <c r="Z242" i="15"/>
  <c r="Y242" i="15"/>
  <c r="AA242" i="15"/>
  <c r="AD242" i="15" s="1"/>
  <c r="L242" i="15"/>
  <c r="K242" i="15"/>
  <c r="J248" i="15"/>
  <c r="M248" i="15" s="1"/>
  <c r="I248" i="15"/>
  <c r="H248" i="15"/>
  <c r="J241" i="15"/>
  <c r="M241" i="15" s="1"/>
  <c r="I241" i="15"/>
  <c r="H241" i="15"/>
  <c r="E237" i="15"/>
  <c r="D237" i="15"/>
  <c r="AA244" i="15"/>
  <c r="AD244" i="15" s="1"/>
  <c r="Z244" i="15"/>
  <c r="Y244" i="15"/>
  <c r="U96" i="15"/>
  <c r="M96" i="15"/>
  <c r="T96" i="15"/>
  <c r="L96" i="15"/>
  <c r="H140" i="15"/>
  <c r="K140" i="15" s="1"/>
  <c r="V140" i="15"/>
  <c r="Y140" i="15" s="1"/>
  <c r="F140" i="15"/>
  <c r="E140" i="15"/>
  <c r="T140" i="15"/>
  <c r="D140" i="15"/>
  <c r="G140" i="15" s="1"/>
  <c r="S140" i="15"/>
  <c r="R140" i="15"/>
  <c r="U140" i="15" s="1"/>
  <c r="U105" i="15"/>
  <c r="M105" i="15"/>
  <c r="L105" i="15"/>
  <c r="T105" i="15"/>
  <c r="S149" i="15"/>
  <c r="R149" i="15"/>
  <c r="U149" i="15" s="1"/>
  <c r="H149" i="15"/>
  <c r="K149" i="15" s="1"/>
  <c r="V149" i="15"/>
  <c r="Y149" i="15" s="1"/>
  <c r="F149" i="15"/>
  <c r="E149" i="15"/>
  <c r="D149" i="15"/>
  <c r="G149" i="15" s="1"/>
  <c r="T149" i="15"/>
  <c r="U236" i="15"/>
  <c r="V236" i="15"/>
  <c r="AF227" i="15"/>
  <c r="AH227" i="15"/>
  <c r="AG227" i="15"/>
  <c r="L231" i="15"/>
  <c r="K231" i="15"/>
  <c r="O231" i="15"/>
  <c r="Q231" i="15"/>
  <c r="P231" i="15"/>
  <c r="U97" i="15"/>
  <c r="T97" i="15"/>
  <c r="M97" i="15"/>
  <c r="L97" i="15"/>
  <c r="S141" i="15"/>
  <c r="R141" i="15"/>
  <c r="U141" i="15" s="1"/>
  <c r="H141" i="15"/>
  <c r="K141" i="15" s="1"/>
  <c r="V141" i="15"/>
  <c r="Y141" i="15" s="1"/>
  <c r="F141" i="15"/>
  <c r="E141" i="15"/>
  <c r="T141" i="15"/>
  <c r="D141" i="15"/>
  <c r="G141" i="15" s="1"/>
  <c r="E229" i="15"/>
  <c r="D229" i="15"/>
  <c r="V238" i="15"/>
  <c r="U238" i="15"/>
  <c r="AG238" i="15"/>
  <c r="AF238" i="15"/>
  <c r="AH238" i="15"/>
  <c r="L230" i="15"/>
  <c r="K230" i="15"/>
  <c r="T94" i="15"/>
  <c r="L94" i="15"/>
  <c r="U94" i="15"/>
  <c r="M94" i="15"/>
  <c r="D138" i="15"/>
  <c r="G138" i="15" s="1"/>
  <c r="S138" i="15"/>
  <c r="R138" i="15"/>
  <c r="U138" i="15" s="1"/>
  <c r="H138" i="15"/>
  <c r="K138" i="15" s="1"/>
  <c r="V138" i="15"/>
  <c r="Y138" i="15" s="1"/>
  <c r="F138" i="15"/>
  <c r="E138" i="15"/>
  <c r="T138" i="15"/>
  <c r="U91" i="15"/>
  <c r="M91" i="15"/>
  <c r="T91" i="15"/>
  <c r="L91" i="15"/>
  <c r="S135" i="15"/>
  <c r="R135" i="15"/>
  <c r="U135" i="15" s="1"/>
  <c r="H135" i="15"/>
  <c r="K135" i="15" s="1"/>
  <c r="V135" i="15"/>
  <c r="Y135" i="15" s="1"/>
  <c r="F135" i="15"/>
  <c r="E135" i="15"/>
  <c r="T135" i="15"/>
  <c r="D135" i="15"/>
  <c r="G135" i="15" s="1"/>
  <c r="L243" i="15"/>
  <c r="K243" i="15"/>
  <c r="L228" i="15"/>
  <c r="K228" i="15"/>
  <c r="L246" i="15"/>
  <c r="K246" i="15"/>
  <c r="L247" i="15"/>
  <c r="K247" i="15"/>
  <c r="AA235" i="15"/>
  <c r="AD235" i="15" s="1"/>
  <c r="Z235" i="15"/>
  <c r="Y235" i="15"/>
  <c r="V225" i="15"/>
  <c r="U225" i="15"/>
  <c r="L106" i="15"/>
  <c r="U106" i="15"/>
  <c r="T106" i="15"/>
  <c r="M106" i="15"/>
  <c r="H150" i="15"/>
  <c r="K150" i="15" s="1"/>
  <c r="V150" i="15"/>
  <c r="Y150" i="15" s="1"/>
  <c r="F150" i="15"/>
  <c r="E150" i="15"/>
  <c r="T150" i="15"/>
  <c r="D150" i="15"/>
  <c r="G150" i="15" s="1"/>
  <c r="S150" i="15"/>
  <c r="R150" i="15"/>
  <c r="U150" i="15" s="1"/>
  <c r="U248" i="15"/>
  <c r="V248" i="15"/>
  <c r="E241" i="15"/>
  <c r="D241" i="15"/>
  <c r="K237" i="15"/>
  <c r="L237" i="15"/>
  <c r="AH244" i="15"/>
  <c r="AG244" i="15"/>
  <c r="AF244" i="15"/>
  <c r="AA227" i="15"/>
  <c r="AD227" i="15" s="1"/>
  <c r="Z227" i="15"/>
  <c r="Y227" i="15"/>
  <c r="U109" i="15"/>
  <c r="M109" i="15"/>
  <c r="T109" i="15"/>
  <c r="L109" i="15"/>
  <c r="D153" i="15"/>
  <c r="G153" i="15" s="1"/>
  <c r="S153" i="15"/>
  <c r="R153" i="15"/>
  <c r="U153" i="15" s="1"/>
  <c r="H153" i="15"/>
  <c r="K153" i="15" s="1"/>
  <c r="V153" i="15"/>
  <c r="Y153" i="15" s="1"/>
  <c r="F153" i="15"/>
  <c r="E153" i="15"/>
  <c r="T153" i="15"/>
  <c r="AG231" i="15"/>
  <c r="AF231" i="15"/>
  <c r="AH231" i="15"/>
  <c r="U231" i="15"/>
  <c r="V231" i="15"/>
  <c r="V245" i="15"/>
  <c r="U245" i="15"/>
  <c r="AA229" i="15"/>
  <c r="AD229" i="15" s="1"/>
  <c r="Z229" i="15"/>
  <c r="Y229" i="15"/>
  <c r="AB229" i="15"/>
  <c r="AC229" i="15"/>
  <c r="AC239" i="15"/>
  <c r="AB239" i="15"/>
  <c r="AH239" i="15"/>
  <c r="AG239" i="15"/>
  <c r="AF239" i="15"/>
  <c r="Q238" i="15"/>
  <c r="P238" i="15"/>
  <c r="O238" i="15"/>
  <c r="U92" i="15"/>
  <c r="M92" i="15"/>
  <c r="T92" i="15"/>
  <c r="L92" i="15"/>
  <c r="V136" i="15"/>
  <c r="Y136" i="15" s="1"/>
  <c r="F136" i="15"/>
  <c r="E136" i="15"/>
  <c r="T136" i="15"/>
  <c r="D136" i="15"/>
  <c r="G136" i="15" s="1"/>
  <c r="S136" i="15"/>
  <c r="R136" i="15"/>
  <c r="U136" i="15" s="1"/>
  <c r="H136" i="15"/>
  <c r="K136" i="15" s="1"/>
  <c r="J234" i="15"/>
  <c r="M234" i="15" s="1"/>
  <c r="I234" i="15"/>
  <c r="H234" i="15"/>
  <c r="AC232" i="15"/>
  <c r="AB232" i="15"/>
  <c r="AA243" i="15"/>
  <c r="AD243" i="15" s="1"/>
  <c r="Z243" i="15"/>
  <c r="Y243" i="15"/>
  <c r="AA228" i="15"/>
  <c r="AD228" i="15" s="1"/>
  <c r="Z228" i="15"/>
  <c r="Y228" i="15"/>
  <c r="D246" i="15"/>
  <c r="E246" i="15"/>
  <c r="P235" i="15"/>
  <c r="O235" i="15"/>
  <c r="Q235" i="15"/>
  <c r="U112" i="15"/>
  <c r="M112" i="15"/>
  <c r="T112" i="15"/>
  <c r="L112" i="15"/>
  <c r="D156" i="15"/>
  <c r="G156" i="15" s="1"/>
  <c r="S156" i="15"/>
  <c r="R156" i="15"/>
  <c r="U156" i="15" s="1"/>
  <c r="H156" i="15"/>
  <c r="K156" i="15" s="1"/>
  <c r="V156" i="15"/>
  <c r="Y156" i="15" s="1"/>
  <c r="F156" i="15"/>
  <c r="E156" i="15"/>
  <c r="T156" i="15"/>
  <c r="U95" i="15"/>
  <c r="M95" i="15"/>
  <c r="T95" i="15"/>
  <c r="L95" i="15"/>
  <c r="D139" i="15"/>
  <c r="G139" i="15" s="1"/>
  <c r="S139" i="15"/>
  <c r="R139" i="15"/>
  <c r="U139" i="15" s="1"/>
  <c r="H139" i="15"/>
  <c r="K139" i="15" s="1"/>
  <c r="V139" i="15"/>
  <c r="Y139" i="15" s="1"/>
  <c r="F139" i="15"/>
  <c r="E139" i="15"/>
  <c r="T139" i="15"/>
  <c r="AG242" i="15"/>
  <c r="AF242" i="15"/>
  <c r="AH242" i="15"/>
  <c r="E248" i="15"/>
  <c r="D248" i="15"/>
  <c r="Q241" i="15"/>
  <c r="P241" i="15"/>
  <c r="O241" i="15"/>
  <c r="K241" i="15"/>
  <c r="L241" i="15"/>
  <c r="AH237" i="15"/>
  <c r="AG237" i="15"/>
  <c r="AF237" i="15"/>
  <c r="AC244" i="15"/>
  <c r="AB244" i="15"/>
  <c r="J244" i="15"/>
  <c r="M244" i="15" s="1"/>
  <c r="I244" i="15"/>
  <c r="H244" i="15"/>
  <c r="AC236" i="15"/>
  <c r="AB236" i="15"/>
  <c r="J227" i="15"/>
  <c r="M227" i="15" s="1"/>
  <c r="I227" i="15"/>
  <c r="H227" i="15"/>
  <c r="O227" i="15"/>
  <c r="Q227" i="15"/>
  <c r="P227" i="15"/>
  <c r="L240" i="15"/>
  <c r="K240" i="15"/>
  <c r="AA240" i="15"/>
  <c r="AD240" i="15" s="1"/>
  <c r="Z240" i="15"/>
  <c r="Y240" i="15"/>
  <c r="AC231" i="15"/>
  <c r="AB231" i="15"/>
  <c r="J245" i="15"/>
  <c r="M245" i="15" s="1"/>
  <c r="I245" i="15"/>
  <c r="H245" i="15"/>
  <c r="Y239" i="15"/>
  <c r="AA239" i="15"/>
  <c r="AD239" i="15" s="1"/>
  <c r="Z239" i="15"/>
  <c r="AG230" i="15"/>
  <c r="AF230" i="15"/>
  <c r="AH230" i="15"/>
  <c r="U108" i="15"/>
  <c r="M108" i="15"/>
  <c r="L108" i="15"/>
  <c r="T108" i="15"/>
  <c r="R152" i="15"/>
  <c r="U152" i="15" s="1"/>
  <c r="H152" i="15"/>
  <c r="K152" i="15" s="1"/>
  <c r="V152" i="15"/>
  <c r="Y152" i="15" s="1"/>
  <c r="F152" i="15"/>
  <c r="E152" i="15"/>
  <c r="T152" i="15"/>
  <c r="D152" i="15"/>
  <c r="G152" i="15" s="1"/>
  <c r="S152" i="15"/>
  <c r="AC234" i="15"/>
  <c r="AB234" i="15"/>
  <c r="J243" i="15"/>
  <c r="M243" i="15" s="1"/>
  <c r="I243" i="15"/>
  <c r="H243" i="15"/>
  <c r="O243" i="15"/>
  <c r="Q243" i="15"/>
  <c r="P243" i="15"/>
  <c r="AH228" i="15"/>
  <c r="AG228" i="15"/>
  <c r="AF228" i="15"/>
  <c r="I228" i="15"/>
  <c r="H228" i="15"/>
  <c r="J228" i="15"/>
  <c r="M228" i="15" s="1"/>
  <c r="AC246" i="15"/>
  <c r="AB246" i="15"/>
  <c r="AF246" i="15"/>
  <c r="AH246" i="15"/>
  <c r="AG246" i="15"/>
  <c r="AA247" i="15"/>
  <c r="AD247" i="15" s="1"/>
  <c r="Z247" i="15"/>
  <c r="Y247" i="15"/>
  <c r="L235" i="15"/>
  <c r="K235" i="15"/>
  <c r="V235" i="15"/>
  <c r="U235" i="15"/>
  <c r="G57" i="4"/>
  <c r="C53" i="4"/>
  <c r="F56" i="4"/>
  <c r="F7" i="4"/>
  <c r="D54" i="4"/>
  <c r="D53" i="4"/>
  <c r="E7" i="4"/>
  <c r="F57" i="4"/>
  <c r="G56" i="4"/>
  <c r="C54" i="4"/>
  <c r="H7" i="4"/>
  <c r="B593" i="15" l="1"/>
  <c r="E593" i="15" s="1"/>
  <c r="Q471" i="15"/>
  <c r="AB514" i="15" s="1"/>
  <c r="AC514" i="15" s="1"/>
  <c r="X514" i="15"/>
  <c r="AA514" i="15" s="1"/>
  <c r="AD514" i="15" s="1"/>
  <c r="D593" i="15"/>
  <c r="C593" i="15"/>
  <c r="S555" i="15"/>
  <c r="N598" i="15" s="1"/>
  <c r="Q598" i="15" s="1"/>
  <c r="Y514" i="15"/>
  <c r="M555" i="15"/>
  <c r="L598" i="15" s="1"/>
  <c r="Z514" i="15"/>
  <c r="V550" i="15"/>
  <c r="AQ593" i="15" s="1"/>
  <c r="AT593" i="15" s="1"/>
  <c r="Q555" i="15"/>
  <c r="O471" i="15"/>
  <c r="S514" i="15" s="1"/>
  <c r="AI514" i="15" s="1"/>
  <c r="AG514" i="15"/>
  <c r="AF514" i="15"/>
  <c r="AE514" i="15"/>
  <c r="AH514" i="15" s="1"/>
  <c r="AG598" i="15"/>
  <c r="AF598" i="15"/>
  <c r="P593" i="15"/>
  <c r="O593" i="15"/>
  <c r="W555" i="15"/>
  <c r="AY593" i="15"/>
  <c r="AX593" i="15"/>
  <c r="R593" i="15"/>
  <c r="AE598" i="15"/>
  <c r="AH598" i="15" s="1"/>
  <c r="V555" i="15"/>
  <c r="AQ598" i="15" s="1"/>
  <c r="AT598" i="15" s="1"/>
  <c r="P555" i="15"/>
  <c r="AO598" i="15" s="1"/>
  <c r="BA593" i="15"/>
  <c r="AI598" i="15"/>
  <c r="P550" i="15"/>
  <c r="AO593" i="15" s="1"/>
  <c r="O470" i="15"/>
  <c r="S513" i="15" s="1"/>
  <c r="AI513" i="15" s="1"/>
  <c r="AG513" i="15"/>
  <c r="AF513" i="15"/>
  <c r="AE513" i="15"/>
  <c r="AH513" i="15" s="1"/>
  <c r="H593" i="15"/>
  <c r="K593" i="15" s="1"/>
  <c r="AF550" i="15"/>
  <c r="I598" i="15"/>
  <c r="J598" i="15"/>
  <c r="Q550" i="15"/>
  <c r="AR593" i="15"/>
  <c r="AS593" i="15"/>
  <c r="J593" i="15"/>
  <c r="I593" i="15"/>
  <c r="O598" i="15"/>
  <c r="P598" i="15"/>
  <c r="BN166" i="13"/>
  <c r="BO166" i="13" s="1"/>
  <c r="BP166" i="13" s="1"/>
  <c r="BQ160" i="13"/>
  <c r="AG56" i="15"/>
  <c r="AF56" i="15"/>
  <c r="O55" i="15"/>
  <c r="P55" i="15"/>
  <c r="AF55" i="15"/>
  <c r="AG55" i="15"/>
  <c r="BQ162" i="13"/>
  <c r="N271" i="15"/>
  <c r="AI271" i="15"/>
  <c r="Y271" i="15"/>
  <c r="AT271" i="15"/>
  <c r="BM187" i="13"/>
  <c r="BQ187" i="13" s="1"/>
  <c r="BN181" i="13"/>
  <c r="BP181" i="13" s="1"/>
  <c r="BN165" i="13"/>
  <c r="BO165" i="13" s="1"/>
  <c r="BP165" i="13" s="1"/>
  <c r="O466" i="15"/>
  <c r="S509" i="15" s="1"/>
  <c r="AI509" i="15" s="1"/>
  <c r="AG509" i="15"/>
  <c r="AE509" i="15"/>
  <c r="AH509" i="15" s="1"/>
  <c r="AF509" i="15"/>
  <c r="BM188" i="13"/>
  <c r="BQ188" i="13" s="1"/>
  <c r="BN176" i="13"/>
  <c r="BP176" i="13" s="1"/>
  <c r="BN159" i="13"/>
  <c r="BO159" i="13" s="1"/>
  <c r="BP159" i="13" s="1"/>
  <c r="BN182" i="13"/>
  <c r="BO182" i="13" s="1"/>
  <c r="AG57" i="15"/>
  <c r="AF57" i="15"/>
  <c r="P57" i="15"/>
  <c r="O57" i="15"/>
  <c r="BN151" i="13"/>
  <c r="BO151" i="13" s="1"/>
  <c r="BP151" i="13" s="1"/>
  <c r="O58" i="15"/>
  <c r="P58" i="15"/>
  <c r="AG58" i="15"/>
  <c r="AF58" i="15"/>
  <c r="O73" i="15"/>
  <c r="P73" i="15"/>
  <c r="AF73" i="15"/>
  <c r="AG73" i="15"/>
  <c r="BP175" i="13"/>
  <c r="BN179" i="13"/>
  <c r="BO179" i="13" s="1"/>
  <c r="BN178" i="13"/>
  <c r="BP178" i="13" s="1"/>
  <c r="BN173" i="13"/>
  <c r="BP173" i="13" s="1"/>
  <c r="B579" i="15"/>
  <c r="E579" i="15" s="1"/>
  <c r="B589" i="15"/>
  <c r="E589" i="15" s="1"/>
  <c r="AE589" i="15"/>
  <c r="AH589" i="15" s="1"/>
  <c r="AE585" i="15"/>
  <c r="AH585" i="15" s="1"/>
  <c r="Z499" i="15"/>
  <c r="N456" i="15"/>
  <c r="AG499" i="15" s="1"/>
  <c r="Y499" i="15"/>
  <c r="Q449" i="15"/>
  <c r="AB492" i="15" s="1"/>
  <c r="AC492" i="15" s="1"/>
  <c r="X499" i="15"/>
  <c r="AA499" i="15" s="1"/>
  <c r="AD499" i="15" s="1"/>
  <c r="D585" i="15"/>
  <c r="C585" i="15"/>
  <c r="X492" i="15"/>
  <c r="AA492" i="15" s="1"/>
  <c r="AD492" i="15" s="1"/>
  <c r="N449" i="15"/>
  <c r="AE492" i="15" s="1"/>
  <c r="AH492" i="15" s="1"/>
  <c r="N585" i="15"/>
  <c r="Q585" i="15" s="1"/>
  <c r="M536" i="15"/>
  <c r="L579" i="15" s="1"/>
  <c r="S536" i="15"/>
  <c r="R579" i="15" s="1"/>
  <c r="M546" i="15"/>
  <c r="L589" i="15" s="1"/>
  <c r="Y504" i="15"/>
  <c r="BA579" i="15"/>
  <c r="N461" i="15"/>
  <c r="O461" i="15" s="1"/>
  <c r="S504" i="15" s="1"/>
  <c r="AI504" i="15" s="1"/>
  <c r="Q461" i="15"/>
  <c r="AB504" i="15" s="1"/>
  <c r="AC504" i="15" s="1"/>
  <c r="S546" i="15"/>
  <c r="N589" i="15" s="1"/>
  <c r="Q589" i="15" s="1"/>
  <c r="Y492" i="15"/>
  <c r="C589" i="15"/>
  <c r="D589" i="15"/>
  <c r="Z504" i="15"/>
  <c r="BA585" i="15"/>
  <c r="P546" i="15"/>
  <c r="AO589" i="15" s="1"/>
  <c r="V546" i="15"/>
  <c r="AQ589" i="15" s="1"/>
  <c r="AT589" i="15" s="1"/>
  <c r="V542" i="15"/>
  <c r="AQ585" i="15" s="1"/>
  <c r="AT585" i="15" s="1"/>
  <c r="AM589" i="15"/>
  <c r="AL589" i="15"/>
  <c r="J589" i="15"/>
  <c r="I589" i="15"/>
  <c r="P579" i="15"/>
  <c r="O579" i="15"/>
  <c r="P542" i="15"/>
  <c r="AK585" i="15" s="1"/>
  <c r="AN585" i="15" s="1"/>
  <c r="P589" i="15"/>
  <c r="O589" i="15"/>
  <c r="W536" i="15"/>
  <c r="O585" i="15"/>
  <c r="P585" i="15"/>
  <c r="AX589" i="15"/>
  <c r="AY589" i="15"/>
  <c r="AX585" i="15"/>
  <c r="AY585" i="15"/>
  <c r="J579" i="15"/>
  <c r="I579" i="15"/>
  <c r="AF579" i="15"/>
  <c r="AG579" i="15"/>
  <c r="R585" i="15"/>
  <c r="AS589" i="15"/>
  <c r="AR589" i="15"/>
  <c r="BA589" i="15"/>
  <c r="AE579" i="15"/>
  <c r="AH579" i="15" s="1"/>
  <c r="P536" i="15"/>
  <c r="AO579" i="15" s="1"/>
  <c r="V536" i="15"/>
  <c r="AQ579" i="15" s="1"/>
  <c r="AT579" i="15" s="1"/>
  <c r="W542" i="15"/>
  <c r="Q536" i="15"/>
  <c r="J585" i="15"/>
  <c r="I585" i="15"/>
  <c r="AM585" i="15"/>
  <c r="AL585" i="15"/>
  <c r="H585" i="15"/>
  <c r="K585" i="15" s="1"/>
  <c r="AF542" i="15"/>
  <c r="AI579" i="15"/>
  <c r="L585" i="15"/>
  <c r="BN190" i="13"/>
  <c r="BP190" i="13" s="1"/>
  <c r="BN174" i="13"/>
  <c r="BO174" i="13" s="1"/>
  <c r="BN171" i="13"/>
  <c r="BP171" i="13" s="1"/>
  <c r="BN152" i="13"/>
  <c r="BO152" i="13" s="1"/>
  <c r="BP152" i="13" s="1"/>
  <c r="BN177" i="13"/>
  <c r="BO177" i="13" s="1"/>
  <c r="BQ149" i="13"/>
  <c r="N669" i="15"/>
  <c r="K626" i="15"/>
  <c r="BN189" i="13"/>
  <c r="BP189" i="13" s="1"/>
  <c r="BN148" i="13"/>
  <c r="BO148" i="13" s="1"/>
  <c r="BP148" i="13" s="1"/>
  <c r="BM184" i="13"/>
  <c r="BQ184" i="13" s="1"/>
  <c r="BN184" i="13"/>
  <c r="BN147" i="13"/>
  <c r="BO147" i="13" s="1"/>
  <c r="BP147" i="13" s="1"/>
  <c r="K226" i="15"/>
  <c r="D226" i="15"/>
  <c r="AF226" i="15"/>
  <c r="AH226" i="15"/>
  <c r="P226" i="15"/>
  <c r="Q226" i="15"/>
  <c r="BQ155" i="13"/>
  <c r="BQ164" i="13"/>
  <c r="U226" i="15"/>
  <c r="BQ157" i="13"/>
  <c r="AB226" i="15"/>
  <c r="O68" i="15"/>
  <c r="AF64" i="15"/>
  <c r="P64" i="15"/>
  <c r="AG66" i="15"/>
  <c r="AF66" i="15"/>
  <c r="AG53" i="15"/>
  <c r="AF53" i="15"/>
  <c r="AF67" i="15"/>
  <c r="AG67" i="15"/>
  <c r="AF52" i="15"/>
  <c r="AG65" i="15"/>
  <c r="AF65" i="15"/>
  <c r="P65" i="15"/>
  <c r="O65" i="15"/>
  <c r="P53" i="15"/>
  <c r="O53" i="15"/>
  <c r="P67" i="15"/>
  <c r="O67" i="15"/>
  <c r="P66" i="15"/>
  <c r="O66" i="15"/>
  <c r="BM183" i="13"/>
  <c r="BQ183" i="13" s="1"/>
  <c r="BN183" i="13"/>
  <c r="P59" i="15"/>
  <c r="O59" i="15"/>
  <c r="AG59" i="15"/>
  <c r="AF59" i="15"/>
  <c r="BN153" i="13"/>
  <c r="BO153" i="13" s="1"/>
  <c r="BP153" i="13" s="1"/>
  <c r="BQ153" i="13"/>
  <c r="BM180" i="13"/>
  <c r="BQ180" i="13" s="1"/>
  <c r="BN180" i="13"/>
  <c r="AF51" i="15"/>
  <c r="AG51" i="15"/>
  <c r="AF54" i="15"/>
  <c r="AG54" i="15"/>
  <c r="P51" i="15"/>
  <c r="O51" i="15"/>
  <c r="P54" i="15"/>
  <c r="O54" i="15"/>
  <c r="O50" i="15"/>
  <c r="BN161" i="13"/>
  <c r="BO161" i="13" s="1"/>
  <c r="BP161" i="13" s="1"/>
  <c r="BQ161" i="13"/>
  <c r="BM186" i="13"/>
  <c r="BQ186" i="13" s="1"/>
  <c r="BN186" i="13"/>
  <c r="O60" i="15"/>
  <c r="AG61" i="15"/>
  <c r="AF61" i="15"/>
  <c r="P63" i="15"/>
  <c r="O63" i="15"/>
  <c r="AF63" i="15"/>
  <c r="AG63" i="15"/>
  <c r="AG62" i="15"/>
  <c r="AF62" i="15"/>
  <c r="P61" i="15"/>
  <c r="O61" i="15"/>
  <c r="CF7" i="17"/>
  <c r="CG9" i="17"/>
  <c r="CF8" i="17"/>
  <c r="CG7" i="17"/>
  <c r="CF10" i="17"/>
  <c r="CG8" i="17"/>
  <c r="CF9" i="17"/>
  <c r="AF50" i="15"/>
  <c r="O48" i="15"/>
  <c r="AG48" i="15"/>
  <c r="AF48" i="15"/>
  <c r="AF85" i="15"/>
  <c r="AG76" i="15"/>
  <c r="P82" i="15"/>
  <c r="O82" i="15"/>
  <c r="AG68" i="15"/>
  <c r="AF68" i="15"/>
  <c r="AG60" i="15"/>
  <c r="AF60" i="15"/>
  <c r="O52" i="15"/>
  <c r="P52" i="15"/>
  <c r="AG47" i="15"/>
  <c r="AF47" i="15"/>
  <c r="AG80" i="15"/>
  <c r="AF80" i="15"/>
  <c r="P47" i="15"/>
  <c r="O47" i="15"/>
  <c r="P49" i="15"/>
  <c r="O49" i="15"/>
  <c r="O76" i="15"/>
  <c r="P76" i="15"/>
  <c r="P56" i="15"/>
  <c r="O56" i="15"/>
  <c r="AG49" i="15"/>
  <c r="AF49" i="15"/>
  <c r="BO185" i="13"/>
  <c r="BP185" i="13"/>
  <c r="BO172" i="13"/>
  <c r="BP172" i="13"/>
  <c r="BP188" i="13"/>
  <c r="BO188" i="13"/>
  <c r="BP187" i="13"/>
  <c r="BO187" i="13"/>
  <c r="C26" i="4" a="1"/>
  <c r="F31" i="4" s="1"/>
  <c r="F44" i="4" a="1"/>
  <c r="O16" i="4"/>
  <c r="N16" i="4"/>
  <c r="O19" i="4"/>
  <c r="N19" i="4"/>
  <c r="H598" i="15" l="1"/>
  <c r="K598" i="15" s="1"/>
  <c r="AU593" i="15"/>
  <c r="R598" i="15"/>
  <c r="AF555" i="15"/>
  <c r="AA598" i="15" s="1"/>
  <c r="AK593" i="15"/>
  <c r="AN593" i="15" s="1"/>
  <c r="AG550" i="15"/>
  <c r="AA593" i="15"/>
  <c r="AD550" i="15"/>
  <c r="Z593" i="15" s="1"/>
  <c r="AH550" i="15"/>
  <c r="AK598" i="15"/>
  <c r="AN598" i="15" s="1"/>
  <c r="AG555" i="15"/>
  <c r="AR598" i="15"/>
  <c r="AS598" i="15"/>
  <c r="AU598" i="15"/>
  <c r="AM593" i="15"/>
  <c r="AL593" i="15"/>
  <c r="AL598" i="15"/>
  <c r="AM598" i="15"/>
  <c r="O271" i="15"/>
  <c r="AJ271" i="15"/>
  <c r="Z271" i="15"/>
  <c r="AU271" i="15"/>
  <c r="BP182" i="13"/>
  <c r="BO181" i="13"/>
  <c r="BO176" i="13"/>
  <c r="BP179" i="13"/>
  <c r="BO178" i="13"/>
  <c r="BO173" i="13"/>
  <c r="AK589" i="15"/>
  <c r="AN589" i="15" s="1"/>
  <c r="H579" i="15"/>
  <c r="K579" i="15" s="1"/>
  <c r="N579" i="15"/>
  <c r="Q579" i="15" s="1"/>
  <c r="H589" i="15"/>
  <c r="K589" i="15" s="1"/>
  <c r="O456" i="15"/>
  <c r="S499" i="15" s="1"/>
  <c r="AI499" i="15" s="1"/>
  <c r="AE499" i="15"/>
  <c r="AH499" i="15" s="1"/>
  <c r="AF499" i="15"/>
  <c r="O449" i="15"/>
  <c r="S492" i="15" s="1"/>
  <c r="AI492" i="15" s="1"/>
  <c r="AF536" i="15"/>
  <c r="AA579" i="15" s="1"/>
  <c r="AG492" i="15"/>
  <c r="AF492" i="15"/>
  <c r="AF546" i="15"/>
  <c r="AA589" i="15" s="1"/>
  <c r="AG504" i="15"/>
  <c r="AF504" i="15"/>
  <c r="AE504" i="15"/>
  <c r="AH504" i="15" s="1"/>
  <c r="R589" i="15"/>
  <c r="AG546" i="15"/>
  <c r="BD589" i="15" s="1"/>
  <c r="AU589" i="15"/>
  <c r="AM579" i="15"/>
  <c r="AL579" i="15"/>
  <c r="AG542" i="15"/>
  <c r="AO585" i="15"/>
  <c r="AA585" i="15"/>
  <c r="AH542" i="15"/>
  <c r="AD542" i="15"/>
  <c r="Z585" i="15" s="1"/>
  <c r="AK579" i="15"/>
  <c r="AN579" i="15" s="1"/>
  <c r="AG536" i="15"/>
  <c r="AS579" i="15"/>
  <c r="AR579" i="15"/>
  <c r="AR585" i="15"/>
  <c r="AS585" i="15"/>
  <c r="AU579" i="15"/>
  <c r="AU585" i="15"/>
  <c r="BO190" i="13"/>
  <c r="BP174" i="13"/>
  <c r="BO171" i="13"/>
  <c r="BP177" i="13"/>
  <c r="R669" i="15"/>
  <c r="S669" i="15" s="1"/>
  <c r="O626" i="15"/>
  <c r="Q669" i="15"/>
  <c r="T669" i="15" s="1"/>
  <c r="BO189" i="13"/>
  <c r="BP184" i="13"/>
  <c r="BO184" i="13"/>
  <c r="BP183" i="13"/>
  <c r="BO183" i="13"/>
  <c r="BO180" i="13"/>
  <c r="BP180" i="13"/>
  <c r="BO186" i="13"/>
  <c r="BP186" i="13"/>
  <c r="E27" i="4"/>
  <c r="E31" i="4"/>
  <c r="G26" i="4"/>
  <c r="G29" i="4"/>
  <c r="H30" i="4"/>
  <c r="C27" i="4"/>
  <c r="F29" i="4"/>
  <c r="C28" i="4"/>
  <c r="D28" i="4"/>
  <c r="G30" i="4"/>
  <c r="E28" i="4"/>
  <c r="G27" i="4"/>
  <c r="H31" i="4"/>
  <c r="F28" i="4"/>
  <c r="C30" i="4"/>
  <c r="F26" i="4"/>
  <c r="H29" i="4"/>
  <c r="D30" i="4"/>
  <c r="D31" i="4"/>
  <c r="E30" i="4"/>
  <c r="H27" i="4"/>
  <c r="F30" i="4"/>
  <c r="D26" i="4"/>
  <c r="G28" i="4"/>
  <c r="H26" i="4"/>
  <c r="D29" i="4"/>
  <c r="H28" i="4"/>
  <c r="E26" i="4"/>
  <c r="C31" i="4"/>
  <c r="G31" i="4"/>
  <c r="F27" i="4"/>
  <c r="D27" i="4"/>
  <c r="C29" i="4"/>
  <c r="C26" i="4"/>
  <c r="E29" i="4"/>
  <c r="F49" i="4"/>
  <c r="F48" i="4"/>
  <c r="F47" i="4"/>
  <c r="F46" i="4"/>
  <c r="F45" i="4"/>
  <c r="F44" i="4"/>
  <c r="N18" i="4"/>
  <c r="O18" i="4"/>
  <c r="N21" i="4"/>
  <c r="O21" i="4"/>
  <c r="AH555" i="15" l="1"/>
  <c r="AJ555" i="15" s="1"/>
  <c r="AD555" i="15"/>
  <c r="Z598" i="15" s="1"/>
  <c r="BD598" i="15"/>
  <c r="AE555" i="15"/>
  <c r="AK555" i="15"/>
  <c r="BF598" i="15" s="1"/>
  <c r="AB593" i="15"/>
  <c r="AJ550" i="15"/>
  <c r="BD593" i="15"/>
  <c r="AE550" i="15"/>
  <c r="AK550" i="15"/>
  <c r="BF593" i="15" s="1"/>
  <c r="AA271" i="15"/>
  <c r="AV271" i="15"/>
  <c r="P271" i="15"/>
  <c r="AK271" i="15"/>
  <c r="AH536" i="15"/>
  <c r="AB579" i="15" s="1"/>
  <c r="AD536" i="15"/>
  <c r="Z579" i="15" s="1"/>
  <c r="AH546" i="15"/>
  <c r="AB589" i="15" s="1"/>
  <c r="AD546" i="15"/>
  <c r="Z589" i="15" s="1"/>
  <c r="AK546" i="15"/>
  <c r="BF589" i="15" s="1"/>
  <c r="AE546" i="15"/>
  <c r="AI546" i="15" s="1"/>
  <c r="AK542" i="15"/>
  <c r="BF585" i="15" s="1"/>
  <c r="AE542" i="15"/>
  <c r="BD585" i="15"/>
  <c r="AB585" i="15"/>
  <c r="AJ542" i="15"/>
  <c r="AE536" i="15"/>
  <c r="BD579" i="15"/>
  <c r="AK536" i="15"/>
  <c r="BF579" i="15" s="1"/>
  <c r="U669" i="15"/>
  <c r="Q626" i="15"/>
  <c r="K26" i="4" a="1"/>
  <c r="K27" i="4" s="1"/>
  <c r="D35" i="4" a="1"/>
  <c r="O20" i="4"/>
  <c r="N17" i="4"/>
  <c r="O17" i="4"/>
  <c r="N20" i="4"/>
  <c r="AB598" i="15" l="1"/>
  <c r="BC593" i="15"/>
  <c r="AI550" i="15"/>
  <c r="AC593" i="15"/>
  <c r="AL550" i="15"/>
  <c r="AD593" i="15" s="1"/>
  <c r="AC598" i="15"/>
  <c r="AL555" i="15"/>
  <c r="AD598" i="15" s="1"/>
  <c r="BC598" i="15"/>
  <c r="AI555" i="15"/>
  <c r="Q271" i="15"/>
  <c r="AL271" i="15"/>
  <c r="AB271" i="15"/>
  <c r="AW271" i="15"/>
  <c r="AJ536" i="15"/>
  <c r="AC579" i="15" s="1"/>
  <c r="AJ546" i="15"/>
  <c r="AL546" i="15" s="1"/>
  <c r="AD589" i="15" s="1"/>
  <c r="BC589" i="15"/>
  <c r="BC585" i="15"/>
  <c r="AI542" i="15"/>
  <c r="AC585" i="15"/>
  <c r="AL542" i="15"/>
  <c r="AD585" i="15" s="1"/>
  <c r="BC579" i="15"/>
  <c r="AI536" i="15"/>
  <c r="BE589" i="15"/>
  <c r="AM546" i="15"/>
  <c r="BG589" i="15" s="1"/>
  <c r="W669" i="15"/>
  <c r="S626" i="15"/>
  <c r="K31" i="4"/>
  <c r="K26" i="4"/>
  <c r="K29" i="4"/>
  <c r="K30" i="4"/>
  <c r="K28" i="4"/>
  <c r="D36" i="4"/>
  <c r="D35" i="4"/>
  <c r="D40" i="4"/>
  <c r="D39" i="4"/>
  <c r="D38" i="4"/>
  <c r="D37" i="4"/>
  <c r="H44" i="4" a="1"/>
  <c r="BE598" i="15" l="1"/>
  <c r="AM555" i="15"/>
  <c r="BG598" i="15" s="1"/>
  <c r="AM550" i="15"/>
  <c r="BG593" i="15" s="1"/>
  <c r="BE593" i="15"/>
  <c r="AC271" i="15"/>
  <c r="AX271" i="15"/>
  <c r="R271" i="15"/>
  <c r="AM271" i="15"/>
  <c r="AL536" i="15"/>
  <c r="AD579" i="15" s="1"/>
  <c r="AC589" i="15"/>
  <c r="BE579" i="15"/>
  <c r="AM536" i="15"/>
  <c r="BG579" i="15" s="1"/>
  <c r="BE585" i="15"/>
  <c r="AM542" i="15"/>
  <c r="BG585" i="15" s="1"/>
  <c r="X669" i="15"/>
  <c r="U626" i="15"/>
  <c r="Y669" i="15" s="1"/>
  <c r="K16" i="4" a="1"/>
  <c r="K18" i="4" s="1"/>
  <c r="H49" i="4"/>
  <c r="H48" i="4"/>
  <c r="H47" i="4"/>
  <c r="H46" i="4"/>
  <c r="H45" i="4"/>
  <c r="H44" i="4"/>
  <c r="S271" i="15" l="1"/>
  <c r="AN271" i="15"/>
  <c r="AD271" i="15"/>
  <c r="AY271" i="15"/>
  <c r="K16" i="4"/>
  <c r="K17" i="4"/>
  <c r="K19" i="4"/>
  <c r="K20" i="4"/>
  <c r="K21" i="4"/>
  <c r="L16" i="4" l="1" a="1"/>
  <c r="L18" i="4" s="1"/>
  <c r="AE271" i="15"/>
  <c r="AZ271" i="15"/>
  <c r="T271" i="15"/>
  <c r="AO271" i="15"/>
  <c r="L16" i="4" l="1"/>
  <c r="L17" i="4"/>
  <c r="L19" i="4"/>
  <c r="L20" i="4"/>
  <c r="L21" i="4"/>
  <c r="U271" i="15"/>
  <c r="AQ271" i="15" s="1"/>
  <c r="AP271" i="15"/>
  <c r="AF271" i="15"/>
  <c r="BB271" i="15" s="1"/>
  <c r="BA271" i="15"/>
  <c r="J26" i="4" l="1" a="1"/>
  <c r="J31" i="4" s="1"/>
  <c r="L31" i="4" s="1"/>
  <c r="J26" i="4" l="1"/>
  <c r="L26" i="4" s="1"/>
  <c r="J29" i="4"/>
  <c r="L29" i="4" s="1"/>
  <c r="J30" i="4"/>
  <c r="L30" i="4" s="1"/>
  <c r="J27" i="4"/>
  <c r="L27" i="4" s="1"/>
  <c r="J28" i="4"/>
  <c r="L28"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Benedikt Philipp</author>
  </authors>
  <commentList>
    <comment ref="G44" authorId="0" shapeId="0" xr:uid="{00000000-0006-0000-0300-000001000000}">
      <text>
        <r>
          <rPr>
            <b/>
            <sz val="9"/>
            <color indexed="81"/>
            <rFont val="Segoe UI"/>
            <family val="2"/>
          </rPr>
          <t>Benedikt Philipp:</t>
        </r>
        <r>
          <rPr>
            <sz val="9"/>
            <color indexed="81"/>
            <rFont val="Segoe UI"/>
            <family val="2"/>
          </rPr>
          <t xml:space="preserve">
noch nicht hinreichend entwickelt, insb. für GE2, GE3</t>
        </r>
      </text>
    </comment>
  </commentList>
</comments>
</file>

<file path=xl/sharedStrings.xml><?xml version="1.0" encoding="utf-8"?>
<sst xmlns="http://schemas.openxmlformats.org/spreadsheetml/2006/main" count="2158" uniqueCount="1264">
  <si>
    <t xml:space="preserve">                                                            </t>
  </si>
  <si>
    <t xml:space="preserve">  </t>
  </si>
  <si>
    <t>Koordinaten</t>
  </si>
  <si>
    <t>Freiheitsgrad
Nummer</t>
  </si>
  <si>
    <t>Knotenlasten</t>
  </si>
  <si>
    <t>Verschiebung</t>
  </si>
  <si>
    <t>Auflagerkräfte</t>
  </si>
  <si>
    <t>Federhärte</t>
  </si>
  <si>
    <t>Federkräfte</t>
  </si>
  <si>
    <t>Knoten-
verdrehung</t>
  </si>
  <si>
    <t>plast.
Moment</t>
  </si>
  <si>
    <t>plast.
Verdrehung</t>
  </si>
  <si>
    <t>Versatz</t>
  </si>
  <si>
    <t>Vorverformung</t>
  </si>
  <si>
    <t>Einflusslinie</t>
  </si>
  <si>
    <t>Knoten</t>
  </si>
  <si>
    <t>x</t>
  </si>
  <si>
    <t>z</t>
  </si>
  <si>
    <t>u</t>
  </si>
  <si>
    <t>w</t>
  </si>
  <si>
    <t>phi</t>
  </si>
  <si>
    <t>Px</t>
  </si>
  <si>
    <t>Pz</t>
  </si>
  <si>
    <t>My</t>
  </si>
  <si>
    <t>A x</t>
  </si>
  <si>
    <t>Az</t>
  </si>
  <si>
    <t>k_u</t>
  </si>
  <si>
    <t>k_w</t>
  </si>
  <si>
    <t>k_phi</t>
  </si>
  <si>
    <t>θ</t>
  </si>
  <si>
    <t>Mpl</t>
  </si>
  <si>
    <t>j_pl</t>
  </si>
  <si>
    <t>x0</t>
  </si>
  <si>
    <t>z0</t>
  </si>
  <si>
    <t>u0</t>
  </si>
  <si>
    <t>w0</t>
  </si>
  <si>
    <t>j0</t>
  </si>
  <si>
    <t>Wert</t>
  </si>
  <si>
    <t>##</t>
  </si>
  <si>
    <t>c</t>
  </si>
  <si>
    <t>Lastfaktor:</t>
  </si>
  <si>
    <t>Verschiebungs-</t>
  </si>
  <si>
    <t>skalierung</t>
  </si>
  <si>
    <t>Element</t>
  </si>
  <si>
    <t>Knotenvorverformung</t>
  </si>
  <si>
    <t>Knotenverschiebung</t>
  </si>
  <si>
    <t>Nummer</t>
  </si>
  <si>
    <r>
      <t>j</t>
    </r>
    <r>
      <rPr>
        <sz val="11"/>
        <rFont val="Arial"/>
        <family val="2"/>
      </rPr>
      <t>0</t>
    </r>
  </si>
  <si>
    <t>j</t>
  </si>
  <si>
    <t>a</t>
  </si>
  <si>
    <t>b</t>
  </si>
  <si>
    <t>Steifigkeiten</t>
  </si>
  <si>
    <t>Elementlasten</t>
  </si>
  <si>
    <t>Geometrie</t>
  </si>
  <si>
    <t>Vorspannung</t>
  </si>
  <si>
    <t>Temperatur</t>
  </si>
  <si>
    <t>Bettung</t>
  </si>
  <si>
    <t>Schub-
steifigkeit</t>
  </si>
  <si>
    <t>EI</t>
  </si>
  <si>
    <t>EA</t>
  </si>
  <si>
    <r>
      <t>q</t>
    </r>
    <r>
      <rPr>
        <vertAlign val="subscript"/>
        <sz val="11"/>
        <rFont val="Arial"/>
        <family val="2"/>
      </rPr>
      <t>x</t>
    </r>
  </si>
  <si>
    <r>
      <t>q</t>
    </r>
    <r>
      <rPr>
        <vertAlign val="subscript"/>
        <sz val="11"/>
        <rFont val="Arial"/>
        <family val="2"/>
      </rPr>
      <t>z</t>
    </r>
  </si>
  <si>
    <t>L</t>
  </si>
  <si>
    <t>alpha [° ]</t>
  </si>
  <si>
    <r>
      <t>F</t>
    </r>
    <r>
      <rPr>
        <vertAlign val="subscript"/>
        <sz val="11"/>
        <rFont val="Arial"/>
        <family val="2"/>
      </rPr>
      <t>0</t>
    </r>
  </si>
  <si>
    <r>
      <t>e</t>
    </r>
    <r>
      <rPr>
        <vertAlign val="subscript"/>
        <sz val="11"/>
        <rFont val="Arial"/>
        <family val="2"/>
      </rPr>
      <t>1</t>
    </r>
  </si>
  <si>
    <r>
      <t>e</t>
    </r>
    <r>
      <rPr>
        <vertAlign val="subscript"/>
        <sz val="11"/>
        <rFont val="Arial"/>
        <family val="2"/>
      </rPr>
      <t>2</t>
    </r>
  </si>
  <si>
    <t>f</t>
  </si>
  <si>
    <r>
      <rPr>
        <sz val="11"/>
        <rFont val="Symbol"/>
        <family val="1"/>
        <charset val="2"/>
      </rPr>
      <t xml:space="preserve">e </t>
    </r>
    <r>
      <rPr>
        <vertAlign val="subscript"/>
        <sz val="11"/>
        <rFont val="Arial"/>
        <family val="2"/>
      </rPr>
      <t>T</t>
    </r>
  </si>
  <si>
    <r>
      <rPr>
        <sz val="11"/>
        <rFont val="Symbol"/>
        <family val="1"/>
        <charset val="2"/>
      </rPr>
      <t xml:space="preserve">k </t>
    </r>
    <r>
      <rPr>
        <vertAlign val="subscript"/>
        <sz val="11"/>
        <rFont val="Arial"/>
        <family val="2"/>
      </rPr>
      <t>T</t>
    </r>
  </si>
  <si>
    <t>k</t>
  </si>
  <si>
    <r>
      <rPr>
        <sz val="12"/>
        <rFont val="Times New Roman"/>
        <family val="1"/>
      </rPr>
      <t>λ</t>
    </r>
    <r>
      <rPr>
        <sz val="9.6"/>
        <rFont val="Arial"/>
        <family val="2"/>
      </rPr>
      <t xml:space="preserve"> L</t>
    </r>
  </si>
  <si>
    <t>"langer Balken"</t>
  </si>
  <si>
    <t>GAs</t>
  </si>
  <si>
    <t>Th.II.O.</t>
  </si>
  <si>
    <t>S</t>
  </si>
  <si>
    <r>
      <t>w</t>
    </r>
    <r>
      <rPr>
        <vertAlign val="subscript"/>
        <sz val="11"/>
        <rFont val="Arial"/>
        <family val="2"/>
      </rPr>
      <t>0</t>
    </r>
  </si>
  <si>
    <r>
      <rPr>
        <sz val="11"/>
        <rFont val="Symbol"/>
        <family val="1"/>
        <charset val="2"/>
      </rPr>
      <t>y</t>
    </r>
    <r>
      <rPr>
        <vertAlign val="subscript"/>
        <sz val="11"/>
        <rFont val="Arial"/>
        <family val="2"/>
      </rPr>
      <t>0</t>
    </r>
  </si>
  <si>
    <t>A'</t>
  </si>
  <si>
    <t>B'</t>
  </si>
  <si>
    <t>C'</t>
  </si>
  <si>
    <t>D'</t>
  </si>
  <si>
    <t>V'</t>
  </si>
  <si>
    <t>Grundele.</t>
  </si>
  <si>
    <t>Theorie</t>
  </si>
  <si>
    <t>k_e : Elementsteifigkeitsmatrix in lokalen FG</t>
  </si>
  <si>
    <t>lokaler Lastvektor</t>
  </si>
  <si>
    <t>lok. FG</t>
  </si>
  <si>
    <t>Belast.</t>
  </si>
  <si>
    <t>Vorver.</t>
  </si>
  <si>
    <t>Summe</t>
  </si>
  <si>
    <t>F</t>
  </si>
  <si>
    <t>LZ</t>
  </si>
  <si>
    <t xml:space="preserve"> k_Global : Elementsteifigkeitsmatrix in globalen FG</t>
  </si>
  <si>
    <t>glob. FG</t>
  </si>
  <si>
    <t>FG</t>
  </si>
  <si>
    <t>globaler Lastvektor</t>
  </si>
  <si>
    <t>global</t>
  </si>
  <si>
    <t>lokal</t>
  </si>
  <si>
    <t>Stabendverschiebungen</t>
  </si>
  <si>
    <t>Stabendkraftgrößen (Vorzeichen nach VV!)</t>
  </si>
  <si>
    <t>Typ</t>
  </si>
  <si>
    <r>
      <t>u</t>
    </r>
    <r>
      <rPr>
        <vertAlign val="subscript"/>
        <sz val="10"/>
        <rFont val="Arial"/>
        <family val="2"/>
      </rPr>
      <t>a</t>
    </r>
  </si>
  <si>
    <r>
      <t>S</t>
    </r>
    <r>
      <rPr>
        <vertAlign val="subscript"/>
        <sz val="10"/>
        <color theme="0" tint="-0.34998626667073579"/>
        <rFont val="Arial"/>
        <family val="2"/>
      </rPr>
      <t>a</t>
    </r>
  </si>
  <si>
    <r>
      <t>N</t>
    </r>
    <r>
      <rPr>
        <vertAlign val="subscript"/>
        <sz val="10"/>
        <rFont val="Arial"/>
        <family val="2"/>
      </rPr>
      <t>a</t>
    </r>
  </si>
  <si>
    <r>
      <t>w</t>
    </r>
    <r>
      <rPr>
        <vertAlign val="subscript"/>
        <sz val="10"/>
        <rFont val="Arial"/>
        <family val="2"/>
      </rPr>
      <t>a</t>
    </r>
  </si>
  <si>
    <r>
      <t>T</t>
    </r>
    <r>
      <rPr>
        <vertAlign val="subscript"/>
        <sz val="10"/>
        <color theme="0" tint="-0.34998626667073579"/>
        <rFont val="Arial"/>
        <family val="2"/>
      </rPr>
      <t>a</t>
    </r>
  </si>
  <si>
    <r>
      <t>Q</t>
    </r>
    <r>
      <rPr>
        <vertAlign val="subscript"/>
        <sz val="10"/>
        <rFont val="Arial"/>
        <family val="2"/>
      </rPr>
      <t>a</t>
    </r>
  </si>
  <si>
    <r>
      <t>j</t>
    </r>
    <r>
      <rPr>
        <vertAlign val="subscript"/>
        <sz val="10"/>
        <rFont val="Arial"/>
        <family val="2"/>
      </rPr>
      <t>a</t>
    </r>
  </si>
  <si>
    <r>
      <t>M</t>
    </r>
    <r>
      <rPr>
        <vertAlign val="subscript"/>
        <sz val="10"/>
        <color theme="0" tint="-0.34998626667073579"/>
        <rFont val="Arial"/>
        <family val="2"/>
      </rPr>
      <t>a</t>
    </r>
  </si>
  <si>
    <r>
      <t>M</t>
    </r>
    <r>
      <rPr>
        <vertAlign val="subscript"/>
        <sz val="10"/>
        <rFont val="Arial"/>
        <family val="2"/>
      </rPr>
      <t>a</t>
    </r>
  </si>
  <si>
    <r>
      <t>u</t>
    </r>
    <r>
      <rPr>
        <vertAlign val="subscript"/>
        <sz val="10"/>
        <rFont val="Arial"/>
        <family val="2"/>
      </rPr>
      <t>b</t>
    </r>
  </si>
  <si>
    <r>
      <t>S</t>
    </r>
    <r>
      <rPr>
        <vertAlign val="subscript"/>
        <sz val="10"/>
        <color theme="0" tint="-0.34998626667073579"/>
        <rFont val="Arial"/>
        <family val="2"/>
      </rPr>
      <t>b</t>
    </r>
  </si>
  <si>
    <r>
      <t>N</t>
    </r>
    <r>
      <rPr>
        <vertAlign val="subscript"/>
        <sz val="10"/>
        <rFont val="Arial"/>
        <family val="2"/>
      </rPr>
      <t>b</t>
    </r>
  </si>
  <si>
    <r>
      <t>w</t>
    </r>
    <r>
      <rPr>
        <vertAlign val="subscript"/>
        <sz val="10"/>
        <rFont val="Arial"/>
        <family val="2"/>
      </rPr>
      <t>b</t>
    </r>
  </si>
  <si>
    <r>
      <t>T</t>
    </r>
    <r>
      <rPr>
        <vertAlign val="subscript"/>
        <sz val="10"/>
        <color theme="0" tint="-0.34998626667073579"/>
        <rFont val="Arial"/>
        <family val="2"/>
      </rPr>
      <t>b</t>
    </r>
  </si>
  <si>
    <r>
      <t>Q</t>
    </r>
    <r>
      <rPr>
        <vertAlign val="subscript"/>
        <sz val="10"/>
        <rFont val="Arial"/>
        <family val="2"/>
      </rPr>
      <t>b</t>
    </r>
  </si>
  <si>
    <r>
      <t>j</t>
    </r>
    <r>
      <rPr>
        <vertAlign val="subscript"/>
        <sz val="10"/>
        <rFont val="Arial"/>
        <family val="2"/>
      </rPr>
      <t>b</t>
    </r>
  </si>
  <si>
    <r>
      <t>M</t>
    </r>
    <r>
      <rPr>
        <vertAlign val="subscript"/>
        <sz val="10"/>
        <color theme="0" tint="-0.34998626667073579"/>
        <rFont val="Arial"/>
        <family val="2"/>
      </rPr>
      <t>b</t>
    </r>
  </si>
  <si>
    <r>
      <t>M</t>
    </r>
    <r>
      <rPr>
        <vertAlign val="subscript"/>
        <sz val="10"/>
        <rFont val="Arial"/>
        <family val="2"/>
      </rPr>
      <t>b</t>
    </r>
  </si>
  <si>
    <t>Transformationsmatrix T</t>
  </si>
  <si>
    <t>sin(alpha)</t>
  </si>
  <si>
    <t>cos(alpha)</t>
  </si>
  <si>
    <t>konstante Linienlasten</t>
  </si>
  <si>
    <t>lineare Linienlasten</t>
  </si>
  <si>
    <t>Temperaturlasten</t>
  </si>
  <si>
    <t>Theorie II. Ordnung</t>
  </si>
  <si>
    <t>Tragwerkslasten</t>
  </si>
  <si>
    <t>elast. Bettung</t>
  </si>
  <si>
    <t>Fließgelenk</t>
  </si>
  <si>
    <t>Knotennummer</t>
  </si>
  <si>
    <t>Länge</t>
  </si>
  <si>
    <t>Winkel</t>
  </si>
  <si>
    <t>Spannkraft</t>
  </si>
  <si>
    <t>Abstände am Rand</t>
  </si>
  <si>
    <t>Seilstich</t>
  </si>
  <si>
    <t>deltaT</t>
  </si>
  <si>
    <t>T const.</t>
  </si>
  <si>
    <t>alphaT</t>
  </si>
  <si>
    <t>Höhe</t>
  </si>
  <si>
    <t>Vorverkrümmung</t>
  </si>
  <si>
    <t>Schrägstellung</t>
  </si>
  <si>
    <t>Stablängs</t>
  </si>
  <si>
    <t>kraft</t>
  </si>
  <si>
    <t>ThIIIO</t>
  </si>
  <si>
    <t>ständig</t>
  </si>
  <si>
    <t>veränderlich</t>
  </si>
  <si>
    <t>Bettungsziffer</t>
  </si>
  <si>
    <t>plast. Moment</t>
  </si>
  <si>
    <t>Sensitivität</t>
  </si>
  <si>
    <t>gesplittet</t>
  </si>
  <si>
    <t>alpha</t>
  </si>
  <si>
    <t>GE</t>
  </si>
  <si>
    <t>qx</t>
  </si>
  <si>
    <t>qz</t>
  </si>
  <si>
    <t>qxi</t>
  </si>
  <si>
    <t>qxk</t>
  </si>
  <si>
    <t>qzi</t>
  </si>
  <si>
    <t>qzk</t>
  </si>
  <si>
    <t>P</t>
  </si>
  <si>
    <t>e1</t>
  </si>
  <si>
    <t>e2</t>
  </si>
  <si>
    <t>Tu -To</t>
  </si>
  <si>
    <t>T ||</t>
  </si>
  <si>
    <t>αT</t>
  </si>
  <si>
    <t>h</t>
  </si>
  <si>
    <t>psi0</t>
  </si>
  <si>
    <t>S geschätzt</t>
  </si>
  <si>
    <t>dx</t>
  </si>
  <si>
    <t>dy</t>
  </si>
  <si>
    <t>psi</t>
  </si>
  <si>
    <t>Eigengewicht</t>
  </si>
  <si>
    <t>Schnee</t>
  </si>
  <si>
    <t>Wind</t>
  </si>
  <si>
    <t>Lastgurt</t>
  </si>
  <si>
    <t>Response</t>
  </si>
  <si>
    <t>Parameter</t>
  </si>
  <si>
    <t>ja/nein</t>
  </si>
  <si>
    <t>Cx</t>
  </si>
  <si>
    <t>Cz</t>
  </si>
  <si>
    <t>xa</t>
  </si>
  <si>
    <t>xb</t>
  </si>
  <si>
    <t>za</t>
  </si>
  <si>
    <t>zb</t>
  </si>
  <si>
    <t>sin</t>
  </si>
  <si>
    <t>cos</t>
  </si>
  <si>
    <t>Fsys</t>
  </si>
  <si>
    <t>Usys</t>
  </si>
  <si>
    <t>Ksys</t>
  </si>
  <si>
    <t>Normalkräfte</t>
  </si>
  <si>
    <t>Skalierung</t>
  </si>
  <si>
    <t>Größe</t>
  </si>
  <si>
    <t>Schnittkraftverläufe</t>
  </si>
  <si>
    <t>max. N</t>
  </si>
  <si>
    <t>Korrektur</t>
  </si>
  <si>
    <t>Ref.Größe</t>
  </si>
  <si>
    <t>R</t>
  </si>
  <si>
    <t>relatv</t>
  </si>
  <si>
    <t>maxN</t>
  </si>
  <si>
    <t>minN</t>
  </si>
  <si>
    <t>Querkräfte</t>
  </si>
  <si>
    <t>max. Q</t>
  </si>
  <si>
    <t>relativ</t>
  </si>
  <si>
    <t>maxQ</t>
  </si>
  <si>
    <t>minQ</t>
  </si>
  <si>
    <t>Biegemomente</t>
  </si>
  <si>
    <t>max. M</t>
  </si>
  <si>
    <t>maxM</t>
  </si>
  <si>
    <t>minM</t>
  </si>
  <si>
    <t>Querverschiebung</t>
  </si>
  <si>
    <t>Biegelinie</t>
  </si>
  <si>
    <t>maxw</t>
  </si>
  <si>
    <t>minw</t>
  </si>
  <si>
    <t>Verläufe</t>
  </si>
  <si>
    <t>Antwort</t>
  </si>
  <si>
    <t>maxSens</t>
  </si>
  <si>
    <t>minSens</t>
  </si>
  <si>
    <t>Verlauf in 1 / 10 Punkten:</t>
  </si>
  <si>
    <r>
      <t>max</t>
    </r>
    <r>
      <rPr>
        <sz val="10"/>
        <rFont val="Calibri"/>
        <family val="2"/>
      </rPr>
      <t>η</t>
    </r>
  </si>
  <si>
    <r>
      <t>min</t>
    </r>
    <r>
      <rPr>
        <sz val="10"/>
        <rFont val="Calibri"/>
        <family val="2"/>
      </rPr>
      <t>η</t>
    </r>
  </si>
  <si>
    <t>frot</t>
  </si>
  <si>
    <t>Verschiebungsskalierung</t>
  </si>
  <si>
    <t>Cy</t>
  </si>
  <si>
    <t>Datenreihen zur Darstellung der Lagersymbole</t>
  </si>
  <si>
    <t>scal</t>
  </si>
  <si>
    <t>unverformt</t>
  </si>
  <si>
    <t>verformt</t>
  </si>
  <si>
    <t>verformte Knoten</t>
  </si>
  <si>
    <t>y</t>
  </si>
  <si>
    <t>Verdrehung</t>
  </si>
  <si>
    <t>sin(theta)</t>
  </si>
  <si>
    <t>cos(theta)</t>
  </si>
  <si>
    <t xml:space="preserve">R * 0,5 = </t>
  </si>
  <si>
    <t>R * 0,866 =</t>
  </si>
  <si>
    <t>R * 0,5 =</t>
  </si>
  <si>
    <t>Rotzeigeru</t>
  </si>
  <si>
    <t>Rotzeigerw</t>
  </si>
  <si>
    <t>Rotationsanzeiger</t>
  </si>
  <si>
    <t>allg</t>
  </si>
  <si>
    <t>Feder vertikal</t>
  </si>
  <si>
    <t>x - Koordinaten der Feder</t>
  </si>
  <si>
    <t>x - Koordinaten des Auflager</t>
  </si>
  <si>
    <t>y - Koordinaten der Feder</t>
  </si>
  <si>
    <t>y - Koordinaten des Auflager</t>
  </si>
  <si>
    <t>Feder</t>
  </si>
  <si>
    <t>Auflager</t>
  </si>
  <si>
    <t>Feder horizontal</t>
  </si>
  <si>
    <t>Drehfeder</t>
  </si>
  <si>
    <t>x - Koordinaten der Spirale</t>
  </si>
  <si>
    <t>x - Koordinaten des Auflagers</t>
  </si>
  <si>
    <t>delta_Radius</t>
  </si>
  <si>
    <t>delta&lt;-Winkel</t>
  </si>
  <si>
    <t>y - Koordinaten der Spirale</t>
  </si>
  <si>
    <t>y - Koordinaten des Auflagers</t>
  </si>
  <si>
    <t>A</t>
  </si>
  <si>
    <t>H</t>
  </si>
  <si>
    <t>V</t>
  </si>
  <si>
    <t>Lastsymbole, absolut</t>
  </si>
  <si>
    <t xml:space="preserve"> vertikale Kraft</t>
  </si>
  <si>
    <t>Fx</t>
  </si>
  <si>
    <t>Fz</t>
  </si>
  <si>
    <t xml:space="preserve"> horizontale Kraft</t>
  </si>
  <si>
    <t>ps</t>
  </si>
  <si>
    <t>pe</t>
  </si>
  <si>
    <t>pm</t>
  </si>
  <si>
    <t>dp</t>
  </si>
  <si>
    <t>ip</t>
  </si>
  <si>
    <t>p0</t>
  </si>
  <si>
    <t>dpfac</t>
  </si>
  <si>
    <t>fac</t>
  </si>
  <si>
    <t>Moment</t>
  </si>
  <si>
    <t>Av</t>
  </si>
  <si>
    <t>Ah</t>
  </si>
  <si>
    <t>Hz</t>
  </si>
  <si>
    <t>Vz</t>
  </si>
  <si>
    <t>Hx</t>
  </si>
  <si>
    <t>Vx</t>
  </si>
  <si>
    <t>B</t>
  </si>
  <si>
    <t xml:space="preserve">konstante Linienlast </t>
  </si>
  <si>
    <t>xc</t>
  </si>
  <si>
    <t>xd</t>
  </si>
  <si>
    <t>xe</t>
  </si>
  <si>
    <t>xf</t>
  </si>
  <si>
    <t>xj</t>
  </si>
  <si>
    <t>xk</t>
  </si>
  <si>
    <t>zc</t>
  </si>
  <si>
    <t>zd</t>
  </si>
  <si>
    <t>ze</t>
  </si>
  <si>
    <t>zf</t>
  </si>
  <si>
    <t>zj</t>
  </si>
  <si>
    <t>zk</t>
  </si>
  <si>
    <t>x1</t>
  </si>
  <si>
    <t>x2</t>
  </si>
  <si>
    <t>x3</t>
  </si>
  <si>
    <t>x4</t>
  </si>
  <si>
    <t>x5</t>
  </si>
  <si>
    <t>x6</t>
  </si>
  <si>
    <t>x7</t>
  </si>
  <si>
    <t>x8</t>
  </si>
  <si>
    <t>x9</t>
  </si>
  <si>
    <t>x10</t>
  </si>
  <si>
    <t>x11</t>
  </si>
  <si>
    <t>x12</t>
  </si>
  <si>
    <t>x13</t>
  </si>
  <si>
    <t>x14</t>
  </si>
  <si>
    <t>x15</t>
  </si>
  <si>
    <t>x16</t>
  </si>
  <si>
    <t>x17</t>
  </si>
  <si>
    <t>z1</t>
  </si>
  <si>
    <t>z2</t>
  </si>
  <si>
    <t>z3</t>
  </si>
  <si>
    <t>z4</t>
  </si>
  <si>
    <t>z5</t>
  </si>
  <si>
    <t>z6</t>
  </si>
  <si>
    <t>z7</t>
  </si>
  <si>
    <t>z8</t>
  </si>
  <si>
    <t>z9</t>
  </si>
  <si>
    <t>z10</t>
  </si>
  <si>
    <t>z11</t>
  </si>
  <si>
    <t>z12</t>
  </si>
  <si>
    <t>z13</t>
  </si>
  <si>
    <t>z14</t>
  </si>
  <si>
    <t>z15</t>
  </si>
  <si>
    <t>z16</t>
  </si>
  <si>
    <t>z17</t>
  </si>
  <si>
    <t>WENN(UND(ABS(System!U4)+ABS(System!V4)&lt;&gt;0;F91=0);MAX(ABS(System!O82);ABS(System!P82));WENN(ABS(System!S4)+ABS(System!T4)&lt;&gt;0;MAX(ABS(System!M82);ABS(System!N82));1))</t>
  </si>
  <si>
    <t>Lineare Linienlast in x - Richtung</t>
  </si>
  <si>
    <t>xa1</t>
  </si>
  <si>
    <t>xb1</t>
  </si>
  <si>
    <t>za1</t>
  </si>
  <si>
    <t>zb1</t>
  </si>
  <si>
    <t>Fac1</t>
  </si>
  <si>
    <t>Fac2</t>
  </si>
  <si>
    <t>max qx</t>
  </si>
  <si>
    <t>VZW in qx</t>
  </si>
  <si>
    <t>Abstand des  qx-Pfeil</t>
  </si>
  <si>
    <t>Lineare Linienlast in z - Richtung</t>
  </si>
  <si>
    <t>max. qz</t>
  </si>
  <si>
    <t xml:space="preserve">Temperaturlasten </t>
  </si>
  <si>
    <t>Intervall</t>
  </si>
  <si>
    <t>Amplituden x-Koordinaten</t>
  </si>
  <si>
    <t>Amplituden z-Koordinaten</t>
  </si>
  <si>
    <t>delta T</t>
  </si>
  <si>
    <t>T</t>
  </si>
  <si>
    <t xml:space="preserve"> x Richtung</t>
  </si>
  <si>
    <t>z-Richtung</t>
  </si>
  <si>
    <t xml:space="preserve">Amplitude </t>
  </si>
  <si>
    <t>x0u</t>
  </si>
  <si>
    <t>x1o</t>
  </si>
  <si>
    <t>x2u</t>
  </si>
  <si>
    <t>x3o</t>
  </si>
  <si>
    <t>x4u</t>
  </si>
  <si>
    <t>x5o</t>
  </si>
  <si>
    <t>x6u</t>
  </si>
  <si>
    <t>x7o</t>
  </si>
  <si>
    <t>x8u</t>
  </si>
  <si>
    <t>x9o</t>
  </si>
  <si>
    <t>x10u</t>
  </si>
  <si>
    <t>z0u</t>
  </si>
  <si>
    <t>z1o</t>
  </si>
  <si>
    <t>z2u</t>
  </si>
  <si>
    <t>z3o</t>
  </si>
  <si>
    <t>z4u</t>
  </si>
  <si>
    <t>z5o</t>
  </si>
  <si>
    <t>z6u</t>
  </si>
  <si>
    <t>z7o</t>
  </si>
  <si>
    <t>z8u</t>
  </si>
  <si>
    <t>z9o</t>
  </si>
  <si>
    <t>z10u</t>
  </si>
  <si>
    <t xml:space="preserve"> Vorspannung</t>
  </si>
  <si>
    <t xml:space="preserve">cos </t>
  </si>
  <si>
    <t>AH</t>
  </si>
  <si>
    <t>Eigengewichtslast</t>
  </si>
  <si>
    <t>Eigengew.</t>
  </si>
  <si>
    <t>Schneelast</t>
  </si>
  <si>
    <t>P360-WENN(D360=0;WENN(C360&gt;0;1;-1);1)*E360*C360*$T$1</t>
  </si>
  <si>
    <t>Q360 - WENN(D360=0;WENN(C360&gt;0;1;-1);1)*E360*C360*$T$1</t>
  </si>
  <si>
    <t>Buchstabe W</t>
  </si>
  <si>
    <t>Windlast</t>
  </si>
  <si>
    <t>1. Pfeil</t>
  </si>
  <si>
    <t>2. Pfeil</t>
  </si>
  <si>
    <t>3. Pfeil</t>
  </si>
  <si>
    <t>4. Pfeil</t>
  </si>
  <si>
    <t>Punkt 1</t>
  </si>
  <si>
    <t>Punkt 2</t>
  </si>
  <si>
    <t>Punkt 3</t>
  </si>
  <si>
    <t>Punkt 4</t>
  </si>
  <si>
    <t>Punkt 5</t>
  </si>
  <si>
    <t>x unten</t>
  </si>
  <si>
    <t>x oben</t>
  </si>
  <si>
    <t>x Pfeil</t>
  </si>
  <si>
    <t>z unten</t>
  </si>
  <si>
    <t>z oben</t>
  </si>
  <si>
    <t>z Pfeil</t>
  </si>
  <si>
    <t>Abmessung</t>
  </si>
  <si>
    <t>x - Abstand zu 2. -3.Pfeil</t>
  </si>
  <si>
    <t>z - Abstand zu 2. -3.Pfeil</t>
  </si>
  <si>
    <t>Höhe des Buchstaben</t>
  </si>
  <si>
    <t>Breite des Buchstaben</t>
  </si>
  <si>
    <t>x - Koordinaten von Pfeil 1</t>
  </si>
  <si>
    <t>x - Koordinaten von Pfeil 2</t>
  </si>
  <si>
    <t>x - Koordinaten von Pfeil 3</t>
  </si>
  <si>
    <t>x - Koordinaten von Pfeil 4</t>
  </si>
  <si>
    <t>x - Koordinaten von Buchstabe W</t>
  </si>
  <si>
    <t>z - Koordinaten von Pfeil 1</t>
  </si>
  <si>
    <t>z - Koordinaten von Pfeil 2</t>
  </si>
  <si>
    <t>z - Koordinaten von Pfeil 3</t>
  </si>
  <si>
    <t>z - Koordinaten von Pfeil 4</t>
  </si>
  <si>
    <t>z - Koordinaten von Buchstabe W</t>
  </si>
  <si>
    <t>x18</t>
  </si>
  <si>
    <t>x19</t>
  </si>
  <si>
    <t>x20</t>
  </si>
  <si>
    <t>x21</t>
  </si>
  <si>
    <t>x22</t>
  </si>
  <si>
    <t>x23</t>
  </si>
  <si>
    <t>x24</t>
  </si>
  <si>
    <t>x25</t>
  </si>
  <si>
    <t>z18</t>
  </si>
  <si>
    <t>z19</t>
  </si>
  <si>
    <t>z20</t>
  </si>
  <si>
    <t>z21</t>
  </si>
  <si>
    <t>z22</t>
  </si>
  <si>
    <t>z23</t>
  </si>
  <si>
    <t>z24</t>
  </si>
  <si>
    <t>z25</t>
  </si>
  <si>
    <t>WENN(UND(ISTZAHL(System!$C4);E360&lt;&gt;0);System!E82-WENN(D360&lt;&gt;0;1;0)*$J$1*MIN($E$1;B360)*ABS(C360) - $H$1*$E$1*ABS(D360);PlotData!$CB$4)</t>
  </si>
  <si>
    <t>Lastgurt von Einflusslinie</t>
  </si>
  <si>
    <t>Anfangspunkt A</t>
  </si>
  <si>
    <t>Endpunkt B</t>
  </si>
  <si>
    <t>Mittelpunkt C</t>
  </si>
  <si>
    <t xml:space="preserve"> Pfeil horizontal</t>
  </si>
  <si>
    <t>Pfeil vertikal</t>
  </si>
  <si>
    <t>Zahl "1"</t>
  </si>
  <si>
    <t>xh</t>
  </si>
  <si>
    <t>zh</t>
  </si>
  <si>
    <t>xv</t>
  </si>
  <si>
    <t>zv</t>
  </si>
  <si>
    <t>Pfeil</t>
  </si>
  <si>
    <t xml:space="preserve">Höhe </t>
  </si>
  <si>
    <t xml:space="preserve">Breite </t>
  </si>
  <si>
    <t>Höhe Spitze</t>
  </si>
  <si>
    <t xml:space="preserve"> x  - Abstand </t>
  </si>
  <si>
    <t xml:space="preserve"> z - Abstand </t>
  </si>
  <si>
    <t>Breite</t>
  </si>
  <si>
    <t>gestrichelte Linie</t>
  </si>
  <si>
    <t>x - Koordinaten des Pfeil</t>
  </si>
  <si>
    <t>x- Koordinaten von "1"</t>
  </si>
  <si>
    <t>z - Koordinaten des Pfeil</t>
  </si>
  <si>
    <t>z- Koordinaten von "1"</t>
  </si>
  <si>
    <t>Lastschritt</t>
  </si>
  <si>
    <t>Lastfaktor</t>
  </si>
  <si>
    <t>Last-Verschiebungs-Diagramm</t>
  </si>
  <si>
    <t>minX</t>
  </si>
  <si>
    <t>minY</t>
  </si>
  <si>
    <t>maxX</t>
  </si>
  <si>
    <t>maxY</t>
  </si>
  <si>
    <t>deltaX</t>
  </si>
  <si>
    <t>deltaY</t>
  </si>
  <si>
    <t>Systemgeometrie</t>
  </si>
  <si>
    <t>globale Verformung</t>
  </si>
  <si>
    <t>max Verf.</t>
  </si>
  <si>
    <t>max x</t>
  </si>
  <si>
    <t>max y</t>
  </si>
  <si>
    <t>Superposition</t>
  </si>
  <si>
    <t>scl</t>
  </si>
  <si>
    <t>Dx</t>
  </si>
  <si>
    <t>Dy</t>
  </si>
  <si>
    <t>Bounding Box</t>
  </si>
  <si>
    <r>
      <rPr>
        <b/>
        <sz val="10"/>
        <rFont val="Arial"/>
        <family val="2"/>
      </rPr>
      <t>y - Achse</t>
    </r>
    <r>
      <rPr>
        <sz val="10"/>
        <rFont val="Arial"/>
        <family val="2"/>
      </rPr>
      <t xml:space="preserve"> in 1/10 Schritten</t>
    </r>
  </si>
  <si>
    <r>
      <t xml:space="preserve">Datenreihe: </t>
    </r>
    <r>
      <rPr>
        <b/>
        <sz val="10"/>
        <rFont val="Arial"/>
        <family val="2"/>
      </rPr>
      <t>verformt</t>
    </r>
  </si>
  <si>
    <t>Deformation</t>
  </si>
  <si>
    <t>n1</t>
  </si>
  <si>
    <t>n2</t>
  </si>
  <si>
    <t>n3</t>
  </si>
  <si>
    <t>n4</t>
  </si>
  <si>
    <t>Momente</t>
  </si>
  <si>
    <t>Querkraft</t>
  </si>
  <si>
    <t>Normalkraft</t>
  </si>
  <si>
    <t>Sensitivitäten</t>
  </si>
  <si>
    <t>horizontal: vGxi(1) = DeformationsGlob(i + 1)</t>
  </si>
  <si>
    <t>vertikal: vGxi(2) = DeformationsGlob(11 + i + 1)</t>
  </si>
  <si>
    <t xml:space="preserve">Plotten </t>
  </si>
  <si>
    <t>Faktor</t>
  </si>
  <si>
    <t>x - Achse</t>
  </si>
  <si>
    <t>y - Achse</t>
  </si>
  <si>
    <t>Element 1</t>
  </si>
  <si>
    <t>Lastvektor</t>
  </si>
  <si>
    <t>Element 2</t>
  </si>
  <si>
    <t>Element 3</t>
  </si>
  <si>
    <t>Element 4</t>
  </si>
  <si>
    <t>Element 5</t>
  </si>
  <si>
    <t>Element 6</t>
  </si>
  <si>
    <t>Element 7</t>
  </si>
  <si>
    <t>Element 8</t>
  </si>
  <si>
    <t>Element 9</t>
  </si>
  <si>
    <t>Element 10</t>
  </si>
  <si>
    <t>Element 11</t>
  </si>
  <si>
    <t>Element 12</t>
  </si>
  <si>
    <t>Element 13</t>
  </si>
  <si>
    <t>Element 14</t>
  </si>
  <si>
    <t>Element 15</t>
  </si>
  <si>
    <t>Element 16</t>
  </si>
  <si>
    <t>Element 17</t>
  </si>
  <si>
    <t>Element 18</t>
  </si>
  <si>
    <t>Element 19</t>
  </si>
  <si>
    <t>Element 20</t>
  </si>
  <si>
    <t>Element 21</t>
  </si>
  <si>
    <t>Element 22</t>
  </si>
  <si>
    <t>Element 23</t>
  </si>
  <si>
    <t>Element 24</t>
  </si>
  <si>
    <t>Element 25</t>
  </si>
  <si>
    <t>Element 26</t>
  </si>
  <si>
    <t>Element 27</t>
  </si>
  <si>
    <t>Element 28</t>
  </si>
  <si>
    <t>Element 29</t>
  </si>
  <si>
    <t>Element 30</t>
  </si>
  <si>
    <t>Element 31</t>
  </si>
  <si>
    <t>Element 32</t>
  </si>
  <si>
    <t>Element 33</t>
  </si>
  <si>
    <t>Element 34</t>
  </si>
  <si>
    <t>Element 35</t>
  </si>
  <si>
    <t>Element 36</t>
  </si>
  <si>
    <t>Element 37</t>
  </si>
  <si>
    <t>Element 38</t>
  </si>
  <si>
    <t>Element 39</t>
  </si>
  <si>
    <t>Element 40</t>
  </si>
  <si>
    <t>Element 41</t>
  </si>
  <si>
    <t>Element 42</t>
  </si>
  <si>
    <t>Element 43</t>
  </si>
  <si>
    <t>Element 44</t>
  </si>
  <si>
    <t>Element 45</t>
  </si>
  <si>
    <t>Element 46</t>
  </si>
  <si>
    <t>Element 47</t>
  </si>
  <si>
    <t>Element 48</t>
  </si>
  <si>
    <t>Element 49</t>
  </si>
  <si>
    <t>Element 50</t>
  </si>
  <si>
    <t>Element 51</t>
  </si>
  <si>
    <t>Element 52</t>
  </si>
  <si>
    <t>Element 53</t>
  </si>
  <si>
    <t>Element 54</t>
  </si>
  <si>
    <t>Element 55</t>
  </si>
  <si>
    <t>Element 56</t>
  </si>
  <si>
    <t>Element 57</t>
  </si>
  <si>
    <t>Element 58</t>
  </si>
  <si>
    <t>Element 59</t>
  </si>
  <si>
    <t>Element 60</t>
  </si>
  <si>
    <t>Element 61</t>
  </si>
  <si>
    <t>Element 62</t>
  </si>
  <si>
    <t>Element 63</t>
  </si>
  <si>
    <t>Element 64</t>
  </si>
  <si>
    <t>Element 65</t>
  </si>
  <si>
    <t>Element 66</t>
  </si>
  <si>
    <t>Element 67</t>
  </si>
  <si>
    <t>Element 68</t>
  </si>
  <si>
    <t>Element 69</t>
  </si>
  <si>
    <t>Element 70</t>
  </si>
  <si>
    <t>Element 71</t>
  </si>
  <si>
    <t>Element 72</t>
  </si>
  <si>
    <t>Element 73</t>
  </si>
  <si>
    <t>Element 74</t>
  </si>
  <si>
    <t>Element 75</t>
  </si>
  <si>
    <t>Element 76</t>
  </si>
  <si>
    <t>Element 77</t>
  </si>
  <si>
    <t>Element 78</t>
  </si>
  <si>
    <t>Element 79</t>
  </si>
  <si>
    <t>Element 80</t>
  </si>
  <si>
    <t>Element 81</t>
  </si>
  <si>
    <t>Element 82</t>
  </si>
  <si>
    <t>Element 83</t>
  </si>
  <si>
    <t>Element 84</t>
  </si>
  <si>
    <t>Element 85</t>
  </si>
  <si>
    <t>Element 86</t>
  </si>
  <si>
    <t>Element 87</t>
  </si>
  <si>
    <t>Element 88</t>
  </si>
  <si>
    <t>Element 89</t>
  </si>
  <si>
    <t>Element 90</t>
  </si>
  <si>
    <t>Element 91</t>
  </si>
  <si>
    <t>Element 92</t>
  </si>
  <si>
    <t>Element 93</t>
  </si>
  <si>
    <t>Element 94</t>
  </si>
  <si>
    <t>Element 95</t>
  </si>
  <si>
    <t>Element 96</t>
  </si>
  <si>
    <t>Element 97</t>
  </si>
  <si>
    <t>Element 98</t>
  </si>
  <si>
    <t>Element 99</t>
  </si>
  <si>
    <t>Element 100</t>
  </si>
  <si>
    <t>Element 101</t>
  </si>
  <si>
    <t>Element 102</t>
  </si>
  <si>
    <t>Element 103</t>
  </si>
  <si>
    <t>Element 104</t>
  </si>
  <si>
    <t>Element 105</t>
  </si>
  <si>
    <t>Element 106</t>
  </si>
  <si>
    <t>Element 107</t>
  </si>
  <si>
    <t>Element 108</t>
  </si>
  <si>
    <t>Element 109</t>
  </si>
  <si>
    <t>Element 110</t>
  </si>
  <si>
    <t>Element 111</t>
  </si>
  <si>
    <t>Element 112</t>
  </si>
  <si>
    <t>Element 113</t>
  </si>
  <si>
    <t>Element 114</t>
  </si>
  <si>
    <t>Element 115</t>
  </si>
  <si>
    <t>Element 116</t>
  </si>
  <si>
    <t>Element 117</t>
  </si>
  <si>
    <t>Element 118</t>
  </si>
  <si>
    <t>Element 119</t>
  </si>
  <si>
    <t>Element 120</t>
  </si>
  <si>
    <t>Element 121</t>
  </si>
  <si>
    <t>Element 122</t>
  </si>
  <si>
    <t>Element 123</t>
  </si>
  <si>
    <t>Element 124</t>
  </si>
  <si>
    <t>Element 125</t>
  </si>
  <si>
    <t>Element 126</t>
  </si>
  <si>
    <t>Element 127</t>
  </si>
  <si>
    <t>Element 128</t>
  </si>
  <si>
    <t>Element 129</t>
  </si>
  <si>
    <t>Element 130</t>
  </si>
  <si>
    <t>Element 131</t>
  </si>
  <si>
    <t>Element 132</t>
  </si>
  <si>
    <t>Element 133</t>
  </si>
  <si>
    <t>Element 134</t>
  </si>
  <si>
    <t>Element 135</t>
  </si>
  <si>
    <t>Element 136</t>
  </si>
  <si>
    <t>Element 137</t>
  </si>
  <si>
    <t>Element 138</t>
  </si>
  <si>
    <t>Element 139</t>
  </si>
  <si>
    <t>Element 140</t>
  </si>
  <si>
    <t>Element 141</t>
  </si>
  <si>
    <t>Element 142</t>
  </si>
  <si>
    <t>Element 143</t>
  </si>
  <si>
    <t>Element 144</t>
  </si>
  <si>
    <t>Element 145</t>
  </si>
  <si>
    <t>Element 146</t>
  </si>
  <si>
    <t>Element 147</t>
  </si>
  <si>
    <t>Element 148</t>
  </si>
  <si>
    <t>Element 149</t>
  </si>
  <si>
    <t>Element 150</t>
  </si>
  <si>
    <t>Element 151</t>
  </si>
  <si>
    <t>Element 152</t>
  </si>
  <si>
    <t>Element 153</t>
  </si>
  <si>
    <t>Element 154</t>
  </si>
  <si>
    <t>Element 155</t>
  </si>
  <si>
    <t>Element 156</t>
  </si>
  <si>
    <t>Element 157</t>
  </si>
  <si>
    <t>Element 158</t>
  </si>
  <si>
    <t>Element 159</t>
  </si>
  <si>
    <t>Element 160</t>
  </si>
  <si>
    <t>Element 161</t>
  </si>
  <si>
    <t>Element 162</t>
  </si>
  <si>
    <t>Element 163</t>
  </si>
  <si>
    <t>Element 164</t>
  </si>
  <si>
    <t>Element 165</t>
  </si>
  <si>
    <t>Element 166</t>
  </si>
  <si>
    <t>Element 167</t>
  </si>
  <si>
    <t>Element 168</t>
  </si>
  <si>
    <t>Element 169</t>
  </si>
  <si>
    <t>Element 170</t>
  </si>
  <si>
    <t>Element 171</t>
  </si>
  <si>
    <t>Element 172</t>
  </si>
  <si>
    <t>Element 173</t>
  </si>
  <si>
    <t>Element 174</t>
  </si>
  <si>
    <t>Element 175</t>
  </si>
  <si>
    <t>Element 176</t>
  </si>
  <si>
    <t>Element 177</t>
  </si>
  <si>
    <t>Element 178</t>
  </si>
  <si>
    <t>Element 179</t>
  </si>
  <si>
    <t>Element 180</t>
  </si>
  <si>
    <t>Element 181</t>
  </si>
  <si>
    <t>Element 182</t>
  </si>
  <si>
    <t>Element 183</t>
  </si>
  <si>
    <t>Element 184</t>
  </si>
  <si>
    <t>Element 185</t>
  </si>
  <si>
    <t>Element 186</t>
  </si>
  <si>
    <t>Element 187</t>
  </si>
  <si>
    <t>Element 188</t>
  </si>
  <si>
    <t>Element 189</t>
  </si>
  <si>
    <t>Element 190</t>
  </si>
  <si>
    <t>Element 191</t>
  </si>
  <si>
    <t>Element 192</t>
  </si>
  <si>
    <t>Element 193</t>
  </si>
  <si>
    <t>Element 194</t>
  </si>
  <si>
    <t>Element 195</t>
  </si>
  <si>
    <t>Element 196</t>
  </si>
  <si>
    <t>Element 197</t>
  </si>
  <si>
    <t>Element 198</t>
  </si>
  <si>
    <t>Element 199</t>
  </si>
  <si>
    <t>Element 200</t>
  </si>
  <si>
    <t>Element 201</t>
  </si>
  <si>
    <t>Element 202</t>
  </si>
  <si>
    <t>Element 203</t>
  </si>
  <si>
    <t>Element 204</t>
  </si>
  <si>
    <t>Element 205</t>
  </si>
  <si>
    <t>Element 206</t>
  </si>
  <si>
    <t>Element 207</t>
  </si>
  <si>
    <t>Element 208</t>
  </si>
  <si>
    <t>Element 209</t>
  </si>
  <si>
    <t>Element 210</t>
  </si>
  <si>
    <t>Element 211</t>
  </si>
  <si>
    <t>Element 212</t>
  </si>
  <si>
    <t>Element 213</t>
  </si>
  <si>
    <t>Element 214</t>
  </si>
  <si>
    <t>Element 215</t>
  </si>
  <si>
    <t>Element 216</t>
  </si>
  <si>
    <t>Element 217</t>
  </si>
  <si>
    <t>Element 218</t>
  </si>
  <si>
    <t>Element 219</t>
  </si>
  <si>
    <t>Element 220</t>
  </si>
  <si>
    <t>Element 221</t>
  </si>
  <si>
    <t>Element 222</t>
  </si>
  <si>
    <t>Element 223</t>
  </si>
  <si>
    <t>Element 224</t>
  </si>
  <si>
    <t>Element 225</t>
  </si>
  <si>
    <t>Element 226</t>
  </si>
  <si>
    <t>Element 227</t>
  </si>
  <si>
    <t>Element 228</t>
  </si>
  <si>
    <t>Element 229</t>
  </si>
  <si>
    <t>Element 230</t>
  </si>
  <si>
    <t>Element 231</t>
  </si>
  <si>
    <t>Element 232</t>
  </si>
  <si>
    <t>Element 233</t>
  </si>
  <si>
    <t>Element 234</t>
  </si>
  <si>
    <t>Element 235</t>
  </si>
  <si>
    <t>Element 236</t>
  </si>
  <si>
    <t>Element 237</t>
  </si>
  <si>
    <t>Element 238</t>
  </si>
  <si>
    <t>Element 239</t>
  </si>
  <si>
    <t>Element 240</t>
  </si>
  <si>
    <t>Element 241</t>
  </si>
  <si>
    <t>Element 242</t>
  </si>
  <si>
    <t>Element 243</t>
  </si>
  <si>
    <t>Element 244</t>
  </si>
  <si>
    <t>Element 245</t>
  </si>
  <si>
    <t>Element 246</t>
  </si>
  <si>
    <t>Element 247</t>
  </si>
  <si>
    <t>Element 248</t>
  </si>
  <si>
    <t>Element 249</t>
  </si>
  <si>
    <t>Element 250</t>
  </si>
  <si>
    <t>Element 251</t>
  </si>
  <si>
    <t>Element 252</t>
  </si>
  <si>
    <t>Element 253</t>
  </si>
  <si>
    <t>Element 254</t>
  </si>
  <si>
    <t>Element 255</t>
  </si>
  <si>
    <t>Element 256</t>
  </si>
  <si>
    <t>Element 257</t>
  </si>
  <si>
    <t>Element 258</t>
  </si>
  <si>
    <t>Element 259</t>
  </si>
  <si>
    <t>Element 260</t>
  </si>
  <si>
    <t>Element 261</t>
  </si>
  <si>
    <t>Element 262</t>
  </si>
  <si>
    <t>Element 263</t>
  </si>
  <si>
    <t>Element 264</t>
  </si>
  <si>
    <t>Element 265</t>
  </si>
  <si>
    <t>Element 266</t>
  </si>
  <si>
    <t>Element 267</t>
  </si>
  <si>
    <t>Element 268</t>
  </si>
  <si>
    <t>Element 269</t>
  </si>
  <si>
    <t>Element 270</t>
  </si>
  <si>
    <t>Element 271</t>
  </si>
  <si>
    <t>Element 272</t>
  </si>
  <si>
    <t>Element 273</t>
  </si>
  <si>
    <t>Element 274</t>
  </si>
  <si>
    <t>Element 275</t>
  </si>
  <si>
    <t>Element 276</t>
  </si>
  <si>
    <t>Element 277</t>
  </si>
  <si>
    <t>Element 278</t>
  </si>
  <si>
    <t>Element 279</t>
  </si>
  <si>
    <t>Element 280</t>
  </si>
  <si>
    <t>Element 281</t>
  </si>
  <si>
    <t>Element 282</t>
  </si>
  <si>
    <t>Element 283</t>
  </si>
  <si>
    <t>Element 284</t>
  </si>
  <si>
    <t>Element 285</t>
  </si>
  <si>
    <t>Element 286</t>
  </si>
  <si>
    <t>Element 287</t>
  </si>
  <si>
    <t>Element 288</t>
  </si>
  <si>
    <t>Element 289</t>
  </si>
  <si>
    <t>Element 290</t>
  </si>
  <si>
    <t>Element 291</t>
  </si>
  <si>
    <t>Element 292</t>
  </si>
  <si>
    <t>Element 293</t>
  </si>
  <si>
    <t>Element 294</t>
  </si>
  <si>
    <t>Element 295</t>
  </si>
  <si>
    <t>Element 296</t>
  </si>
  <si>
    <t>Element 297</t>
  </si>
  <si>
    <t>Element 298</t>
  </si>
  <si>
    <t>Element 299</t>
  </si>
  <si>
    <t>Element 300</t>
  </si>
  <si>
    <t>Element 301</t>
  </si>
  <si>
    <t>Element 302</t>
  </si>
  <si>
    <t>Element 303</t>
  </si>
  <si>
    <t>Element 304</t>
  </si>
  <si>
    <t>Element 305</t>
  </si>
  <si>
    <t>Element 306</t>
  </si>
  <si>
    <t>Element 307</t>
  </si>
  <si>
    <t>Element 308</t>
  </si>
  <si>
    <t>Element 309</t>
  </si>
  <si>
    <t>Element 310</t>
  </si>
  <si>
    <t>Element 311</t>
  </si>
  <si>
    <t>Element 312</t>
  </si>
  <si>
    <t>Element 313</t>
  </si>
  <si>
    <t>Element 314</t>
  </si>
  <si>
    <t>Element 315</t>
  </si>
  <si>
    <t>Element 316</t>
  </si>
  <si>
    <t>Element 317</t>
  </si>
  <si>
    <t>Element 318</t>
  </si>
  <si>
    <t>Element 319</t>
  </si>
  <si>
    <t>Element 320</t>
  </si>
  <si>
    <t>Element 321</t>
  </si>
  <si>
    <t>Element 322</t>
  </si>
  <si>
    <t>Element 323</t>
  </si>
  <si>
    <t>Element 324</t>
  </si>
  <si>
    <t>Element 325</t>
  </si>
  <si>
    <t>Element 326</t>
  </si>
  <si>
    <t>Element 327</t>
  </si>
  <si>
    <t>Element 328</t>
  </si>
  <si>
    <t>Element 329</t>
  </si>
  <si>
    <t>Element 330</t>
  </si>
  <si>
    <t>Element 331</t>
  </si>
  <si>
    <t>Element 332</t>
  </si>
  <si>
    <t>Element 333</t>
  </si>
  <si>
    <t>Element 334</t>
  </si>
  <si>
    <t>Element 335</t>
  </si>
  <si>
    <t>Element 336</t>
  </si>
  <si>
    <t>Element 337</t>
  </si>
  <si>
    <t>Element 338</t>
  </si>
  <si>
    <t>Element 339</t>
  </si>
  <si>
    <t>Element 340</t>
  </si>
  <si>
    <t>Element 341</t>
  </si>
  <si>
    <t>Element 342</t>
  </si>
  <si>
    <t>Element 343</t>
  </si>
  <si>
    <t>Element 344</t>
  </si>
  <si>
    <t>Element 345</t>
  </si>
  <si>
    <t>Element 346</t>
  </si>
  <si>
    <t>Element 347</t>
  </si>
  <si>
    <t>Element 348</t>
  </si>
  <si>
    <t>Element 349</t>
  </si>
  <si>
    <t>Element 350</t>
  </si>
  <si>
    <t>Element 351</t>
  </si>
  <si>
    <t>Element 352</t>
  </si>
  <si>
    <t>Element 353</t>
  </si>
  <si>
    <t>Element 354</t>
  </si>
  <si>
    <t>Element 355</t>
  </si>
  <si>
    <t>Element 356</t>
  </si>
  <si>
    <t>Element 357</t>
  </si>
  <si>
    <t>Element 358</t>
  </si>
  <si>
    <t>Element 359</t>
  </si>
  <si>
    <t>Element 360</t>
  </si>
  <si>
    <t>Element 361</t>
  </si>
  <si>
    <t>Element 362</t>
  </si>
  <si>
    <t>Element 363</t>
  </si>
  <si>
    <t>Element 364</t>
  </si>
  <si>
    <t>Element 365</t>
  </si>
  <si>
    <t>Element 366</t>
  </si>
  <si>
    <t>Element 367</t>
  </si>
  <si>
    <t>Element 368</t>
  </si>
  <si>
    <t>Element 369</t>
  </si>
  <si>
    <t>Element 370</t>
  </si>
  <si>
    <t>Element 371</t>
  </si>
  <si>
    <t>Element 372</t>
  </si>
  <si>
    <t>Element 373</t>
  </si>
  <si>
    <t>Element 374</t>
  </si>
  <si>
    <t>Element 375</t>
  </si>
  <si>
    <t>Element 376</t>
  </si>
  <si>
    <t>Element 377</t>
  </si>
  <si>
    <t>Element 378</t>
  </si>
  <si>
    <t>Element 379</t>
  </si>
  <si>
    <t>Element 380</t>
  </si>
  <si>
    <t>Element 381</t>
  </si>
  <si>
    <t>Element 382</t>
  </si>
  <si>
    <t>Element 383</t>
  </si>
  <si>
    <t>Element 384</t>
  </si>
  <si>
    <t>Element 385</t>
  </si>
  <si>
    <t>Element 386</t>
  </si>
  <si>
    <t>Element 387</t>
  </si>
  <si>
    <t>Element 388</t>
  </si>
  <si>
    <t>Element 389</t>
  </si>
  <si>
    <t>Element 390</t>
  </si>
  <si>
    <t>Element 391</t>
  </si>
  <si>
    <t>Element 392</t>
  </si>
  <si>
    <t>Element 393</t>
  </si>
  <si>
    <t>Element 394</t>
  </si>
  <si>
    <t>Element 395</t>
  </si>
  <si>
    <t>Element 396</t>
  </si>
  <si>
    <t>Element 397</t>
  </si>
  <si>
    <t>Element 398</t>
  </si>
  <si>
    <t>Element 399</t>
  </si>
  <si>
    <t>Element 400</t>
  </si>
  <si>
    <t>Element 401</t>
  </si>
  <si>
    <t>Element 402</t>
  </si>
  <si>
    <t>Element 403</t>
  </si>
  <si>
    <t>Element 404</t>
  </si>
  <si>
    <t>Element 405</t>
  </si>
  <si>
    <t>Element 406</t>
  </si>
  <si>
    <t>Element 407</t>
  </si>
  <si>
    <t>Element 408</t>
  </si>
  <si>
    <t>Element 409</t>
  </si>
  <si>
    <t>Element 410</t>
  </si>
  <si>
    <t>Element 411</t>
  </si>
  <si>
    <t>Element 412</t>
  </si>
  <si>
    <t>Element 413</t>
  </si>
  <si>
    <t>Element 414</t>
  </si>
  <si>
    <t>Element 415</t>
  </si>
  <si>
    <t>Element 416</t>
  </si>
  <si>
    <t>Element 417</t>
  </si>
  <si>
    <t>Element 418</t>
  </si>
  <si>
    <t>Element 419</t>
  </si>
  <si>
    <t>Element 420</t>
  </si>
  <si>
    <t>Element 421</t>
  </si>
  <si>
    <t>Element 422</t>
  </si>
  <si>
    <t>Element 423</t>
  </si>
  <si>
    <t>Element 424</t>
  </si>
  <si>
    <t>Element 425</t>
  </si>
  <si>
    <t>Element 426</t>
  </si>
  <si>
    <t>Element 427</t>
  </si>
  <si>
    <t>Element 428</t>
  </si>
  <si>
    <t>Element 429</t>
  </si>
  <si>
    <t>Element 430</t>
  </si>
  <si>
    <t>Element 431</t>
  </si>
  <si>
    <t>Element 432</t>
  </si>
  <si>
    <t>Element 433</t>
  </si>
  <si>
    <t>Element 434</t>
  </si>
  <si>
    <t>Element 435</t>
  </si>
  <si>
    <t>Element 436</t>
  </si>
  <si>
    <t>Element 437</t>
  </si>
  <si>
    <t>Element 438</t>
  </si>
  <si>
    <t>Element 439</t>
  </si>
  <si>
    <t>Element 440</t>
  </si>
  <si>
    <t>Element 441</t>
  </si>
  <si>
    <t>Element 442</t>
  </si>
  <si>
    <t>Element 443</t>
  </si>
  <si>
    <t>Element 444</t>
  </si>
  <si>
    <t>Element 445</t>
  </si>
  <si>
    <t>Element 446</t>
  </si>
  <si>
    <t>Element 447</t>
  </si>
  <si>
    <t>Element 448</t>
  </si>
  <si>
    <t>Element 449</t>
  </si>
  <si>
    <t>Element 450</t>
  </si>
  <si>
    <t>Element 451</t>
  </si>
  <si>
    <t>Element 452</t>
  </si>
  <si>
    <t>Element 453</t>
  </si>
  <si>
    <t>Element 454</t>
  </si>
  <si>
    <t>Element 455</t>
  </si>
  <si>
    <t>Element 456</t>
  </si>
  <si>
    <t>Element 457</t>
  </si>
  <si>
    <t>Element 458</t>
  </si>
  <si>
    <t>Element 459</t>
  </si>
  <si>
    <t>Element 460</t>
  </si>
  <si>
    <t>Element 461</t>
  </si>
  <si>
    <t>Element 462</t>
  </si>
  <si>
    <t>Element 463</t>
  </si>
  <si>
    <t>Element 464</t>
  </si>
  <si>
    <t>Element 465</t>
  </si>
  <si>
    <t>Element 466</t>
  </si>
  <si>
    <t>Element 467</t>
  </si>
  <si>
    <t>Element 468</t>
  </si>
  <si>
    <t>Element 469</t>
  </si>
  <si>
    <t>Element 470</t>
  </si>
  <si>
    <t>Element 471</t>
  </si>
  <si>
    <t>Element 472</t>
  </si>
  <si>
    <t>Element 473</t>
  </si>
  <si>
    <t>Vorlesung</t>
  </si>
  <si>
    <t>Standard</t>
  </si>
  <si>
    <t>Abmessungen</t>
  </si>
  <si>
    <t>BTW</t>
  </si>
  <si>
    <t>Xmin</t>
  </si>
  <si>
    <t>Baufortschritt</t>
  </si>
  <si>
    <t>Xmax</t>
  </si>
  <si>
    <t>Zmin</t>
  </si>
  <si>
    <t>WinklerBettung</t>
  </si>
  <si>
    <t>Zmax</t>
  </si>
  <si>
    <t>Zuschnitt</t>
  </si>
  <si>
    <t>Rastereinteilung</t>
  </si>
  <si>
    <t>Dz</t>
  </si>
  <si>
    <t>Einstellungen</t>
  </si>
  <si>
    <t>Traglast</t>
  </si>
  <si>
    <t>ThIIO_Acc</t>
  </si>
  <si>
    <t>ThIIO_Maxit</t>
  </si>
  <si>
    <t>ThIIO_EW_Acc</t>
  </si>
  <si>
    <t>ThIIO_EW_Maxit</t>
  </si>
  <si>
    <t>Abbildung</t>
  </si>
  <si>
    <t>Ax</t>
  </si>
  <si>
    <t>Bx</t>
  </si>
  <si>
    <t>Bz</t>
  </si>
  <si>
    <t>Internes</t>
  </si>
  <si>
    <t>Lager</t>
  </si>
  <si>
    <t>dopp. Lager</t>
  </si>
  <si>
    <t>Lagerkräfte zeigen</t>
  </si>
  <si>
    <t>Lasten</t>
  </si>
  <si>
    <t>gestr. Faser</t>
  </si>
  <si>
    <t>Mpl zeigen</t>
  </si>
  <si>
    <t>IdForce</t>
  </si>
  <si>
    <t>StdKnoten</t>
  </si>
  <si>
    <t>StdElement</t>
  </si>
  <si>
    <t>DispSclFac</t>
  </si>
  <si>
    <t>Sensitivity</t>
  </si>
  <si>
    <t>Projekt</t>
  </si>
  <si>
    <t>GraphTextScale</t>
  </si>
  <si>
    <t>BackgroundPicture</t>
  </si>
  <si>
    <t>GUI Input Device</t>
  </si>
  <si>
    <t>GUI Fangradius</t>
  </si>
  <si>
    <t>Bildschirm B:H</t>
  </si>
  <si>
    <t>Rasterstärke</t>
  </si>
  <si>
    <t>Temp. Input Type</t>
  </si>
  <si>
    <t>Last Ele Tab</t>
  </si>
  <si>
    <t>Last Nod Tab</t>
  </si>
  <si>
    <t>Datum</t>
  </si>
  <si>
    <t>Version</t>
  </si>
  <si>
    <t>Name</t>
  </si>
  <si>
    <t>Ort der Änderung</t>
  </si>
  <si>
    <t>Änderung</t>
  </si>
  <si>
    <t>B. Philipp</t>
  </si>
  <si>
    <t>StiffLib - Tabellenblatt "Versionsverlauf"</t>
  </si>
  <si>
    <t>Einführung des Versionsverlaufs, Übergabe an A. Bauer zur Integration Polplangenerator</t>
  </si>
  <si>
    <t>A.Bauer</t>
  </si>
  <si>
    <t>StiffLib - GUI, GUI_Element, Solution, GraphicLib</t>
  </si>
  <si>
    <t>Integration Polplangenerator</t>
  </si>
  <si>
    <t>StiffLib</t>
  </si>
  <si>
    <t>Integration schiefer Auflager</t>
  </si>
  <si>
    <t>Stiffeingabe</t>
  </si>
  <si>
    <t>R. Fisch</t>
  </si>
  <si>
    <t xml:space="preserve"> StiffLib - Modul Solution Ausgetauscht.</t>
  </si>
  <si>
    <t xml:space="preserve"> Änderung des Kinematik-Checks durch kub</t>
  </si>
  <si>
    <t>Lastarten `Bauer Last</t>
  </si>
  <si>
    <t>StiffLib / Tabellenblatt Knoten</t>
  </si>
  <si>
    <t>Auflagerkräfte 'Bauer ALR</t>
  </si>
  <si>
    <t>StiffLib GUI_Element, Solution</t>
  </si>
  <si>
    <t>Darstellung Funktionsprinzip VV, Berechnung geom. best. System</t>
  </si>
  <si>
    <t>StiffLib GUI, Grafik_Lib</t>
  </si>
  <si>
    <t>Abfrage nach Office-Version (32 vs. 64bit), Umlenkung der entspr. Zeiger (Vorschlag von T. Oberbichler)</t>
  </si>
  <si>
    <t>StiffLib GUI_Element</t>
  </si>
  <si>
    <t>T. II.O. DrawLoad</t>
  </si>
  <si>
    <t>Stiff Tabellenblatt, GUI_Element DrawLoad</t>
  </si>
  <si>
    <t>Vorkrümmung Knotenlastdarstellung, Darstellung lineare Lasten</t>
  </si>
  <si>
    <t>B. Philipp, 
P. Pfatrisch und 
T. Oberbichler</t>
  </si>
  <si>
    <t>gesamt, Überarbeitung zur Version 2014beta</t>
  </si>
  <si>
    <t>Integration von Features (Federn, lineare Lasten, Einflusslinien,…)
Kompatibilität zur Berechnung einfacher Systeme mit Mac ohne GUI</t>
  </si>
  <si>
    <t>P. Pfatrisch und
 B. Philipp</t>
  </si>
  <si>
    <t>gesamt, generelle Überarbeitung zur Version 2015</t>
  </si>
  <si>
    <t>.bessere Integration und Erweiterung der Ribbonleiste
.verbesserte Berechnung von Einflusslinien
.Verbesserung in der Darstellung von Lasten
.schnellerer Import und Export der Inputfiles
.Kompatilibitätsverbesserung durch Umgehen der Umlaute im Code</t>
  </si>
  <si>
    <t>GUI_Element - Ele_Load_I</t>
  </si>
  <si>
    <t>Korrektur der Vorspannungsberücksichtigung im GE3</t>
  </si>
  <si>
    <t>kub</t>
  </si>
  <si>
    <t>fast überall</t>
  </si>
  <si>
    <t>Vorspannung, Beschriftung der Schnittgrößenfenster, L-V Export/Import</t>
  </si>
  <si>
    <t>automatische Umschalten der Schnittgrößendarstellung bei Anklicken der Elemente 
Beschriftung für elast. Bettung,  Clipping in den Schnittgrößenfenstern
Beschrittung des Last-Verschiebungsplots
Fehler in den Routinen des Optionsmenüs bei Einflusslinien !!!</t>
  </si>
  <si>
    <t>Lagerkräfte, Elementkräfte bei Lastfaktor ungleich 1</t>
  </si>
  <si>
    <t>GUI_Node - Knotenverdrehung</t>
  </si>
  <si>
    <t>Korrektur der Knotenverdrehung im Übergang Knotenblatt - GUI</t>
  </si>
  <si>
    <t>B. Philipp,
E. Mavreli und
D. Schmölz</t>
  </si>
  <si>
    <t>Tabellenblätter, GUI_Element,…</t>
  </si>
  <si>
    <t>Integration eines Timoshenko-Balkenelements für GE 1 ohne Schublocking; bisher nur für konstante Linienlast</t>
  </si>
  <si>
    <t>GUI_Element_Kontext</t>
  </si>
  <si>
    <t>Bug-Korrektur</t>
  </si>
  <si>
    <t>GUI, Button Berechnen</t>
  </si>
  <si>
    <t>Für Th.I.O. und Th.II.O. wird jetzt der in der Rechnung verwendete Lastfaktor mit ausgegeben</t>
  </si>
  <si>
    <t>GUI_Element(diverse Stellen, EleLoad_II, …)</t>
  </si>
  <si>
    <t>Korrektur der Schnittgrößenberechnung für Th.II.O. für Stäbe unter Zug
Korrektur der Stablängskraft-/Transversalkraftberechnung für GE2a, Th.II.O.</t>
  </si>
  <si>
    <t>GUI_Element(BezierControls, Biegelinie)</t>
  </si>
  <si>
    <t>Für die GE2a, GE2b wurde die Ermittlung der Biegelinie nach Th.II.O. implementiert; somit ist für den Knickfall eine symmetrische Figur gewährleistet</t>
  </si>
  <si>
    <t>"Element"-Blatt, Import-Routine</t>
  </si>
  <si>
    <t>Korrektur der Zuordnung weiter rechts stehender Eingabewerte aus Einfügen von GAs
Import-Routine älterer Blätter funktioniert jetzt auch nach Check der Existenz von GAs</t>
  </si>
  <si>
    <t>"Element"-Blatt, Systemblatt</t>
  </si>
  <si>
    <t>Korrektur der Bezeichnungen der Vorverformungen für Th.II.O. auf Systemblatt
Korrektur einiger Bezüge auf dem Elementblatt (für Temperatur, Bettung)</t>
  </si>
  <si>
    <t>GUI_Node - ReForceX und ResForceZ</t>
  </si>
  <si>
    <t>Berücksichtigung gekoppelter Freiheitsgrade, hat bislang gefehlt</t>
  </si>
  <si>
    <t>in vielen Routinen</t>
  </si>
  <si>
    <t xml:space="preserve">Direkte und adjungierte Sensitivitätsanalyse, Th. I O, wenige Zielfunktionen </t>
  </si>
  <si>
    <t>Vollbildschirm GUI und viele weitere Kleinigkeiten (Zoom, Verschieben, Barplot, Personalisierung)</t>
  </si>
  <si>
    <t>GUI_Element und andere</t>
  </si>
  <si>
    <t>Darstellung der Linienlasten, Elementauswahl</t>
  </si>
  <si>
    <t>weitere Verbesserung der Darstellung der Linienlasten, Feinheiten beim Auswählen</t>
  </si>
  <si>
    <t>Fließgelenkverfahren</t>
  </si>
  <si>
    <t xml:space="preserve">u.a. FG + Elementbelastung, Fehler bei doppelten Knoten, DiagrammTextSkalierung </t>
  </si>
  <si>
    <t>weit verstreut</t>
  </si>
  <si>
    <t>Tabletfähigkeit, richtige Steifigkeitsangaben geführter Knoten, Bar-Plot</t>
  </si>
  <si>
    <t>ImportIt</t>
  </si>
  <si>
    <t>Fehler beim Einlesen nicht vollständig kompatibler Datenfiles.</t>
  </si>
  <si>
    <t>Theorie II Ordnung gründlich überholt</t>
  </si>
  <si>
    <t>Fließgelenkmethode gründlich überholt</t>
  </si>
  <si>
    <t>GUI_NodeContext</t>
  </si>
  <si>
    <t>viele kleine Bugs bei den doppelten Knoten</t>
  </si>
  <si>
    <t>neue Funktionen</t>
  </si>
  <si>
    <t>Hintergrundbild, Copy-Paste bei der Modellerstellung</t>
  </si>
  <si>
    <t>Theorie III Ordnung</t>
  </si>
  <si>
    <t>Erweiterung der Steuerroutine für ThIIO, Elementroutinen, 
vollständige Berücksichtigung der Starrkörperrotation
Biegeanteile nach ThIIO
N-R-Iteration für nichtlineare Dehnungsanteile (Green-Lagrange Dehnung)
für ThIIIO wird bei den Elementlasten der Anteil der aktuell erreichten Verformung berücksichtigt (wegen der konsitenten Linearisierung)</t>
  </si>
  <si>
    <t>GUI</t>
  </si>
  <si>
    <t>Funktionalitäten der Lagereingabe verbessert</t>
  </si>
  <si>
    <t>schubweicher Timoshenko-Balken, Th.I.O</t>
  </si>
  <si>
    <t>vollständig überarbeitet, jetzt mit allen Lasten und für alle Grundelemente,
nun auch als Default-Theorie möglich</t>
  </si>
  <si>
    <t>einige Fehler entdeckt und entfernt, auch gravierende 
(z.B. wurde Verformung bei beidseitig eingespanntem Balken unter Temperaturbelastung in den Tabellen-
blättern ausgegeben. Warum hat das bislang niemand bemerkt?)</t>
  </si>
  <si>
    <t>EI = unendlich umgesetzt und getestet</t>
  </si>
  <si>
    <t>verstreut</t>
  </si>
  <si>
    <t>aktives Element festgelegt und für die Anzeige der Theorie des ausgewählten Elementes verwendet
weitere Fehler entfernt, u.a. Biegelinie bei GE &lt;&gt; 1 und EI = unendlich</t>
  </si>
  <si>
    <t>Sensitivitätsanalyse, neu</t>
  </si>
  <si>
    <t>biegesteife Balken mit kinematischen NB,</t>
  </si>
  <si>
    <t>GUI_NodeContext, AddSpringStiffness</t>
  </si>
  <si>
    <t>Koppelfedern zwischen doppelten und Elter-Knoten</t>
  </si>
  <si>
    <t>GUI_Element</t>
  </si>
  <si>
    <t>Nebenbedingung EI = unendlich komplett generisch umgesetzt</t>
  </si>
  <si>
    <t>letzte Erstellen/Löschen/Teilen/Vereinen-Operationen rückgängig machen</t>
  </si>
  <si>
    <t>ThIIIO:  konsistente Erfassung der Stablängsverformung infolge Krümmung. Das war falsch, weswegen die geometrische Steigikeit zweifach berücksichtigt worden war.</t>
  </si>
  <si>
    <t>Feinheit der interaktiven Lastkontrolle jetzt einstellbar: STANDARD oder SENSITIVE
Im Animationsmode: Eingabe "sensitiv" bzw. "standard" im Messagefenster</t>
  </si>
  <si>
    <t>weitere Konsolidierung</t>
  </si>
  <si>
    <t>Eingabeoptionen "Maus", "Finger", "Stift" in Optionsmenü (beeinflusst den "Rechte-Maus-Klick"
gekoppelte Freheitsgrade bei gelagerten Knoten, in dem Zusammenhange kleinere Unstimmigkeiten bei doppelten Knoten behoben.
2 Extra-Cursor zuladbar für Demonstrationszwecke (Maus bewegen ohne Kilick und ALT bzw. STRG-ALT drücken)
Verzeichnis "StiffIcons" im Arbeitsverzeichnis anlegen, darin ico-FIles 
ExtraIcon.ico  und ExtraIcon2.ico</t>
  </si>
  <si>
    <t>Entwurfsoperationan Spiegeln und Rotieren eingebaut</t>
  </si>
  <si>
    <t>Anwenderroutinen eingebaut: werden nur bei externem Start aktiviert (z.B. aus dem Ribbon)
Baufortschritt: der letzte doppelte Knoten definiert die Trennung
Export und Datenspeichern beim Beenden: beschleunigt
Export wird dokumentiert (weil es seit Office 365 so langsam geht)
Grafik auf Knoten und Systemblatt korrigiert
und weitere Kleinigkeiten</t>
  </si>
  <si>
    <t>das Speichern der Daten nochmals beschleunigt.</t>
  </si>
  <si>
    <t>Code überarbeitet
Neue Funktionalitäten:  System skalieren, Elemente verschneiden 
Fehler entfernt:  Skalierung der Elementlasten
Lagerkräfte:  jetzt auch bei Federn, 
                    Anzeige der absoluten Werte zeigen in Richtung der Kräfte (bislang verwirrende Darstellung)</t>
  </si>
  <si>
    <t>2021-04.0</t>
  </si>
  <si>
    <t>Elementeinlesen
GUI-Variante "Vorspannung"</t>
  </si>
  <si>
    <t>Programmabsturz, wenn bei der Topologiezuordnung ein Knoten nicht definiert ist. Passierte nur bei "händischer" Eingabe in den Tabellen.
Fehlerhafte Generierung neuer FGe bei "Verbund lösen" im Knoten-Kontext-Menü.</t>
  </si>
  <si>
    <t>2021-04.1</t>
  </si>
  <si>
    <t>Tabellenblatt "ELasten"
Tabellenblatt "PlotData"
Tabellenblätter "Knoten" und "System"</t>
  </si>
  <si>
    <t>Fehler bei den Elementlasten qx, qz
Fehler auf Tabellenblatt "PlotData": Zeile verrutscht, deshalb fehlerhafte Berechnung der Bounding Box 
         des verformten Systems
Knopf "Berechnen" auf den Tabellenblättern "Knoten" und "System" ergänzt</t>
  </si>
  <si>
    <t>Element-Kontext</t>
  </si>
  <si>
    <t>alternative Temperatureingabe</t>
  </si>
  <si>
    <t>Element-Kontext
Node-Kontext
Tabellenblatt "Element", Code</t>
  </si>
  <si>
    <t>zum letzten Tab springen, wenn Menue wieder geöffnet wird
zum letzten Tab springen, wenn Menue wieder geöffnet wird
automatischer Datenupdate, wenn Blatt geöffnet wird</t>
  </si>
  <si>
    <t>2021-05.0</t>
  </si>
  <si>
    <t>"Zuschnitt-Mode" eingebaut, Trennung von Vorformungen und Lastverformungen, z.B. für vorgespannte Netze
Vorverformungen und Versätze werden bei der Darstellung nicht skaliert
Optionen "Zuschnitt an/aus" im Erstellungs-Mode
              "Zuschnitt reset" im Erstellungs-Mode (Zurücksetzen der referenz-Form)
              "Referenz-Form" im Animations-Mode (um die vorgespannte Geometrie zu speichern</t>
  </si>
  <si>
    <t>verstreut, Modul "Kontrollwerte"</t>
  </si>
  <si>
    <t>neue Farben, spezielle Farbzuweiseung für Lasten in deformierter Lage</t>
  </si>
  <si>
    <t>verstreut, GUI</t>
  </si>
  <si>
    <t>GUI.ActiveControlReset:  Focus setzen, damit nach Fehlermeldung das Pad sofort wieder aktiv ist</t>
  </si>
  <si>
    <t>2021-05.1</t>
  </si>
  <si>
    <t>Solution, GUI_Element</t>
  </si>
  <si>
    <t xml:space="preserve">kinematische Moden (UMODES, Felddimension)
Initialisierung der GE-Variable </t>
  </si>
  <si>
    <t>2021-06</t>
  </si>
  <si>
    <t>verstreut, GUI_ListBox</t>
  </si>
  <si>
    <t>neue Klasse GUI_ListBox für Dropdown-Kontextmenues
um die Font- und Zeilenskalierung (endlich) in den Griff zu bekommen</t>
  </si>
  <si>
    <t>2021-06.1</t>
  </si>
  <si>
    <t>Fehler beim Löschen und Verschieben in den Papierkorb,
hohe Textlinien im DropDown-Menue bei Fingereingabe
Voreinstellung Stifteingabe</t>
  </si>
  <si>
    <t>2021-07.01</t>
  </si>
  <si>
    <t>letzter validierter Stand</t>
  </si>
  <si>
    <t>2021-07.02</t>
  </si>
  <si>
    <t>Fensterkalibrierung überarbeitet</t>
  </si>
  <si>
    <t>2021-07.03</t>
  </si>
  <si>
    <t>Einflusslinien: Fehler bei den zugeordneten lokalen Freiheitsgraden entfernt</t>
  </si>
  <si>
    <t>2021-07.04</t>
  </si>
  <si>
    <t>AutomaticCalibrate</t>
  </si>
  <si>
    <t>Schnelles Kalibrieren
richtiges Kalibrieren, konsistente Berücksichtigung der Bildschirmeinstellungen</t>
  </si>
  <si>
    <t>2021-08.03</t>
  </si>
  <si>
    <t>GUI_Element, Biegemoment, Shearforce
Solve_Once</t>
  </si>
  <si>
    <t>Elastische Bettung: Rückrechnung mit falscher Grundelement-Einstellung
keine Faktorisierung, wenn alle FG nicht belegt, führt zu Fehlerneldung und Abbruch</t>
  </si>
  <si>
    <t>2021-08.04</t>
  </si>
  <si>
    <t>Darstellung zentrieren und skalieren</t>
  </si>
  <si>
    <t>2021-08.10</t>
  </si>
  <si>
    <t>völlig überarbeitete Pads für Graphen, Größe ändern oben rechts und unten rechts
keine hinterlegten UserForm-Items mehr (damit der Bildaufbau nicht flackert) 
Klasse GUI_Item
Komfortlöschen für versehentlich erzeugten Knoten (einfach nochmal anklicken)</t>
  </si>
  <si>
    <t>2021-09.01</t>
  </si>
  <si>
    <t>verteilt</t>
  </si>
  <si>
    <t>noch weiter konsolidiert
"Flacher" Stil
Einflusslinien überarbeitet</t>
  </si>
  <si>
    <t>2021-10.01</t>
  </si>
  <si>
    <t>Programmpflege</t>
  </si>
  <si>
    <t>2021-11.01</t>
  </si>
  <si>
    <t>Fehlerchen bei Aufruf von ButtonIsActive, Programmpflege</t>
  </si>
  <si>
    <t>2021-11.2</t>
  </si>
  <si>
    <t>Elemente vereinen, Auswahl skalieren</t>
  </si>
  <si>
    <t>Bug-Fixes</t>
  </si>
  <si>
    <t>2021-11.3</t>
  </si>
  <si>
    <t>Knoten-Kontext-Menu, Knoten zeichnen</t>
  </si>
  <si>
    <t>Einflusslinien für Kraftgrößen, Fehler bei Auswahl "zuletzt" entfernt, der auftrat, wenn zuvor kein Element ausgewählt worden war</t>
  </si>
  <si>
    <t>2021-11.04</t>
  </si>
  <si>
    <t>die Verschneidungs-Routinen</t>
  </si>
  <si>
    <t>gleichzeitiges Verschneiden vieler Stäbe, sonstige Bugfixes</t>
  </si>
  <si>
    <t>2021-12.01</t>
  </si>
  <si>
    <t>GraphicPad, weitere Routinen</t>
  </si>
  <si>
    <t>Einführung der ReferenceNode, um das Copy-Paste zu verbesseren, Bugfixes bei den Undo-Funktionalitäten</t>
  </si>
  <si>
    <t>2021-12.02</t>
  </si>
  <si>
    <t>Bugfixes beim Copy-Paste zum regelmäßigen Vervielfältigen</t>
  </si>
  <si>
    <t>2021-12.03</t>
  </si>
  <si>
    <t>Beulwert Analyse</t>
  </si>
  <si>
    <t>Federn nicht korrekt berücksichtigt, Fehler bei Bestimmung der elast. Steifigkeitsmatrix</t>
  </si>
  <si>
    <t>2021-12.04</t>
  </si>
  <si>
    <t>Schattenfarbe und keine Lasteb des unverformten Systems, wenn gleichzeitig das verfomte gezeigt wird
Fehler bei ThIIO und EI=starr entfernt</t>
  </si>
  <si>
    <t>2022-01.01</t>
  </si>
  <si>
    <t>GUI_NodeContext
GlobalControlButtons</t>
  </si>
  <si>
    <t>doppelte Knoten, fehlerhafter Zugriff auf angeschlossene Elemente in "SetEleTag" und "ToggleEleTag"
Export beschleunigt, lief auf einigen Rechner in ein Time-Out 
Fehler im Blatt "PlotData", Verbesserung des Diagramms im Blatt "Querverschiebung"</t>
  </si>
  <si>
    <t>2022-02.01</t>
  </si>
  <si>
    <t>LoadNodes in StiffInterface</t>
  </si>
  <si>
    <t>Fehler beim Einlesen gekoppelter Knoten mit Federn zum Mutterknoten</t>
  </si>
  <si>
    <t>2022-02.02</t>
  </si>
  <si>
    <t>LoadElements in StiffInterface
überall wo Elementlasten gedumpt werden
GraphicPad_Moce</t>
  </si>
  <si>
    <t>gleichzeitiges Einlesen von lokalen und globalen Lasten am selben Element
"Berechnen"-Knöpfe auf den Knoten- und System-Tabellen
kondensierte Steifigkeit im Bar-Plot war falsch (seit Anfang 2019!)</t>
  </si>
  <si>
    <t>2022-03.01</t>
  </si>
  <si>
    <t>Import</t>
  </si>
  <si>
    <t xml:space="preserve">Importieren verbessert: jetzt auch ohne vereinbarte Datenfelder im Import-File
zwingend: Die Spalten-Überschriften müssen korrekt sein, vorsicht bei Sonder-Buchstaben </t>
  </si>
  <si>
    <t>2022-03.02</t>
  </si>
  <si>
    <t>verschiedene Kleinigkeiten beim Importieren, u.a. die richtige Größe des Hintergrundbildes</t>
  </si>
  <si>
    <t>2022-04.01</t>
  </si>
  <si>
    <t>weitere Kleinigkeiten bei der Darstellung</t>
  </si>
  <si>
    <t>2022-04.02</t>
  </si>
  <si>
    <t>Verschneiden verbessert
nochmal Kleinigkeiten bei der Abstimmung mit Stiff3D</t>
  </si>
  <si>
    <t>2022-05.01</t>
  </si>
  <si>
    <t>NodeMerge, UndoLastOperation</t>
  </si>
  <si>
    <t>Fehler beim Mergen doppelter Knoten und beim Wiederherstellen (schon ewig alt)</t>
  </si>
  <si>
    <t>2022-05.02</t>
  </si>
  <si>
    <t>NodeMerge, EliminateDoubleElements,
UndoLastOperation</t>
  </si>
  <si>
    <t>noch mehr Fehler beim Mergen von Knoten und Elementen und beim Wiederherstellen (schon ewig alt)</t>
  </si>
  <si>
    <t>2022-05.03</t>
  </si>
  <si>
    <t>dito</t>
  </si>
  <si>
    <t>noch viel mehr Fehler beim Mergen von Knoten und Elementen und beim Wiederherstellen in verbindung mit doppelten Knoten (das hat der Teufel gesehen …)</t>
  </si>
  <si>
    <t>2022-05.04</t>
  </si>
  <si>
    <t>Löser</t>
  </si>
  <si>
    <t>Bandbreitenoptimierung eingebaut</t>
  </si>
  <si>
    <t>2022-05.05</t>
  </si>
  <si>
    <t>GUI_NodeContext, CreateEquationNumbers</t>
  </si>
  <si>
    <t>Identifikation neuer Gl.Nummern mit Dummy-Zahl &gt; 1000 entfernt ; Führt bei großen Aufgaben in die Irre.</t>
  </si>
  <si>
    <t>2022-06.01</t>
  </si>
  <si>
    <t>Bandbreitenoptimierer, GUI_Node</t>
  </si>
  <si>
    <t>Bandbreitenoptimieren mit isolierten Knoten und separaten Systemen</t>
  </si>
  <si>
    <t>STIFF - Lehrprogramm zur Tragwerksberechnung</t>
  </si>
  <si>
    <t>©Prof. Dr.-Ing. Kai-Uwe Bletzinger, Lehrstuhl für Statik, Technische Universität München</t>
  </si>
  <si>
    <r>
      <t xml:space="preserve">Feedback, Anregungen und Kommentare bitte an: </t>
    </r>
    <r>
      <rPr>
        <sz val="10"/>
        <color rgb="FF0070C0"/>
        <rFont val="Arial"/>
        <family val="2"/>
      </rPr>
      <t>stiff.statik@tum.de</t>
    </r>
  </si>
  <si>
    <t>STIFF ist ein interaktives Programm für die statische Berechnung ebener Stabtragwerke.
Es entstand in Begleitung der Lehre im Fach Statik an der Technischen Universität München. Die erste, tabellenorientierte
Version entstand 1999. Seitdem wird es stetig weiterentwickelt. Die interaktive, graphische Oberfläche kam 2011 dazu.
Über die Jahre sind viele Anregungungen der Studenten eingeflossen, wie überhaupt unsere Studenten für eine intensive und sehr kritische Qualitätskontrolle sorgen. Vielen Dank dafür!
STIFF ist insbesondere dafür gedacht, das eigene Studium zu begleiten. Mit STIFF kann jeder Schritt der Handrechnung kontrolliert werden. Mit wenig Übung können mit STIFF individuelle Musterlösungen für Hausaufgaben, Prüfungen früherer Jahre oder alle weiteren Aufgabenstellungen entwickelt werden. Die Einbindung in Excel erlaubt, dass sämtliche Ergebisse in Tabellen vorliegen und weiterverwendet werden können, z.B. für Bemessungsaufgaben im konstruktiven Ingenieurbau. 
Der Quellcode von STIFF ist frei verfügbar und kann jederzeit selbst mit eigenen Makros oder Funktionen ergänzt werden.
Selbstverständlich ist STIFF auch als kleines Statikprogramm für die schnelle Analyse in der Baupraxis geeignet. Wir freuen uns über jede Anwendung.
Konkret begleitet STIFF die Statik-Lehre im Fach in den Themen (die stetig erweitert und ergänzt werden):</t>
  </si>
  <si>
    <t xml:space="preserve">- Verschiebungsgrößen- und Kraftgrößenverfahren
- Formfinden in 3D mit dem Kraftgrößenverfahren (STIFF3D)
- Theorie 1. Ordnung
- Theorie 2. und 3. Ordnung (nur STIFF2D)
- schubsteifer Balken nach der Euler-Bernoulli-Theorie
- schubweicher Balken nach der Timoshenko-Theorie (nur STIFF2D)
- elastisch gelagerter Balken (Winkler Modell,  nur STIFF2D)
- Knoten- und Elementbelastungen
- diskrete Lager- und Koppelfedern
- starre Elemente (dehn-, biege-, torsionsstarr)
- Berechnung aller Schnittgrößen und Lagerkräfte
- interaktve Modellierung (u.a. Kopieren, Teilen, Verschmelzen, Verschieben, Hintergrundbilder, ...)
- interaktive Auswertung
- Animation der Verformungen und Eigenformen (Beulformen, kinematische Moden)
- Modellierung beliebiger Gelenkbedingungen mit doppelten Knoten
- beliebige Ausrichtung der Verschiebungsfreiheitsgrade
- Identifikation mehrfach kinematischer Tragwerke
- Polplan für einfach kinematische Tragwerke (nur STIFF2D)
- Vor- und Zwangsverformungen
- Vorspannen durch Verlängerung aus dem "Zuschnitt", Zuschnittsermittlung (STIFF2D)
- Baufortschrittsmodellierung (nur STIFF2D)
- Einflusslinien für Kraft- und Verschiebungsgrößen (nur STIFF2D)
- direkte und adjungierte Sensitivitätsanalyse (nur STIFF2D)
- Instablität von Systemen, Element- und Systemimperfektionen, Beulwertanalyse, Beulformen (nur STIFF2D)
- Traglastverfahren mit der Fließgelenkmethode nach Theorie I Ordnung (nur STIFF2D)
- beliebig große Starrkörperverformungen bei Theorie III Ordnung (nur STIFF2D)
- Programmierung von Statik-Programmen (alle Algorithmen sind frei verfügbar, allerdings ohne Gewähr)
</t>
  </si>
  <si>
    <t>STIFF ist in VBA geschrieben und lauffähig in den MicrosoftOffice-Versionen (32-bit und 64-bit) ab Office 2007 (derzeit gestet bis Office 2016).</t>
  </si>
  <si>
    <t>Die Kompatibilität mit anderen Systemen wird ständig erweitert. Derzeit ist das Berechnen einfacher
Systeme auch für Office auf Mac möglich, allerdings ist hier die GUI nicht verwendbar.</t>
  </si>
  <si>
    <t>Da STIFF auf Macros basiert, ist die Verwendung nur möglich, wenn das Ausführen von Macros zugelassen ist und ggf. entsprechende Einstellungen im Sicherheitscenter vorgenommen wurden.</t>
  </si>
  <si>
    <t>Achtung: Obwohl größtmögliche Sorgfalt bei der Programmierung angewandt wurde, lehnen die Autoren  jegliche Haftung bezüglich des Einsatzes der Software sowie Schäden durch die Software (Viren,…) ausdrücklich ab.</t>
  </si>
  <si>
    <t xml:space="preserve">STIFF wird ständig weiterentwickelt und verbessert. Wir wünschen uns, dass unsere Begeisterung und Engangement
für die Statik im Allgemeinen und für das Arbeiten mit STIFF im Besonderen anregt und inspiriert.
Haben Sie Freude an STIFF, dann sagen Sie es weiter. Sollten Sie Fehler finden oder Anregungen haben, dann sagen Sie es bitte uns. </t>
  </si>
  <si>
    <t>München, Oktober 2017, September 2019, April 2021, April 2022</t>
  </si>
  <si>
    <t>die Autoren</t>
  </si>
  <si>
    <t>LagerV unverformt</t>
  </si>
  <si>
    <t>LagerV verformt</t>
  </si>
  <si>
    <t>Lager H unverformt</t>
  </si>
  <si>
    <t>Lager H verformt</t>
  </si>
  <si>
    <t>Lager R unverfomt</t>
  </si>
  <si>
    <t>Lager R verfomt</t>
  </si>
  <si>
    <t>Hinweise zu den Versionen Oktober 2017 bis Juni 2022</t>
  </si>
  <si>
    <t>2022-06.02</t>
  </si>
  <si>
    <t>überall</t>
  </si>
  <si>
    <t>komplett neuer Excel-Projekt-File aufgesetzt, um den inherentenGruscht wegzukriegen</t>
  </si>
  <si>
    <t>Neues Release Stiff22</t>
  </si>
  <si>
    <t>2022-06.03</t>
  </si>
  <si>
    <t>Gui_NodeContext, Graphicpad</t>
  </si>
  <si>
    <t>Fehler mit der Eingabe der doppelten Knoten, Auffrischgeschwindigkeit</t>
  </si>
  <si>
    <t>2022-07.01</t>
  </si>
  <si>
    <t>letzte Probleme mit der Zeilen/Spaltenzählung für Löserbeschleunigung ausgeräumt
interaktive Knotenführung zusätzlich beschleunigt, unötige Matrizenerstellung entfernt
Fehler bei Element-Verinen und doppelten Knoten sowie geschlosseen Ketten entfernt</t>
  </si>
  <si>
    <t>Löser:  Substitute, SolKiColN, GraphicPad_MouseMove
Elemente vereinen</t>
  </si>
  <si>
    <t>Keine Sensitivität</t>
  </si>
  <si>
    <t>2022-07.02</t>
  </si>
  <si>
    <t>GUI_Node.ResForceX, GUI_Node.ResForceZ</t>
  </si>
  <si>
    <t>Uraltfehler:  Die Federsteifigkeiten wurden bei der Rückrechnung der Knotenkräfte NICHT berücksichtigt!!!</t>
  </si>
  <si>
    <t>2022-08.01</t>
  </si>
  <si>
    <t>überall wo Graphik ist</t>
  </si>
  <si>
    <t>Eigene Devices Contents und Bitmaps für die Graphen eingeführt, schnellerer Bildaufbau, 
wenn Graphen verschoben oder in der Größe vreändert werden</t>
  </si>
  <si>
    <t>2022-09.01</t>
  </si>
  <si>
    <t>Verschniden überarbeitet</t>
  </si>
  <si>
    <t>2022-10.01</t>
  </si>
  <si>
    <t>weiter konsolidiert</t>
  </si>
  <si>
    <t>weiter konsolidiert, Knoten / Element-Erstellung abschaltbar, "Rhino"-Layout</t>
  </si>
  <si>
    <t>Disp.Opt.Resultants</t>
  </si>
  <si>
    <t>2022-11.01</t>
  </si>
  <si>
    <t>SolveThIIO</t>
  </si>
  <si>
    <t>Iterationsverlauf anhalten</t>
  </si>
  <si>
    <t>L(transponiert)</t>
  </si>
  <si>
    <t>D</t>
  </si>
  <si>
    <t>wichtige Neuerungen in Stiff 2D</t>
  </si>
  <si>
    <t>Erstellen von Knoten und Elementen:</t>
  </si>
  <si>
    <t xml:space="preserve">1. wie bislang auch: Umschalten auf "Erstellen".
2. Neu: Aktivieren des Knopfes "Knoten" bzw. "Element"
               Nur dann kann erstellt werden.
               Nach dem Erstellen wird der Knopf automatisch deaktiviert.
               Für jedes weitere Erstellen muss er wieder aktiviert werden.
3. Mit Doppelklick kann der Knopf dauerhaft aktiviert werden.
4. Nochmaliges Anklicken deaktiviert den Knopf. 
    Knoten bzw. Elemente können nicht mehr erstellt werden. </t>
  </si>
  <si>
    <t>In älteren Stiff-Versionen war es einfach, Knoten versehentlich zu erstellen.
Das wurde abgestellt und folgendes Vorgehen beim Erstellen eingeführt.</t>
  </si>
  <si>
    <t>Neues Projekt</t>
  </si>
  <si>
    <t>Maus</t>
  </si>
  <si>
    <t>nicht mehr zeigen</t>
  </si>
  <si>
    <t>2b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</si>
</sst>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0"/>
    <numFmt numFmtId="166" formatCode="#,##0.000"/>
  </numFmts>
  <fonts count="45" x14ac:knownFonts="1">
    <font>
      <sz val="11"/>
      <color theme="1"/>
      <name val="Calibri"/>
      <family val="2"/>
      <scheme val="minor"/>
    </font>
    <font>
      <sz val="10"/>
      <color rgb="FF000000"/>
      <name val="Arial"/>
      <family val="2"/>
    </font>
    <font>
      <sz val="10"/>
      <name val="Arial"/>
      <family val="2"/>
    </font>
    <font>
      <sz val="12"/>
      <name val="Arial"/>
      <family val="2"/>
    </font>
    <font>
      <sz val="10"/>
      <name val="Calibri"/>
      <family val="2"/>
    </font>
    <font>
      <sz val="10"/>
      <name val="Symbol"/>
      <family val="1"/>
      <charset val="2"/>
    </font>
    <font>
      <sz val="10"/>
      <color theme="2"/>
      <name val="Arial"/>
      <family val="2"/>
    </font>
    <font>
      <sz val="10"/>
      <color rgb="FFFF0000"/>
      <name val="Arial"/>
      <family val="2"/>
    </font>
    <font>
      <b/>
      <sz val="11"/>
      <name val="Arial"/>
      <family val="2"/>
    </font>
    <font>
      <b/>
      <sz val="10"/>
      <name val="Arial"/>
      <family val="2"/>
    </font>
    <font>
      <b/>
      <sz val="13"/>
      <name val="Arial"/>
      <family val="2"/>
    </font>
    <font>
      <b/>
      <sz val="14"/>
      <color rgb="FFFF0000"/>
      <name val="Arial"/>
      <family val="2"/>
    </font>
    <font>
      <b/>
      <sz val="12"/>
      <name val="Arial"/>
      <family val="2"/>
    </font>
    <font>
      <sz val="11"/>
      <name val="Arial"/>
      <family val="2"/>
    </font>
    <font>
      <sz val="11"/>
      <name val="Symbol"/>
      <family val="1"/>
      <charset val="2"/>
    </font>
    <font>
      <vertAlign val="subscript"/>
      <sz val="11"/>
      <name val="Arial"/>
      <family val="2"/>
    </font>
    <font>
      <sz val="12"/>
      <name val="Times New Roman"/>
      <family val="1"/>
    </font>
    <font>
      <sz val="9.6"/>
      <name val="Arial"/>
      <family val="2"/>
    </font>
    <font>
      <sz val="12"/>
      <color theme="1"/>
      <name val="Arial"/>
      <family val="2"/>
    </font>
    <font>
      <sz val="12"/>
      <color rgb="FFFF0000"/>
      <name val="Arial"/>
      <family val="2"/>
    </font>
    <font>
      <u/>
      <sz val="12"/>
      <name val="Arial"/>
      <family val="2"/>
    </font>
    <font>
      <vertAlign val="subscript"/>
      <sz val="10"/>
      <name val="Arial"/>
      <family val="2"/>
    </font>
    <font>
      <sz val="10"/>
      <color theme="0" tint="-0.34998626667073579"/>
      <name val="Arial"/>
      <family val="2"/>
    </font>
    <font>
      <vertAlign val="subscript"/>
      <sz val="10"/>
      <color theme="0" tint="-0.34998626667073579"/>
      <name val="Arial"/>
      <family val="2"/>
    </font>
    <font>
      <b/>
      <sz val="9"/>
      <color indexed="81"/>
      <name val="Segoe UI"/>
      <family val="2"/>
    </font>
    <font>
      <sz val="9"/>
      <color indexed="81"/>
      <name val="Segoe UI"/>
      <family val="2"/>
    </font>
    <font>
      <sz val="12"/>
      <color rgb="FF969696"/>
      <name val="Arial"/>
      <family val="2"/>
    </font>
    <font>
      <sz val="12"/>
      <color theme="0" tint="-0.499984740745262"/>
      <name val="Arial"/>
      <family val="2"/>
    </font>
    <font>
      <sz val="11"/>
      <color theme="0" tint="-0.34998626667073579"/>
      <name val="Arial"/>
      <family val="2"/>
    </font>
    <font>
      <sz val="11"/>
      <color rgb="FF969696"/>
      <name val="Arial"/>
      <family val="2"/>
    </font>
    <font>
      <sz val="11"/>
      <color theme="0" tint="-0.499984740745262"/>
      <name val="Arial"/>
      <family val="2"/>
    </font>
    <font>
      <sz val="10"/>
      <color rgb="FF969696"/>
      <name val="Arial"/>
      <family val="2"/>
    </font>
    <font>
      <sz val="10"/>
      <color theme="0" tint="-0.499984740745262"/>
      <name val="Arial"/>
      <family val="2"/>
    </font>
    <font>
      <b/>
      <sz val="12"/>
      <color theme="1" tint="4.9989318521683403E-2"/>
      <name val="Arial"/>
      <family val="2"/>
    </font>
    <font>
      <b/>
      <sz val="10"/>
      <color theme="1" tint="4.9989318521683403E-2"/>
      <name val="Arial"/>
      <family val="2"/>
    </font>
    <font>
      <b/>
      <sz val="10"/>
      <color rgb="FFFF0000"/>
      <name val="Arial"/>
      <family val="2"/>
    </font>
    <font>
      <sz val="10"/>
      <color theme="1"/>
      <name val="Arial"/>
      <family val="2"/>
    </font>
    <font>
      <b/>
      <sz val="10"/>
      <color theme="1"/>
      <name val="Arial"/>
      <family val="2"/>
    </font>
    <font>
      <u/>
      <sz val="14"/>
      <name val="Arial"/>
      <family val="2"/>
    </font>
    <font>
      <sz val="14"/>
      <name val="Arial"/>
      <family val="2"/>
    </font>
    <font>
      <b/>
      <sz val="12"/>
      <color rgb="FFFF0000"/>
      <name val="Arial"/>
      <family val="2"/>
    </font>
    <font>
      <b/>
      <sz val="16"/>
      <color theme="1"/>
      <name val="Arial"/>
      <family val="2"/>
    </font>
    <font>
      <sz val="16"/>
      <name val="Arial"/>
      <family val="2"/>
    </font>
    <font>
      <b/>
      <sz val="18"/>
      <name val="Arial"/>
      <family val="2"/>
    </font>
    <font>
      <sz val="10"/>
      <color rgb="FF0070C0"/>
      <name val="Arial"/>
      <family val="2"/>
    </font>
  </fonts>
  <fills count="54">
    <fill>
      <patternFill patternType="none"/>
    </fill>
    <fill>
      <patternFill patternType="gray125"/>
    </fill>
    <fill>
      <patternFill patternType="solid">
        <fgColor theme="0" tint="-0.249977111117893"/>
        <bgColor indexed="64"/>
      </patternFill>
    </fill>
    <fill>
      <patternFill patternType="solid">
        <fgColor rgb="FFFFFF99"/>
        <bgColor rgb="FF000000"/>
      </patternFill>
    </fill>
    <fill>
      <patternFill patternType="solid">
        <fgColor rgb="FFCCFFFF"/>
        <bgColor rgb="FF000000"/>
      </patternFill>
    </fill>
    <fill>
      <patternFill patternType="solid">
        <fgColor rgb="FFCCFFCC"/>
        <bgColor rgb="FF000000"/>
      </patternFill>
    </fill>
    <fill>
      <patternFill patternType="solid">
        <fgColor rgb="FFD0CECE"/>
        <bgColor rgb="FF000000"/>
      </patternFill>
    </fill>
    <fill>
      <patternFill patternType="solid">
        <fgColor rgb="FFF8CBAD"/>
        <bgColor rgb="FF000000"/>
      </patternFill>
    </fill>
    <fill>
      <patternFill patternType="solid">
        <fgColor rgb="FFC6E0B4"/>
        <bgColor rgb="FF000000"/>
      </patternFill>
    </fill>
    <fill>
      <patternFill patternType="solid">
        <fgColor rgb="FF3FFF96"/>
        <bgColor rgb="FF000000"/>
      </patternFill>
    </fill>
    <fill>
      <patternFill patternType="solid">
        <fgColor rgb="FFFFD966"/>
        <bgColor rgb="FF000000"/>
      </patternFill>
    </fill>
    <fill>
      <patternFill patternType="solid">
        <fgColor rgb="FFFDE9D9"/>
        <bgColor rgb="FF000000"/>
      </patternFill>
    </fill>
    <fill>
      <patternFill patternType="solid">
        <fgColor rgb="FFFDE9D9"/>
        <bgColor indexed="64"/>
      </patternFill>
    </fill>
    <fill>
      <patternFill patternType="solid">
        <fgColor rgb="FFB4C6E7"/>
        <bgColor rgb="FF000000"/>
      </patternFill>
    </fill>
    <fill>
      <patternFill patternType="solid">
        <fgColor rgb="FFFFCC99"/>
        <bgColor rgb="FF000000"/>
      </patternFill>
    </fill>
    <fill>
      <patternFill patternType="solid">
        <fgColor rgb="FFACB9CA"/>
        <bgColor rgb="FF000000"/>
      </patternFill>
    </fill>
    <fill>
      <patternFill patternType="solid">
        <fgColor rgb="FFFFFF00"/>
        <bgColor indexed="64"/>
      </patternFill>
    </fill>
    <fill>
      <patternFill patternType="solid">
        <fgColor rgb="FFFFFF99"/>
        <bgColor indexed="64"/>
      </patternFill>
    </fill>
    <fill>
      <patternFill patternType="solid">
        <fgColor theme="8" tint="0.59999389629810485"/>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E7C4AF"/>
        <bgColor indexed="64"/>
      </patternFill>
    </fill>
    <fill>
      <patternFill patternType="solid">
        <fgColor rgb="FFD8E4BC"/>
        <bgColor indexed="64"/>
      </patternFill>
    </fill>
    <fill>
      <patternFill patternType="solid">
        <fgColor rgb="FF808000"/>
        <bgColor indexed="64"/>
      </patternFill>
    </fill>
    <fill>
      <patternFill patternType="solid">
        <fgColor rgb="FFFFFFCC"/>
        <bgColor indexed="64"/>
      </patternFill>
    </fill>
    <fill>
      <patternFill patternType="solid">
        <fgColor theme="5" tint="0.39997558519241921"/>
        <bgColor indexed="64"/>
      </patternFill>
    </fill>
    <fill>
      <patternFill patternType="solid">
        <fgColor indexed="47"/>
        <bgColor indexed="64"/>
      </patternFill>
    </fill>
    <fill>
      <patternFill patternType="solid">
        <fgColor rgb="FFFFCC9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rgb="FFCCFFCC"/>
        <bgColor indexed="64"/>
      </patternFill>
    </fill>
    <fill>
      <patternFill patternType="solid">
        <fgColor rgb="FFCCFFFF"/>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CCFF99"/>
        <bgColor indexed="64"/>
      </patternFill>
    </fill>
    <fill>
      <patternFill patternType="solid">
        <fgColor rgb="FFFF7C80"/>
        <bgColor indexed="64"/>
      </patternFill>
    </fill>
    <fill>
      <patternFill patternType="solid">
        <fgColor theme="7" tint="0.79998168889431442"/>
        <bgColor indexed="64"/>
      </patternFill>
    </fill>
    <fill>
      <patternFill patternType="solid">
        <fgColor theme="0"/>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rgb="FFD9AFA7"/>
        <bgColor indexed="64"/>
      </patternFill>
    </fill>
    <fill>
      <patternFill patternType="solid">
        <fgColor theme="0" tint="-4.9989318521683403E-2"/>
        <bgColor indexed="64"/>
      </patternFill>
    </fill>
    <fill>
      <patternFill patternType="solid">
        <fgColor rgb="FFBFBFBF"/>
        <bgColor indexed="64"/>
      </patternFill>
    </fill>
    <fill>
      <patternFill patternType="solid">
        <fgColor theme="0" tint="-0.34998626667073579"/>
        <bgColor indexed="64"/>
      </patternFill>
    </fill>
  </fills>
  <borders count="157">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style="medium">
        <color indexed="64"/>
      </bottom>
      <diagonal/>
    </border>
    <border>
      <left style="medium">
        <color indexed="64"/>
      </left>
      <right style="medium">
        <color auto="1"/>
      </right>
      <top/>
      <bottom style="thin">
        <color auto="1"/>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bottom style="thin">
        <color auto="1"/>
      </bottom>
      <diagonal/>
    </border>
    <border>
      <left style="thin">
        <color indexed="64"/>
      </left>
      <right style="thin">
        <color indexed="64"/>
      </right>
      <top/>
      <bottom style="thin">
        <color auto="1"/>
      </bottom>
      <diagonal/>
    </border>
    <border>
      <left style="thin">
        <color indexed="64"/>
      </left>
      <right style="medium">
        <color indexed="64"/>
      </right>
      <top/>
      <bottom style="thin">
        <color auto="1"/>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medium">
        <color indexed="64"/>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style="medium">
        <color indexed="64"/>
      </left>
      <right/>
      <top style="thin">
        <color indexed="64"/>
      </top>
      <bottom style="thin">
        <color indexed="64"/>
      </bottom>
      <diagonal/>
    </border>
    <border>
      <left style="medium">
        <color indexed="64"/>
      </left>
      <right style="medium">
        <color auto="1"/>
      </right>
      <top style="thin">
        <color auto="1"/>
      </top>
      <bottom style="thin">
        <color auto="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medium">
        <color indexed="64"/>
      </right>
      <top style="medium">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medium">
        <color indexed="64"/>
      </left>
      <right style="medium">
        <color auto="1"/>
      </right>
      <top style="thin">
        <color auto="1"/>
      </top>
      <bottom style="medium">
        <color auto="1"/>
      </bottom>
      <diagonal/>
    </border>
    <border>
      <left/>
      <right style="thin">
        <color indexed="64"/>
      </right>
      <top style="thin">
        <color auto="1"/>
      </top>
      <bottom style="medium">
        <color auto="1"/>
      </bottom>
      <diagonal/>
    </border>
    <border>
      <left style="thin">
        <color indexed="64"/>
      </left>
      <right style="medium">
        <color indexed="64"/>
      </right>
      <top style="thin">
        <color auto="1"/>
      </top>
      <bottom style="medium">
        <color auto="1"/>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auto="1"/>
      </top>
      <bottom style="medium">
        <color auto="1"/>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rgb="FFFF0000"/>
      </left>
      <right style="thick">
        <color rgb="FFFF0000"/>
      </right>
      <top style="thick">
        <color rgb="FFFF0000"/>
      </top>
      <bottom/>
      <diagonal/>
    </border>
    <border>
      <left style="medium">
        <color indexed="64"/>
      </left>
      <right style="double">
        <color indexed="64"/>
      </right>
      <top style="medium">
        <color indexed="64"/>
      </top>
      <bottom style="double">
        <color indexed="64"/>
      </bottom>
      <diagonal/>
    </border>
    <border>
      <left style="double">
        <color indexed="64"/>
      </left>
      <right style="double">
        <color indexed="64"/>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double">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double">
        <color indexed="64"/>
      </right>
      <top style="double">
        <color indexed="64"/>
      </top>
      <bottom style="thin">
        <color indexed="64"/>
      </bottom>
      <diagonal/>
    </border>
    <border>
      <left/>
      <right style="double">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double">
        <color indexed="64"/>
      </right>
      <top style="thin">
        <color indexed="64"/>
      </top>
      <bottom style="medium">
        <color indexed="64"/>
      </bottom>
      <diagonal/>
    </border>
    <border>
      <left/>
      <right style="double">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auto="1"/>
      </right>
      <top style="thin">
        <color auto="1"/>
      </top>
      <bottom style="medium">
        <color auto="1"/>
      </bottom>
      <diagonal/>
    </border>
    <border>
      <left style="double">
        <color indexed="64"/>
      </left>
      <right style="medium">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double">
        <color indexed="64"/>
      </right>
      <top style="double">
        <color indexed="64"/>
      </top>
      <bottom style="medium">
        <color indexed="64"/>
      </bottom>
      <diagonal/>
    </border>
    <border>
      <left style="double">
        <color indexed="64"/>
      </left>
      <right style="double">
        <color indexed="64"/>
      </right>
      <top style="double">
        <color indexed="64"/>
      </top>
      <bottom style="medium">
        <color indexed="64"/>
      </bottom>
      <diagonal/>
    </border>
    <border>
      <left style="double">
        <color indexed="64"/>
      </left>
      <right style="medium">
        <color indexed="64"/>
      </right>
      <top style="double">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thin">
        <color indexed="64"/>
      </left>
      <right style="double">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top/>
      <bottom style="thin">
        <color indexed="64"/>
      </bottom>
      <diagonal/>
    </border>
    <border>
      <left style="medium">
        <color indexed="64"/>
      </left>
      <right style="medium">
        <color indexed="64"/>
      </right>
      <top style="thin">
        <color indexed="64"/>
      </top>
      <bottom style="double">
        <color indexed="64"/>
      </bottom>
      <diagonal/>
    </border>
    <border>
      <left style="thin">
        <color indexed="64"/>
      </left>
      <right style="double">
        <color indexed="64"/>
      </right>
      <top style="medium">
        <color indexed="64"/>
      </top>
      <bottom style="thin">
        <color indexed="64"/>
      </bottom>
      <diagonal/>
    </border>
    <border>
      <left style="medium">
        <color indexed="64"/>
      </left>
      <right style="medium">
        <color indexed="64"/>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right style="medium">
        <color auto="1"/>
      </right>
      <top style="thin">
        <color auto="1"/>
      </top>
      <bottom style="thin">
        <color auto="1"/>
      </bottom>
      <diagonal/>
    </border>
    <border>
      <left/>
      <right style="medium">
        <color auto="1"/>
      </right>
      <top style="thin">
        <color indexed="64"/>
      </top>
      <bottom style="double">
        <color indexed="64"/>
      </bottom>
      <diagonal/>
    </border>
    <border>
      <left/>
      <right style="medium">
        <color indexed="64"/>
      </right>
      <top/>
      <bottom style="thin">
        <color indexed="64"/>
      </bottom>
      <diagonal/>
    </border>
    <border>
      <left/>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bottom style="thin">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medium">
        <color rgb="FF969696"/>
      </left>
      <right style="thin">
        <color rgb="FF969696"/>
      </right>
      <top style="medium">
        <color rgb="FF969696"/>
      </top>
      <bottom/>
      <diagonal/>
    </border>
    <border>
      <left style="thin">
        <color rgb="FF969696"/>
      </left>
      <right/>
      <top style="medium">
        <color rgb="FF969696"/>
      </top>
      <bottom/>
      <diagonal/>
    </border>
    <border>
      <left style="medium">
        <color rgb="FF969696"/>
      </left>
      <right style="medium">
        <color rgb="FF969696"/>
      </right>
      <top style="medium">
        <color rgb="FF969696"/>
      </top>
      <bottom/>
      <diagonal/>
    </border>
    <border>
      <left style="medium">
        <color theme="0" tint="-0.34998626667073579"/>
      </left>
      <right style="thin">
        <color theme="0" tint="-0.34998626667073579"/>
      </right>
      <top style="medium">
        <color theme="0" tint="-0.34998626667073579"/>
      </top>
      <bottom/>
      <diagonal/>
    </border>
    <border>
      <left style="thin">
        <color theme="0" tint="-0.34998626667073579"/>
      </left>
      <right style="medium">
        <color theme="0" tint="-0.34998626667073579"/>
      </right>
      <top style="medium">
        <color theme="0" tint="-0.34998626667073579"/>
      </top>
      <bottom/>
      <diagonal/>
    </border>
    <border>
      <left/>
      <right style="thin">
        <color rgb="FF969696"/>
      </right>
      <top style="medium">
        <color rgb="FF969696"/>
      </top>
      <bottom/>
      <diagonal/>
    </border>
    <border>
      <left style="thin">
        <color rgb="FF969696"/>
      </left>
      <right style="thin">
        <color rgb="FF969696"/>
      </right>
      <top style="medium">
        <color rgb="FF969696"/>
      </top>
      <bottom/>
      <diagonal/>
    </border>
    <border>
      <left/>
      <right style="thin">
        <color rgb="FF969696"/>
      </right>
      <top style="medium">
        <color theme="0" tint="-0.249977111117893"/>
      </top>
      <bottom style="thin">
        <color rgb="FF969696"/>
      </bottom>
      <diagonal/>
    </border>
    <border>
      <left style="thin">
        <color rgb="FF969696"/>
      </left>
      <right style="medium">
        <color theme="0" tint="-0.249977111117893"/>
      </right>
      <top style="medium">
        <color theme="0" tint="-0.249977111117893"/>
      </top>
      <bottom style="thin">
        <color rgb="FF969696"/>
      </bottom>
      <diagonal/>
    </border>
    <border>
      <left style="medium">
        <color theme="0" tint="-0.249977111117893"/>
      </left>
      <right style="thin">
        <color rgb="FF969696"/>
      </right>
      <top style="medium">
        <color theme="0" tint="-0.249977111117893"/>
      </top>
      <bottom style="thin">
        <color rgb="FF969696"/>
      </bottom>
      <diagonal/>
    </border>
    <border>
      <left style="medium">
        <color theme="0" tint="-0.249977111117893"/>
      </left>
      <right style="medium">
        <color theme="0" tint="-0.249977111117893"/>
      </right>
      <top style="medium">
        <color theme="0" tint="-0.249977111117893"/>
      </top>
      <bottom style="thin">
        <color rgb="FF969696"/>
      </bottom>
      <diagonal/>
    </border>
    <border>
      <left style="medium">
        <color theme="0" tint="-0.249977111117893"/>
      </left>
      <right style="thin">
        <color theme="0" tint="-0.34998626667073579"/>
      </right>
      <top style="medium">
        <color theme="0" tint="-0.249977111117893"/>
      </top>
      <bottom style="thin">
        <color theme="0" tint="-0.34998626667073579"/>
      </bottom>
      <diagonal/>
    </border>
    <border>
      <left style="thin">
        <color theme="0" tint="-0.34998626667073579"/>
      </left>
      <right style="medium">
        <color theme="0" tint="-0.249977111117893"/>
      </right>
      <top style="medium">
        <color theme="0" tint="-0.249977111117893"/>
      </top>
      <bottom style="thin">
        <color theme="0" tint="-0.34998626667073579"/>
      </bottom>
      <diagonal/>
    </border>
    <border>
      <left style="thin">
        <color rgb="FF969696"/>
      </left>
      <right style="thin">
        <color rgb="FF969696"/>
      </right>
      <top style="medium">
        <color theme="0" tint="-0.249977111117893"/>
      </top>
      <bottom style="thin">
        <color rgb="FF969696"/>
      </bottom>
      <diagonal/>
    </border>
    <border>
      <left style="medium">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n">
        <color indexed="64"/>
      </left>
      <right style="medium">
        <color indexed="64"/>
      </right>
      <top/>
      <bottom/>
      <diagonal/>
    </border>
    <border>
      <left style="thin">
        <color indexed="64"/>
      </left>
      <right style="thin">
        <color indexed="64"/>
      </right>
      <top/>
      <bottom/>
      <diagonal/>
    </border>
    <border>
      <left/>
      <right style="medium">
        <color indexed="64"/>
      </right>
      <top/>
      <bottom/>
      <diagonal/>
    </border>
    <border>
      <left/>
      <right style="thin">
        <color indexed="64"/>
      </right>
      <top/>
      <bottom/>
      <diagonal/>
    </border>
    <border>
      <left style="medium">
        <color indexed="64"/>
      </left>
      <right style="thin">
        <color indexed="64"/>
      </right>
      <top/>
      <bottom/>
      <diagonal/>
    </border>
    <border>
      <left style="thin">
        <color indexed="64"/>
      </left>
      <right style="medium">
        <color auto="1"/>
      </right>
      <top/>
      <bottom style="medium">
        <color indexed="64"/>
      </bottom>
      <diagonal/>
    </border>
    <border>
      <left style="thin">
        <color indexed="64"/>
      </left>
      <right style="thin">
        <color auto="1"/>
      </right>
      <top/>
      <bottom style="medium">
        <color auto="1"/>
      </bottom>
      <diagonal/>
    </border>
    <border>
      <left style="thin">
        <color indexed="64"/>
      </left>
      <right/>
      <top/>
      <bottom/>
      <diagonal/>
    </border>
    <border>
      <left/>
      <right/>
      <top style="thin">
        <color auto="1"/>
      </top>
      <bottom/>
      <diagonal/>
    </border>
    <border>
      <left style="medium">
        <color indexed="64"/>
      </left>
      <right style="thin">
        <color indexed="64"/>
      </right>
      <top style="thin">
        <color indexed="64"/>
      </top>
      <bottom/>
      <diagonal/>
    </border>
    <border>
      <left style="thin">
        <color auto="1"/>
      </left>
      <right style="thin">
        <color indexed="64"/>
      </right>
      <top style="thin">
        <color auto="1"/>
      </top>
      <bottom/>
      <diagonal/>
    </border>
    <border>
      <left style="thin">
        <color indexed="64"/>
      </left>
      <right/>
      <top style="thin">
        <color indexed="64"/>
      </top>
      <bottom/>
      <diagonal/>
    </border>
    <border>
      <left style="medium">
        <color indexed="64"/>
      </left>
      <right/>
      <top style="thin">
        <color indexed="64"/>
      </top>
      <bottom/>
      <diagonal/>
    </border>
    <border>
      <left style="thin">
        <color theme="0"/>
      </left>
      <right style="thin">
        <color theme="0"/>
      </right>
      <top style="thin">
        <color theme="0"/>
      </top>
      <bottom style="thin">
        <color theme="0"/>
      </bottom>
      <diagonal/>
    </border>
    <border>
      <left style="medium">
        <color auto="1"/>
      </left>
      <right style="medium">
        <color auto="1"/>
      </right>
      <top style="thin">
        <color auto="1"/>
      </top>
      <bottom style="thin">
        <color auto="1"/>
      </bottom>
      <diagonal/>
    </border>
    <border>
      <left style="medium">
        <color auto="1"/>
      </left>
      <right style="medium">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medium">
        <color auto="1"/>
      </bottom>
      <diagonal/>
    </border>
    <border>
      <left/>
      <right style="thin">
        <color auto="1"/>
      </right>
      <top style="thin">
        <color indexed="64"/>
      </top>
      <bottom style="medium">
        <color auto="1"/>
      </bottom>
      <diagonal/>
    </border>
    <border>
      <left style="thin">
        <color indexed="64"/>
      </left>
      <right style="medium">
        <color auto="1"/>
      </right>
      <top/>
      <bottom style="thin">
        <color auto="1"/>
      </bottom>
      <diagonal/>
    </border>
    <border>
      <left style="thin">
        <color indexed="64"/>
      </left>
      <right style="medium">
        <color auto="1"/>
      </right>
      <top style="thin">
        <color auto="1"/>
      </top>
      <bottom style="thin">
        <color auto="1"/>
      </bottom>
      <diagonal/>
    </border>
    <border>
      <left style="thin">
        <color indexed="64"/>
      </left>
      <right style="medium">
        <color auto="1"/>
      </right>
      <top style="thin">
        <color auto="1"/>
      </top>
      <bottom style="medium">
        <color auto="1"/>
      </bottom>
      <diagonal/>
    </border>
    <border>
      <left style="medium">
        <color auto="1"/>
      </left>
      <right style="medium">
        <color auto="1"/>
      </right>
      <top style="thin">
        <color indexed="64"/>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s>
  <cellStyleXfs count="2">
    <xf numFmtId="0" fontId="0" fillId="0" borderId="0"/>
    <xf numFmtId="0" fontId="2" fillId="0" borderId="0"/>
  </cellStyleXfs>
  <cellXfs count="1409">
    <xf numFmtId="0" fontId="0" fillId="0" borderId="0" xfId="0"/>
    <xf numFmtId="0" fontId="2" fillId="2" borderId="0" xfId="1" applyFill="1"/>
    <xf numFmtId="0" fontId="2" fillId="2" borderId="0" xfId="1" applyFill="1" applyAlignment="1">
      <alignment wrapText="1"/>
    </xf>
    <xf numFmtId="0" fontId="2" fillId="2" borderId="0" xfId="1" applyFill="1" applyAlignment="1">
      <alignment horizontal="right"/>
    </xf>
    <xf numFmtId="0" fontId="3" fillId="0" borderId="0" xfId="1" applyFont="1" applyAlignment="1">
      <alignment vertical="center"/>
    </xf>
    <xf numFmtId="0" fontId="3" fillId="10" borderId="1" xfId="1" applyFont="1" applyFill="1" applyBorder="1" applyAlignment="1">
      <alignment horizontal="center" vertical="center" wrapText="1"/>
    </xf>
    <xf numFmtId="0" fontId="3" fillId="11" borderId="4" xfId="1" applyFont="1" applyFill="1" applyBorder="1" applyAlignment="1">
      <alignment horizontal="center" vertical="center" wrapText="1"/>
    </xf>
    <xf numFmtId="0" fontId="3" fillId="12" borderId="5" xfId="1" applyFont="1" applyFill="1" applyBorder="1" applyAlignment="1">
      <alignment horizontal="center" vertical="center" wrapText="1"/>
    </xf>
    <xf numFmtId="0" fontId="3" fillId="15" borderId="6" xfId="1" applyFont="1" applyFill="1" applyBorder="1" applyAlignment="1">
      <alignment vertical="center"/>
    </xf>
    <xf numFmtId="0" fontId="2" fillId="0" borderId="0" xfId="1" applyAlignment="1">
      <alignment vertical="center"/>
    </xf>
    <xf numFmtId="0" fontId="2" fillId="8" borderId="7" xfId="1" applyFill="1" applyBorder="1" applyAlignment="1">
      <alignment horizontal="center" vertical="center"/>
    </xf>
    <xf numFmtId="0" fontId="2" fillId="3" borderId="8" xfId="1" applyFill="1" applyBorder="1" applyAlignment="1">
      <alignment horizontal="center" vertical="center"/>
    </xf>
    <xf numFmtId="0" fontId="2" fillId="3" borderId="9" xfId="1" applyFill="1" applyBorder="1" applyAlignment="1">
      <alignment horizontal="center" vertical="center"/>
    </xf>
    <xf numFmtId="0" fontId="2" fillId="4" borderId="10" xfId="1" applyFill="1" applyBorder="1" applyAlignment="1">
      <alignment horizontal="center" vertical="center"/>
    </xf>
    <xf numFmtId="0" fontId="2" fillId="4" borderId="11" xfId="1" applyFill="1" applyBorder="1" applyAlignment="1">
      <alignment horizontal="center" vertical="center"/>
    </xf>
    <xf numFmtId="0" fontId="2" fillId="4" borderId="9" xfId="1" applyFill="1" applyBorder="1" applyAlignment="1">
      <alignment horizontal="center" vertical="center"/>
    </xf>
    <xf numFmtId="0" fontId="2" fillId="5" borderId="4" xfId="1" applyFill="1" applyBorder="1" applyAlignment="1">
      <alignment horizontal="center" vertical="center"/>
    </xf>
    <xf numFmtId="0" fontId="2" fillId="5" borderId="12" xfId="1" applyFill="1" applyBorder="1" applyAlignment="1">
      <alignment horizontal="center" vertical="center"/>
    </xf>
    <xf numFmtId="0" fontId="2" fillId="5" borderId="13" xfId="1" applyFill="1" applyBorder="1" applyAlignment="1">
      <alignment horizontal="center" vertical="center"/>
    </xf>
    <xf numFmtId="0" fontId="2" fillId="6" borderId="10" xfId="1" applyFill="1" applyBorder="1" applyAlignment="1">
      <alignment horizontal="center" vertical="center"/>
    </xf>
    <xf numFmtId="0" fontId="2" fillId="6" borderId="11" xfId="1" applyFill="1" applyBorder="1" applyAlignment="1">
      <alignment horizontal="center" vertical="center"/>
    </xf>
    <xf numFmtId="0" fontId="2" fillId="6" borderId="14" xfId="1" applyFill="1" applyBorder="1" applyAlignment="1">
      <alignment horizontal="center" vertical="center"/>
    </xf>
    <xf numFmtId="0" fontId="2" fillId="7" borderId="10" xfId="1" applyFill="1" applyBorder="1" applyAlignment="1">
      <alignment horizontal="center" vertical="center"/>
    </xf>
    <xf numFmtId="0" fontId="2" fillId="7" borderId="11" xfId="1" applyFill="1" applyBorder="1" applyAlignment="1">
      <alignment horizontal="center" vertical="center"/>
    </xf>
    <xf numFmtId="0" fontId="2" fillId="7" borderId="9" xfId="1" applyFill="1" applyBorder="1" applyAlignment="1">
      <alignment horizontal="center" vertical="center"/>
    </xf>
    <xf numFmtId="0" fontId="2" fillId="8" borderId="4" xfId="1" applyFill="1" applyBorder="1" applyAlignment="1">
      <alignment horizontal="center" vertical="center"/>
    </xf>
    <xf numFmtId="0" fontId="2" fillId="8" borderId="12" xfId="1" applyFill="1" applyBorder="1" applyAlignment="1">
      <alignment horizontal="center" vertical="center"/>
    </xf>
    <xf numFmtId="0" fontId="2" fillId="8" borderId="5" xfId="1" applyFill="1" applyBorder="1" applyAlignment="1">
      <alignment horizontal="center" vertical="center"/>
    </xf>
    <xf numFmtId="0" fontId="2" fillId="9" borderId="10" xfId="1" applyFill="1" applyBorder="1" applyAlignment="1">
      <alignment horizontal="center" vertical="center"/>
    </xf>
    <xf numFmtId="0" fontId="2" fillId="9" borderId="11" xfId="1" applyFill="1" applyBorder="1" applyAlignment="1">
      <alignment horizontal="center" vertical="center"/>
    </xf>
    <xf numFmtId="0" fontId="2" fillId="9" borderId="15" xfId="1" applyFill="1" applyBorder="1" applyAlignment="1">
      <alignment horizontal="center" vertical="center"/>
    </xf>
    <xf numFmtId="0" fontId="4" fillId="10" borderId="1" xfId="1" applyFont="1" applyFill="1" applyBorder="1" applyAlignment="1">
      <alignment horizontal="center" vertical="center"/>
    </xf>
    <xf numFmtId="0" fontId="2" fillId="11" borderId="4" xfId="1" applyFill="1" applyBorder="1" applyAlignment="1">
      <alignment horizontal="center" vertical="center"/>
    </xf>
    <xf numFmtId="0" fontId="2" fillId="12" borderId="5" xfId="1" applyFill="1" applyBorder="1" applyAlignment="1">
      <alignment horizontal="center" vertical="center"/>
    </xf>
    <xf numFmtId="0" fontId="2" fillId="13" borderId="16" xfId="1" applyFill="1" applyBorder="1" applyAlignment="1">
      <alignment horizontal="center" vertical="center"/>
    </xf>
    <xf numFmtId="0" fontId="2" fillId="13" borderId="5" xfId="1" applyFill="1" applyBorder="1" applyAlignment="1">
      <alignment horizontal="center" vertical="center"/>
    </xf>
    <xf numFmtId="0" fontId="2" fillId="14" borderId="16" xfId="1" applyFill="1" applyBorder="1" applyAlignment="1">
      <alignment horizontal="center" vertical="center"/>
    </xf>
    <xf numFmtId="0" fontId="2" fillId="14" borderId="12" xfId="1" applyFill="1" applyBorder="1" applyAlignment="1">
      <alignment horizontal="center" vertical="center"/>
    </xf>
    <xf numFmtId="0" fontId="5" fillId="14" borderId="13" xfId="1" applyFont="1" applyFill="1" applyBorder="1" applyAlignment="1">
      <alignment horizontal="center" vertical="center"/>
    </xf>
    <xf numFmtId="0" fontId="2" fillId="15" borderId="7" xfId="1" applyFill="1" applyBorder="1" applyAlignment="1">
      <alignment horizontal="center" vertical="center"/>
    </xf>
    <xf numFmtId="0" fontId="6" fillId="0" borderId="0" xfId="1" applyFont="1" applyAlignment="1">
      <alignment vertical="center"/>
    </xf>
    <xf numFmtId="0" fontId="2" fillId="0" borderId="0" xfId="1"/>
    <xf numFmtId="0" fontId="2" fillId="8" borderId="17" xfId="1" applyFill="1" applyBorder="1" applyAlignment="1">
      <alignment horizontal="center" vertical="center"/>
    </xf>
    <xf numFmtId="0" fontId="2" fillId="3" borderId="18" xfId="1" applyFill="1" applyBorder="1" applyAlignment="1" applyProtection="1">
      <alignment horizontal="center"/>
      <protection locked="0"/>
    </xf>
    <xf numFmtId="0" fontId="2" fillId="3" borderId="19" xfId="1" applyFill="1" applyBorder="1" applyAlignment="1" applyProtection="1">
      <alignment horizontal="center"/>
      <protection locked="0"/>
    </xf>
    <xf numFmtId="0" fontId="2" fillId="4" borderId="20" xfId="1" applyFill="1" applyBorder="1" applyAlignment="1" applyProtection="1">
      <alignment horizontal="center"/>
      <protection locked="0"/>
    </xf>
    <xf numFmtId="0" fontId="2" fillId="4" borderId="21" xfId="1" applyFill="1" applyBorder="1" applyAlignment="1" applyProtection="1">
      <alignment horizontal="center"/>
      <protection locked="0"/>
    </xf>
    <xf numFmtId="0" fontId="2" fillId="4" borderId="19" xfId="1" applyFill="1" applyBorder="1" applyAlignment="1" applyProtection="1">
      <alignment horizontal="center"/>
      <protection locked="0"/>
    </xf>
    <xf numFmtId="0" fontId="2" fillId="5" borderId="20" xfId="1" applyFill="1" applyBorder="1" applyAlignment="1" applyProtection="1">
      <alignment horizontal="center"/>
      <protection locked="0"/>
    </xf>
    <xf numFmtId="0" fontId="2" fillId="5" borderId="21" xfId="1" applyFill="1" applyBorder="1" applyAlignment="1" applyProtection="1">
      <alignment horizontal="center"/>
      <protection locked="0"/>
    </xf>
    <xf numFmtId="0" fontId="2" fillId="5" borderId="22" xfId="1" applyFill="1" applyBorder="1" applyAlignment="1" applyProtection="1">
      <alignment horizontal="center"/>
      <protection locked="0"/>
    </xf>
    <xf numFmtId="0" fontId="2" fillId="6" borderId="20" xfId="1" applyFill="1" applyBorder="1" applyAlignment="1" applyProtection="1">
      <alignment horizontal="center"/>
      <protection locked="0"/>
    </xf>
    <xf numFmtId="0" fontId="2" fillId="6" borderId="21" xfId="1" applyFill="1" applyBorder="1" applyAlignment="1" applyProtection="1">
      <alignment horizontal="center"/>
      <protection locked="0"/>
    </xf>
    <xf numFmtId="0" fontId="2" fillId="6" borderId="22" xfId="1" applyFill="1" applyBorder="1" applyAlignment="1" applyProtection="1">
      <alignment horizontal="center"/>
      <protection locked="0"/>
    </xf>
    <xf numFmtId="0" fontId="2" fillId="7" borderId="20" xfId="1" applyFill="1" applyBorder="1" applyAlignment="1" applyProtection="1">
      <alignment horizontal="center"/>
      <protection locked="0"/>
    </xf>
    <xf numFmtId="0" fontId="2" fillId="7" borderId="21" xfId="1" applyFill="1" applyBorder="1" applyAlignment="1" applyProtection="1">
      <alignment horizontal="center"/>
      <protection locked="0"/>
    </xf>
    <xf numFmtId="0" fontId="2" fillId="7" borderId="19" xfId="1" applyFill="1" applyBorder="1" applyAlignment="1" applyProtection="1">
      <alignment horizontal="center"/>
      <protection locked="0"/>
    </xf>
    <xf numFmtId="0" fontId="2" fillId="8" borderId="23" xfId="1" applyFill="1" applyBorder="1" applyAlignment="1" applyProtection="1">
      <alignment horizontal="center"/>
      <protection locked="0"/>
    </xf>
    <xf numFmtId="0" fontId="2" fillId="8" borderId="24" xfId="1" applyFill="1" applyBorder="1" applyAlignment="1" applyProtection="1">
      <alignment horizontal="center"/>
      <protection locked="0"/>
    </xf>
    <xf numFmtId="0" fontId="2" fillId="8" borderId="25" xfId="1" applyFill="1" applyBorder="1" applyAlignment="1" applyProtection="1">
      <alignment horizontal="center"/>
      <protection locked="0"/>
    </xf>
    <xf numFmtId="0" fontId="2" fillId="9" borderId="20" xfId="1" applyFill="1" applyBorder="1" applyAlignment="1" applyProtection="1">
      <alignment horizontal="center"/>
      <protection locked="0"/>
    </xf>
    <xf numFmtId="0" fontId="2" fillId="9" borderId="21" xfId="1" applyFill="1" applyBorder="1" applyAlignment="1" applyProtection="1">
      <alignment horizontal="center"/>
      <protection locked="0"/>
    </xf>
    <xf numFmtId="0" fontId="2" fillId="9" borderId="19" xfId="1" applyFill="1" applyBorder="1" applyAlignment="1" applyProtection="1">
      <alignment horizontal="center"/>
      <protection locked="0"/>
    </xf>
    <xf numFmtId="0" fontId="2" fillId="10" borderId="26" xfId="1" applyFill="1" applyBorder="1" applyAlignment="1" applyProtection="1">
      <alignment horizontal="center"/>
      <protection locked="0"/>
    </xf>
    <xf numFmtId="0" fontId="2" fillId="11" borderId="27" xfId="1" applyFill="1" applyBorder="1" applyAlignment="1" applyProtection="1">
      <alignment horizontal="center"/>
      <protection locked="0"/>
    </xf>
    <xf numFmtId="0" fontId="2" fillId="12" borderId="25" xfId="1" applyFill="1" applyBorder="1" applyProtection="1">
      <protection locked="0"/>
    </xf>
    <xf numFmtId="0" fontId="2" fillId="13" borderId="18" xfId="1" applyFill="1" applyBorder="1" applyAlignment="1" applyProtection="1">
      <alignment horizontal="center"/>
      <protection locked="0"/>
    </xf>
    <xf numFmtId="0" fontId="2" fillId="13" borderId="19" xfId="1" applyFill="1" applyBorder="1" applyAlignment="1" applyProtection="1">
      <alignment horizontal="center"/>
      <protection locked="0"/>
    </xf>
    <xf numFmtId="0" fontId="2" fillId="14" borderId="18" xfId="1" applyFill="1" applyBorder="1" applyAlignment="1" applyProtection="1">
      <alignment horizontal="center"/>
      <protection locked="0"/>
    </xf>
    <xf numFmtId="0" fontId="2" fillId="14" borderId="21" xfId="1" applyFill="1" applyBorder="1" applyAlignment="1" applyProtection="1">
      <alignment horizontal="center"/>
      <protection locked="0"/>
    </xf>
    <xf numFmtId="0" fontId="2" fillId="14" borderId="22" xfId="1" applyFill="1" applyBorder="1" applyAlignment="1" applyProtection="1">
      <alignment horizontal="center"/>
      <protection locked="0"/>
    </xf>
    <xf numFmtId="0" fontId="2" fillId="15" borderId="17" xfId="1" applyFill="1" applyBorder="1" applyProtection="1">
      <protection locked="0"/>
    </xf>
    <xf numFmtId="0" fontId="6" fillId="0" borderId="0" xfId="1" applyFont="1"/>
    <xf numFmtId="0" fontId="2" fillId="8" borderId="17" xfId="1" applyFill="1" applyBorder="1" applyAlignment="1">
      <alignment horizontal="center"/>
    </xf>
    <xf numFmtId="0" fontId="2" fillId="3" borderId="28" xfId="1" applyFill="1" applyBorder="1" applyAlignment="1" applyProtection="1">
      <alignment horizontal="center"/>
      <protection locked="0"/>
    </xf>
    <xf numFmtId="0" fontId="2" fillId="3" borderId="29" xfId="1" applyFill="1" applyBorder="1" applyAlignment="1" applyProtection="1">
      <alignment horizontal="center"/>
      <protection locked="0"/>
    </xf>
    <xf numFmtId="0" fontId="2" fillId="4" borderId="30" xfId="1" applyFill="1" applyBorder="1" applyAlignment="1" applyProtection="1">
      <alignment horizontal="center"/>
      <protection locked="0"/>
    </xf>
    <xf numFmtId="0" fontId="2" fillId="4" borderId="31" xfId="1" applyFill="1" applyBorder="1" applyAlignment="1" applyProtection="1">
      <alignment horizontal="center"/>
      <protection locked="0"/>
    </xf>
    <xf numFmtId="0" fontId="2" fillId="4" borderId="32" xfId="1" applyFill="1" applyBorder="1" applyAlignment="1" applyProtection="1">
      <alignment horizontal="center"/>
      <protection locked="0"/>
    </xf>
    <xf numFmtId="0" fontId="2" fillId="5" borderId="30" xfId="1" applyFill="1" applyBorder="1" applyAlignment="1" applyProtection="1">
      <alignment horizontal="center"/>
      <protection locked="0"/>
    </xf>
    <xf numFmtId="0" fontId="2" fillId="5" borderId="31" xfId="1" applyFill="1" applyBorder="1" applyAlignment="1" applyProtection="1">
      <alignment horizontal="center"/>
      <protection locked="0"/>
    </xf>
    <xf numFmtId="0" fontId="2" fillId="5" borderId="33" xfId="1" applyFill="1" applyBorder="1" applyAlignment="1" applyProtection="1">
      <alignment horizontal="center"/>
      <protection locked="0"/>
    </xf>
    <xf numFmtId="0" fontId="2" fillId="6" borderId="30" xfId="1" applyFill="1" applyBorder="1" applyAlignment="1" applyProtection="1">
      <alignment horizontal="center"/>
      <protection locked="0"/>
    </xf>
    <xf numFmtId="0" fontId="2" fillId="6" borderId="31" xfId="1" applyFill="1" applyBorder="1" applyAlignment="1" applyProtection="1">
      <alignment horizontal="center"/>
      <protection locked="0"/>
    </xf>
    <xf numFmtId="0" fontId="2" fillId="6" borderId="33" xfId="1" applyFill="1" applyBorder="1" applyAlignment="1" applyProtection="1">
      <alignment horizontal="center"/>
      <protection locked="0"/>
    </xf>
    <xf numFmtId="0" fontId="2" fillId="7" borderId="30" xfId="1" applyFill="1" applyBorder="1" applyAlignment="1" applyProtection="1">
      <alignment horizontal="center"/>
      <protection locked="0"/>
    </xf>
    <xf numFmtId="0" fontId="2" fillId="7" borderId="31" xfId="1" applyFill="1" applyBorder="1" applyAlignment="1" applyProtection="1">
      <alignment horizontal="center"/>
      <protection locked="0"/>
    </xf>
    <xf numFmtId="0" fontId="2" fillId="7" borderId="32" xfId="1" applyFill="1" applyBorder="1" applyAlignment="1" applyProtection="1">
      <alignment horizontal="center"/>
      <protection locked="0"/>
    </xf>
    <xf numFmtId="0" fontId="2" fillId="8" borderId="34" xfId="1" applyFill="1" applyBorder="1" applyAlignment="1" applyProtection="1">
      <alignment horizontal="center"/>
      <protection locked="0"/>
    </xf>
    <xf numFmtId="0" fontId="2" fillId="8" borderId="31" xfId="1" applyFill="1" applyBorder="1" applyAlignment="1" applyProtection="1">
      <alignment horizontal="center"/>
      <protection locked="0"/>
    </xf>
    <xf numFmtId="0" fontId="2" fillId="8" borderId="32" xfId="1" applyFill="1" applyBorder="1" applyAlignment="1" applyProtection="1">
      <alignment horizontal="center"/>
      <protection locked="0"/>
    </xf>
    <xf numFmtId="0" fontId="2" fillId="9" borderId="30" xfId="1" applyFill="1" applyBorder="1" applyAlignment="1" applyProtection="1">
      <alignment horizontal="center"/>
      <protection locked="0"/>
    </xf>
    <xf numFmtId="0" fontId="2" fillId="9" borderId="31" xfId="1" applyFill="1" applyBorder="1" applyAlignment="1" applyProtection="1">
      <alignment horizontal="center"/>
      <protection locked="0"/>
    </xf>
    <xf numFmtId="0" fontId="2" fillId="9" borderId="32" xfId="1" applyFill="1" applyBorder="1" applyAlignment="1" applyProtection="1">
      <alignment horizontal="center"/>
      <protection locked="0"/>
    </xf>
    <xf numFmtId="0" fontId="2" fillId="10" borderId="35" xfId="1" applyFill="1" applyBorder="1" applyAlignment="1" applyProtection="1">
      <alignment horizontal="center"/>
      <protection locked="0"/>
    </xf>
    <xf numFmtId="0" fontId="2" fillId="11" borderId="30" xfId="1" applyFill="1" applyBorder="1" applyAlignment="1" applyProtection="1">
      <alignment horizontal="center"/>
      <protection locked="0"/>
    </xf>
    <xf numFmtId="0" fontId="2" fillId="12" borderId="32" xfId="1" applyFill="1" applyBorder="1" applyProtection="1">
      <protection locked="0"/>
    </xf>
    <xf numFmtId="0" fontId="2" fillId="13" borderId="34" xfId="1" applyFill="1" applyBorder="1" applyAlignment="1" applyProtection="1">
      <alignment horizontal="center"/>
      <protection locked="0"/>
    </xf>
    <xf numFmtId="0" fontId="2" fillId="13" borderId="32" xfId="1" applyFill="1" applyBorder="1" applyAlignment="1" applyProtection="1">
      <alignment horizontal="center"/>
      <protection locked="0"/>
    </xf>
    <xf numFmtId="0" fontId="2" fillId="14" borderId="34" xfId="1" applyFill="1" applyBorder="1" applyAlignment="1" applyProtection="1">
      <alignment horizontal="center"/>
      <protection locked="0"/>
    </xf>
    <xf numFmtId="0" fontId="2" fillId="14" borderId="31" xfId="1" applyFill="1" applyBorder="1" applyAlignment="1" applyProtection="1">
      <alignment horizontal="center"/>
      <protection locked="0"/>
    </xf>
    <xf numFmtId="0" fontId="2" fillId="14" borderId="33" xfId="1" applyFill="1" applyBorder="1" applyAlignment="1" applyProtection="1">
      <alignment horizontal="center"/>
      <protection locked="0"/>
    </xf>
    <xf numFmtId="0" fontId="2" fillId="15" borderId="36" xfId="1" applyFill="1" applyBorder="1" applyProtection="1">
      <protection locked="0"/>
    </xf>
    <xf numFmtId="0" fontId="2" fillId="8" borderId="36" xfId="1" applyFill="1" applyBorder="1" applyAlignment="1">
      <alignment horizontal="center"/>
    </xf>
    <xf numFmtId="0" fontId="2" fillId="3" borderId="32" xfId="1" applyFill="1" applyBorder="1" applyAlignment="1" applyProtection="1">
      <alignment horizontal="center"/>
      <protection locked="0"/>
    </xf>
    <xf numFmtId="0" fontId="2" fillId="4" borderId="24" xfId="1" applyFill="1" applyBorder="1" applyAlignment="1" applyProtection="1">
      <alignment horizontal="center"/>
      <protection locked="0"/>
    </xf>
    <xf numFmtId="0" fontId="2" fillId="4" borderId="29" xfId="1" applyFill="1" applyBorder="1" applyAlignment="1" applyProtection="1">
      <alignment horizontal="center"/>
      <protection locked="0"/>
    </xf>
    <xf numFmtId="0" fontId="2" fillId="5" borderId="24" xfId="1" applyFill="1" applyBorder="1" applyAlignment="1" applyProtection="1">
      <alignment horizontal="center"/>
      <protection locked="0"/>
    </xf>
    <xf numFmtId="0" fontId="2" fillId="3" borderId="34" xfId="1" applyFill="1" applyBorder="1" applyAlignment="1" applyProtection="1">
      <alignment horizontal="center"/>
      <protection locked="0"/>
    </xf>
    <xf numFmtId="0" fontId="7" fillId="0" borderId="0" xfId="1" applyFont="1"/>
    <xf numFmtId="0" fontId="2" fillId="0" borderId="37" xfId="1" applyBorder="1"/>
    <xf numFmtId="0" fontId="2" fillId="0" borderId="38" xfId="1" applyBorder="1"/>
    <xf numFmtId="0" fontId="2" fillId="0" borderId="39" xfId="1" applyBorder="1"/>
    <xf numFmtId="0" fontId="2" fillId="0" borderId="40" xfId="1" applyBorder="1"/>
    <xf numFmtId="0" fontId="2" fillId="0" borderId="41" xfId="1" applyBorder="1"/>
    <xf numFmtId="0" fontId="2" fillId="0" borderId="42" xfId="1" applyBorder="1"/>
    <xf numFmtId="0" fontId="2" fillId="0" borderId="16" xfId="1" applyBorder="1" applyAlignment="1">
      <alignment horizontal="right"/>
    </xf>
    <xf numFmtId="0" fontId="2" fillId="0" borderId="5" xfId="1" applyBorder="1" applyProtection="1">
      <protection locked="0"/>
    </xf>
    <xf numFmtId="0" fontId="2" fillId="8" borderId="43" xfId="1" applyFill="1" applyBorder="1" applyAlignment="1">
      <alignment horizontal="center"/>
    </xf>
    <xf numFmtId="0" fontId="2" fillId="3" borderId="44" xfId="1" applyFill="1" applyBorder="1" applyAlignment="1" applyProtection="1">
      <alignment horizontal="center"/>
      <protection locked="0"/>
    </xf>
    <xf numFmtId="0" fontId="2" fillId="3" borderId="45" xfId="1" applyFill="1" applyBorder="1" applyAlignment="1" applyProtection="1">
      <alignment horizontal="center"/>
      <protection locked="0"/>
    </xf>
    <xf numFmtId="0" fontId="2" fillId="4" borderId="46" xfId="1" applyFill="1" applyBorder="1" applyAlignment="1" applyProtection="1">
      <alignment horizontal="center"/>
      <protection locked="0"/>
    </xf>
    <xf numFmtId="0" fontId="2" fillId="4" borderId="47" xfId="1" applyFill="1" applyBorder="1" applyAlignment="1" applyProtection="1">
      <alignment horizontal="center"/>
      <protection locked="0"/>
    </xf>
    <xf numFmtId="0" fontId="2" fillId="4" borderId="45" xfId="1" applyFill="1" applyBorder="1" applyAlignment="1" applyProtection="1">
      <alignment horizontal="center"/>
      <protection locked="0"/>
    </xf>
    <xf numFmtId="0" fontId="2" fillId="5" borderId="46" xfId="1" applyFill="1" applyBorder="1" applyAlignment="1" applyProtection="1">
      <alignment horizontal="center"/>
      <protection locked="0"/>
    </xf>
    <xf numFmtId="0" fontId="2" fillId="5" borderId="47" xfId="1" applyFill="1" applyBorder="1" applyAlignment="1" applyProtection="1">
      <alignment horizontal="center"/>
      <protection locked="0"/>
    </xf>
    <xf numFmtId="0" fontId="2" fillId="5" borderId="48" xfId="1" applyFill="1" applyBorder="1" applyAlignment="1" applyProtection="1">
      <alignment horizontal="center"/>
      <protection locked="0"/>
    </xf>
    <xf numFmtId="0" fontId="2" fillId="6" borderId="46" xfId="1" applyFill="1" applyBorder="1" applyAlignment="1" applyProtection="1">
      <alignment horizontal="center"/>
      <protection locked="0"/>
    </xf>
    <xf numFmtId="0" fontId="2" fillId="6" borderId="47" xfId="1" applyFill="1" applyBorder="1" applyAlignment="1" applyProtection="1">
      <alignment horizontal="center"/>
      <protection locked="0"/>
    </xf>
    <xf numFmtId="0" fontId="2" fillId="6" borderId="48" xfId="1" applyFill="1" applyBorder="1" applyAlignment="1" applyProtection="1">
      <alignment horizontal="center"/>
      <protection locked="0"/>
    </xf>
    <xf numFmtId="0" fontId="2" fillId="7" borderId="46" xfId="1" applyFill="1" applyBorder="1" applyAlignment="1" applyProtection="1">
      <alignment horizontal="center"/>
      <protection locked="0"/>
    </xf>
    <xf numFmtId="0" fontId="2" fillId="7" borderId="47" xfId="1" applyFill="1" applyBorder="1" applyAlignment="1" applyProtection="1">
      <alignment horizontal="center"/>
      <protection locked="0"/>
    </xf>
    <xf numFmtId="0" fontId="2" fillId="7" borderId="45" xfId="1" applyFill="1" applyBorder="1" applyAlignment="1" applyProtection="1">
      <alignment horizontal="center"/>
      <protection locked="0"/>
    </xf>
    <xf numFmtId="0" fontId="2" fillId="8" borderId="44" xfId="1" applyFill="1" applyBorder="1" applyAlignment="1" applyProtection="1">
      <alignment horizontal="center"/>
      <protection locked="0"/>
    </xf>
    <xf numFmtId="0" fontId="2" fillId="8" borderId="47" xfId="1" applyFill="1" applyBorder="1" applyAlignment="1" applyProtection="1">
      <alignment horizontal="center"/>
      <protection locked="0"/>
    </xf>
    <xf numFmtId="0" fontId="2" fillId="8" borderId="45" xfId="1" applyFill="1" applyBorder="1" applyAlignment="1" applyProtection="1">
      <alignment horizontal="center"/>
      <protection locked="0"/>
    </xf>
    <xf numFmtId="0" fontId="2" fillId="9" borderId="46" xfId="1" applyFill="1" applyBorder="1" applyAlignment="1" applyProtection="1">
      <alignment horizontal="center"/>
      <protection locked="0"/>
    </xf>
    <xf numFmtId="0" fontId="2" fillId="9" borderId="47" xfId="1" applyFill="1" applyBorder="1" applyAlignment="1" applyProtection="1">
      <alignment horizontal="center"/>
      <protection locked="0"/>
    </xf>
    <xf numFmtId="0" fontId="2" fillId="9" borderId="45" xfId="1" applyFill="1" applyBorder="1" applyAlignment="1" applyProtection="1">
      <alignment horizontal="center"/>
      <protection locked="0"/>
    </xf>
    <xf numFmtId="0" fontId="2" fillId="10" borderId="49" xfId="1" applyFill="1" applyBorder="1" applyAlignment="1" applyProtection="1">
      <alignment horizontal="center"/>
      <protection locked="0"/>
    </xf>
    <xf numFmtId="0" fontId="2" fillId="11" borderId="46" xfId="1" applyFill="1" applyBorder="1" applyAlignment="1" applyProtection="1">
      <alignment horizontal="center"/>
      <protection locked="0"/>
    </xf>
    <xf numFmtId="0" fontId="2" fillId="12" borderId="45" xfId="1" applyFill="1" applyBorder="1" applyProtection="1">
      <protection locked="0"/>
    </xf>
    <xf numFmtId="0" fontId="2" fillId="13" borderId="44" xfId="1" applyFill="1" applyBorder="1" applyAlignment="1" applyProtection="1">
      <alignment horizontal="center"/>
      <protection locked="0"/>
    </xf>
    <xf numFmtId="0" fontId="2" fillId="13" borderId="45" xfId="1" applyFill="1" applyBorder="1" applyAlignment="1" applyProtection="1">
      <alignment horizontal="center"/>
      <protection locked="0"/>
    </xf>
    <xf numFmtId="0" fontId="2" fillId="14" borderId="44" xfId="1" applyFill="1" applyBorder="1" applyAlignment="1" applyProtection="1">
      <alignment horizontal="center"/>
      <protection locked="0"/>
    </xf>
    <xf numFmtId="0" fontId="2" fillId="14" borderId="47" xfId="1" applyFill="1" applyBorder="1" applyAlignment="1" applyProtection="1">
      <alignment horizontal="center"/>
      <protection locked="0"/>
    </xf>
    <xf numFmtId="0" fontId="2" fillId="14" borderId="48" xfId="1" applyFill="1" applyBorder="1" applyAlignment="1" applyProtection="1">
      <alignment horizontal="center"/>
      <protection locked="0"/>
    </xf>
    <xf numFmtId="0" fontId="2" fillId="15" borderId="43" xfId="1" applyFill="1" applyBorder="1" applyProtection="1">
      <protection locked="0"/>
    </xf>
    <xf numFmtId="0" fontId="2" fillId="0" borderId="0" xfId="1" applyAlignment="1">
      <alignment horizontal="center"/>
    </xf>
    <xf numFmtId="0" fontId="8" fillId="0" borderId="0" xfId="1" applyFont="1"/>
    <xf numFmtId="0" fontId="2" fillId="16" borderId="50" xfId="1" applyFill="1" applyBorder="1"/>
    <xf numFmtId="0" fontId="2" fillId="16" borderId="52" xfId="1" applyFill="1" applyBorder="1"/>
    <xf numFmtId="0" fontId="2" fillId="16" borderId="7" xfId="1" applyFill="1" applyBorder="1" applyProtection="1">
      <protection locked="0"/>
    </xf>
    <xf numFmtId="0" fontId="9" fillId="0" borderId="0" xfId="1" applyFont="1"/>
    <xf numFmtId="0" fontId="10" fillId="0" borderId="50" xfId="1" applyFont="1" applyBorder="1" applyAlignment="1">
      <alignment horizontal="center" vertical="center"/>
    </xf>
    <xf numFmtId="0" fontId="11" fillId="0" borderId="54" xfId="1" applyFont="1" applyBorder="1" applyAlignment="1" applyProtection="1">
      <alignment horizontal="center" vertical="center"/>
      <protection locked="0"/>
    </xf>
    <xf numFmtId="0" fontId="13" fillId="17" borderId="55" xfId="1" applyFont="1" applyFill="1" applyBorder="1" applyAlignment="1">
      <alignment horizontal="center" vertical="center"/>
    </xf>
    <xf numFmtId="0" fontId="13" fillId="18" borderId="56" xfId="1" applyFont="1" applyFill="1" applyBorder="1" applyAlignment="1">
      <alignment horizontal="center" vertical="center"/>
    </xf>
    <xf numFmtId="0" fontId="13" fillId="18" borderId="57" xfId="1" applyFont="1" applyFill="1" applyBorder="1" applyAlignment="1">
      <alignment horizontal="center" vertical="center"/>
    </xf>
    <xf numFmtId="0" fontId="13" fillId="18" borderId="58" xfId="1" applyFont="1" applyFill="1" applyBorder="1" applyAlignment="1">
      <alignment horizontal="center" vertical="center"/>
    </xf>
    <xf numFmtId="0" fontId="13" fillId="19" borderId="57" xfId="1" applyFont="1" applyFill="1" applyBorder="1" applyAlignment="1">
      <alignment horizontal="center" vertical="center"/>
    </xf>
    <xf numFmtId="0" fontId="13" fillId="19" borderId="59" xfId="1" applyFont="1" applyFill="1" applyBorder="1" applyAlignment="1">
      <alignment horizontal="center" vertical="center"/>
    </xf>
    <xf numFmtId="0" fontId="13" fillId="19" borderId="58" xfId="1" applyFont="1" applyFill="1" applyBorder="1" applyAlignment="1">
      <alignment horizontal="center" vertical="center"/>
    </xf>
    <xf numFmtId="0" fontId="13" fillId="20" borderId="57" xfId="1" applyFont="1" applyFill="1" applyBorder="1" applyAlignment="1">
      <alignment horizontal="center" vertical="center"/>
    </xf>
    <xf numFmtId="0" fontId="13" fillId="20" borderId="59" xfId="1" applyFont="1" applyFill="1" applyBorder="1" applyAlignment="1">
      <alignment horizontal="center" vertical="center"/>
    </xf>
    <xf numFmtId="0" fontId="14" fillId="20" borderId="58" xfId="1" applyFont="1" applyFill="1" applyBorder="1" applyAlignment="1">
      <alignment horizontal="center" vertical="center"/>
    </xf>
    <xf numFmtId="0" fontId="13" fillId="21" borderId="57" xfId="1" applyFont="1" applyFill="1" applyBorder="1" applyAlignment="1">
      <alignment horizontal="center" vertical="center"/>
    </xf>
    <xf numFmtId="0" fontId="13" fillId="21" borderId="59" xfId="1" applyFont="1" applyFill="1" applyBorder="1" applyAlignment="1">
      <alignment horizontal="center" vertical="center"/>
    </xf>
    <xf numFmtId="0" fontId="14" fillId="21" borderId="60" xfId="1" applyFont="1" applyFill="1" applyBorder="1" applyAlignment="1">
      <alignment horizontal="center" vertical="center"/>
    </xf>
    <xf numFmtId="0" fontId="13" fillId="0" borderId="0" xfId="1" applyFont="1" applyAlignment="1">
      <alignment horizontal="center"/>
    </xf>
    <xf numFmtId="0" fontId="2" fillId="17" borderId="61" xfId="1" applyFill="1" applyBorder="1" applyAlignment="1">
      <alignment horizontal="center" vertical="center"/>
    </xf>
    <xf numFmtId="0" fontId="2" fillId="18" borderId="62" xfId="1" applyFill="1" applyBorder="1" applyAlignment="1">
      <alignment horizontal="center" vertical="center"/>
    </xf>
    <xf numFmtId="0" fontId="2" fillId="18" borderId="23" xfId="1" applyFill="1" applyBorder="1" applyAlignment="1">
      <alignment horizontal="center" vertical="center"/>
    </xf>
    <xf numFmtId="0" fontId="2" fillId="18" borderId="63" xfId="1" applyFill="1" applyBorder="1" applyAlignment="1">
      <alignment horizontal="center" vertical="center"/>
    </xf>
    <xf numFmtId="0" fontId="2" fillId="19" borderId="23" xfId="1" applyFill="1" applyBorder="1" applyAlignment="1">
      <alignment horizontal="center" vertical="center"/>
    </xf>
    <xf numFmtId="0" fontId="2" fillId="19" borderId="24" xfId="1" applyFill="1" applyBorder="1" applyAlignment="1">
      <alignment horizontal="center" vertical="center"/>
    </xf>
    <xf numFmtId="0" fontId="2" fillId="19" borderId="63" xfId="1" applyFill="1" applyBorder="1" applyAlignment="1">
      <alignment horizontal="center" vertical="center"/>
    </xf>
    <xf numFmtId="0" fontId="2" fillId="20" borderId="23" xfId="1" applyFill="1" applyBorder="1" applyAlignment="1">
      <alignment horizontal="center" vertical="center"/>
    </xf>
    <xf numFmtId="0" fontId="2" fillId="20" borderId="24" xfId="1" applyFill="1" applyBorder="1" applyAlignment="1">
      <alignment horizontal="center" vertical="center"/>
    </xf>
    <xf numFmtId="0" fontId="2" fillId="20" borderId="63" xfId="1" applyFill="1" applyBorder="1" applyAlignment="1">
      <alignment horizontal="center" vertical="center"/>
    </xf>
    <xf numFmtId="0" fontId="2" fillId="21" borderId="23" xfId="1" applyFill="1" applyBorder="1" applyAlignment="1">
      <alignment horizontal="center" vertical="center"/>
    </xf>
    <xf numFmtId="0" fontId="2" fillId="21" borderId="24" xfId="1" applyFill="1" applyBorder="1" applyAlignment="1">
      <alignment horizontal="center" vertical="center"/>
    </xf>
    <xf numFmtId="0" fontId="2" fillId="21" borderId="25" xfId="1" applyFill="1" applyBorder="1" applyAlignment="1">
      <alignment horizontal="center" vertical="center"/>
    </xf>
    <xf numFmtId="0" fontId="2" fillId="17" borderId="64" xfId="1" applyFill="1" applyBorder="1" applyAlignment="1">
      <alignment horizontal="center" vertical="center"/>
    </xf>
    <xf numFmtId="0" fontId="2" fillId="18" borderId="65" xfId="1" applyFill="1" applyBorder="1" applyAlignment="1">
      <alignment horizontal="center" vertical="center"/>
    </xf>
    <xf numFmtId="0" fontId="2" fillId="18" borderId="66" xfId="1" applyFill="1" applyBorder="1" applyAlignment="1">
      <alignment horizontal="center" vertical="center"/>
    </xf>
    <xf numFmtId="0" fontId="2" fillId="18" borderId="67" xfId="1" applyFill="1" applyBorder="1" applyAlignment="1">
      <alignment horizontal="center" vertical="center"/>
    </xf>
    <xf numFmtId="0" fontId="2" fillId="19" borderId="44" xfId="1" applyFill="1" applyBorder="1" applyAlignment="1">
      <alignment horizontal="center" vertical="center"/>
    </xf>
    <xf numFmtId="0" fontId="2" fillId="19" borderId="47" xfId="1" applyFill="1" applyBorder="1" applyAlignment="1">
      <alignment horizontal="center" vertical="center"/>
    </xf>
    <xf numFmtId="0" fontId="2" fillId="19" borderId="68" xfId="1" applyFill="1" applyBorder="1" applyAlignment="1">
      <alignment horizontal="center" vertical="center"/>
    </xf>
    <xf numFmtId="0" fontId="2" fillId="20" borderId="44" xfId="1" applyFill="1" applyBorder="1" applyAlignment="1">
      <alignment horizontal="center" vertical="center"/>
    </xf>
    <xf numFmtId="0" fontId="2" fillId="20" borderId="47" xfId="1" applyFill="1" applyBorder="1" applyAlignment="1">
      <alignment horizontal="center" vertical="center"/>
    </xf>
    <xf numFmtId="0" fontId="2" fillId="20" borderId="68" xfId="1" applyFill="1" applyBorder="1" applyAlignment="1">
      <alignment horizontal="center" vertical="center"/>
    </xf>
    <xf numFmtId="0" fontId="2" fillId="21" borderId="44" xfId="1" applyFill="1" applyBorder="1" applyAlignment="1">
      <alignment horizontal="center" vertical="center"/>
    </xf>
    <xf numFmtId="0" fontId="2" fillId="21" borderId="47" xfId="1" applyFill="1" applyBorder="1" applyAlignment="1">
      <alignment horizontal="center" vertical="center"/>
    </xf>
    <xf numFmtId="0" fontId="2" fillId="21" borderId="45" xfId="1" applyFill="1" applyBorder="1" applyAlignment="1">
      <alignment horizontal="center" vertical="center"/>
    </xf>
    <xf numFmtId="0" fontId="12" fillId="0" borderId="0" xfId="1" applyFont="1" applyAlignment="1">
      <alignment horizontal="center" wrapText="1"/>
    </xf>
    <xf numFmtId="0" fontId="13" fillId="22" borderId="20" xfId="1" applyFont="1" applyFill="1" applyBorder="1" applyAlignment="1">
      <alignment horizontal="center" vertical="center"/>
    </xf>
    <xf numFmtId="0" fontId="13" fillId="22" borderId="19" xfId="1" applyFont="1" applyFill="1" applyBorder="1" applyAlignment="1">
      <alignment horizontal="center" vertical="center"/>
    </xf>
    <xf numFmtId="0" fontId="13" fillId="23" borderId="20" xfId="1" applyFont="1" applyFill="1" applyBorder="1" applyAlignment="1">
      <alignment horizontal="center" vertical="center"/>
    </xf>
    <xf numFmtId="0" fontId="13" fillId="23" borderId="19" xfId="1" applyFont="1" applyFill="1" applyBorder="1" applyAlignment="1">
      <alignment horizontal="center" vertical="center"/>
    </xf>
    <xf numFmtId="0" fontId="13" fillId="24" borderId="20" xfId="1" applyFont="1" applyFill="1" applyBorder="1" applyAlignment="1">
      <alignment horizontal="center" vertical="center"/>
    </xf>
    <xf numFmtId="0" fontId="13" fillId="24" borderId="21" xfId="1" applyFont="1" applyFill="1" applyBorder="1" applyAlignment="1">
      <alignment horizontal="center" vertical="center"/>
    </xf>
    <xf numFmtId="0" fontId="13" fillId="25" borderId="20" xfId="1" applyFont="1" applyFill="1" applyBorder="1" applyAlignment="1">
      <alignment horizontal="center" vertical="center"/>
    </xf>
    <xf numFmtId="0" fontId="13" fillId="25" borderId="21" xfId="1" applyFont="1" applyFill="1" applyBorder="1" applyAlignment="1">
      <alignment horizontal="center" vertical="center"/>
    </xf>
    <xf numFmtId="0" fontId="13" fillId="25" borderId="22" xfId="1" applyFont="1" applyFill="1" applyBorder="1" applyAlignment="1">
      <alignment horizontal="center" vertical="center"/>
    </xf>
    <xf numFmtId="0" fontId="13" fillId="17" borderId="20" xfId="1" applyFont="1" applyFill="1" applyBorder="1" applyAlignment="1">
      <alignment horizontal="center" vertical="center"/>
    </xf>
    <xf numFmtId="0" fontId="13" fillId="17" borderId="22" xfId="1" applyFont="1" applyFill="1" applyBorder="1" applyAlignment="1">
      <alignment horizontal="center" vertical="center"/>
    </xf>
    <xf numFmtId="0" fontId="13" fillId="20" borderId="20" xfId="1" applyFont="1" applyFill="1" applyBorder="1" applyAlignment="1" applyProtection="1">
      <alignment horizontal="center" vertical="center"/>
      <protection locked="0"/>
    </xf>
    <xf numFmtId="0" fontId="13" fillId="26" borderId="22" xfId="1" applyFont="1" applyFill="1" applyBorder="1" applyAlignment="1" applyProtection="1">
      <alignment horizontal="center" vertical="center"/>
      <protection locked="0"/>
    </xf>
    <xf numFmtId="0" fontId="2" fillId="26" borderId="19" xfId="1" applyFill="1" applyBorder="1" applyAlignment="1">
      <alignment vertical="center"/>
    </xf>
    <xf numFmtId="0" fontId="18" fillId="27" borderId="69" xfId="1" applyFont="1" applyFill="1" applyBorder="1" applyAlignment="1">
      <alignment horizontal="center"/>
    </xf>
    <xf numFmtId="0" fontId="19" fillId="0" borderId="0" xfId="1" applyFont="1"/>
    <xf numFmtId="0" fontId="2" fillId="22" borderId="46" xfId="1" applyFill="1" applyBorder="1" applyAlignment="1">
      <alignment horizontal="center" vertical="center"/>
    </xf>
    <xf numFmtId="0" fontId="2" fillId="22" borderId="45" xfId="1" applyFill="1" applyBorder="1" applyAlignment="1">
      <alignment horizontal="center" vertical="center"/>
    </xf>
    <xf numFmtId="0" fontId="2" fillId="23" borderId="46" xfId="1" applyFill="1" applyBorder="1" applyAlignment="1">
      <alignment horizontal="center" vertical="center"/>
    </xf>
    <xf numFmtId="0" fontId="2" fillId="23" borderId="45" xfId="1" applyFill="1" applyBorder="1" applyAlignment="1">
      <alignment horizontal="center" vertical="center"/>
    </xf>
    <xf numFmtId="0" fontId="2" fillId="24" borderId="46" xfId="1" applyFill="1" applyBorder="1" applyAlignment="1">
      <alignment horizontal="center" vertical="center"/>
    </xf>
    <xf numFmtId="0" fontId="2" fillId="24" borderId="47" xfId="1" applyFill="1" applyBorder="1" applyAlignment="1">
      <alignment horizontal="center" vertical="center"/>
    </xf>
    <xf numFmtId="0" fontId="2" fillId="25" borderId="46" xfId="1" applyFill="1" applyBorder="1" applyAlignment="1">
      <alignment horizontal="center" vertical="center"/>
    </xf>
    <xf numFmtId="0" fontId="2" fillId="25" borderId="47" xfId="1" applyFill="1" applyBorder="1" applyAlignment="1">
      <alignment horizontal="center" vertical="center"/>
    </xf>
    <xf numFmtId="0" fontId="2" fillId="25" borderId="48" xfId="1" applyFill="1" applyBorder="1" applyAlignment="1">
      <alignment horizontal="center" vertical="center"/>
    </xf>
    <xf numFmtId="0" fontId="2" fillId="17" borderId="46" xfId="1" applyFill="1" applyBorder="1" applyAlignment="1">
      <alignment horizontal="center" vertical="center"/>
    </xf>
    <xf numFmtId="0" fontId="2" fillId="17" borderId="48" xfId="1" applyFill="1" applyBorder="1" applyAlignment="1">
      <alignment horizontal="center" vertical="center"/>
    </xf>
    <xf numFmtId="0" fontId="13" fillId="20" borderId="46" xfId="1" applyFont="1" applyFill="1" applyBorder="1" applyAlignment="1" applyProtection="1">
      <alignment horizontal="center" vertical="center"/>
      <protection locked="0"/>
    </xf>
    <xf numFmtId="0" fontId="13" fillId="20" borderId="48" xfId="1" applyFont="1" applyFill="1" applyBorder="1" applyAlignment="1" applyProtection="1">
      <alignment horizontal="center" vertical="center"/>
      <protection locked="0"/>
    </xf>
    <xf numFmtId="0" fontId="13" fillId="26" borderId="45" xfId="1" applyFont="1" applyFill="1" applyBorder="1" applyAlignment="1">
      <alignment horizontal="center" vertical="center"/>
    </xf>
    <xf numFmtId="0" fontId="18" fillId="27" borderId="70" xfId="1" applyFont="1" applyFill="1" applyBorder="1" applyAlignment="1">
      <alignment horizontal="center"/>
    </xf>
    <xf numFmtId="0" fontId="13" fillId="28" borderId="55" xfId="1" applyFont="1" applyFill="1" applyBorder="1" applyAlignment="1">
      <alignment horizontal="center" vertical="center"/>
    </xf>
    <xf numFmtId="0" fontId="13" fillId="28" borderId="56" xfId="1" applyFont="1" applyFill="1" applyBorder="1" applyAlignment="1">
      <alignment horizontal="center" vertical="center"/>
    </xf>
    <xf numFmtId="0" fontId="14" fillId="28" borderId="56" xfId="1" applyFont="1" applyFill="1" applyBorder="1" applyAlignment="1">
      <alignment horizontal="center" vertical="center"/>
    </xf>
    <xf numFmtId="0" fontId="13" fillId="28" borderId="71" xfId="1" applyFont="1" applyFill="1" applyBorder="1" applyAlignment="1">
      <alignment horizontal="center" vertical="center"/>
    </xf>
    <xf numFmtId="0" fontId="8" fillId="29" borderId="72" xfId="1" applyFont="1" applyFill="1" applyBorder="1" applyAlignment="1">
      <alignment horizontal="center"/>
    </xf>
    <xf numFmtId="0" fontId="2" fillId="28" borderId="73" xfId="1" applyFill="1" applyBorder="1" applyAlignment="1">
      <alignment horizontal="center"/>
    </xf>
    <xf numFmtId="0" fontId="2" fillId="28" borderId="74" xfId="1" applyFill="1" applyBorder="1" applyAlignment="1">
      <alignment horizontal="center" vertical="center"/>
    </xf>
    <xf numFmtId="0" fontId="2" fillId="28" borderId="75" xfId="1" applyFill="1" applyBorder="1" applyAlignment="1">
      <alignment horizontal="center" vertical="center"/>
    </xf>
    <xf numFmtId="0" fontId="2" fillId="29" borderId="76" xfId="1" applyFill="1" applyBorder="1" applyAlignment="1">
      <alignment horizontal="center" vertical="center"/>
    </xf>
    <xf numFmtId="0" fontId="2" fillId="24" borderId="77" xfId="1" applyFill="1" applyBorder="1" applyAlignment="1">
      <alignment horizontal="center" vertical="center"/>
    </xf>
    <xf numFmtId="0" fontId="2" fillId="24" borderId="78" xfId="1" applyFill="1" applyBorder="1" applyAlignment="1">
      <alignment horizontal="center" vertical="center"/>
    </xf>
    <xf numFmtId="0" fontId="13" fillId="0" borderId="0" xfId="1" applyFont="1"/>
    <xf numFmtId="0" fontId="13" fillId="30" borderId="7" xfId="1" applyFont="1" applyFill="1" applyBorder="1" applyAlignment="1">
      <alignment horizontal="center" vertical="center"/>
    </xf>
    <xf numFmtId="0" fontId="2" fillId="30" borderId="4" xfId="1" applyFill="1" applyBorder="1" applyAlignment="1">
      <alignment horizontal="center" vertical="center"/>
    </xf>
    <xf numFmtId="0" fontId="2" fillId="30" borderId="12" xfId="1" applyFill="1" applyBorder="1" applyAlignment="1">
      <alignment horizontal="center" vertical="center"/>
    </xf>
    <xf numFmtId="0" fontId="2" fillId="30" borderId="79" xfId="1" applyFill="1" applyBorder="1" applyAlignment="1">
      <alignment horizontal="center" vertical="center"/>
    </xf>
    <xf numFmtId="0" fontId="2" fillId="30" borderId="16" xfId="1" applyFill="1" applyBorder="1" applyAlignment="1">
      <alignment horizontal="center" vertical="center"/>
    </xf>
    <xf numFmtId="0" fontId="2" fillId="30" borderId="5" xfId="1" applyFill="1" applyBorder="1" applyAlignment="1">
      <alignment horizontal="center" vertical="center"/>
    </xf>
    <xf numFmtId="0" fontId="8" fillId="30" borderId="80" xfId="1" applyFont="1" applyFill="1" applyBorder="1" applyAlignment="1">
      <alignment horizontal="center" vertical="center"/>
    </xf>
    <xf numFmtId="0" fontId="8" fillId="17" borderId="7" xfId="1" applyFont="1" applyFill="1" applyBorder="1" applyAlignment="1">
      <alignment horizontal="center" vertical="center"/>
    </xf>
    <xf numFmtId="0" fontId="8" fillId="31" borderId="7" xfId="1" applyFont="1" applyFill="1" applyBorder="1" applyAlignment="1">
      <alignment horizontal="center" vertical="center"/>
    </xf>
    <xf numFmtId="0" fontId="2" fillId="30" borderId="81" xfId="1" applyFill="1" applyBorder="1" applyAlignment="1">
      <alignment horizontal="center" vertical="center"/>
    </xf>
    <xf numFmtId="0" fontId="2" fillId="32" borderId="23" xfId="1" applyFill="1" applyBorder="1" applyAlignment="1">
      <alignment vertical="center"/>
    </xf>
    <xf numFmtId="0" fontId="2" fillId="33" borderId="24" xfId="1" applyFill="1" applyBorder="1" applyAlignment="1">
      <alignment vertical="center"/>
    </xf>
    <xf numFmtId="0" fontId="2" fillId="33" borderId="63" xfId="1" applyFill="1" applyBorder="1" applyAlignment="1">
      <alignment vertical="center"/>
    </xf>
    <xf numFmtId="0" fontId="2" fillId="33" borderId="23" xfId="1" applyFill="1" applyBorder="1" applyAlignment="1">
      <alignment vertical="center"/>
    </xf>
    <xf numFmtId="0" fontId="2" fillId="33" borderId="25" xfId="1" applyFill="1" applyBorder="1" applyAlignment="1">
      <alignment vertical="center"/>
    </xf>
    <xf numFmtId="0" fontId="2" fillId="0" borderId="34" xfId="1" applyBorder="1" applyAlignment="1">
      <alignment vertical="center"/>
    </xf>
    <xf numFmtId="0" fontId="2" fillId="32" borderId="31" xfId="1" applyFill="1" applyBorder="1" applyAlignment="1">
      <alignment vertical="center"/>
    </xf>
    <xf numFmtId="0" fontId="2" fillId="33" borderId="82" xfId="1" applyFill="1" applyBorder="1" applyAlignment="1">
      <alignment vertical="center"/>
    </xf>
    <xf numFmtId="0" fontId="2" fillId="33" borderId="34" xfId="1" applyFill="1" applyBorder="1" applyAlignment="1">
      <alignment vertical="center"/>
    </xf>
    <xf numFmtId="0" fontId="2" fillId="33" borderId="31" xfId="1" applyFill="1" applyBorder="1" applyAlignment="1">
      <alignment vertical="center"/>
    </xf>
    <xf numFmtId="0" fontId="2" fillId="33" borderId="32" xfId="1" applyFill="1" applyBorder="1" applyAlignment="1">
      <alignment vertical="center"/>
    </xf>
    <xf numFmtId="0" fontId="2" fillId="0" borderId="83" xfId="1" applyBorder="1" applyAlignment="1">
      <alignment vertical="center"/>
    </xf>
    <xf numFmtId="0" fontId="2" fillId="0" borderId="84" xfId="1" applyBorder="1" applyAlignment="1">
      <alignment vertical="center"/>
    </xf>
    <xf numFmtId="0" fontId="2" fillId="32" borderId="85" xfId="1" applyFill="1" applyBorder="1" applyAlignment="1">
      <alignment vertical="center"/>
    </xf>
    <xf numFmtId="0" fontId="2" fillId="33" borderId="83" xfId="1" applyFill="1" applyBorder="1" applyAlignment="1">
      <alignment vertical="center"/>
    </xf>
    <xf numFmtId="0" fontId="2" fillId="33" borderId="84" xfId="1" applyFill="1" applyBorder="1" applyAlignment="1">
      <alignment vertical="center"/>
    </xf>
    <xf numFmtId="0" fontId="2" fillId="33" borderId="86" xfId="1" applyFill="1" applyBorder="1" applyAlignment="1">
      <alignment vertical="center"/>
    </xf>
    <xf numFmtId="0" fontId="2" fillId="0" borderId="23" xfId="1" applyBorder="1" applyAlignment="1">
      <alignment vertical="center"/>
    </xf>
    <xf numFmtId="0" fontId="2" fillId="0" borderId="24" xfId="1" applyBorder="1" applyAlignment="1">
      <alignment vertical="center"/>
    </xf>
    <xf numFmtId="0" fontId="2" fillId="0" borderId="63" xfId="1" applyBorder="1" applyAlignment="1">
      <alignment vertical="center"/>
    </xf>
    <xf numFmtId="0" fontId="2" fillId="0" borderId="31" xfId="1" applyBorder="1" applyAlignment="1">
      <alignment vertical="center"/>
    </xf>
    <xf numFmtId="0" fontId="2" fillId="0" borderId="82" xfId="1" applyBorder="1" applyAlignment="1">
      <alignment vertical="center"/>
    </xf>
    <xf numFmtId="0" fontId="2" fillId="0" borderId="44" xfId="1" applyBorder="1" applyAlignment="1">
      <alignment vertical="center"/>
    </xf>
    <xf numFmtId="0" fontId="2" fillId="0" borderId="47" xfId="1" applyBorder="1" applyAlignment="1">
      <alignment vertical="center"/>
    </xf>
    <xf numFmtId="0" fontId="2" fillId="0" borderId="68" xfId="1" applyBorder="1" applyAlignment="1">
      <alignment vertical="center"/>
    </xf>
    <xf numFmtId="0" fontId="2" fillId="32" borderId="45" xfId="1" applyFill="1" applyBorder="1" applyAlignment="1">
      <alignment vertical="center"/>
    </xf>
    <xf numFmtId="0" fontId="2" fillId="31" borderId="26" xfId="1" applyFill="1" applyBorder="1"/>
    <xf numFmtId="0" fontId="2" fillId="31" borderId="35" xfId="1" applyFill="1" applyBorder="1"/>
    <xf numFmtId="0" fontId="2" fillId="31" borderId="87" xfId="1" applyFill="1" applyBorder="1"/>
    <xf numFmtId="0" fontId="2" fillId="31" borderId="88" xfId="1" applyFill="1" applyBorder="1"/>
    <xf numFmtId="0" fontId="2" fillId="31" borderId="49" xfId="1" applyFill="1" applyBorder="1"/>
    <xf numFmtId="0" fontId="2" fillId="17" borderId="81" xfId="1" applyFill="1" applyBorder="1"/>
    <xf numFmtId="0" fontId="2" fillId="17" borderId="36" xfId="1" applyFill="1" applyBorder="1"/>
    <xf numFmtId="0" fontId="2" fillId="17" borderId="89" xfId="1" applyFill="1" applyBorder="1"/>
    <xf numFmtId="0" fontId="2" fillId="17" borderId="17" xfId="1" applyFill="1" applyBorder="1"/>
    <xf numFmtId="0" fontId="2" fillId="17" borderId="43" xfId="1" applyFill="1" applyBorder="1"/>
    <xf numFmtId="0" fontId="2" fillId="31" borderId="81" xfId="1" applyFill="1" applyBorder="1"/>
    <xf numFmtId="0" fontId="2" fillId="31" borderId="36" xfId="1" applyFill="1" applyBorder="1"/>
    <xf numFmtId="0" fontId="2" fillId="31" borderId="89" xfId="1" applyFill="1" applyBorder="1"/>
    <xf numFmtId="0" fontId="2" fillId="31" borderId="17" xfId="1" applyFill="1" applyBorder="1"/>
    <xf numFmtId="0" fontId="2" fillId="31" borderId="43" xfId="1" applyFill="1" applyBorder="1"/>
    <xf numFmtId="0" fontId="2" fillId="30" borderId="81" xfId="1" applyFill="1" applyBorder="1" applyAlignment="1">
      <alignment vertical="center"/>
    </xf>
    <xf numFmtId="0" fontId="2" fillId="32" borderId="81" xfId="1" applyFill="1" applyBorder="1" applyAlignment="1">
      <alignment vertical="center"/>
    </xf>
    <xf numFmtId="0" fontId="2" fillId="30" borderId="36" xfId="1" applyFill="1" applyBorder="1" applyAlignment="1">
      <alignment horizontal="center" vertical="center"/>
    </xf>
    <xf numFmtId="0" fontId="2" fillId="30" borderId="36" xfId="1" applyFill="1" applyBorder="1" applyAlignment="1">
      <alignment vertical="center"/>
    </xf>
    <xf numFmtId="0" fontId="2" fillId="32" borderId="36" xfId="1" applyFill="1" applyBorder="1" applyAlignment="1">
      <alignment vertical="center"/>
    </xf>
    <xf numFmtId="0" fontId="2" fillId="30" borderId="89" xfId="1" applyFill="1" applyBorder="1" applyAlignment="1">
      <alignment horizontal="center" vertical="center"/>
    </xf>
    <xf numFmtId="0" fontId="2" fillId="32" borderId="89" xfId="1" applyFill="1" applyBorder="1" applyAlignment="1">
      <alignment vertical="center"/>
    </xf>
    <xf numFmtId="0" fontId="2" fillId="30" borderId="17" xfId="1" applyFill="1" applyBorder="1" applyAlignment="1">
      <alignment horizontal="center" vertical="center"/>
    </xf>
    <xf numFmtId="0" fontId="2" fillId="32" borderId="17" xfId="1" applyFill="1" applyBorder="1" applyAlignment="1">
      <alignment vertical="center"/>
    </xf>
    <xf numFmtId="0" fontId="2" fillId="30" borderId="43" xfId="1" applyFill="1" applyBorder="1" applyAlignment="1">
      <alignment horizontal="center" vertical="center"/>
    </xf>
    <xf numFmtId="0" fontId="2" fillId="30" borderId="43" xfId="1" applyFill="1" applyBorder="1" applyAlignment="1">
      <alignment vertical="center"/>
    </xf>
    <xf numFmtId="0" fontId="2" fillId="32" borderId="43" xfId="1" applyFill="1" applyBorder="1" applyAlignment="1">
      <alignment vertical="center"/>
    </xf>
    <xf numFmtId="164" fontId="2" fillId="0" borderId="0" xfId="1" applyNumberFormat="1"/>
    <xf numFmtId="0" fontId="13" fillId="34" borderId="7" xfId="1" applyFont="1" applyFill="1" applyBorder="1" applyAlignment="1">
      <alignment horizontal="center" vertical="center"/>
    </xf>
    <xf numFmtId="0" fontId="2" fillId="34" borderId="20" xfId="1" applyFill="1" applyBorder="1" applyAlignment="1">
      <alignment horizontal="center" vertical="center"/>
    </xf>
    <xf numFmtId="0" fontId="2" fillId="34" borderId="21" xfId="1" applyFill="1" applyBorder="1" applyAlignment="1">
      <alignment horizontal="center" vertical="center"/>
    </xf>
    <xf numFmtId="0" fontId="2" fillId="34" borderId="90" xfId="1" applyFill="1" applyBorder="1" applyAlignment="1">
      <alignment horizontal="center" vertical="center"/>
    </xf>
    <xf numFmtId="0" fontId="2" fillId="34" borderId="18" xfId="1" applyFill="1" applyBorder="1" applyAlignment="1">
      <alignment horizontal="center" vertical="center"/>
    </xf>
    <xf numFmtId="0" fontId="2" fillId="34" borderId="19" xfId="1" applyFill="1" applyBorder="1" applyAlignment="1">
      <alignment horizontal="center" vertical="center"/>
    </xf>
    <xf numFmtId="0" fontId="13" fillId="34" borderId="6" xfId="1" applyFont="1" applyFill="1" applyBorder="1" applyAlignment="1">
      <alignment horizontal="center" vertical="center"/>
    </xf>
    <xf numFmtId="0" fontId="13" fillId="30" borderId="91" xfId="1" applyFont="1" applyFill="1" applyBorder="1" applyAlignment="1">
      <alignment horizontal="center" vertical="center"/>
    </xf>
    <xf numFmtId="0" fontId="2" fillId="30" borderId="46" xfId="1" applyFill="1" applyBorder="1" applyAlignment="1">
      <alignment horizontal="center" vertical="center"/>
    </xf>
    <xf numFmtId="0" fontId="2" fillId="30" borderId="47" xfId="1" applyFill="1" applyBorder="1" applyAlignment="1">
      <alignment horizontal="center" vertical="center"/>
    </xf>
    <xf numFmtId="0" fontId="2" fillId="30" borderId="68" xfId="1" applyFill="1" applyBorder="1" applyAlignment="1">
      <alignment horizontal="center" vertical="center"/>
    </xf>
    <xf numFmtId="0" fontId="2" fillId="30" borderId="44" xfId="1" applyFill="1" applyBorder="1" applyAlignment="1">
      <alignment horizontal="center" vertical="center"/>
    </xf>
    <xf numFmtId="0" fontId="2" fillId="30" borderId="45" xfId="1" applyFill="1" applyBorder="1" applyAlignment="1">
      <alignment horizontal="center" vertical="center"/>
    </xf>
    <xf numFmtId="0" fontId="8" fillId="34" borderId="76" xfId="1" applyFont="1" applyFill="1" applyBorder="1" applyAlignment="1">
      <alignment horizontal="center" vertical="center"/>
    </xf>
    <xf numFmtId="164" fontId="8" fillId="34" borderId="76" xfId="1" applyNumberFormat="1" applyFont="1" applyFill="1" applyBorder="1" applyAlignment="1">
      <alignment horizontal="center" vertical="center"/>
    </xf>
    <xf numFmtId="0" fontId="9" fillId="17" borderId="0" xfId="1" applyFont="1" applyFill="1" applyAlignment="1">
      <alignment horizontal="center" vertical="center"/>
    </xf>
    <xf numFmtId="0" fontId="2" fillId="33" borderId="92" xfId="1" applyFill="1" applyBorder="1" applyAlignment="1">
      <alignment vertical="center"/>
    </xf>
    <xf numFmtId="0" fontId="2" fillId="33" borderId="33" xfId="1" applyFill="1" applyBorder="1" applyAlignment="1">
      <alignment vertical="center"/>
    </xf>
    <xf numFmtId="0" fontId="2" fillId="33" borderId="93" xfId="1" applyFill="1" applyBorder="1" applyAlignment="1">
      <alignment vertical="center"/>
    </xf>
    <xf numFmtId="0" fontId="2" fillId="32" borderId="48" xfId="1" applyFill="1" applyBorder="1" applyAlignment="1">
      <alignment vertical="center"/>
    </xf>
    <xf numFmtId="1" fontId="2" fillId="34" borderId="26" xfId="1" applyNumberFormat="1" applyFill="1" applyBorder="1" applyAlignment="1">
      <alignment horizontal="center" vertical="center"/>
    </xf>
    <xf numFmtId="0" fontId="2" fillId="34" borderId="81" xfId="1" applyFill="1" applyBorder="1" applyAlignment="1">
      <alignment vertical="center"/>
    </xf>
    <xf numFmtId="0" fontId="2" fillId="34" borderId="36" xfId="1" applyFill="1" applyBorder="1" applyAlignment="1">
      <alignment vertical="center"/>
    </xf>
    <xf numFmtId="0" fontId="2" fillId="34" borderId="89" xfId="1" applyFill="1" applyBorder="1" applyAlignment="1">
      <alignment vertical="center"/>
    </xf>
    <xf numFmtId="0" fontId="2" fillId="34" borderId="17" xfId="1" applyFill="1" applyBorder="1" applyAlignment="1">
      <alignment vertical="center"/>
    </xf>
    <xf numFmtId="0" fontId="2" fillId="34" borderId="43" xfId="1" applyFill="1" applyBorder="1" applyAlignment="1">
      <alignment vertical="center"/>
    </xf>
    <xf numFmtId="0" fontId="2" fillId="17" borderId="69" xfId="1" applyFill="1" applyBorder="1" applyAlignment="1">
      <alignment vertical="center"/>
    </xf>
    <xf numFmtId="0" fontId="2" fillId="17" borderId="94" xfId="1" applyFill="1" applyBorder="1" applyAlignment="1">
      <alignment vertical="center"/>
    </xf>
    <xf numFmtId="0" fontId="2" fillId="17" borderId="95" xfId="1" applyFill="1" applyBorder="1" applyAlignment="1">
      <alignment vertical="center"/>
    </xf>
    <xf numFmtId="0" fontId="2" fillId="17" borderId="96" xfId="1" applyFill="1" applyBorder="1" applyAlignment="1">
      <alignment vertical="center"/>
    </xf>
    <xf numFmtId="0" fontId="2" fillId="17" borderId="70" xfId="1" applyFill="1" applyBorder="1" applyAlignment="1">
      <alignment vertical="center"/>
    </xf>
    <xf numFmtId="1" fontId="2" fillId="34" borderId="35" xfId="1" applyNumberFormat="1" applyFill="1" applyBorder="1" applyAlignment="1">
      <alignment horizontal="center" vertical="center"/>
    </xf>
    <xf numFmtId="1" fontId="2" fillId="34" borderId="87" xfId="1" applyNumberFormat="1" applyFill="1" applyBorder="1" applyAlignment="1">
      <alignment horizontal="center" vertical="center"/>
    </xf>
    <xf numFmtId="1" fontId="2" fillId="34" borderId="88" xfId="1" applyNumberFormat="1" applyFill="1" applyBorder="1" applyAlignment="1">
      <alignment horizontal="center" vertical="center"/>
    </xf>
    <xf numFmtId="1" fontId="2" fillId="34" borderId="49" xfId="1" applyNumberFormat="1" applyFill="1" applyBorder="1" applyAlignment="1">
      <alignment horizontal="center" vertical="center"/>
    </xf>
    <xf numFmtId="0" fontId="13" fillId="30" borderId="6" xfId="1" applyFont="1" applyFill="1" applyBorder="1" applyAlignment="1">
      <alignment horizontal="center" vertical="center"/>
    </xf>
    <xf numFmtId="0" fontId="13" fillId="34" borderId="15" xfId="1" applyFont="1" applyFill="1" applyBorder="1" applyAlignment="1">
      <alignment horizontal="center" vertical="center"/>
    </xf>
    <xf numFmtId="0" fontId="20" fillId="0" borderId="0" xfId="1" applyFont="1" applyAlignment="1">
      <alignment horizontal="center" vertical="center"/>
    </xf>
    <xf numFmtId="0" fontId="13" fillId="30" borderId="76" xfId="1" applyFont="1" applyFill="1" applyBorder="1" applyAlignment="1">
      <alignment horizontal="center" vertical="center"/>
    </xf>
    <xf numFmtId="0" fontId="13" fillId="34" borderId="97" xfId="1" applyFont="1" applyFill="1" applyBorder="1" applyAlignment="1">
      <alignment horizontal="center" vertical="center"/>
    </xf>
    <xf numFmtId="0" fontId="13" fillId="31" borderId="1" xfId="1" applyFont="1" applyFill="1" applyBorder="1" applyAlignment="1">
      <alignment horizontal="center" vertical="center"/>
    </xf>
    <xf numFmtId="0" fontId="13" fillId="35" borderId="7" xfId="1" applyFont="1" applyFill="1" applyBorder="1" applyAlignment="1">
      <alignment horizontal="center" vertical="center"/>
    </xf>
    <xf numFmtId="0" fontId="13" fillId="0" borderId="0" xfId="1" applyFont="1" applyAlignment="1">
      <alignment horizontal="center" vertical="center"/>
    </xf>
    <xf numFmtId="0" fontId="2" fillId="34" borderId="26" xfId="1" applyFill="1" applyBorder="1" applyAlignment="1">
      <alignment horizontal="center" vertical="center"/>
    </xf>
    <xf numFmtId="0" fontId="2" fillId="35" borderId="96" xfId="1" applyFill="1" applyBorder="1" applyAlignment="1">
      <alignment vertical="center"/>
    </xf>
    <xf numFmtId="0" fontId="2" fillId="34" borderId="35" xfId="1" applyFill="1" applyBorder="1" applyAlignment="1">
      <alignment horizontal="center" vertical="center"/>
    </xf>
    <xf numFmtId="0" fontId="2" fillId="35" borderId="94" xfId="1" applyFill="1" applyBorder="1" applyAlignment="1">
      <alignment vertical="center"/>
    </xf>
    <xf numFmtId="0" fontId="2" fillId="34" borderId="87" xfId="1" applyFill="1" applyBorder="1" applyAlignment="1">
      <alignment horizontal="center" vertical="center"/>
    </xf>
    <xf numFmtId="0" fontId="2" fillId="35" borderId="95" xfId="1" applyFill="1" applyBorder="1" applyAlignment="1">
      <alignment vertical="center"/>
    </xf>
    <xf numFmtId="0" fontId="2" fillId="34" borderId="88" xfId="1" applyFill="1" applyBorder="1" applyAlignment="1">
      <alignment horizontal="center" vertical="center"/>
    </xf>
    <xf numFmtId="0" fontId="2" fillId="34" borderId="49" xfId="1" applyFill="1" applyBorder="1" applyAlignment="1">
      <alignment horizontal="center" vertical="center"/>
    </xf>
    <xf numFmtId="0" fontId="2" fillId="35" borderId="70" xfId="1" applyFill="1" applyBorder="1" applyAlignment="1">
      <alignment vertical="center"/>
    </xf>
    <xf numFmtId="0" fontId="13" fillId="34" borderId="2" xfId="1" applyFont="1" applyFill="1" applyBorder="1" applyAlignment="1">
      <alignment horizontal="center" vertical="center"/>
    </xf>
    <xf numFmtId="0" fontId="13" fillId="33" borderId="52" xfId="1" applyFont="1" applyFill="1" applyBorder="1" applyAlignment="1">
      <alignment horizontal="center" vertical="center"/>
    </xf>
    <xf numFmtId="0" fontId="13" fillId="33" borderId="80" xfId="1" applyFont="1" applyFill="1" applyBorder="1" applyAlignment="1">
      <alignment horizontal="center" vertical="center"/>
    </xf>
    <xf numFmtId="0" fontId="13" fillId="32" borderId="76" xfId="1" applyFont="1" applyFill="1" applyBorder="1" applyAlignment="1">
      <alignment horizontal="center" vertical="center"/>
    </xf>
    <xf numFmtId="0" fontId="13" fillId="32" borderId="52" xfId="1" applyFont="1" applyFill="1" applyBorder="1" applyAlignment="1">
      <alignment horizontal="center" vertical="center"/>
    </xf>
    <xf numFmtId="0" fontId="13" fillId="32" borderId="91" xfId="1" applyFont="1" applyFill="1" applyBorder="1" applyAlignment="1">
      <alignment horizontal="center" vertical="center"/>
    </xf>
    <xf numFmtId="0" fontId="13" fillId="32" borderId="7" xfId="1" applyFont="1" applyFill="1" applyBorder="1" applyAlignment="1">
      <alignment horizontal="center" vertical="center"/>
    </xf>
    <xf numFmtId="0" fontId="2" fillId="34" borderId="36" xfId="1" applyFill="1" applyBorder="1" applyAlignment="1">
      <alignment horizontal="center" vertical="center"/>
    </xf>
    <xf numFmtId="0" fontId="2" fillId="33" borderId="88" xfId="1" applyFill="1" applyBorder="1" applyAlignment="1">
      <alignment horizontal="center" vertical="center"/>
    </xf>
    <xf numFmtId="0" fontId="2" fillId="33" borderId="81" xfId="1" applyFill="1" applyBorder="1" applyAlignment="1">
      <alignment horizontal="right" vertical="center"/>
    </xf>
    <xf numFmtId="0" fontId="2" fillId="33" borderId="98" xfId="1" applyFill="1" applyBorder="1" applyAlignment="1">
      <alignment vertical="center"/>
    </xf>
    <xf numFmtId="0" fontId="2" fillId="33" borderId="99" xfId="1" applyFill="1" applyBorder="1" applyAlignment="1">
      <alignment vertical="center"/>
    </xf>
    <xf numFmtId="0" fontId="2" fillId="33" borderId="100" xfId="1" applyFill="1" applyBorder="1" applyAlignment="1">
      <alignment vertical="center"/>
    </xf>
    <xf numFmtId="0" fontId="2" fillId="33" borderId="101" xfId="1" applyFill="1" applyBorder="1" applyAlignment="1">
      <alignment vertical="center"/>
    </xf>
    <xf numFmtId="0" fontId="2" fillId="33" borderId="102" xfId="1" applyFill="1" applyBorder="1" applyAlignment="1">
      <alignment vertical="center"/>
    </xf>
    <xf numFmtId="0" fontId="22" fillId="32" borderId="17" xfId="1" applyFont="1" applyFill="1" applyBorder="1" applyAlignment="1">
      <alignment horizontal="center" vertical="center"/>
    </xf>
    <xf numFmtId="0" fontId="22" fillId="32" borderId="88" xfId="1" applyFont="1" applyFill="1" applyBorder="1" applyAlignment="1">
      <alignment vertical="center"/>
    </xf>
    <xf numFmtId="0" fontId="22" fillId="32" borderId="35" xfId="1" applyFont="1" applyFill="1" applyBorder="1" applyAlignment="1">
      <alignment vertical="center"/>
    </xf>
    <xf numFmtId="0" fontId="22" fillId="32" borderId="87" xfId="1" applyFont="1" applyFill="1" applyBorder="1" applyAlignment="1">
      <alignment vertical="center"/>
    </xf>
    <xf numFmtId="0" fontId="22" fillId="32" borderId="49" xfId="1" applyFont="1" applyFill="1" applyBorder="1" applyAlignment="1">
      <alignment vertical="center"/>
    </xf>
    <xf numFmtId="0" fontId="2" fillId="36" borderId="81" xfId="1" applyFill="1" applyBorder="1" applyAlignment="1">
      <alignment vertical="center"/>
    </xf>
    <xf numFmtId="0" fontId="2" fillId="36" borderId="36" xfId="1" applyFill="1" applyBorder="1" applyAlignment="1">
      <alignment vertical="center"/>
    </xf>
    <xf numFmtId="0" fontId="2" fillId="36" borderId="89" xfId="1" applyFill="1" applyBorder="1" applyAlignment="1">
      <alignment vertical="center"/>
    </xf>
    <xf numFmtId="0" fontId="2" fillId="36" borderId="17" xfId="1" applyFill="1" applyBorder="1" applyAlignment="1">
      <alignment vertical="center"/>
    </xf>
    <xf numFmtId="0" fontId="2" fillId="36" borderId="43" xfId="1" applyFill="1" applyBorder="1" applyAlignment="1">
      <alignment vertical="center"/>
    </xf>
    <xf numFmtId="0" fontId="2" fillId="32" borderId="96" xfId="1" applyFill="1" applyBorder="1" applyAlignment="1">
      <alignment horizontal="center" vertical="center"/>
    </xf>
    <xf numFmtId="0" fontId="2" fillId="33" borderId="35" xfId="1" applyFill="1" applyBorder="1" applyAlignment="1">
      <alignment horizontal="center" vertical="center"/>
    </xf>
    <xf numFmtId="0" fontId="2" fillId="33" borderId="36" xfId="1" applyFill="1" applyBorder="1" applyAlignment="1">
      <alignment horizontal="right" vertical="center"/>
    </xf>
    <xf numFmtId="0" fontId="22" fillId="32" borderId="36" xfId="1" applyFont="1" applyFill="1" applyBorder="1" applyAlignment="1">
      <alignment horizontal="center" vertical="center"/>
    </xf>
    <xf numFmtId="0" fontId="2" fillId="32" borderId="94" xfId="1" applyFill="1" applyBorder="1" applyAlignment="1">
      <alignment horizontal="center" vertical="center"/>
    </xf>
    <xf numFmtId="0" fontId="2" fillId="34" borderId="89" xfId="1" applyFill="1" applyBorder="1" applyAlignment="1">
      <alignment horizontal="center" vertical="center"/>
    </xf>
    <xf numFmtId="0" fontId="5" fillId="33" borderId="87" xfId="1" applyFont="1" applyFill="1" applyBorder="1" applyAlignment="1">
      <alignment horizontal="center" vertical="center"/>
    </xf>
    <xf numFmtId="0" fontId="2" fillId="33" borderId="89" xfId="1" applyFill="1" applyBorder="1" applyAlignment="1">
      <alignment horizontal="right" vertical="center"/>
    </xf>
    <xf numFmtId="0" fontId="22" fillId="32" borderId="89" xfId="1" applyFont="1" applyFill="1" applyBorder="1" applyAlignment="1">
      <alignment horizontal="center" vertical="center"/>
    </xf>
    <xf numFmtId="0" fontId="2" fillId="32" borderId="95" xfId="1" applyFill="1" applyBorder="1" applyAlignment="1">
      <alignment horizontal="center" vertical="center"/>
    </xf>
    <xf numFmtId="0" fontId="2" fillId="34" borderId="17" xfId="1" applyFill="1" applyBorder="1" applyAlignment="1">
      <alignment horizontal="center" vertical="center"/>
    </xf>
    <xf numFmtId="0" fontId="2" fillId="33" borderId="17" xfId="1" applyFill="1" applyBorder="1" applyAlignment="1">
      <alignment horizontal="right" vertical="center"/>
    </xf>
    <xf numFmtId="0" fontId="2" fillId="34" borderId="43" xfId="1" applyFill="1" applyBorder="1" applyAlignment="1">
      <alignment horizontal="center" vertical="center"/>
    </xf>
    <xf numFmtId="0" fontId="5" fillId="33" borderId="49" xfId="1" applyFont="1" applyFill="1" applyBorder="1" applyAlignment="1">
      <alignment horizontal="center" vertical="center"/>
    </xf>
    <xf numFmtId="0" fontId="2" fillId="33" borderId="43" xfId="1" applyFill="1" applyBorder="1" applyAlignment="1">
      <alignment horizontal="right" vertical="center"/>
    </xf>
    <xf numFmtId="0" fontId="22" fillId="32" borderId="43" xfId="1" applyFont="1" applyFill="1" applyBorder="1" applyAlignment="1">
      <alignment horizontal="center" vertical="center"/>
    </xf>
    <xf numFmtId="0" fontId="2" fillId="32" borderId="70" xfId="1" applyFill="1" applyBorder="1" applyAlignment="1">
      <alignment horizontal="center" vertical="center"/>
    </xf>
    <xf numFmtId="0" fontId="2" fillId="0" borderId="4" xfId="1" applyBorder="1" applyAlignment="1">
      <alignment horizontal="center" vertical="center"/>
    </xf>
    <xf numFmtId="0" fontId="2" fillId="0" borderId="12" xfId="1" applyBorder="1" applyAlignment="1">
      <alignment horizontal="center" vertical="center"/>
    </xf>
    <xf numFmtId="0" fontId="2" fillId="0" borderId="79" xfId="1" applyBorder="1" applyAlignment="1">
      <alignment horizontal="center" vertical="center"/>
    </xf>
    <xf numFmtId="0" fontId="2" fillId="0" borderId="16" xfId="1" applyBorder="1" applyAlignment="1">
      <alignment horizontal="center" vertical="center"/>
    </xf>
    <xf numFmtId="0" fontId="2" fillId="0" borderId="5" xfId="1" applyBorder="1" applyAlignment="1">
      <alignment horizontal="center" vertical="center"/>
    </xf>
    <xf numFmtId="0" fontId="13" fillId="0" borderId="20" xfId="1" applyFont="1" applyBorder="1" applyAlignment="1">
      <alignment horizontal="center" vertical="center"/>
    </xf>
    <xf numFmtId="0" fontId="13" fillId="0" borderId="19" xfId="1" applyFont="1" applyBorder="1" applyAlignment="1">
      <alignment horizontal="center" vertical="center"/>
    </xf>
    <xf numFmtId="0" fontId="2" fillId="0" borderId="81" xfId="1" applyBorder="1" applyAlignment="1">
      <alignment horizontal="center" vertical="center"/>
    </xf>
    <xf numFmtId="0" fontId="2" fillId="33" borderId="18" xfId="1" applyFill="1" applyBorder="1" applyAlignment="1">
      <alignment vertical="center"/>
    </xf>
    <xf numFmtId="0" fontId="2" fillId="33" borderId="21" xfId="1" applyFill="1" applyBorder="1" applyAlignment="1">
      <alignment vertical="center"/>
    </xf>
    <xf numFmtId="0" fontId="2" fillId="33" borderId="90" xfId="1" applyFill="1" applyBorder="1" applyAlignment="1">
      <alignment vertical="center"/>
    </xf>
    <xf numFmtId="0" fontId="2" fillId="0" borderId="18" xfId="1" applyBorder="1" applyAlignment="1">
      <alignment vertical="center"/>
    </xf>
    <xf numFmtId="0" fontId="2" fillId="0" borderId="21" xfId="1" applyBorder="1" applyAlignment="1">
      <alignment vertical="center"/>
    </xf>
    <xf numFmtId="0" fontId="2" fillId="0" borderId="19" xfId="1" applyBorder="1" applyAlignment="1">
      <alignment vertical="center"/>
    </xf>
    <xf numFmtId="0" fontId="2" fillId="0" borderId="46" xfId="1" applyBorder="1" applyAlignment="1">
      <alignment horizontal="center" vertical="center"/>
    </xf>
    <xf numFmtId="0" fontId="2" fillId="0" borderId="45" xfId="1" applyBorder="1" applyAlignment="1">
      <alignment horizontal="center" vertical="center"/>
    </xf>
    <xf numFmtId="0" fontId="2" fillId="0" borderId="36" xfId="1" applyBorder="1" applyAlignment="1">
      <alignment horizontal="center" vertical="center"/>
    </xf>
    <xf numFmtId="0" fontId="2" fillId="0" borderId="32" xfId="1" applyBorder="1" applyAlignment="1">
      <alignment vertical="center"/>
    </xf>
    <xf numFmtId="0" fontId="2" fillId="0" borderId="89" xfId="1" applyBorder="1" applyAlignment="1">
      <alignment horizontal="center" vertical="center"/>
    </xf>
    <xf numFmtId="0" fontId="2" fillId="33" borderId="85" xfId="1" applyFill="1" applyBorder="1" applyAlignment="1">
      <alignment vertical="center"/>
    </xf>
    <xf numFmtId="0" fontId="2" fillId="0" borderId="86" xfId="1" applyBorder="1" applyAlignment="1">
      <alignment vertical="center"/>
    </xf>
    <xf numFmtId="0" fontId="2" fillId="0" borderId="17" xfId="1" applyBorder="1" applyAlignment="1">
      <alignment horizontal="center" vertical="center"/>
    </xf>
    <xf numFmtId="0" fontId="2" fillId="0" borderId="43" xfId="1" applyBorder="1" applyAlignment="1">
      <alignment horizontal="center" vertical="center"/>
    </xf>
    <xf numFmtId="0" fontId="2" fillId="33" borderId="44" xfId="1" applyFill="1" applyBorder="1" applyAlignment="1">
      <alignment vertical="center"/>
    </xf>
    <xf numFmtId="0" fontId="2" fillId="33" borderId="47" xfId="1" applyFill="1" applyBorder="1" applyAlignment="1">
      <alignment vertical="center"/>
    </xf>
    <xf numFmtId="0" fontId="2" fillId="33" borderId="45" xfId="1" applyFill="1" applyBorder="1" applyAlignment="1">
      <alignment vertical="center"/>
    </xf>
    <xf numFmtId="0" fontId="3" fillId="0" borderId="0" xfId="1" applyFont="1"/>
    <xf numFmtId="0" fontId="3" fillId="0" borderId="0" xfId="1" applyFont="1" applyAlignment="1">
      <alignment horizontal="center"/>
    </xf>
    <xf numFmtId="0" fontId="3" fillId="20" borderId="6" xfId="1" applyFont="1" applyFill="1" applyBorder="1"/>
    <xf numFmtId="0" fontId="3" fillId="0" borderId="0" xfId="1" applyFont="1" applyAlignment="1">
      <alignment horizontal="right"/>
    </xf>
    <xf numFmtId="0" fontId="3" fillId="2" borderId="7" xfId="1" applyFont="1" applyFill="1" applyBorder="1" applyAlignment="1">
      <alignment horizontal="center"/>
    </xf>
    <xf numFmtId="0" fontId="3" fillId="38" borderId="6" xfId="1" applyFont="1" applyFill="1" applyBorder="1" applyAlignment="1">
      <alignment horizontal="center"/>
    </xf>
    <xf numFmtId="0" fontId="26" fillId="0" borderId="0" xfId="1" applyFont="1"/>
    <xf numFmtId="0" fontId="27" fillId="0" borderId="0" xfId="1" applyFont="1"/>
    <xf numFmtId="0" fontId="26" fillId="0" borderId="0" xfId="1" applyFont="1" applyAlignment="1">
      <alignment horizontal="right"/>
    </xf>
    <xf numFmtId="0" fontId="3" fillId="37" borderId="4" xfId="1" applyFont="1" applyFill="1" applyBorder="1" applyAlignment="1">
      <alignment horizontal="center"/>
    </xf>
    <xf numFmtId="0" fontId="3" fillId="37" borderId="5" xfId="1" applyFont="1" applyFill="1" applyBorder="1" applyAlignment="1">
      <alignment horizontal="center"/>
    </xf>
    <xf numFmtId="0" fontId="3" fillId="23" borderId="4" xfId="1" applyFont="1" applyFill="1" applyBorder="1"/>
    <xf numFmtId="0" fontId="3" fillId="23" borderId="13" xfId="1" applyFont="1" applyFill="1" applyBorder="1" applyAlignment="1">
      <alignment horizontal="center"/>
    </xf>
    <xf numFmtId="0" fontId="3" fillId="17" borderId="4" xfId="1" applyFont="1" applyFill="1" applyBorder="1" applyAlignment="1">
      <alignment horizontal="center"/>
    </xf>
    <xf numFmtId="0" fontId="3" fillId="17" borderId="12" xfId="1" applyFont="1" applyFill="1" applyBorder="1" applyAlignment="1">
      <alignment horizontal="center"/>
    </xf>
    <xf numFmtId="0" fontId="3" fillId="17" borderId="13" xfId="1" applyFont="1" applyFill="1" applyBorder="1" applyAlignment="1">
      <alignment horizontal="center"/>
    </xf>
    <xf numFmtId="0" fontId="13" fillId="39" borderId="4" xfId="1" applyFont="1" applyFill="1" applyBorder="1"/>
    <xf numFmtId="0" fontId="13" fillId="39" borderId="12" xfId="1" applyFont="1" applyFill="1" applyBorder="1"/>
    <xf numFmtId="0" fontId="3" fillId="39" borderId="13" xfId="1" applyFont="1" applyFill="1" applyBorder="1" applyAlignment="1">
      <alignment horizontal="right"/>
    </xf>
    <xf numFmtId="0" fontId="3" fillId="39" borderId="3" xfId="1" applyFont="1" applyFill="1" applyBorder="1" applyAlignment="1">
      <alignment horizontal="left"/>
    </xf>
    <xf numFmtId="0" fontId="3" fillId="39" borderId="13" xfId="1" applyFont="1" applyFill="1" applyBorder="1" applyAlignment="1">
      <alignment horizontal="left"/>
    </xf>
    <xf numFmtId="0" fontId="3" fillId="39" borderId="2" xfId="1" applyFont="1" applyFill="1" applyBorder="1" applyAlignment="1">
      <alignment horizontal="center"/>
    </xf>
    <xf numFmtId="0" fontId="3" fillId="24" borderId="16" xfId="1" applyFont="1" applyFill="1" applyBorder="1" applyAlignment="1">
      <alignment horizontal="center"/>
    </xf>
    <xf numFmtId="0" fontId="3" fillId="20" borderId="2" xfId="1" applyFont="1" applyFill="1" applyBorder="1"/>
    <xf numFmtId="0" fontId="3" fillId="41" borderId="2" xfId="1" applyFont="1" applyFill="1" applyBorder="1" applyAlignment="1">
      <alignment horizontal="right"/>
    </xf>
    <xf numFmtId="0" fontId="3" fillId="38" borderId="7" xfId="1" applyFont="1" applyFill="1" applyBorder="1" applyAlignment="1">
      <alignment horizontal="center"/>
    </xf>
    <xf numFmtId="0" fontId="13" fillId="31" borderId="1" xfId="1" applyFont="1" applyFill="1" applyBorder="1" applyAlignment="1">
      <alignment horizontal="center"/>
    </xf>
    <xf numFmtId="0" fontId="13" fillId="17" borderId="4" xfId="1" applyFont="1" applyFill="1" applyBorder="1" applyAlignment="1">
      <alignment horizontal="center"/>
    </xf>
    <xf numFmtId="0" fontId="13" fillId="17" borderId="5" xfId="1" applyFont="1" applyFill="1" applyBorder="1" applyAlignment="1">
      <alignment horizontal="center"/>
    </xf>
    <xf numFmtId="0" fontId="13" fillId="37" borderId="103" xfId="1" applyFont="1" applyFill="1" applyBorder="1" applyAlignment="1">
      <alignment horizontal="center"/>
    </xf>
    <xf numFmtId="0" fontId="13" fillId="37" borderId="104" xfId="1" applyFont="1" applyFill="1" applyBorder="1" applyAlignment="1">
      <alignment horizontal="center"/>
    </xf>
    <xf numFmtId="0" fontId="13" fillId="36" borderId="4" xfId="1" applyFont="1" applyFill="1" applyBorder="1" applyAlignment="1">
      <alignment horizontal="center"/>
    </xf>
    <xf numFmtId="0" fontId="13" fillId="36" borderId="12" xfId="1" applyFont="1" applyFill="1" applyBorder="1" applyAlignment="1">
      <alignment horizontal="center"/>
    </xf>
    <xf numFmtId="0" fontId="13" fillId="36" borderId="5" xfId="1" applyFont="1" applyFill="1" applyBorder="1" applyAlignment="1">
      <alignment horizontal="center"/>
    </xf>
    <xf numFmtId="0" fontId="13" fillId="43" borderId="7" xfId="1" applyFont="1" applyFill="1" applyBorder="1" applyAlignment="1">
      <alignment horizontal="center"/>
    </xf>
    <xf numFmtId="0" fontId="13" fillId="44" borderId="7" xfId="1" applyFont="1" applyFill="1" applyBorder="1" applyAlignment="1">
      <alignment horizontal="center"/>
    </xf>
    <xf numFmtId="0" fontId="13" fillId="35" borderId="4" xfId="1" applyFont="1" applyFill="1" applyBorder="1" applyAlignment="1">
      <alignment horizontal="center"/>
    </xf>
    <xf numFmtId="0" fontId="13" fillId="35" borderId="5" xfId="1" applyFont="1" applyFill="1" applyBorder="1" applyAlignment="1">
      <alignment horizontal="center"/>
    </xf>
    <xf numFmtId="0" fontId="13" fillId="35" borderId="16" xfId="1" applyFont="1" applyFill="1" applyBorder="1" applyAlignment="1">
      <alignment horizontal="center"/>
    </xf>
    <xf numFmtId="0" fontId="13" fillId="38" borderId="1" xfId="1" applyFont="1" applyFill="1" applyBorder="1" applyAlignment="1">
      <alignment horizontal="center"/>
    </xf>
    <xf numFmtId="0" fontId="13" fillId="38" borderId="13" xfId="1" applyFont="1" applyFill="1" applyBorder="1" applyAlignment="1">
      <alignment horizontal="center"/>
    </xf>
    <xf numFmtId="0" fontId="13" fillId="38" borderId="5" xfId="1" applyFont="1" applyFill="1" applyBorder="1" applyAlignment="1">
      <alignment horizontal="center"/>
    </xf>
    <xf numFmtId="0" fontId="13" fillId="38" borderId="12" xfId="1" applyFont="1" applyFill="1" applyBorder="1" applyAlignment="1">
      <alignment horizontal="center"/>
    </xf>
    <xf numFmtId="0" fontId="13" fillId="23" borderId="4" xfId="1" applyFont="1" applyFill="1" applyBorder="1" applyAlignment="1">
      <alignment horizontal="center"/>
    </xf>
    <xf numFmtId="0" fontId="13" fillId="23" borderId="12" xfId="1" applyFont="1" applyFill="1" applyBorder="1" applyAlignment="1">
      <alignment horizontal="center"/>
    </xf>
    <xf numFmtId="0" fontId="13" fillId="23" borderId="13" xfId="1" applyFont="1" applyFill="1" applyBorder="1" applyAlignment="1">
      <alignment horizontal="center"/>
    </xf>
    <xf numFmtId="0" fontId="13" fillId="17" borderId="12" xfId="1" applyFont="1" applyFill="1" applyBorder="1" applyAlignment="1">
      <alignment horizontal="center"/>
    </xf>
    <xf numFmtId="0" fontId="13" fillId="17" borderId="13" xfId="1" applyFont="1" applyFill="1" applyBorder="1" applyAlignment="1">
      <alignment horizontal="center"/>
    </xf>
    <xf numFmtId="0" fontId="13" fillId="39" borderId="4" xfId="1" applyFont="1" applyFill="1" applyBorder="1" applyAlignment="1">
      <alignment horizontal="center"/>
    </xf>
    <xf numFmtId="0" fontId="13" fillId="39" borderId="12" xfId="1" applyFont="1" applyFill="1" applyBorder="1" applyAlignment="1">
      <alignment horizontal="center"/>
    </xf>
    <xf numFmtId="0" fontId="13" fillId="39" borderId="13" xfId="1" applyFont="1" applyFill="1" applyBorder="1" applyAlignment="1">
      <alignment horizontal="center"/>
    </xf>
    <xf numFmtId="0" fontId="13" fillId="39" borderId="104" xfId="1" applyFont="1" applyFill="1" applyBorder="1" applyAlignment="1">
      <alignment horizontal="center"/>
    </xf>
    <xf numFmtId="0" fontId="13" fillId="24" borderId="4" xfId="1" applyFont="1" applyFill="1" applyBorder="1"/>
    <xf numFmtId="0" fontId="13" fillId="24" borderId="12" xfId="1" applyFont="1" applyFill="1" applyBorder="1" applyAlignment="1">
      <alignment horizontal="center"/>
    </xf>
    <xf numFmtId="0" fontId="13" fillId="24" borderId="5" xfId="1" applyFont="1" applyFill="1" applyBorder="1" applyAlignment="1">
      <alignment horizontal="center"/>
    </xf>
    <xf numFmtId="0" fontId="13" fillId="20" borderId="2" xfId="1" applyFont="1" applyFill="1" applyBorder="1" applyAlignment="1">
      <alignment horizontal="center"/>
    </xf>
    <xf numFmtId="0" fontId="13" fillId="41" borderId="3" xfId="1" applyFont="1" applyFill="1" applyBorder="1" applyAlignment="1">
      <alignment horizontal="center"/>
    </xf>
    <xf numFmtId="0" fontId="13" fillId="2" borderId="7" xfId="1" applyFont="1" applyFill="1" applyBorder="1" applyAlignment="1">
      <alignment horizontal="center"/>
    </xf>
    <xf numFmtId="0" fontId="13" fillId="42" borderId="4" xfId="1" applyFont="1" applyFill="1" applyBorder="1"/>
    <xf numFmtId="0" fontId="13" fillId="42" borderId="13" xfId="1" applyFont="1" applyFill="1" applyBorder="1"/>
    <xf numFmtId="0" fontId="13" fillId="38" borderId="7" xfId="1" applyFont="1" applyFill="1" applyBorder="1" applyAlignment="1">
      <alignment horizontal="center"/>
    </xf>
    <xf numFmtId="0" fontId="28" fillId="0" borderId="0" xfId="1" applyFont="1" applyAlignment="1">
      <alignment horizontal="center"/>
    </xf>
    <xf numFmtId="0" fontId="29" fillId="0" borderId="0" xfId="1" applyFont="1"/>
    <xf numFmtId="0" fontId="30" fillId="0" borderId="0" xfId="1" applyFont="1"/>
    <xf numFmtId="0" fontId="29" fillId="0" borderId="0" xfId="1" applyFont="1" applyAlignment="1">
      <alignment horizontal="right"/>
    </xf>
    <xf numFmtId="0" fontId="2" fillId="17" borderId="20" xfId="1" applyFill="1" applyBorder="1" applyAlignment="1" applyProtection="1">
      <alignment horizontal="center"/>
      <protection locked="0"/>
    </xf>
    <xf numFmtId="0" fontId="2" fillId="17" borderId="19" xfId="1" applyFill="1" applyBorder="1" applyAlignment="1" applyProtection="1">
      <alignment horizontal="center"/>
      <protection locked="0"/>
    </xf>
    <xf numFmtId="0" fontId="2" fillId="37" borderId="27" xfId="1" applyFill="1" applyBorder="1" applyAlignment="1" applyProtection="1">
      <alignment horizontal="center"/>
      <protection locked="0"/>
    </xf>
    <xf numFmtId="0" fontId="2" fillId="37" borderId="92" xfId="1" applyFill="1" applyBorder="1" applyAlignment="1" applyProtection="1">
      <alignment horizontal="center"/>
      <protection locked="0"/>
    </xf>
    <xf numFmtId="11" fontId="2" fillId="36" borderId="27" xfId="1" applyNumberFormat="1" applyFill="1" applyBorder="1" applyAlignment="1" applyProtection="1">
      <alignment horizontal="center"/>
      <protection locked="0"/>
    </xf>
    <xf numFmtId="11" fontId="2" fillId="36" borderId="31" xfId="1" applyNumberFormat="1" applyFill="1" applyBorder="1" applyAlignment="1" applyProtection="1">
      <alignment horizontal="center"/>
      <protection locked="0"/>
    </xf>
    <xf numFmtId="11" fontId="2" fillId="36" borderId="92" xfId="1" applyNumberFormat="1" applyFill="1" applyBorder="1" applyAlignment="1" applyProtection="1">
      <alignment horizontal="center"/>
      <protection locked="0"/>
    </xf>
    <xf numFmtId="0" fontId="2" fillId="43" borderId="81" xfId="1" applyFill="1" applyBorder="1" applyAlignment="1" applyProtection="1">
      <alignment horizontal="center"/>
      <protection locked="0"/>
    </xf>
    <xf numFmtId="0" fontId="2" fillId="44" borderId="81" xfId="1" applyFill="1" applyBorder="1" applyAlignment="1" applyProtection="1">
      <alignment horizontal="center"/>
      <protection locked="0"/>
    </xf>
    <xf numFmtId="0" fontId="2" fillId="35" borderId="18" xfId="1" applyFill="1" applyBorder="1" applyAlignment="1" applyProtection="1">
      <alignment horizontal="center"/>
      <protection locked="0"/>
    </xf>
    <xf numFmtId="0" fontId="2" fillId="35" borderId="19" xfId="1" applyFill="1" applyBorder="1" applyAlignment="1" applyProtection="1">
      <alignment horizontal="center"/>
      <protection locked="0"/>
    </xf>
    <xf numFmtId="0" fontId="2" fillId="35" borderId="20" xfId="1" applyFill="1" applyBorder="1" applyAlignment="1" applyProtection="1">
      <alignment horizontal="center"/>
      <protection locked="0"/>
    </xf>
    <xf numFmtId="0" fontId="2" fillId="35" borderId="22" xfId="1" applyFill="1" applyBorder="1" applyAlignment="1" applyProtection="1">
      <alignment horizontal="center"/>
      <protection locked="0"/>
    </xf>
    <xf numFmtId="0" fontId="2" fillId="38" borderId="20" xfId="1" applyFill="1" applyBorder="1" applyAlignment="1" applyProtection="1">
      <alignment horizontal="center"/>
      <protection locked="0"/>
    </xf>
    <xf numFmtId="0" fontId="2" fillId="38" borderId="21" xfId="1" applyFill="1" applyBorder="1" applyAlignment="1" applyProtection="1">
      <alignment horizontal="center"/>
      <protection locked="0"/>
    </xf>
    <xf numFmtId="0" fontId="2" fillId="38" borderId="19" xfId="1" applyFill="1" applyBorder="1" applyAlignment="1" applyProtection="1">
      <alignment horizontal="center"/>
      <protection locked="0"/>
    </xf>
    <xf numFmtId="0" fontId="2" fillId="38" borderId="22" xfId="1" applyFill="1" applyBorder="1" applyAlignment="1" applyProtection="1">
      <alignment horizontal="center"/>
      <protection locked="0"/>
    </xf>
    <xf numFmtId="0" fontId="2" fillId="23" borderId="20" xfId="1" applyFill="1" applyBorder="1" applyAlignment="1" applyProtection="1">
      <alignment horizontal="center"/>
      <protection locked="0"/>
    </xf>
    <xf numFmtId="0" fontId="2" fillId="23" borderId="21" xfId="1" applyFill="1" applyBorder="1" applyAlignment="1" applyProtection="1">
      <alignment horizontal="center"/>
      <protection locked="0"/>
    </xf>
    <xf numFmtId="0" fontId="2" fillId="23" borderId="22" xfId="1" applyFill="1" applyBorder="1" applyAlignment="1" applyProtection="1">
      <alignment horizontal="center"/>
      <protection locked="0"/>
    </xf>
    <xf numFmtId="0" fontId="2" fillId="17" borderId="27" xfId="1" applyFill="1" applyBorder="1" applyAlignment="1" applyProtection="1">
      <alignment horizontal="center"/>
      <protection locked="0"/>
    </xf>
    <xf numFmtId="0" fontId="2" fillId="17" borderId="24" xfId="1" applyFill="1" applyBorder="1" applyAlignment="1" applyProtection="1">
      <alignment horizontal="center"/>
      <protection locked="0"/>
    </xf>
    <xf numFmtId="0" fontId="2" fillId="17" borderId="92" xfId="1" applyFill="1" applyBorder="1" applyAlignment="1" applyProtection="1">
      <alignment horizontal="center"/>
      <protection locked="0"/>
    </xf>
    <xf numFmtId="0" fontId="2" fillId="39" borderId="20" xfId="1" applyFill="1" applyBorder="1" applyAlignment="1" applyProtection="1">
      <alignment horizontal="center"/>
      <protection locked="0"/>
    </xf>
    <xf numFmtId="0" fontId="2" fillId="39" borderId="21" xfId="1" applyFill="1" applyBorder="1" applyAlignment="1" applyProtection="1">
      <alignment horizontal="center"/>
      <protection locked="0"/>
    </xf>
    <xf numFmtId="0" fontId="2" fillId="39" borderId="22" xfId="1" applyFill="1" applyBorder="1" applyAlignment="1" applyProtection="1">
      <alignment horizontal="center"/>
      <protection locked="0"/>
    </xf>
    <xf numFmtId="0" fontId="2" fillId="24" borderId="20" xfId="1" applyFill="1" applyBorder="1" applyAlignment="1" applyProtection="1">
      <alignment horizontal="center"/>
      <protection locked="0"/>
    </xf>
    <xf numFmtId="0" fontId="2" fillId="24" borderId="21" xfId="1" applyFill="1" applyBorder="1" applyAlignment="1" applyProtection="1">
      <alignment horizontal="center"/>
      <protection locked="0"/>
    </xf>
    <xf numFmtId="0" fontId="2" fillId="24" borderId="19" xfId="1" applyFill="1" applyBorder="1" applyAlignment="1" applyProtection="1">
      <alignment horizontal="center"/>
      <protection locked="0"/>
    </xf>
    <xf numFmtId="0" fontId="2" fillId="20" borderId="94" xfId="1" applyFill="1" applyBorder="1" applyAlignment="1" applyProtection="1">
      <alignment horizontal="center"/>
      <protection locked="0"/>
    </xf>
    <xf numFmtId="0" fontId="2" fillId="41" borderId="101" xfId="1" applyFill="1" applyBorder="1" applyAlignment="1" applyProtection="1">
      <alignment horizontal="center"/>
      <protection locked="0"/>
    </xf>
    <xf numFmtId="0" fontId="2" fillId="2" borderId="17" xfId="1" applyFill="1" applyBorder="1" applyAlignment="1" applyProtection="1">
      <alignment horizontal="center"/>
      <protection locked="0"/>
    </xf>
    <xf numFmtId="0" fontId="2" fillId="42" borderId="24" xfId="1" applyFill="1" applyBorder="1"/>
    <xf numFmtId="0" fontId="2" fillId="42" borderId="92" xfId="1" applyFill="1" applyBorder="1"/>
    <xf numFmtId="0" fontId="2" fillId="38" borderId="17" xfId="1" applyFill="1" applyBorder="1"/>
    <xf numFmtId="0" fontId="22" fillId="0" borderId="0" xfId="1" applyFont="1"/>
    <xf numFmtId="0" fontId="31" fillId="0" borderId="0" xfId="1" applyFont="1"/>
    <xf numFmtId="0" fontId="32" fillId="0" borderId="0" xfId="1" applyFont="1"/>
    <xf numFmtId="0" fontId="31" fillId="0" borderId="0" xfId="1" applyFont="1" applyAlignment="1">
      <alignment horizontal="right"/>
    </xf>
    <xf numFmtId="0" fontId="2" fillId="17" borderId="30" xfId="1" applyFill="1" applyBorder="1" applyAlignment="1" applyProtection="1">
      <alignment horizontal="center"/>
      <protection locked="0"/>
    </xf>
    <xf numFmtId="0" fontId="2" fillId="17" borderId="32" xfId="1" applyFill="1" applyBorder="1" applyAlignment="1" applyProtection="1">
      <alignment horizontal="center"/>
      <protection locked="0"/>
    </xf>
    <xf numFmtId="0" fontId="2" fillId="37" borderId="30" xfId="1" applyFill="1" applyBorder="1" applyAlignment="1" applyProtection="1">
      <alignment horizontal="center"/>
      <protection locked="0"/>
    </xf>
    <xf numFmtId="0" fontId="2" fillId="37" borderId="33" xfId="1" applyFill="1" applyBorder="1" applyAlignment="1" applyProtection="1">
      <alignment horizontal="center"/>
      <protection locked="0"/>
    </xf>
    <xf numFmtId="0" fontId="2" fillId="43" borderId="36" xfId="1" applyFill="1" applyBorder="1" applyAlignment="1" applyProtection="1">
      <alignment horizontal="center"/>
      <protection locked="0"/>
    </xf>
    <xf numFmtId="0" fontId="2" fillId="44" borderId="36" xfId="1" applyFill="1" applyBorder="1" applyAlignment="1" applyProtection="1">
      <alignment horizontal="center"/>
      <protection locked="0"/>
    </xf>
    <xf numFmtId="0" fontId="2" fillId="35" borderId="34" xfId="1" applyFill="1" applyBorder="1" applyAlignment="1" applyProtection="1">
      <alignment horizontal="center"/>
      <protection locked="0"/>
    </xf>
    <xf numFmtId="0" fontId="2" fillId="35" borderId="32" xfId="1" applyFill="1" applyBorder="1" applyAlignment="1" applyProtection="1">
      <alignment horizontal="center"/>
      <protection locked="0"/>
    </xf>
    <xf numFmtId="0" fontId="2" fillId="35" borderId="30" xfId="1" applyFill="1" applyBorder="1" applyAlignment="1" applyProtection="1">
      <alignment horizontal="center"/>
      <protection locked="0"/>
    </xf>
    <xf numFmtId="0" fontId="2" fillId="35" borderId="33" xfId="1" applyFill="1" applyBorder="1" applyAlignment="1" applyProtection="1">
      <alignment horizontal="center"/>
      <protection locked="0"/>
    </xf>
    <xf numFmtId="0" fontId="2" fillId="38" borderId="30" xfId="1" applyFill="1" applyBorder="1" applyAlignment="1" applyProtection="1">
      <alignment horizontal="center"/>
      <protection locked="0"/>
    </xf>
    <xf numFmtId="0" fontId="2" fillId="38" borderId="31" xfId="1" applyFill="1" applyBorder="1" applyAlignment="1" applyProtection="1">
      <alignment horizontal="center"/>
      <protection locked="0"/>
    </xf>
    <xf numFmtId="0" fontId="2" fillId="38" borderId="32" xfId="1" applyFill="1" applyBorder="1" applyAlignment="1" applyProtection="1">
      <alignment horizontal="center"/>
      <protection locked="0"/>
    </xf>
    <xf numFmtId="0" fontId="2" fillId="38" borderId="33" xfId="1" applyFill="1" applyBorder="1" applyAlignment="1" applyProtection="1">
      <alignment horizontal="center"/>
      <protection locked="0"/>
    </xf>
    <xf numFmtId="0" fontId="2" fillId="23" borderId="30" xfId="1" applyFill="1" applyBorder="1" applyAlignment="1" applyProtection="1">
      <alignment horizontal="center"/>
      <protection locked="0"/>
    </xf>
    <xf numFmtId="0" fontId="2" fillId="23" borderId="31" xfId="1" applyFill="1" applyBorder="1" applyAlignment="1" applyProtection="1">
      <alignment horizontal="center"/>
      <protection locked="0"/>
    </xf>
    <xf numFmtId="0" fontId="2" fillId="23" borderId="33" xfId="1" applyFill="1" applyBorder="1" applyAlignment="1" applyProtection="1">
      <alignment horizontal="center"/>
      <protection locked="0"/>
    </xf>
    <xf numFmtId="0" fontId="2" fillId="17" borderId="31" xfId="1" applyFill="1" applyBorder="1" applyAlignment="1" applyProtection="1">
      <alignment horizontal="center"/>
      <protection locked="0"/>
    </xf>
    <xf numFmtId="0" fontId="2" fillId="17" borderId="33" xfId="1" applyFill="1" applyBorder="1" applyAlignment="1" applyProtection="1">
      <alignment horizontal="center"/>
      <protection locked="0"/>
    </xf>
    <xf numFmtId="0" fontId="2" fillId="39" borderId="30" xfId="1" applyFill="1" applyBorder="1" applyAlignment="1" applyProtection="1">
      <alignment horizontal="center"/>
      <protection locked="0"/>
    </xf>
    <xf numFmtId="0" fontId="2" fillId="39" borderId="31" xfId="1" applyFill="1" applyBorder="1" applyAlignment="1" applyProtection="1">
      <alignment horizontal="center"/>
      <protection locked="0"/>
    </xf>
    <xf numFmtId="0" fontId="2" fillId="39" borderId="33" xfId="1" applyFill="1" applyBorder="1" applyAlignment="1" applyProtection="1">
      <alignment horizontal="center"/>
      <protection locked="0"/>
    </xf>
    <xf numFmtId="0" fontId="2" fillId="24" borderId="30" xfId="1" applyFill="1" applyBorder="1" applyAlignment="1" applyProtection="1">
      <alignment horizontal="center"/>
      <protection locked="0"/>
    </xf>
    <xf numFmtId="0" fontId="2" fillId="24" borderId="31" xfId="1" applyFill="1" applyBorder="1" applyAlignment="1" applyProtection="1">
      <alignment horizontal="center"/>
      <protection locked="0"/>
    </xf>
    <xf numFmtId="0" fontId="2" fillId="24" borderId="32" xfId="1" applyFill="1" applyBorder="1" applyAlignment="1" applyProtection="1">
      <alignment horizontal="center"/>
      <protection locked="0"/>
    </xf>
    <xf numFmtId="0" fontId="2" fillId="42" borderId="27" xfId="1" applyFill="1" applyBorder="1"/>
    <xf numFmtId="0" fontId="2" fillId="38" borderId="36" xfId="1" applyFill="1" applyBorder="1"/>
    <xf numFmtId="11" fontId="2" fillId="36" borderId="30" xfId="1" applyNumberFormat="1" applyFill="1" applyBorder="1" applyAlignment="1" applyProtection="1">
      <alignment horizontal="center"/>
      <protection locked="0"/>
    </xf>
    <xf numFmtId="0" fontId="2" fillId="42" borderId="30" xfId="1" applyFill="1" applyBorder="1"/>
    <xf numFmtId="0" fontId="2" fillId="42" borderId="33" xfId="1" applyFill="1" applyBorder="1"/>
    <xf numFmtId="11" fontId="2" fillId="36" borderId="33" xfId="1" applyNumberFormat="1" applyFill="1" applyBorder="1" applyAlignment="1" applyProtection="1">
      <alignment horizontal="center"/>
      <protection locked="0"/>
    </xf>
    <xf numFmtId="0" fontId="2" fillId="2" borderId="36" xfId="1" applyFill="1" applyBorder="1" applyAlignment="1" applyProtection="1">
      <alignment horizontal="center"/>
      <protection locked="0"/>
    </xf>
    <xf numFmtId="0" fontId="2" fillId="36" borderId="30" xfId="1" applyFill="1" applyBorder="1" applyAlignment="1" applyProtection="1">
      <alignment horizontal="center"/>
      <protection locked="0"/>
    </xf>
    <xf numFmtId="0" fontId="2" fillId="36" borderId="31" xfId="1" applyFill="1" applyBorder="1" applyAlignment="1" applyProtection="1">
      <alignment horizontal="center"/>
      <protection locked="0"/>
    </xf>
    <xf numFmtId="0" fontId="2" fillId="36" borderId="33" xfId="1" applyFill="1" applyBorder="1" applyAlignment="1" applyProtection="1">
      <alignment horizontal="center"/>
      <protection locked="0"/>
    </xf>
    <xf numFmtId="0" fontId="2" fillId="41" borderId="99" xfId="1" applyFill="1" applyBorder="1" applyAlignment="1" applyProtection="1">
      <alignment horizontal="center"/>
      <protection locked="0"/>
    </xf>
    <xf numFmtId="0" fontId="31" fillId="38" borderId="36" xfId="1" applyFont="1" applyFill="1" applyBorder="1" applyAlignment="1">
      <alignment horizontal="right"/>
    </xf>
    <xf numFmtId="0" fontId="2" fillId="31" borderId="105" xfId="1" applyFill="1" applyBorder="1"/>
    <xf numFmtId="0" fontId="2" fillId="20" borderId="106" xfId="1" applyFill="1" applyBorder="1" applyAlignment="1" applyProtection="1">
      <alignment horizontal="center"/>
      <protection locked="0"/>
    </xf>
    <xf numFmtId="0" fontId="2" fillId="17" borderId="46" xfId="1" applyFill="1" applyBorder="1" applyAlignment="1" applyProtection="1">
      <alignment horizontal="center"/>
      <protection locked="0"/>
    </xf>
    <xf numFmtId="0" fontId="2" fillId="17" borderId="45" xfId="1" applyFill="1" applyBorder="1" applyAlignment="1" applyProtection="1">
      <alignment horizontal="center"/>
      <protection locked="0"/>
    </xf>
    <xf numFmtId="0" fontId="2" fillId="37" borderId="46" xfId="1" applyFill="1" applyBorder="1" applyAlignment="1" applyProtection="1">
      <alignment horizontal="center"/>
      <protection locked="0"/>
    </xf>
    <xf numFmtId="0" fontId="2" fillId="37" borderId="48" xfId="1" applyFill="1" applyBorder="1" applyAlignment="1" applyProtection="1">
      <alignment horizontal="center"/>
      <protection locked="0"/>
    </xf>
    <xf numFmtId="0" fontId="2" fillId="36" borderId="46" xfId="1" applyFill="1" applyBorder="1" applyAlignment="1" applyProtection="1">
      <alignment horizontal="center"/>
      <protection locked="0"/>
    </xf>
    <xf numFmtId="0" fontId="2" fillId="36" borderId="47" xfId="1" applyFill="1" applyBorder="1" applyAlignment="1" applyProtection="1">
      <alignment horizontal="center"/>
      <protection locked="0"/>
    </xf>
    <xf numFmtId="0" fontId="2" fillId="36" borderId="48" xfId="1" applyFill="1" applyBorder="1" applyAlignment="1" applyProtection="1">
      <alignment horizontal="center"/>
      <protection locked="0"/>
    </xf>
    <xf numFmtId="0" fontId="2" fillId="43" borderId="43" xfId="1" applyFill="1" applyBorder="1" applyAlignment="1" applyProtection="1">
      <alignment horizontal="center"/>
      <protection locked="0"/>
    </xf>
    <xf numFmtId="0" fontId="2" fillId="44" borderId="43" xfId="1" applyFill="1" applyBorder="1" applyAlignment="1" applyProtection="1">
      <alignment horizontal="center"/>
      <protection locked="0"/>
    </xf>
    <xf numFmtId="0" fontId="2" fillId="35" borderId="44" xfId="1" applyFill="1" applyBorder="1" applyAlignment="1" applyProtection="1">
      <alignment horizontal="center"/>
      <protection locked="0"/>
    </xf>
    <xf numFmtId="0" fontId="2" fillId="35" borderId="45" xfId="1" applyFill="1" applyBorder="1" applyAlignment="1" applyProtection="1">
      <alignment horizontal="center"/>
      <protection locked="0"/>
    </xf>
    <xf numFmtId="0" fontId="2" fillId="35" borderId="46" xfId="1" applyFill="1" applyBorder="1" applyAlignment="1" applyProtection="1">
      <alignment horizontal="center"/>
      <protection locked="0"/>
    </xf>
    <xf numFmtId="0" fontId="2" fillId="35" borderId="48" xfId="1" applyFill="1" applyBorder="1" applyAlignment="1" applyProtection="1">
      <alignment horizontal="center"/>
      <protection locked="0"/>
    </xf>
    <xf numFmtId="0" fontId="2" fillId="38" borderId="46" xfId="1" applyFill="1" applyBorder="1" applyAlignment="1" applyProtection="1">
      <alignment horizontal="center"/>
      <protection locked="0"/>
    </xf>
    <xf numFmtId="0" fontId="2" fillId="38" borderId="47" xfId="1" applyFill="1" applyBorder="1" applyAlignment="1" applyProtection="1">
      <alignment horizontal="center"/>
      <protection locked="0"/>
    </xf>
    <xf numFmtId="0" fontId="2" fillId="38" borderId="45" xfId="1" applyFill="1" applyBorder="1" applyAlignment="1" applyProtection="1">
      <alignment horizontal="center"/>
      <protection locked="0"/>
    </xf>
    <xf numFmtId="0" fontId="2" fillId="38" borderId="48" xfId="1" applyFill="1" applyBorder="1" applyAlignment="1" applyProtection="1">
      <alignment horizontal="center"/>
      <protection locked="0"/>
    </xf>
    <xf numFmtId="0" fontId="2" fillId="23" borderId="46" xfId="1" applyFill="1" applyBorder="1" applyAlignment="1" applyProtection="1">
      <alignment horizontal="center"/>
      <protection locked="0"/>
    </xf>
    <xf numFmtId="0" fontId="2" fillId="23" borderId="47" xfId="1" applyFill="1" applyBorder="1" applyAlignment="1" applyProtection="1">
      <alignment horizontal="center"/>
      <protection locked="0"/>
    </xf>
    <xf numFmtId="0" fontId="2" fillId="23" borderId="48" xfId="1" applyFill="1" applyBorder="1" applyAlignment="1" applyProtection="1">
      <alignment horizontal="center"/>
      <protection locked="0"/>
    </xf>
    <xf numFmtId="0" fontId="2" fillId="17" borderId="47" xfId="1" applyFill="1" applyBorder="1" applyAlignment="1" applyProtection="1">
      <alignment horizontal="center"/>
      <protection locked="0"/>
    </xf>
    <xf numFmtId="0" fontId="2" fillId="17" borderId="48" xfId="1" applyFill="1" applyBorder="1" applyAlignment="1" applyProtection="1">
      <alignment horizontal="center"/>
      <protection locked="0"/>
    </xf>
    <xf numFmtId="0" fontId="2" fillId="39" borderId="46" xfId="1" applyFill="1" applyBorder="1" applyAlignment="1" applyProtection="1">
      <alignment horizontal="center"/>
      <protection locked="0"/>
    </xf>
    <xf numFmtId="0" fontId="2" fillId="39" borderId="47" xfId="1" applyFill="1" applyBorder="1" applyAlignment="1" applyProtection="1">
      <alignment horizontal="center"/>
      <protection locked="0"/>
    </xf>
    <xf numFmtId="0" fontId="2" fillId="39" borderId="48" xfId="1" applyFill="1" applyBorder="1" applyAlignment="1" applyProtection="1">
      <alignment horizontal="center"/>
      <protection locked="0"/>
    </xf>
    <xf numFmtId="0" fontId="2" fillId="24" borderId="46" xfId="1" applyFill="1" applyBorder="1" applyAlignment="1" applyProtection="1">
      <alignment horizontal="center"/>
      <protection locked="0"/>
    </xf>
    <xf numFmtId="0" fontId="2" fillId="24" borderId="47" xfId="1" applyFill="1" applyBorder="1" applyAlignment="1" applyProtection="1">
      <alignment horizontal="center"/>
      <protection locked="0"/>
    </xf>
    <xf numFmtId="0" fontId="2" fillId="24" borderId="45" xfId="1" applyFill="1" applyBorder="1" applyAlignment="1" applyProtection="1">
      <alignment horizontal="center"/>
      <protection locked="0"/>
    </xf>
    <xf numFmtId="0" fontId="2" fillId="20" borderId="70" xfId="1" applyFill="1" applyBorder="1" applyAlignment="1" applyProtection="1">
      <alignment horizontal="center"/>
      <protection locked="0"/>
    </xf>
    <xf numFmtId="0" fontId="2" fillId="41" borderId="102" xfId="1" applyFill="1" applyBorder="1" applyAlignment="1" applyProtection="1">
      <alignment horizontal="center"/>
      <protection locked="0"/>
    </xf>
    <xf numFmtId="0" fontId="2" fillId="2" borderId="43" xfId="1" applyFill="1" applyBorder="1" applyAlignment="1" applyProtection="1">
      <alignment horizontal="center"/>
      <protection locked="0"/>
    </xf>
    <xf numFmtId="0" fontId="2" fillId="42" borderId="46" xfId="1" applyFill="1" applyBorder="1"/>
    <xf numFmtId="0" fontId="2" fillId="42" borderId="48" xfId="1" applyFill="1" applyBorder="1"/>
    <xf numFmtId="0" fontId="2" fillId="38" borderId="43" xfId="1" applyFill="1" applyBorder="1"/>
    <xf numFmtId="0" fontId="31" fillId="0" borderId="0" xfId="1" applyFont="1" applyAlignment="1">
      <alignment horizontal="center"/>
    </xf>
    <xf numFmtId="0" fontId="2" fillId="0" borderId="0" xfId="1" applyAlignment="1">
      <alignment horizontal="right"/>
    </xf>
    <xf numFmtId="0" fontId="31" fillId="45" borderId="107" xfId="1" applyFont="1" applyFill="1" applyBorder="1"/>
    <xf numFmtId="0" fontId="31" fillId="45" borderId="108" xfId="1" applyFont="1" applyFill="1" applyBorder="1"/>
    <xf numFmtId="0" fontId="31" fillId="39" borderId="109" xfId="1" applyFont="1" applyFill="1" applyBorder="1" applyAlignment="1">
      <alignment horizontal="center"/>
    </xf>
    <xf numFmtId="0" fontId="31" fillId="39" borderId="110" xfId="1" applyFont="1" applyFill="1" applyBorder="1" applyAlignment="1">
      <alignment horizontal="center"/>
    </xf>
    <xf numFmtId="0" fontId="31" fillId="39" borderId="111" xfId="1" applyFont="1" applyFill="1" applyBorder="1" applyAlignment="1">
      <alignment horizontal="center"/>
    </xf>
    <xf numFmtId="0" fontId="22" fillId="39" borderId="112" xfId="1" applyFont="1" applyFill="1" applyBorder="1" applyAlignment="1">
      <alignment horizontal="center"/>
    </xf>
    <xf numFmtId="0" fontId="22" fillId="39" borderId="113" xfId="1" applyFont="1" applyFill="1" applyBorder="1" applyAlignment="1">
      <alignment horizontal="center"/>
    </xf>
    <xf numFmtId="0" fontId="31" fillId="39" borderId="114" xfId="1" applyFont="1" applyFill="1" applyBorder="1" applyAlignment="1">
      <alignment horizontal="center"/>
    </xf>
    <xf numFmtId="0" fontId="31" fillId="39" borderId="115" xfId="1" applyFont="1" applyFill="1" applyBorder="1" applyAlignment="1">
      <alignment horizontal="center"/>
    </xf>
    <xf numFmtId="0" fontId="2" fillId="39" borderId="31" xfId="1" applyFill="1" applyBorder="1" applyAlignment="1">
      <alignment horizontal="center"/>
    </xf>
    <xf numFmtId="0" fontId="31" fillId="45" borderId="116" xfId="1" applyFont="1" applyFill="1" applyBorder="1"/>
    <xf numFmtId="0" fontId="31" fillId="45" borderId="117" xfId="1" applyFont="1" applyFill="1" applyBorder="1"/>
    <xf numFmtId="0" fontId="31" fillId="45" borderId="118" xfId="1" applyFont="1" applyFill="1" applyBorder="1"/>
    <xf numFmtId="0" fontId="31" fillId="45" borderId="119" xfId="1" applyFont="1" applyFill="1" applyBorder="1"/>
    <xf numFmtId="0" fontId="22" fillId="0" borderId="120" xfId="1" applyFont="1" applyBorder="1"/>
    <xf numFmtId="0" fontId="22" fillId="0" borderId="121" xfId="1" applyFont="1" applyBorder="1"/>
    <xf numFmtId="0" fontId="31" fillId="45" borderId="122" xfId="1" applyFont="1" applyFill="1" applyBorder="1"/>
    <xf numFmtId="0" fontId="2" fillId="0" borderId="0" xfId="1" applyAlignment="1">
      <alignment horizontal="right" vertical="center"/>
    </xf>
    <xf numFmtId="0" fontId="33" fillId="0" borderId="0" xfId="1" applyFont="1"/>
    <xf numFmtId="0" fontId="2" fillId="39" borderId="4" xfId="1" applyFill="1" applyBorder="1"/>
    <xf numFmtId="0" fontId="2" fillId="39" borderId="5" xfId="1" applyFill="1" applyBorder="1"/>
    <xf numFmtId="0" fontId="2" fillId="39" borderId="16" xfId="1" applyFill="1" applyBorder="1" applyAlignment="1">
      <alignment horizontal="right"/>
    </xf>
    <xf numFmtId="0" fontId="12" fillId="0" borderId="0" xfId="1" applyFont="1"/>
    <xf numFmtId="0" fontId="2" fillId="35" borderId="7" xfId="1" applyFill="1" applyBorder="1" applyAlignment="1">
      <alignment horizontal="center" vertical="center"/>
    </xf>
    <xf numFmtId="0" fontId="2" fillId="17" borderId="16" xfId="1" applyFill="1" applyBorder="1" applyAlignment="1">
      <alignment horizontal="center" vertical="center"/>
    </xf>
    <xf numFmtId="0" fontId="2" fillId="17" borderId="12" xfId="1" applyFill="1" applyBorder="1" applyAlignment="1">
      <alignment horizontal="center" vertical="center"/>
    </xf>
    <xf numFmtId="0" fontId="2" fillId="17" borderId="5" xfId="1" applyFill="1" applyBorder="1" applyAlignment="1">
      <alignment horizontal="center" vertical="center"/>
    </xf>
    <xf numFmtId="0" fontId="2" fillId="46" borderId="7" xfId="1" applyFill="1" applyBorder="1" applyAlignment="1">
      <alignment horizontal="center" vertical="center"/>
    </xf>
    <xf numFmtId="0" fontId="2" fillId="0" borderId="20" xfId="1" applyBorder="1" applyAlignment="1">
      <alignment horizontal="center"/>
    </xf>
    <xf numFmtId="0" fontId="2" fillId="0" borderId="19" xfId="1" applyBorder="1"/>
    <xf numFmtId="0" fontId="2" fillId="35" borderId="17" xfId="1" applyFill="1" applyBorder="1"/>
    <xf numFmtId="0" fontId="2" fillId="17" borderId="23" xfId="1" applyFill="1" applyBorder="1" applyAlignment="1">
      <alignment horizontal="center"/>
    </xf>
    <xf numFmtId="0" fontId="2" fillId="17" borderId="24" xfId="1" applyFill="1" applyBorder="1" applyAlignment="1">
      <alignment horizontal="center"/>
    </xf>
    <xf numFmtId="0" fontId="2" fillId="17" borderId="25" xfId="1" applyFill="1" applyBorder="1" applyAlignment="1">
      <alignment horizontal="center"/>
    </xf>
    <xf numFmtId="0" fontId="2" fillId="46" borderId="17" xfId="1" applyFill="1" applyBorder="1" applyAlignment="1">
      <alignment horizontal="center"/>
    </xf>
    <xf numFmtId="0" fontId="2" fillId="0" borderId="30" xfId="1" applyBorder="1" applyAlignment="1">
      <alignment horizontal="center"/>
    </xf>
    <xf numFmtId="0" fontId="2" fillId="0" borderId="32" xfId="1" applyBorder="1"/>
    <xf numFmtId="0" fontId="2" fillId="35" borderId="36" xfId="1" applyFill="1" applyBorder="1"/>
    <xf numFmtId="0" fontId="2" fillId="17" borderId="34" xfId="1" applyFill="1" applyBorder="1" applyAlignment="1">
      <alignment horizontal="center"/>
    </xf>
    <xf numFmtId="0" fontId="2" fillId="17" borderId="31" xfId="1" applyFill="1" applyBorder="1" applyAlignment="1">
      <alignment horizontal="center"/>
    </xf>
    <xf numFmtId="0" fontId="2" fillId="17" borderId="32" xfId="1" applyFill="1" applyBorder="1" applyAlignment="1">
      <alignment horizontal="center"/>
    </xf>
    <xf numFmtId="0" fontId="2" fillId="46" borderId="36" xfId="1" applyFill="1" applyBorder="1" applyAlignment="1">
      <alignment horizontal="center"/>
    </xf>
    <xf numFmtId="0" fontId="2" fillId="0" borderId="46" xfId="1" applyBorder="1" applyAlignment="1">
      <alignment horizontal="center"/>
    </xf>
    <xf numFmtId="0" fontId="2" fillId="0" borderId="45" xfId="1" applyBorder="1"/>
    <xf numFmtId="0" fontId="2" fillId="17" borderId="20" xfId="1" applyFill="1" applyBorder="1" applyAlignment="1">
      <alignment horizontal="center"/>
    </xf>
    <xf numFmtId="0" fontId="2" fillId="17" borderId="19" xfId="1" applyFill="1" applyBorder="1"/>
    <xf numFmtId="0" fontId="2" fillId="17" borderId="46" xfId="1" applyFill="1" applyBorder="1" applyAlignment="1">
      <alignment horizontal="center"/>
    </xf>
    <xf numFmtId="0" fontId="2" fillId="17" borderId="45" xfId="1" applyFill="1" applyBorder="1"/>
    <xf numFmtId="0" fontId="2" fillId="35" borderId="43" xfId="1" applyFill="1" applyBorder="1"/>
    <xf numFmtId="0" fontId="2" fillId="17" borderId="44" xfId="1" applyFill="1" applyBorder="1" applyAlignment="1">
      <alignment horizontal="center"/>
    </xf>
    <xf numFmtId="0" fontId="2" fillId="17" borderId="47" xfId="1" applyFill="1" applyBorder="1" applyAlignment="1">
      <alignment horizontal="center"/>
    </xf>
    <xf numFmtId="0" fontId="2" fillId="17" borderId="45" xfId="1" applyFill="1" applyBorder="1" applyAlignment="1">
      <alignment horizontal="center"/>
    </xf>
    <xf numFmtId="0" fontId="2" fillId="46" borderId="43" xfId="1" applyFill="1" applyBorder="1" applyAlignment="1">
      <alignment horizontal="center"/>
    </xf>
    <xf numFmtId="0" fontId="2" fillId="0" borderId="0" xfId="1" applyAlignment="1">
      <alignment horizontal="center" vertical="center"/>
    </xf>
    <xf numFmtId="0" fontId="2" fillId="17" borderId="8" xfId="1" applyFill="1" applyBorder="1" applyAlignment="1">
      <alignment horizontal="center" vertical="center"/>
    </xf>
    <xf numFmtId="0" fontId="2" fillId="17" borderId="11" xfId="1" applyFill="1" applyBorder="1" applyAlignment="1">
      <alignment horizontal="center" vertical="center"/>
    </xf>
    <xf numFmtId="0" fontId="2" fillId="17" borderId="9" xfId="1" applyFill="1" applyBorder="1" applyAlignment="1">
      <alignment horizontal="center" vertical="center"/>
    </xf>
    <xf numFmtId="0" fontId="2" fillId="0" borderId="20" xfId="1" applyBorder="1" applyAlignment="1">
      <alignment horizontal="right"/>
    </xf>
    <xf numFmtId="0" fontId="2" fillId="35" borderId="88" xfId="1" applyFill="1" applyBorder="1"/>
    <xf numFmtId="0" fontId="2" fillId="17" borderId="21" xfId="1" applyFill="1" applyBorder="1" applyAlignment="1">
      <alignment horizontal="center"/>
    </xf>
    <xf numFmtId="0" fontId="2" fillId="17" borderId="19" xfId="1" applyFill="1" applyBorder="1" applyAlignment="1">
      <alignment horizontal="center"/>
    </xf>
    <xf numFmtId="0" fontId="2" fillId="46" borderId="81" xfId="1" applyFill="1" applyBorder="1" applyAlignment="1">
      <alignment horizontal="center"/>
    </xf>
    <xf numFmtId="0" fontId="2" fillId="0" borderId="30" xfId="1" applyBorder="1" applyAlignment="1">
      <alignment horizontal="right"/>
    </xf>
    <xf numFmtId="0" fontId="2" fillId="35" borderId="35" xfId="1" applyFill="1" applyBorder="1"/>
    <xf numFmtId="0" fontId="2" fillId="17" borderId="30" xfId="1" applyFill="1" applyBorder="1" applyAlignment="1">
      <alignment horizontal="center"/>
    </xf>
    <xf numFmtId="0" fontId="2" fillId="0" borderId="30" xfId="1" applyBorder="1"/>
    <xf numFmtId="0" fontId="2" fillId="0" borderId="46" xfId="1" applyBorder="1"/>
    <xf numFmtId="0" fontId="2" fillId="0" borderId="4" xfId="1" applyBorder="1"/>
    <xf numFmtId="0" fontId="2" fillId="0" borderId="5" xfId="1" applyBorder="1"/>
    <xf numFmtId="0" fontId="2" fillId="35" borderId="6" xfId="1" applyFill="1" applyBorder="1" applyAlignment="1">
      <alignment vertical="center"/>
    </xf>
    <xf numFmtId="0" fontId="2" fillId="17" borderId="18" xfId="1" applyFill="1" applyBorder="1" applyAlignment="1">
      <alignment horizontal="center" vertical="center"/>
    </xf>
    <xf numFmtId="0" fontId="2" fillId="17" borderId="21" xfId="1" applyFill="1" applyBorder="1" applyAlignment="1">
      <alignment horizontal="center" vertical="center"/>
    </xf>
    <xf numFmtId="0" fontId="2" fillId="17" borderId="19" xfId="1" applyFill="1" applyBorder="1" applyAlignment="1">
      <alignment horizontal="center" vertical="center"/>
    </xf>
    <xf numFmtId="165" fontId="2" fillId="0" borderId="0" xfId="1" applyNumberFormat="1" applyAlignment="1">
      <alignment horizontal="center"/>
    </xf>
    <xf numFmtId="0" fontId="2" fillId="17" borderId="18" xfId="1" applyFill="1" applyBorder="1" applyAlignment="1">
      <alignment horizontal="center"/>
    </xf>
    <xf numFmtId="0" fontId="2" fillId="0" borderId="0" xfId="1" quotePrefix="1" applyAlignment="1">
      <alignment horizontal="center"/>
    </xf>
    <xf numFmtId="165" fontId="2" fillId="0" borderId="0" xfId="1" applyNumberFormat="1"/>
    <xf numFmtId="11" fontId="2" fillId="0" borderId="0" xfId="1" applyNumberFormat="1"/>
    <xf numFmtId="0" fontId="2" fillId="35" borderId="6" xfId="1" applyFill="1" applyBorder="1"/>
    <xf numFmtId="0" fontId="2" fillId="17" borderId="8" xfId="1" applyFill="1" applyBorder="1"/>
    <xf numFmtId="0" fontId="2" fillId="17" borderId="11" xfId="1" applyFill="1" applyBorder="1"/>
    <xf numFmtId="0" fontId="2" fillId="17" borderId="9" xfId="1" applyFill="1" applyBorder="1"/>
    <xf numFmtId="0" fontId="2" fillId="46" borderId="7" xfId="1" applyFill="1" applyBorder="1" applyAlignment="1">
      <alignment horizontal="center"/>
    </xf>
    <xf numFmtId="0" fontId="2" fillId="0" borderId="123" xfId="1" applyBorder="1" applyAlignment="1">
      <alignment horizontal="right"/>
    </xf>
    <xf numFmtId="0" fontId="2" fillId="0" borderId="124" xfId="1" applyBorder="1"/>
    <xf numFmtId="0" fontId="2" fillId="35" borderId="81" xfId="1" applyFill="1" applyBorder="1"/>
    <xf numFmtId="0" fontId="2" fillId="17" borderId="18" xfId="1" applyFill="1" applyBorder="1"/>
    <xf numFmtId="0" fontId="2" fillId="17" borderId="21" xfId="1" applyFill="1" applyBorder="1"/>
    <xf numFmtId="0" fontId="2" fillId="46" borderId="81" xfId="1" applyFill="1" applyBorder="1"/>
    <xf numFmtId="0" fontId="2" fillId="0" borderId="125" xfId="1" applyBorder="1" applyAlignment="1">
      <alignment horizontal="right"/>
    </xf>
    <xf numFmtId="0" fontId="2" fillId="0" borderId="126" xfId="1" applyBorder="1"/>
    <xf numFmtId="0" fontId="2" fillId="17" borderId="34" xfId="1" applyFill="1" applyBorder="1"/>
    <xf numFmtId="0" fontId="2" fillId="17" borderId="31" xfId="1" applyFill="1" applyBorder="1"/>
    <xf numFmtId="0" fontId="2" fillId="17" borderId="32" xfId="1" applyFill="1" applyBorder="1"/>
    <xf numFmtId="0" fontId="2" fillId="46" borderId="36" xfId="1" applyFill="1" applyBorder="1"/>
    <xf numFmtId="0" fontId="2" fillId="0" borderId="125" xfId="1" applyBorder="1"/>
    <xf numFmtId="0" fontId="2" fillId="0" borderId="127" xfId="1" applyBorder="1"/>
    <xf numFmtId="0" fontId="2" fillId="0" borderId="128" xfId="1" applyBorder="1"/>
    <xf numFmtId="0" fontId="2" fillId="17" borderId="44" xfId="1" applyFill="1" applyBorder="1"/>
    <xf numFmtId="0" fontId="2" fillId="17" borderId="47" xfId="1" applyFill="1" applyBorder="1"/>
    <xf numFmtId="0" fontId="2" fillId="46" borderId="43" xfId="1" applyFill="1" applyBorder="1"/>
    <xf numFmtId="0" fontId="2" fillId="17" borderId="22" xfId="1" applyFill="1" applyBorder="1" applyAlignment="1">
      <alignment horizontal="center" vertical="center"/>
    </xf>
    <xf numFmtId="0" fontId="2" fillId="46" borderId="2" xfId="1" applyFill="1" applyBorder="1" applyAlignment="1">
      <alignment horizontal="center" vertical="center"/>
    </xf>
    <xf numFmtId="0" fontId="2" fillId="17" borderId="22" xfId="1" applyFill="1" applyBorder="1" applyAlignment="1">
      <alignment horizontal="center"/>
    </xf>
    <xf numFmtId="0" fontId="2" fillId="35" borderId="81" xfId="1" applyFill="1" applyBorder="1" applyAlignment="1">
      <alignment horizontal="center"/>
    </xf>
    <xf numFmtId="0" fontId="2" fillId="46" borderId="69" xfId="1" applyFill="1" applyBorder="1" applyAlignment="1">
      <alignment horizontal="center"/>
    </xf>
    <xf numFmtId="0" fontId="2" fillId="17" borderId="33" xfId="1" applyFill="1" applyBorder="1" applyAlignment="1">
      <alignment horizontal="center"/>
    </xf>
    <xf numFmtId="0" fontId="2" fillId="35" borderId="36" xfId="1" applyFill="1" applyBorder="1" applyAlignment="1">
      <alignment horizontal="center"/>
    </xf>
    <xf numFmtId="0" fontId="2" fillId="46" borderId="94" xfId="1" applyFill="1" applyBorder="1" applyAlignment="1">
      <alignment horizontal="center"/>
    </xf>
    <xf numFmtId="0" fontId="2" fillId="17" borderId="48" xfId="1" applyFill="1" applyBorder="1" applyAlignment="1">
      <alignment horizontal="center"/>
    </xf>
    <xf numFmtId="0" fontId="2" fillId="35" borderId="43" xfId="1" applyFill="1" applyBorder="1" applyAlignment="1">
      <alignment horizontal="center"/>
    </xf>
    <xf numFmtId="0" fontId="2" fillId="46" borderId="70" xfId="1" applyFill="1" applyBorder="1" applyAlignment="1">
      <alignment horizontal="center"/>
    </xf>
    <xf numFmtId="0" fontId="34" fillId="0" borderId="0" xfId="1" applyFont="1"/>
    <xf numFmtId="0" fontId="2" fillId="35" borderId="7" xfId="1" applyFill="1" applyBorder="1"/>
    <xf numFmtId="0" fontId="2" fillId="35" borderId="17" xfId="1" applyFill="1" applyBorder="1" applyAlignment="1">
      <alignment horizontal="right"/>
    </xf>
    <xf numFmtId="0" fontId="2" fillId="35" borderId="36" xfId="1" applyFill="1" applyBorder="1" applyAlignment="1">
      <alignment horizontal="right"/>
    </xf>
    <xf numFmtId="0" fontId="2" fillId="35" borderId="43" xfId="1" applyFill="1" applyBorder="1" applyAlignment="1">
      <alignment horizontal="right"/>
    </xf>
    <xf numFmtId="0" fontId="35" fillId="0" borderId="31" xfId="1" applyFont="1" applyBorder="1"/>
    <xf numFmtId="0" fontId="2" fillId="0" borderId="31" xfId="1" applyBorder="1"/>
    <xf numFmtId="0" fontId="36" fillId="0" borderId="31" xfId="1" applyFont="1" applyBorder="1"/>
    <xf numFmtId="0" fontId="37" fillId="0" borderId="31" xfId="1" applyFont="1" applyBorder="1"/>
    <xf numFmtId="0" fontId="38" fillId="0" borderId="0" xfId="1" applyFont="1" applyAlignment="1">
      <alignment vertical="center"/>
    </xf>
    <xf numFmtId="0" fontId="3" fillId="0" borderId="4" xfId="1" applyFont="1" applyBorder="1" applyAlignment="1">
      <alignment vertical="center"/>
    </xf>
    <xf numFmtId="0" fontId="3" fillId="0" borderId="5" xfId="1" applyFont="1" applyBorder="1" applyAlignment="1">
      <alignment vertical="center"/>
    </xf>
    <xf numFmtId="0" fontId="2" fillId="48" borderId="7" xfId="1" applyFill="1" applyBorder="1" applyAlignment="1">
      <alignment vertical="center"/>
    </xf>
    <xf numFmtId="0" fontId="2" fillId="48" borderId="7" xfId="1" applyFill="1" applyBorder="1" applyAlignment="1">
      <alignment horizontal="center" vertical="center"/>
    </xf>
    <xf numFmtId="0" fontId="2" fillId="48" borderId="6" xfId="1" applyFill="1" applyBorder="1" applyAlignment="1">
      <alignment horizontal="center" vertical="center"/>
    </xf>
    <xf numFmtId="0" fontId="2" fillId="0" borderId="10" xfId="1" applyBorder="1" applyAlignment="1">
      <alignment horizontal="center" vertical="center"/>
    </xf>
    <xf numFmtId="0" fontId="2" fillId="0" borderId="9" xfId="1" applyBorder="1" applyAlignment="1">
      <alignment horizontal="center" vertical="center"/>
    </xf>
    <xf numFmtId="0" fontId="2" fillId="0" borderId="13" xfId="1" applyBorder="1" applyAlignment="1">
      <alignment horizontal="center" vertical="center"/>
    </xf>
    <xf numFmtId="0" fontId="2" fillId="39" borderId="10" xfId="1" applyFill="1" applyBorder="1" applyAlignment="1">
      <alignment horizontal="center"/>
    </xf>
    <xf numFmtId="0" fontId="2" fillId="28" borderId="129" xfId="1" applyFill="1" applyBorder="1" applyAlignment="1">
      <alignment horizontal="center"/>
    </xf>
    <xf numFmtId="0" fontId="2" fillId="28" borderId="6" xfId="1" applyFill="1" applyBorder="1" applyAlignment="1">
      <alignment horizontal="center" vertical="center"/>
    </xf>
    <xf numFmtId="0" fontId="2" fillId="28" borderId="0" xfId="1" applyFill="1" applyAlignment="1">
      <alignment horizontal="center" vertical="center"/>
    </xf>
    <xf numFmtId="0" fontId="2" fillId="28" borderId="130" xfId="1" applyFill="1" applyBorder="1" applyAlignment="1">
      <alignment horizontal="center" vertical="center"/>
    </xf>
    <xf numFmtId="0" fontId="2" fillId="28" borderId="131" xfId="1" applyFill="1" applyBorder="1" applyAlignment="1">
      <alignment horizontal="center" vertical="center"/>
    </xf>
    <xf numFmtId="0" fontId="2" fillId="28" borderId="132" xfId="1" applyFill="1" applyBorder="1" applyAlignment="1">
      <alignment horizontal="center" vertical="center"/>
    </xf>
    <xf numFmtId="0" fontId="2" fillId="28" borderId="91" xfId="1" applyFill="1" applyBorder="1" applyAlignment="1">
      <alignment horizontal="center"/>
    </xf>
    <xf numFmtId="0" fontId="2" fillId="28" borderId="9" xfId="1" applyFill="1" applyBorder="1" applyAlignment="1">
      <alignment horizontal="center"/>
    </xf>
    <xf numFmtId="0" fontId="2" fillId="28" borderId="133" xfId="1" applyFill="1" applyBorder="1" applyAlignment="1">
      <alignment horizontal="center" vertical="center"/>
    </xf>
    <xf numFmtId="0" fontId="2" fillId="28" borderId="129" xfId="1" applyFill="1" applyBorder="1" applyAlignment="1">
      <alignment horizontal="center" vertical="center"/>
    </xf>
    <xf numFmtId="0" fontId="2" fillId="39" borderId="50" xfId="1" applyFill="1" applyBorder="1" applyAlignment="1">
      <alignment horizontal="center"/>
    </xf>
    <xf numFmtId="0" fontId="2" fillId="0" borderId="20" xfId="1" applyBorder="1"/>
    <xf numFmtId="0" fontId="2" fillId="0" borderId="27" xfId="1" applyBorder="1"/>
    <xf numFmtId="0" fontId="2" fillId="0" borderId="25" xfId="1" applyBorder="1"/>
    <xf numFmtId="0" fontId="2" fillId="39" borderId="133" xfId="1" applyFill="1" applyBorder="1" applyAlignment="1">
      <alignment horizontal="center"/>
    </xf>
    <xf numFmtId="0" fontId="2" fillId="28" borderId="91" xfId="1" applyFill="1" applyBorder="1" applyAlignment="1">
      <alignment horizontal="center" vertical="center"/>
    </xf>
    <xf numFmtId="0" fontId="2" fillId="39" borderId="80" xfId="1" applyFill="1" applyBorder="1" applyAlignment="1">
      <alignment horizontal="center"/>
    </xf>
    <xf numFmtId="0" fontId="2" fillId="39" borderId="103" xfId="1" applyFill="1" applyBorder="1" applyAlignment="1">
      <alignment horizontal="center"/>
    </xf>
    <xf numFmtId="0" fontId="2" fillId="28" borderId="134" xfId="1" applyFill="1" applyBorder="1" applyAlignment="1">
      <alignment horizontal="center"/>
    </xf>
    <xf numFmtId="0" fontId="2" fillId="28" borderId="76" xfId="1" applyFill="1" applyBorder="1" applyAlignment="1">
      <alignment horizontal="center" vertical="center"/>
    </xf>
    <xf numFmtId="0" fontId="2" fillId="28" borderId="97" xfId="1" applyFill="1" applyBorder="1" applyAlignment="1">
      <alignment horizontal="center" vertical="center"/>
    </xf>
    <xf numFmtId="0" fontId="2" fillId="28" borderId="135" xfId="1" applyFill="1" applyBorder="1" applyAlignment="1">
      <alignment horizontal="center" vertical="center"/>
    </xf>
    <xf numFmtId="0" fontId="2" fillId="28" borderId="53" xfId="1" applyFill="1" applyBorder="1" applyAlignment="1">
      <alignment horizontal="center" vertical="center"/>
    </xf>
    <xf numFmtId="0" fontId="2" fillId="28" borderId="66" xfId="1" applyFill="1" applyBorder="1" applyAlignment="1">
      <alignment horizontal="center" vertical="center"/>
    </xf>
    <xf numFmtId="0" fontId="2" fillId="28" borderId="76" xfId="1" applyFill="1" applyBorder="1" applyAlignment="1">
      <alignment horizontal="center"/>
    </xf>
    <xf numFmtId="0" fontId="2" fillId="28" borderId="103" xfId="1" applyFill="1" applyBorder="1" applyAlignment="1">
      <alignment horizontal="center" vertical="center"/>
    </xf>
    <xf numFmtId="0" fontId="2" fillId="28" borderId="134" xfId="1" applyFill="1" applyBorder="1" applyAlignment="1">
      <alignment horizontal="center" vertical="center"/>
    </xf>
    <xf numFmtId="0" fontId="2" fillId="39" borderId="52" xfId="1" applyFill="1" applyBorder="1" applyAlignment="1">
      <alignment horizontal="center"/>
    </xf>
    <xf numFmtId="0" fontId="2" fillId="28" borderId="1" xfId="1" applyFill="1" applyBorder="1"/>
    <xf numFmtId="0" fontId="2" fillId="28" borderId="2" xfId="1" applyFill="1" applyBorder="1"/>
    <xf numFmtId="0" fontId="2" fillId="28" borderId="52" xfId="1" applyFill="1" applyBorder="1"/>
    <xf numFmtId="0" fontId="2" fillId="28" borderId="53" xfId="1" applyFill="1" applyBorder="1"/>
    <xf numFmtId="0" fontId="2" fillId="28" borderId="14" xfId="1" applyFill="1" applyBorder="1" applyAlignment="1">
      <alignment horizontal="center"/>
    </xf>
    <xf numFmtId="0" fontId="2" fillId="28" borderId="10" xfId="1" applyFill="1" applyBorder="1" applyAlignment="1">
      <alignment horizontal="center" vertical="center"/>
    </xf>
    <xf numFmtId="0" fontId="2" fillId="28" borderId="11" xfId="1" applyFill="1" applyBorder="1" applyAlignment="1">
      <alignment horizontal="center" vertical="center"/>
    </xf>
    <xf numFmtId="0" fontId="2" fillId="28" borderId="9" xfId="1" applyFill="1" applyBorder="1" applyAlignment="1">
      <alignment horizontal="center" vertical="center"/>
    </xf>
    <xf numFmtId="0" fontId="2" fillId="28" borderId="136" xfId="1" applyFill="1" applyBorder="1" applyAlignment="1">
      <alignment horizontal="center"/>
    </xf>
    <xf numFmtId="0" fontId="2" fillId="28" borderId="104" xfId="1" applyFill="1" applyBorder="1" applyAlignment="1">
      <alignment horizontal="center"/>
    </xf>
    <xf numFmtId="0" fontId="3" fillId="47" borderId="1" xfId="1" applyFont="1" applyFill="1" applyBorder="1" applyAlignment="1">
      <alignment vertical="center"/>
    </xf>
    <xf numFmtId="0" fontId="3" fillId="47" borderId="3" xfId="1" applyFont="1" applyFill="1" applyBorder="1" applyAlignment="1">
      <alignment vertical="center"/>
    </xf>
    <xf numFmtId="0" fontId="3" fillId="47" borderId="2" xfId="1" applyFont="1" applyFill="1" applyBorder="1" applyAlignment="1">
      <alignment vertical="center"/>
    </xf>
    <xf numFmtId="0" fontId="2" fillId="28" borderId="50" xfId="1" applyFill="1" applyBorder="1" applyAlignment="1">
      <alignment horizontal="center" vertical="center"/>
    </xf>
    <xf numFmtId="0" fontId="2" fillId="28" borderId="15" xfId="1" applyFill="1" applyBorder="1" applyAlignment="1">
      <alignment horizontal="center" vertical="center"/>
    </xf>
    <xf numFmtId="0" fontId="2" fillId="28" borderId="51" xfId="1" applyFill="1" applyBorder="1" applyAlignment="1">
      <alignment horizontal="center" vertical="center"/>
    </xf>
    <xf numFmtId="0" fontId="2" fillId="28" borderId="80" xfId="1" applyFill="1" applyBorder="1" applyAlignment="1">
      <alignment horizontal="center" vertical="center"/>
    </xf>
    <xf numFmtId="0" fontId="2" fillId="28" borderId="52" xfId="1" applyFill="1" applyBorder="1" applyAlignment="1">
      <alignment horizontal="center" vertical="center"/>
    </xf>
    <xf numFmtId="0" fontId="39" fillId="0" borderId="0" xfId="1" applyFont="1" applyAlignment="1">
      <alignment vertical="center"/>
    </xf>
    <xf numFmtId="0" fontId="2" fillId="28" borderId="6" xfId="1" applyFill="1" applyBorder="1" applyAlignment="1">
      <alignment horizontal="center"/>
    </xf>
    <xf numFmtId="0" fontId="2" fillId="28" borderId="50" xfId="1" applyFill="1" applyBorder="1" applyAlignment="1">
      <alignment horizontal="center"/>
    </xf>
    <xf numFmtId="0" fontId="2" fillId="28" borderId="15" xfId="1" applyFill="1" applyBorder="1" applyAlignment="1">
      <alignment horizontal="center"/>
    </xf>
    <xf numFmtId="0" fontId="2" fillId="28" borderId="51" xfId="1" applyFill="1" applyBorder="1" applyAlignment="1">
      <alignment horizontal="center"/>
    </xf>
    <xf numFmtId="0" fontId="2" fillId="28" borderId="80" xfId="1" applyFill="1" applyBorder="1" applyAlignment="1">
      <alignment horizontal="center"/>
    </xf>
    <xf numFmtId="0" fontId="2" fillId="28" borderId="0" xfId="1" applyFill="1" applyAlignment="1">
      <alignment horizontal="center"/>
    </xf>
    <xf numFmtId="0" fontId="2" fillId="28" borderId="131" xfId="1" applyFill="1" applyBorder="1" applyAlignment="1">
      <alignment horizontal="center"/>
    </xf>
    <xf numFmtId="0" fontId="2" fillId="28" borderId="52" xfId="1" applyFill="1" applyBorder="1" applyAlignment="1">
      <alignment horizontal="center"/>
    </xf>
    <xf numFmtId="0" fontId="2" fillId="28" borderId="97" xfId="1" applyFill="1" applyBorder="1" applyAlignment="1">
      <alignment horizontal="center"/>
    </xf>
    <xf numFmtId="0" fontId="2" fillId="28" borderId="53" xfId="1" applyFill="1" applyBorder="1" applyAlignment="1">
      <alignment horizontal="center"/>
    </xf>
    <xf numFmtId="0" fontId="2" fillId="28" borderId="6" xfId="1" applyFill="1" applyBorder="1"/>
    <xf numFmtId="0" fontId="2" fillId="28" borderId="76" xfId="1" applyFill="1" applyBorder="1"/>
    <xf numFmtId="0" fontId="2" fillId="39" borderId="6" xfId="1" applyFill="1" applyBorder="1" applyAlignment="1">
      <alignment horizontal="center"/>
    </xf>
    <xf numFmtId="0" fontId="2" fillId="39" borderId="91" xfId="1" applyFill="1" applyBorder="1" applyAlignment="1">
      <alignment horizontal="center"/>
    </xf>
    <xf numFmtId="0" fontId="2" fillId="39" borderId="76" xfId="1" applyFill="1" applyBorder="1" applyAlignment="1">
      <alignment horizontal="center"/>
    </xf>
    <xf numFmtId="0" fontId="2" fillId="0" borderId="31" xfId="1" applyBorder="1" applyAlignment="1">
      <alignment horizontal="right"/>
    </xf>
    <xf numFmtId="0" fontId="2" fillId="0" borderId="4" xfId="1" applyBorder="1" applyAlignment="1">
      <alignment horizontal="right"/>
    </xf>
    <xf numFmtId="0" fontId="2" fillId="0" borderId="66" xfId="1" applyBorder="1"/>
    <xf numFmtId="0" fontId="2" fillId="0" borderId="97" xfId="1" applyBorder="1"/>
    <xf numFmtId="0" fontId="2" fillId="0" borderId="132" xfId="1" applyBorder="1"/>
    <xf numFmtId="0" fontId="2" fillId="0" borderId="13" xfId="1" applyBorder="1"/>
    <xf numFmtId="0" fontId="35" fillId="0" borderId="5" xfId="1" applyFont="1" applyBorder="1"/>
    <xf numFmtId="0" fontId="40" fillId="0" borderId="0" xfId="1" applyFont="1" applyAlignment="1">
      <alignment horizontal="center" vertical="center"/>
    </xf>
    <xf numFmtId="0" fontId="12" fillId="38" borderId="4" xfId="1" applyFont="1" applyFill="1" applyBorder="1" applyAlignment="1">
      <alignment horizontal="center" vertical="center"/>
    </xf>
    <xf numFmtId="0" fontId="12" fillId="38" borderId="5" xfId="1" applyFont="1" applyFill="1" applyBorder="1" applyAlignment="1">
      <alignment horizontal="center" vertical="center"/>
    </xf>
    <xf numFmtId="0" fontId="12" fillId="22" borderId="4" xfId="1" applyFont="1" applyFill="1" applyBorder="1" applyAlignment="1">
      <alignment horizontal="center" vertical="center"/>
    </xf>
    <xf numFmtId="0" fontId="12" fillId="22" borderId="5" xfId="1" applyFont="1" applyFill="1" applyBorder="1" applyAlignment="1">
      <alignment horizontal="center" vertical="center"/>
    </xf>
    <xf numFmtId="0" fontId="12" fillId="37" borderId="4" xfId="1" applyFont="1" applyFill="1" applyBorder="1" applyAlignment="1">
      <alignment horizontal="center" vertical="center"/>
    </xf>
    <xf numFmtId="0" fontId="12" fillId="37" borderId="5" xfId="1" applyFont="1" applyFill="1" applyBorder="1" applyAlignment="1">
      <alignment horizontal="center" vertical="center"/>
    </xf>
    <xf numFmtId="0" fontId="12" fillId="21" borderId="4" xfId="1" applyFont="1" applyFill="1" applyBorder="1" applyAlignment="1">
      <alignment horizontal="center" vertical="center"/>
    </xf>
    <xf numFmtId="0" fontId="12" fillId="21" borderId="5" xfId="1" applyFont="1" applyFill="1" applyBorder="1" applyAlignment="1">
      <alignment horizontal="center" vertical="center"/>
    </xf>
    <xf numFmtId="0" fontId="12" fillId="47" borderId="4" xfId="1" applyFont="1" applyFill="1" applyBorder="1" applyAlignment="1">
      <alignment horizontal="center" vertical="center"/>
    </xf>
    <xf numFmtId="0" fontId="12" fillId="47" borderId="5" xfId="1" applyFont="1" applyFill="1" applyBorder="1" applyAlignment="1">
      <alignment horizontal="center" vertical="center"/>
    </xf>
    <xf numFmtId="0" fontId="12" fillId="28" borderId="4" xfId="1" applyFont="1" applyFill="1" applyBorder="1" applyAlignment="1">
      <alignment horizontal="center" vertical="center"/>
    </xf>
    <xf numFmtId="0" fontId="12" fillId="28" borderId="5" xfId="1" applyFont="1" applyFill="1" applyBorder="1" applyAlignment="1">
      <alignment horizontal="center" vertical="center"/>
    </xf>
    <xf numFmtId="0" fontId="12" fillId="24" borderId="4" xfId="1" applyFont="1" applyFill="1" applyBorder="1" applyAlignment="1">
      <alignment horizontal="center" vertical="center"/>
    </xf>
    <xf numFmtId="0" fontId="12" fillId="24" borderId="5" xfId="1" applyFont="1" applyFill="1" applyBorder="1" applyAlignment="1">
      <alignment horizontal="center" vertical="center"/>
    </xf>
    <xf numFmtId="0" fontId="12" fillId="20" borderId="4" xfId="1" applyFont="1" applyFill="1" applyBorder="1" applyAlignment="1">
      <alignment horizontal="center" vertical="center"/>
    </xf>
    <xf numFmtId="0" fontId="12" fillId="20" borderId="5" xfId="1" applyFont="1" applyFill="1" applyBorder="1" applyAlignment="1">
      <alignment horizontal="center" vertical="center"/>
    </xf>
    <xf numFmtId="0" fontId="2" fillId="39" borderId="1" xfId="1" applyFill="1" applyBorder="1" applyAlignment="1">
      <alignment horizontal="center" vertical="center"/>
    </xf>
    <xf numFmtId="0" fontId="2" fillId="47" borderId="4" xfId="1" applyFill="1" applyBorder="1" applyAlignment="1">
      <alignment horizontal="center" vertical="center"/>
    </xf>
    <xf numFmtId="0" fontId="2" fillId="47" borderId="5" xfId="1" applyFill="1" applyBorder="1" applyAlignment="1">
      <alignment horizontal="center" vertical="center"/>
    </xf>
    <xf numFmtId="0" fontId="2" fillId="47" borderId="7" xfId="1" applyFill="1" applyBorder="1" applyAlignment="1">
      <alignment horizontal="center" vertical="center"/>
    </xf>
    <xf numFmtId="0" fontId="2" fillId="47" borderId="1" xfId="1" applyFill="1" applyBorder="1" applyAlignment="1">
      <alignment horizontal="center" vertical="center"/>
    </xf>
    <xf numFmtId="0" fontId="2" fillId="47" borderId="12" xfId="1" applyFill="1" applyBorder="1" applyAlignment="1">
      <alignment horizontal="center" vertical="center"/>
    </xf>
    <xf numFmtId="0" fontId="2" fillId="47" borderId="3" xfId="1" applyFill="1" applyBorder="1" applyAlignment="1">
      <alignment horizontal="center" vertical="center"/>
    </xf>
    <xf numFmtId="0" fontId="2" fillId="39" borderId="80" xfId="1" applyFill="1" applyBorder="1" applyAlignment="1">
      <alignment horizontal="center" vertical="center"/>
    </xf>
    <xf numFmtId="0" fontId="2" fillId="47" borderId="20" xfId="1" applyFill="1" applyBorder="1" applyAlignment="1">
      <alignment horizontal="center"/>
    </xf>
    <xf numFmtId="0" fontId="2" fillId="47" borderId="19" xfId="1" applyFill="1" applyBorder="1" applyAlignment="1">
      <alignment horizontal="center"/>
    </xf>
    <xf numFmtId="0" fontId="2" fillId="47" borderId="17" xfId="1" applyFill="1" applyBorder="1" applyAlignment="1">
      <alignment horizontal="center"/>
    </xf>
    <xf numFmtId="0" fontId="2" fillId="47" borderId="27" xfId="1" applyFill="1" applyBorder="1" applyAlignment="1">
      <alignment horizontal="center"/>
    </xf>
    <xf numFmtId="0" fontId="2" fillId="47" borderId="25" xfId="1" applyFill="1" applyBorder="1" applyAlignment="1">
      <alignment horizontal="center"/>
    </xf>
    <xf numFmtId="0" fontId="2" fillId="47" borderId="24" xfId="1" applyFill="1" applyBorder="1" applyAlignment="1">
      <alignment horizontal="center"/>
    </xf>
    <xf numFmtId="0" fontId="2" fillId="47" borderId="30" xfId="1" applyFill="1" applyBorder="1" applyAlignment="1">
      <alignment horizontal="center"/>
    </xf>
    <xf numFmtId="0" fontId="2" fillId="47" borderId="32" xfId="1" applyFill="1" applyBorder="1" applyAlignment="1">
      <alignment horizontal="center"/>
    </xf>
    <xf numFmtId="0" fontId="2" fillId="47" borderId="36" xfId="1" applyFill="1" applyBorder="1" applyAlignment="1">
      <alignment horizontal="center"/>
    </xf>
    <xf numFmtId="0" fontId="2" fillId="47" borderId="31" xfId="1" applyFill="1" applyBorder="1" applyAlignment="1">
      <alignment horizontal="center"/>
    </xf>
    <xf numFmtId="0" fontId="2" fillId="39" borderId="52" xfId="1" applyFill="1" applyBorder="1" applyAlignment="1">
      <alignment horizontal="center" vertical="center"/>
    </xf>
    <xf numFmtId="0" fontId="2" fillId="47" borderId="46" xfId="1" applyFill="1" applyBorder="1" applyAlignment="1">
      <alignment horizontal="center"/>
    </xf>
    <xf numFmtId="0" fontId="2" fillId="47" borderId="45" xfId="1" applyFill="1" applyBorder="1" applyAlignment="1">
      <alignment horizontal="center"/>
    </xf>
    <xf numFmtId="0" fontId="2" fillId="47" borderId="43" xfId="1" applyFill="1" applyBorder="1" applyAlignment="1">
      <alignment horizontal="center"/>
    </xf>
    <xf numFmtId="0" fontId="2" fillId="47" borderId="47" xfId="1" applyFill="1" applyBorder="1" applyAlignment="1">
      <alignment horizontal="center"/>
    </xf>
    <xf numFmtId="0" fontId="2" fillId="45" borderId="0" xfId="1" applyFill="1" applyAlignment="1">
      <alignment horizontal="center" vertical="center"/>
    </xf>
    <xf numFmtId="0" fontId="2" fillId="45" borderId="0" xfId="1" applyFill="1"/>
    <xf numFmtId="0" fontId="2" fillId="45" borderId="130" xfId="1" applyFill="1" applyBorder="1"/>
    <xf numFmtId="0" fontId="2" fillId="0" borderId="130" xfId="1" applyBorder="1"/>
    <xf numFmtId="0" fontId="2" fillId="47" borderId="2" xfId="1" applyFill="1" applyBorder="1" applyAlignment="1">
      <alignment horizontal="center" vertical="center"/>
    </xf>
    <xf numFmtId="0" fontId="2" fillId="47" borderId="133" xfId="1" applyFill="1" applyBorder="1" applyAlignment="1">
      <alignment horizontal="center"/>
    </xf>
    <xf numFmtId="0" fontId="2" fillId="47" borderId="0" xfId="1" applyFill="1" applyAlignment="1">
      <alignment horizontal="center"/>
    </xf>
    <xf numFmtId="0" fontId="2" fillId="47" borderId="130" xfId="1" applyFill="1" applyBorder="1" applyAlignment="1">
      <alignment horizontal="center"/>
    </xf>
    <xf numFmtId="0" fontId="2" fillId="47" borderId="129" xfId="1" applyFill="1" applyBorder="1" applyAlignment="1">
      <alignment horizontal="center"/>
    </xf>
    <xf numFmtId="0" fontId="2" fillId="47" borderId="80" xfId="1" applyFill="1" applyBorder="1" applyAlignment="1">
      <alignment horizontal="center"/>
    </xf>
    <xf numFmtId="0" fontId="2" fillId="47" borderId="131" xfId="1" applyFill="1" applyBorder="1" applyAlignment="1">
      <alignment horizontal="center"/>
    </xf>
    <xf numFmtId="0" fontId="2" fillId="47" borderId="103" xfId="1" applyFill="1" applyBorder="1" applyAlignment="1">
      <alignment horizontal="center"/>
    </xf>
    <xf numFmtId="0" fontId="2" fillId="47" borderId="97" xfId="1" applyFill="1" applyBorder="1" applyAlignment="1">
      <alignment horizontal="center"/>
    </xf>
    <xf numFmtId="0" fontId="2" fillId="47" borderId="135" xfId="1" applyFill="1" applyBorder="1" applyAlignment="1">
      <alignment horizontal="center"/>
    </xf>
    <xf numFmtId="0" fontId="2" fillId="47" borderId="134" xfId="1" applyFill="1" applyBorder="1" applyAlignment="1">
      <alignment horizontal="center"/>
    </xf>
    <xf numFmtId="0" fontId="2" fillId="47" borderId="52" xfId="1" applyFill="1" applyBorder="1" applyAlignment="1">
      <alignment horizontal="center"/>
    </xf>
    <xf numFmtId="0" fontId="2" fillId="47" borderId="53" xfId="1" applyFill="1" applyBorder="1" applyAlignment="1">
      <alignment horizontal="center"/>
    </xf>
    <xf numFmtId="0" fontId="12" fillId="20" borderId="50" xfId="1" applyFont="1" applyFill="1" applyBorder="1" applyAlignment="1">
      <alignment vertical="center"/>
    </xf>
    <xf numFmtId="0" fontId="12" fillId="20" borderId="15" xfId="1" applyFont="1" applyFill="1" applyBorder="1" applyAlignment="1">
      <alignment vertical="center"/>
    </xf>
    <xf numFmtId="0" fontId="2" fillId="20" borderId="51" xfId="1" applyFill="1" applyBorder="1" applyAlignment="1">
      <alignment vertical="center"/>
    </xf>
    <xf numFmtId="0" fontId="2" fillId="20" borderId="4" xfId="1" applyFill="1" applyBorder="1" applyAlignment="1">
      <alignment horizontal="center" vertical="center"/>
    </xf>
    <xf numFmtId="0" fontId="2" fillId="20" borderId="16" xfId="1" applyFill="1" applyBorder="1" applyAlignment="1">
      <alignment horizontal="center" vertical="center"/>
    </xf>
    <xf numFmtId="0" fontId="2" fillId="20" borderId="3" xfId="1" applyFill="1" applyBorder="1" applyAlignment="1">
      <alignment horizontal="center" vertical="center"/>
    </xf>
    <xf numFmtId="0" fontId="2" fillId="20" borderId="13" xfId="1" applyFill="1" applyBorder="1" applyAlignment="1">
      <alignment horizontal="center" vertical="center"/>
    </xf>
    <xf numFmtId="0" fontId="2" fillId="20" borderId="5" xfId="1" applyFill="1" applyBorder="1" applyAlignment="1">
      <alignment horizontal="center" vertical="center"/>
    </xf>
    <xf numFmtId="0" fontId="2" fillId="20" borderId="12" xfId="1" applyFill="1" applyBorder="1" applyAlignment="1">
      <alignment horizontal="center" vertical="center"/>
    </xf>
    <xf numFmtId="0" fontId="2" fillId="20" borderId="1" xfId="1" applyFill="1" applyBorder="1" applyAlignment="1">
      <alignment horizontal="center" vertical="center"/>
    </xf>
    <xf numFmtId="0" fontId="2" fillId="20" borderId="7" xfId="1" applyFill="1" applyBorder="1" applyAlignment="1">
      <alignment horizontal="center" vertical="center"/>
    </xf>
    <xf numFmtId="0" fontId="2" fillId="39" borderId="50" xfId="1" applyFill="1" applyBorder="1" applyAlignment="1">
      <alignment horizontal="center" vertical="center"/>
    </xf>
    <xf numFmtId="0" fontId="2" fillId="20" borderId="10" xfId="1" applyFill="1" applyBorder="1" applyAlignment="1">
      <alignment horizontal="center"/>
    </xf>
    <xf numFmtId="0" fontId="2" fillId="20" borderId="8" xfId="1" applyFill="1" applyBorder="1" applyAlignment="1">
      <alignment horizontal="center"/>
    </xf>
    <xf numFmtId="0" fontId="2" fillId="20" borderId="131" xfId="1" applyFill="1" applyBorder="1" applyAlignment="1">
      <alignment horizontal="center"/>
    </xf>
    <xf numFmtId="0" fontId="2" fillId="20" borderId="15" xfId="1" applyFill="1" applyBorder="1" applyAlignment="1">
      <alignment horizontal="center"/>
    </xf>
    <xf numFmtId="0" fontId="2" fillId="20" borderId="11" xfId="1" applyFill="1" applyBorder="1" applyAlignment="1">
      <alignment horizontal="center"/>
    </xf>
    <xf numFmtId="0" fontId="2" fillId="20" borderId="14" xfId="1" applyFill="1" applyBorder="1" applyAlignment="1">
      <alignment horizontal="center"/>
    </xf>
    <xf numFmtId="0" fontId="2" fillId="20" borderId="50" xfId="1" applyFill="1" applyBorder="1" applyAlignment="1">
      <alignment horizontal="center"/>
    </xf>
    <xf numFmtId="0" fontId="2" fillId="20" borderId="9" xfId="1" applyFill="1" applyBorder="1" applyAlignment="1">
      <alignment horizontal="center"/>
    </xf>
    <xf numFmtId="0" fontId="2" fillId="20" borderId="6" xfId="1" applyFill="1" applyBorder="1" applyAlignment="1">
      <alignment horizontal="center"/>
    </xf>
    <xf numFmtId="0" fontId="2" fillId="20" borderId="91" xfId="1" applyFill="1" applyBorder="1" applyAlignment="1">
      <alignment horizontal="center"/>
    </xf>
    <xf numFmtId="0" fontId="2" fillId="20" borderId="133" xfId="1" applyFill="1" applyBorder="1" applyAlignment="1">
      <alignment horizontal="center"/>
    </xf>
    <xf numFmtId="0" fontId="2" fillId="20" borderId="132" xfId="1" applyFill="1" applyBorder="1" applyAlignment="1">
      <alignment horizontal="center"/>
    </xf>
    <xf numFmtId="0" fontId="2" fillId="20" borderId="0" xfId="1" applyFill="1" applyAlignment="1">
      <alignment horizontal="center"/>
    </xf>
    <xf numFmtId="0" fontId="2" fillId="20" borderId="130" xfId="1" applyFill="1" applyBorder="1" applyAlignment="1">
      <alignment horizontal="center"/>
    </xf>
    <xf numFmtId="0" fontId="2" fillId="20" borderId="136" xfId="1" applyFill="1" applyBorder="1" applyAlignment="1">
      <alignment horizontal="center"/>
    </xf>
    <xf numFmtId="0" fontId="2" fillId="20" borderId="80" xfId="1" applyFill="1" applyBorder="1" applyAlignment="1">
      <alignment horizontal="center"/>
    </xf>
    <xf numFmtId="0" fontId="2" fillId="20" borderId="129" xfId="1" applyFill="1" applyBorder="1" applyAlignment="1">
      <alignment horizontal="center"/>
    </xf>
    <xf numFmtId="0" fontId="2" fillId="20" borderId="7" xfId="1" applyFill="1" applyBorder="1" applyAlignment="1">
      <alignment horizontal="center"/>
    </xf>
    <xf numFmtId="0" fontId="2" fillId="20" borderId="103" xfId="1" applyFill="1" applyBorder="1" applyAlignment="1">
      <alignment horizontal="center"/>
    </xf>
    <xf numFmtId="0" fontId="2" fillId="20" borderId="66" xfId="1" applyFill="1" applyBorder="1" applyAlignment="1">
      <alignment horizontal="center"/>
    </xf>
    <xf numFmtId="0" fontId="2" fillId="20" borderId="53" xfId="1" applyFill="1" applyBorder="1" applyAlignment="1">
      <alignment horizontal="center"/>
    </xf>
    <xf numFmtId="0" fontId="2" fillId="20" borderId="97" xfId="1" applyFill="1" applyBorder="1" applyAlignment="1">
      <alignment horizontal="center"/>
    </xf>
    <xf numFmtId="0" fontId="2" fillId="20" borderId="135" xfId="1" applyFill="1" applyBorder="1" applyAlignment="1">
      <alignment horizontal="center"/>
    </xf>
    <xf numFmtId="0" fontId="2" fillId="20" borderId="104" xfId="1" applyFill="1" applyBorder="1" applyAlignment="1">
      <alignment horizontal="center"/>
    </xf>
    <xf numFmtId="0" fontId="2" fillId="20" borderId="52" xfId="1" applyFill="1" applyBorder="1" applyAlignment="1">
      <alignment horizontal="center"/>
    </xf>
    <xf numFmtId="0" fontId="2" fillId="20" borderId="134" xfId="1" applyFill="1" applyBorder="1" applyAlignment="1">
      <alignment horizontal="center"/>
    </xf>
    <xf numFmtId="0" fontId="2" fillId="20" borderId="76" xfId="1" applyFill="1" applyBorder="1" applyAlignment="1">
      <alignment horizontal="center"/>
    </xf>
    <xf numFmtId="0" fontId="2" fillId="0" borderId="97" xfId="1" applyBorder="1" applyAlignment="1">
      <alignment horizontal="center" vertical="center"/>
    </xf>
    <xf numFmtId="0" fontId="2" fillId="20" borderId="10" xfId="1" applyFill="1" applyBorder="1" applyAlignment="1">
      <alignment horizontal="center" vertical="center"/>
    </xf>
    <xf numFmtId="0" fontId="2" fillId="20" borderId="15" xfId="1" applyFill="1" applyBorder="1" applyAlignment="1">
      <alignment horizontal="center" vertical="center"/>
    </xf>
    <xf numFmtId="0" fontId="2" fillId="20" borderId="11" xfId="1" applyFill="1" applyBorder="1" applyAlignment="1">
      <alignment horizontal="center" vertical="center"/>
    </xf>
    <xf numFmtId="0" fontId="2" fillId="20" borderId="9" xfId="1" applyFill="1" applyBorder="1" applyAlignment="1">
      <alignment horizontal="center" vertical="center"/>
    </xf>
    <xf numFmtId="0" fontId="2" fillId="39" borderId="7" xfId="1" applyFill="1" applyBorder="1" applyAlignment="1">
      <alignment horizontal="center" vertical="center"/>
    </xf>
    <xf numFmtId="0" fontId="2" fillId="20" borderId="8" xfId="1" applyFill="1" applyBorder="1" applyAlignment="1">
      <alignment horizontal="center" vertical="center"/>
    </xf>
    <xf numFmtId="0" fontId="2" fillId="20" borderId="6" xfId="1" applyFill="1" applyBorder="1" applyAlignment="1">
      <alignment horizontal="center" vertical="center"/>
    </xf>
    <xf numFmtId="0" fontId="2" fillId="20" borderId="51" xfId="1" applyFill="1" applyBorder="1" applyAlignment="1">
      <alignment horizontal="center"/>
    </xf>
    <xf numFmtId="0" fontId="2" fillId="20" borderId="2" xfId="1" applyFill="1" applyBorder="1" applyAlignment="1">
      <alignment horizontal="center" vertical="center"/>
    </xf>
    <xf numFmtId="0" fontId="2" fillId="39" borderId="6" xfId="1" applyFill="1" applyBorder="1" applyAlignment="1">
      <alignment horizontal="center" vertical="center"/>
    </xf>
    <xf numFmtId="0" fontId="2" fillId="39" borderId="91" xfId="1" applyFill="1" applyBorder="1" applyAlignment="1">
      <alignment horizontal="center" vertical="center"/>
    </xf>
    <xf numFmtId="0" fontId="2" fillId="39" borderId="76" xfId="1" applyFill="1" applyBorder="1" applyAlignment="1">
      <alignment horizontal="center" vertical="center"/>
    </xf>
    <xf numFmtId="0" fontId="2" fillId="43" borderId="1" xfId="1" applyFill="1" applyBorder="1" applyAlignment="1">
      <alignment horizontal="center" vertical="center"/>
    </xf>
    <xf numFmtId="0" fontId="2" fillId="43" borderId="5" xfId="1" applyFill="1" applyBorder="1" applyAlignment="1">
      <alignment horizontal="center" vertical="center"/>
    </xf>
    <xf numFmtId="0" fontId="2" fillId="43" borderId="12" xfId="1" applyFill="1" applyBorder="1" applyAlignment="1">
      <alignment horizontal="center" vertical="center"/>
    </xf>
    <xf numFmtId="0" fontId="2" fillId="43" borderId="3" xfId="1" applyFill="1" applyBorder="1" applyAlignment="1">
      <alignment horizontal="center" vertical="center"/>
    </xf>
    <xf numFmtId="0" fontId="2" fillId="43" borderId="13" xfId="1" applyFill="1" applyBorder="1" applyAlignment="1">
      <alignment horizontal="center" vertical="center"/>
    </xf>
    <xf numFmtId="0" fontId="2" fillId="43" borderId="52" xfId="1" applyFill="1" applyBorder="1" applyAlignment="1">
      <alignment horizontal="center" vertical="center"/>
    </xf>
    <xf numFmtId="0" fontId="2" fillId="43" borderId="135" xfId="1" applyFill="1" applyBorder="1" applyAlignment="1">
      <alignment horizontal="center" vertical="center"/>
    </xf>
    <xf numFmtId="0" fontId="2" fillId="43" borderId="53" xfId="1" applyFill="1" applyBorder="1" applyAlignment="1">
      <alignment horizontal="center" vertical="center"/>
    </xf>
    <xf numFmtId="0" fontId="2" fillId="43" borderId="16" xfId="1" applyFill="1" applyBorder="1" applyAlignment="1">
      <alignment horizontal="center" vertical="center"/>
    </xf>
    <xf numFmtId="0" fontId="2" fillId="43" borderId="2" xfId="1" applyFill="1" applyBorder="1" applyAlignment="1">
      <alignment horizontal="center" vertical="center"/>
    </xf>
    <xf numFmtId="0" fontId="2" fillId="43" borderId="97" xfId="1" applyFill="1" applyBorder="1" applyAlignment="1">
      <alignment horizontal="center" vertical="center"/>
    </xf>
    <xf numFmtId="0" fontId="2" fillId="43" borderId="47" xfId="1" applyFill="1" applyBorder="1" applyAlignment="1">
      <alignment horizontal="center" vertical="center"/>
    </xf>
    <xf numFmtId="0" fontId="2" fillId="43" borderId="102" xfId="1" applyFill="1" applyBorder="1" applyAlignment="1">
      <alignment horizontal="center" vertical="center"/>
    </xf>
    <xf numFmtId="0" fontId="2" fillId="0" borderId="137" xfId="1" applyBorder="1" applyAlignment="1">
      <alignment horizontal="center" vertical="center"/>
    </xf>
    <xf numFmtId="0" fontId="2" fillId="39" borderId="136" xfId="1" applyFill="1" applyBorder="1" applyAlignment="1">
      <alignment horizontal="center" vertical="center"/>
    </xf>
    <xf numFmtId="0" fontId="2" fillId="43" borderId="80" xfId="1" applyFill="1" applyBorder="1" applyAlignment="1">
      <alignment horizontal="center"/>
    </xf>
    <xf numFmtId="0" fontId="2" fillId="43" borderId="129" xfId="1" applyFill="1" applyBorder="1" applyAlignment="1">
      <alignment horizontal="center"/>
    </xf>
    <xf numFmtId="0" fontId="2" fillId="43" borderId="130" xfId="1" applyFill="1" applyBorder="1" applyAlignment="1">
      <alignment horizontal="center"/>
    </xf>
    <xf numFmtId="0" fontId="2" fillId="43" borderId="0" xfId="1" applyFill="1" applyAlignment="1">
      <alignment horizontal="center"/>
    </xf>
    <xf numFmtId="0" fontId="2" fillId="43" borderId="136" xfId="1" applyFill="1" applyBorder="1" applyAlignment="1">
      <alignment horizontal="center"/>
    </xf>
    <xf numFmtId="0" fontId="2" fillId="43" borderId="131" xfId="1" applyFill="1" applyBorder="1" applyAlignment="1">
      <alignment horizontal="center"/>
    </xf>
    <xf numFmtId="0" fontId="2" fillId="43" borderId="132" xfId="1" applyFill="1" applyBorder="1" applyAlignment="1">
      <alignment horizontal="center"/>
    </xf>
    <xf numFmtId="0" fontId="2" fillId="43" borderId="50" xfId="1" applyFill="1" applyBorder="1" applyAlignment="1">
      <alignment horizontal="center"/>
    </xf>
    <xf numFmtId="0" fontId="2" fillId="43" borderId="11" xfId="1" applyFill="1" applyBorder="1" applyAlignment="1">
      <alignment horizontal="center"/>
    </xf>
    <xf numFmtId="0" fontId="2" fillId="43" borderId="15" xfId="1" applyFill="1" applyBorder="1" applyAlignment="1">
      <alignment horizontal="center"/>
    </xf>
    <xf numFmtId="0" fontId="2" fillId="43" borderId="51" xfId="1" applyFill="1" applyBorder="1" applyAlignment="1">
      <alignment horizontal="center"/>
    </xf>
    <xf numFmtId="0" fontId="2" fillId="39" borderId="92" xfId="1" applyFill="1" applyBorder="1" applyAlignment="1">
      <alignment horizontal="center" vertical="center"/>
    </xf>
    <xf numFmtId="0" fontId="2" fillId="43" borderId="52" xfId="1" applyFill="1" applyBorder="1" applyAlignment="1">
      <alignment horizontal="center"/>
    </xf>
    <xf numFmtId="0" fontId="2" fillId="43" borderId="134" xfId="1" applyFill="1" applyBorder="1" applyAlignment="1">
      <alignment horizontal="center"/>
    </xf>
    <xf numFmtId="0" fontId="2" fillId="43" borderId="135" xfId="1" applyFill="1" applyBorder="1" applyAlignment="1">
      <alignment horizontal="center"/>
    </xf>
    <xf numFmtId="0" fontId="2" fillId="43" borderId="97" xfId="1" applyFill="1" applyBorder="1" applyAlignment="1">
      <alignment horizontal="center"/>
    </xf>
    <xf numFmtId="0" fontId="2" fillId="43" borderId="104" xfId="1" applyFill="1" applyBorder="1" applyAlignment="1">
      <alignment horizontal="center"/>
    </xf>
    <xf numFmtId="0" fontId="2" fillId="43" borderId="53" xfId="1" applyFill="1" applyBorder="1" applyAlignment="1">
      <alignment horizontal="center"/>
    </xf>
    <xf numFmtId="0" fontId="2" fillId="43" borderId="66" xfId="1" applyFill="1" applyBorder="1" applyAlignment="1">
      <alignment horizontal="center"/>
    </xf>
    <xf numFmtId="0" fontId="2" fillId="0" borderId="101" xfId="1" applyBorder="1" applyAlignment="1">
      <alignment horizontal="center"/>
    </xf>
    <xf numFmtId="0" fontId="2" fillId="49" borderId="1" xfId="1" applyFill="1" applyBorder="1" applyAlignment="1">
      <alignment horizontal="center" vertical="center"/>
    </xf>
    <xf numFmtId="0" fontId="2" fillId="49" borderId="12" xfId="1" applyFill="1" applyBorder="1" applyAlignment="1">
      <alignment horizontal="center" vertical="center"/>
    </xf>
    <xf numFmtId="0" fontId="2" fillId="49" borderId="3" xfId="1" applyFill="1" applyBorder="1" applyAlignment="1">
      <alignment horizontal="center" vertical="center"/>
    </xf>
    <xf numFmtId="0" fontId="2" fillId="49" borderId="12" xfId="1" applyFill="1" applyBorder="1" applyAlignment="1">
      <alignment horizontal="center" vertical="center" wrapText="1"/>
    </xf>
    <xf numFmtId="0" fontId="2" fillId="49" borderId="3" xfId="1" applyFill="1" applyBorder="1" applyAlignment="1">
      <alignment horizontal="center" vertical="center" wrapText="1"/>
    </xf>
    <xf numFmtId="0" fontId="2" fillId="49" borderId="5" xfId="1" applyFill="1" applyBorder="1" applyAlignment="1">
      <alignment horizontal="center" vertical="center"/>
    </xf>
    <xf numFmtId="0" fontId="2" fillId="49" borderId="80" xfId="1" applyFill="1" applyBorder="1" applyAlignment="1">
      <alignment horizontal="center"/>
    </xf>
    <xf numFmtId="0" fontId="2" fillId="49" borderId="130" xfId="1" applyFill="1" applyBorder="1" applyAlignment="1">
      <alignment horizontal="center"/>
    </xf>
    <xf numFmtId="0" fontId="2" fillId="49" borderId="0" xfId="1" applyFill="1" applyAlignment="1">
      <alignment horizontal="center"/>
    </xf>
    <xf numFmtId="0" fontId="2" fillId="49" borderId="129" xfId="1" applyFill="1" applyBorder="1" applyAlignment="1">
      <alignment horizontal="center"/>
    </xf>
    <xf numFmtId="0" fontId="2" fillId="49" borderId="52" xfId="1" applyFill="1" applyBorder="1" applyAlignment="1">
      <alignment horizontal="center"/>
    </xf>
    <xf numFmtId="0" fontId="2" fillId="49" borderId="135" xfId="1" applyFill="1" applyBorder="1" applyAlignment="1">
      <alignment horizontal="center"/>
    </xf>
    <xf numFmtId="0" fontId="2" fillId="49" borderId="97" xfId="1" applyFill="1" applyBorder="1" applyAlignment="1">
      <alignment horizontal="center"/>
    </xf>
    <xf numFmtId="0" fontId="2" fillId="49" borderId="134" xfId="1" applyFill="1" applyBorder="1" applyAlignment="1">
      <alignment horizontal="center"/>
    </xf>
    <xf numFmtId="0" fontId="2" fillId="50" borderId="1" xfId="1" applyFill="1" applyBorder="1" applyAlignment="1">
      <alignment horizontal="center" vertical="center"/>
    </xf>
    <xf numFmtId="0" fontId="2" fillId="50" borderId="12" xfId="1" applyFill="1" applyBorder="1" applyAlignment="1">
      <alignment horizontal="center" vertical="center"/>
    </xf>
    <xf numFmtId="0" fontId="2" fillId="50" borderId="3" xfId="1" applyFill="1" applyBorder="1" applyAlignment="1">
      <alignment horizontal="center" vertical="center"/>
    </xf>
    <xf numFmtId="0" fontId="2" fillId="50" borderId="2" xfId="1" applyFill="1" applyBorder="1" applyAlignment="1">
      <alignment horizontal="center" vertical="center"/>
    </xf>
    <xf numFmtId="0" fontId="2" fillId="50" borderId="5" xfId="1" applyFill="1" applyBorder="1" applyAlignment="1">
      <alignment horizontal="center" vertical="center"/>
    </xf>
    <xf numFmtId="0" fontId="2" fillId="50" borderId="80" xfId="1" applyFill="1" applyBorder="1" applyAlignment="1">
      <alignment horizontal="center"/>
    </xf>
    <xf numFmtId="0" fontId="2" fillId="50" borderId="130" xfId="1" applyFill="1" applyBorder="1" applyAlignment="1">
      <alignment horizontal="center"/>
    </xf>
    <xf numFmtId="0" fontId="2" fillId="50" borderId="0" xfId="1" applyFill="1" applyAlignment="1">
      <alignment horizontal="center"/>
    </xf>
    <xf numFmtId="0" fontId="2" fillId="50" borderId="136" xfId="1" applyFill="1" applyBorder="1" applyAlignment="1">
      <alignment horizontal="center"/>
    </xf>
    <xf numFmtId="0" fontId="2" fillId="50" borderId="129" xfId="1" applyFill="1" applyBorder="1" applyAlignment="1">
      <alignment horizontal="center"/>
    </xf>
    <xf numFmtId="0" fontId="2" fillId="50" borderId="52" xfId="1" applyFill="1" applyBorder="1" applyAlignment="1">
      <alignment horizontal="center"/>
    </xf>
    <xf numFmtId="0" fontId="2" fillId="50" borderId="135" xfId="1" applyFill="1" applyBorder="1" applyAlignment="1">
      <alignment horizontal="center"/>
    </xf>
    <xf numFmtId="0" fontId="2" fillId="50" borderId="97" xfId="1" applyFill="1" applyBorder="1" applyAlignment="1">
      <alignment horizontal="center"/>
    </xf>
    <xf numFmtId="0" fontId="2" fillId="50" borderId="4" xfId="1" applyFill="1" applyBorder="1" applyAlignment="1">
      <alignment horizontal="center" vertical="center"/>
    </xf>
    <xf numFmtId="0" fontId="2" fillId="50" borderId="50" xfId="1" applyFill="1" applyBorder="1" applyAlignment="1">
      <alignment horizontal="center" vertical="center"/>
    </xf>
    <xf numFmtId="0" fontId="2" fillId="50" borderId="11" xfId="1" applyFill="1" applyBorder="1" applyAlignment="1">
      <alignment horizontal="center" vertical="center"/>
    </xf>
    <xf numFmtId="0" fontId="2" fillId="50" borderId="15" xfId="1" applyFill="1" applyBorder="1" applyAlignment="1">
      <alignment horizontal="center" vertical="center"/>
    </xf>
    <xf numFmtId="0" fontId="2" fillId="50" borderId="51" xfId="1" applyFill="1" applyBorder="1" applyAlignment="1">
      <alignment horizontal="center" vertical="center"/>
    </xf>
    <xf numFmtId="0" fontId="2" fillId="50" borderId="133" xfId="1" applyFill="1" applyBorder="1" applyAlignment="1">
      <alignment horizontal="center"/>
    </xf>
    <xf numFmtId="0" fontId="2" fillId="50" borderId="10" xfId="1" applyFill="1" applyBorder="1" applyAlignment="1">
      <alignment horizontal="center"/>
    </xf>
    <xf numFmtId="0" fontId="2" fillId="50" borderId="11" xfId="1" applyFill="1" applyBorder="1" applyAlignment="1">
      <alignment horizontal="center"/>
    </xf>
    <xf numFmtId="0" fontId="2" fillId="50" borderId="9" xfId="1" applyFill="1" applyBorder="1" applyAlignment="1">
      <alignment horizontal="center"/>
    </xf>
    <xf numFmtId="0" fontId="2" fillId="50" borderId="104" xfId="1" applyFill="1" applyBorder="1" applyAlignment="1">
      <alignment horizontal="center"/>
    </xf>
    <xf numFmtId="0" fontId="2" fillId="50" borderId="103" xfId="1" applyFill="1" applyBorder="1" applyAlignment="1">
      <alignment horizontal="center"/>
    </xf>
    <xf numFmtId="0" fontId="2" fillId="50" borderId="134" xfId="1" applyFill="1" applyBorder="1" applyAlignment="1">
      <alignment horizontal="center"/>
    </xf>
    <xf numFmtId="0" fontId="2" fillId="51" borderId="1" xfId="1" applyFill="1" applyBorder="1" applyAlignment="1">
      <alignment horizontal="center" vertical="center"/>
    </xf>
    <xf numFmtId="0" fontId="2" fillId="51" borderId="13" xfId="1" applyFill="1" applyBorder="1" applyAlignment="1">
      <alignment horizontal="center" vertical="center"/>
    </xf>
    <xf numFmtId="0" fontId="2" fillId="51" borderId="7" xfId="1" applyFill="1" applyBorder="1" applyAlignment="1">
      <alignment horizontal="center" vertical="center"/>
    </xf>
    <xf numFmtId="0" fontId="2" fillId="51" borderId="12" xfId="1" applyFill="1" applyBorder="1" applyAlignment="1">
      <alignment horizontal="center" vertical="center"/>
    </xf>
    <xf numFmtId="0" fontId="2" fillId="51" borderId="3" xfId="1" applyFill="1" applyBorder="1" applyAlignment="1">
      <alignment horizontal="center" vertical="center"/>
    </xf>
    <xf numFmtId="0" fontId="2" fillId="51" borderId="5" xfId="1" applyFill="1" applyBorder="1" applyAlignment="1">
      <alignment horizontal="center" vertical="center"/>
    </xf>
    <xf numFmtId="0" fontId="2" fillId="51" borderId="50" xfId="1" applyFill="1" applyBorder="1" applyAlignment="1">
      <alignment horizontal="center"/>
    </xf>
    <xf numFmtId="0" fontId="2" fillId="51" borderId="14" xfId="1" applyFill="1" applyBorder="1" applyAlignment="1">
      <alignment horizontal="center"/>
    </xf>
    <xf numFmtId="0" fontId="2" fillId="51" borderId="80" xfId="1" applyFill="1" applyBorder="1" applyAlignment="1">
      <alignment horizontal="center"/>
    </xf>
    <xf numFmtId="0" fontId="2" fillId="51" borderId="91" xfId="1" applyFill="1" applyBorder="1" applyAlignment="1">
      <alignment horizontal="center"/>
    </xf>
    <xf numFmtId="0" fontId="2" fillId="51" borderId="133" xfId="1" applyFill="1" applyBorder="1" applyAlignment="1">
      <alignment horizontal="center"/>
    </xf>
    <xf numFmtId="0" fontId="2" fillId="51" borderId="130" xfId="1" applyFill="1" applyBorder="1" applyAlignment="1">
      <alignment horizontal="center"/>
    </xf>
    <xf numFmtId="0" fontId="2" fillId="51" borderId="129" xfId="1" applyFill="1" applyBorder="1" applyAlignment="1">
      <alignment horizontal="center"/>
    </xf>
    <xf numFmtId="0" fontId="2" fillId="51" borderId="136" xfId="1" applyFill="1" applyBorder="1" applyAlignment="1">
      <alignment horizontal="center"/>
    </xf>
    <xf numFmtId="0" fontId="2" fillId="51" borderId="52" xfId="1" applyFill="1" applyBorder="1" applyAlignment="1">
      <alignment horizontal="center"/>
    </xf>
    <xf numFmtId="0" fontId="2" fillId="51" borderId="104" xfId="1" applyFill="1" applyBorder="1" applyAlignment="1">
      <alignment horizontal="center"/>
    </xf>
    <xf numFmtId="0" fontId="2" fillId="51" borderId="76" xfId="1" applyFill="1" applyBorder="1" applyAlignment="1">
      <alignment horizontal="center"/>
    </xf>
    <xf numFmtId="0" fontId="2" fillId="51" borderId="103" xfId="1" applyFill="1" applyBorder="1" applyAlignment="1">
      <alignment horizontal="center"/>
    </xf>
    <xf numFmtId="0" fontId="2" fillId="51" borderId="135" xfId="1" applyFill="1" applyBorder="1" applyAlignment="1">
      <alignment horizontal="center"/>
    </xf>
    <xf numFmtId="0" fontId="2" fillId="51" borderId="134" xfId="1" applyFill="1" applyBorder="1" applyAlignment="1">
      <alignment horizontal="center"/>
    </xf>
    <xf numFmtId="0" fontId="2" fillId="51" borderId="4" xfId="1" applyFill="1" applyBorder="1" applyAlignment="1">
      <alignment horizontal="center" vertical="center"/>
    </xf>
    <xf numFmtId="0" fontId="2" fillId="51" borderId="50" xfId="1" applyFill="1" applyBorder="1" applyAlignment="1">
      <alignment horizontal="center" vertical="center"/>
    </xf>
    <xf numFmtId="0" fontId="2" fillId="51" borderId="11" xfId="1" applyFill="1" applyBorder="1" applyAlignment="1">
      <alignment horizontal="center" vertical="center"/>
    </xf>
    <xf numFmtId="0" fontId="2" fillId="51" borderId="15" xfId="1" applyFill="1" applyBorder="1" applyAlignment="1">
      <alignment horizontal="center" vertical="center"/>
    </xf>
    <xf numFmtId="0" fontId="2" fillId="51" borderId="51" xfId="1" applyFill="1" applyBorder="1" applyAlignment="1">
      <alignment horizontal="center" vertical="center"/>
    </xf>
    <xf numFmtId="0" fontId="2" fillId="51" borderId="0" xfId="1" applyFill="1" applyAlignment="1">
      <alignment horizontal="center"/>
    </xf>
    <xf numFmtId="0" fontId="2" fillId="51" borderId="10" xfId="1" applyFill="1" applyBorder="1" applyAlignment="1">
      <alignment horizontal="center"/>
    </xf>
    <xf numFmtId="0" fontId="2" fillId="51" borderId="11" xfId="1" applyFill="1" applyBorder="1" applyAlignment="1">
      <alignment horizontal="center"/>
    </xf>
    <xf numFmtId="0" fontId="2" fillId="51" borderId="9" xfId="1" applyFill="1" applyBorder="1" applyAlignment="1">
      <alignment horizontal="center"/>
    </xf>
    <xf numFmtId="0" fontId="12" fillId="41" borderId="1" xfId="1" applyFont="1" applyFill="1" applyBorder="1" applyAlignment="1">
      <alignment vertical="center"/>
    </xf>
    <xf numFmtId="0" fontId="12" fillId="41" borderId="2" xfId="1" applyFont="1" applyFill="1" applyBorder="1" applyAlignment="1">
      <alignment vertical="center"/>
    </xf>
    <xf numFmtId="0" fontId="2" fillId="41" borderId="50" xfId="1" applyFill="1" applyBorder="1" applyAlignment="1">
      <alignment horizontal="center" vertical="center"/>
    </xf>
    <xf numFmtId="0" fontId="2" fillId="41" borderId="11" xfId="1" applyFill="1" applyBorder="1" applyAlignment="1">
      <alignment horizontal="center" vertical="center"/>
    </xf>
    <xf numFmtId="0" fontId="2" fillId="41" borderId="21" xfId="1" applyFill="1" applyBorder="1" applyAlignment="1">
      <alignment horizontal="center" vertical="center"/>
    </xf>
    <xf numFmtId="0" fontId="2" fillId="41" borderId="19" xfId="1" applyFill="1" applyBorder="1" applyAlignment="1">
      <alignment horizontal="center" vertical="center"/>
    </xf>
    <xf numFmtId="0" fontId="2" fillId="41" borderId="20" xfId="1" applyFill="1" applyBorder="1" applyAlignment="1">
      <alignment horizontal="center" vertical="center"/>
    </xf>
    <xf numFmtId="0" fontId="2" fillId="41" borderId="18" xfId="1" applyFill="1" applyBorder="1" applyAlignment="1">
      <alignment horizontal="center" vertical="center"/>
    </xf>
    <xf numFmtId="0" fontId="2" fillId="41" borderId="22" xfId="1" applyFill="1" applyBorder="1" applyAlignment="1">
      <alignment horizontal="center" vertical="center"/>
    </xf>
    <xf numFmtId="0" fontId="2" fillId="41" borderId="10" xfId="1" applyFill="1" applyBorder="1" applyAlignment="1">
      <alignment horizontal="center" vertical="center"/>
    </xf>
    <xf numFmtId="0" fontId="2" fillId="41" borderId="9" xfId="1" applyFill="1" applyBorder="1" applyAlignment="1">
      <alignment horizontal="center" vertical="center"/>
    </xf>
    <xf numFmtId="0" fontId="2" fillId="41" borderId="8" xfId="1" applyFill="1" applyBorder="1" applyAlignment="1">
      <alignment horizontal="center" vertical="center"/>
    </xf>
    <xf numFmtId="0" fontId="2" fillId="41" borderId="138" xfId="1" applyFill="1" applyBorder="1" applyAlignment="1">
      <alignment horizontal="center"/>
    </xf>
    <xf numFmtId="0" fontId="2" fillId="41" borderId="139" xfId="1" applyFill="1" applyBorder="1" applyAlignment="1">
      <alignment horizontal="center"/>
    </xf>
    <xf numFmtId="0" fontId="2" fillId="41" borderId="0" xfId="1" applyFill="1" applyAlignment="1">
      <alignment horizontal="center"/>
    </xf>
    <xf numFmtId="0" fontId="2" fillId="41" borderId="129" xfId="1" applyFill="1" applyBorder="1" applyAlignment="1">
      <alignment horizontal="center"/>
    </xf>
    <xf numFmtId="0" fontId="2" fillId="41" borderId="133" xfId="1" applyFill="1" applyBorder="1" applyAlignment="1">
      <alignment horizontal="center"/>
    </xf>
    <xf numFmtId="0" fontId="2" fillId="41" borderId="136" xfId="1" applyFill="1" applyBorder="1" applyAlignment="1">
      <alignment horizontal="center"/>
    </xf>
    <xf numFmtId="0" fontId="2" fillId="41" borderId="130" xfId="1" applyFill="1" applyBorder="1" applyAlignment="1">
      <alignment horizontal="center"/>
    </xf>
    <xf numFmtId="0" fontId="2" fillId="41" borderId="132" xfId="1" applyFill="1" applyBorder="1" applyAlignment="1">
      <alignment horizontal="center"/>
    </xf>
    <xf numFmtId="0" fontId="2" fillId="41" borderId="131" xfId="1" applyFill="1" applyBorder="1" applyAlignment="1">
      <alignment horizontal="center"/>
    </xf>
    <xf numFmtId="0" fontId="2" fillId="41" borderId="80" xfId="1" applyFill="1" applyBorder="1" applyAlignment="1">
      <alignment horizontal="center"/>
    </xf>
    <xf numFmtId="0" fontId="2" fillId="41" borderId="10" xfId="1" applyFill="1" applyBorder="1" applyAlignment="1">
      <alignment horizontal="center"/>
    </xf>
    <xf numFmtId="0" fontId="2" fillId="41" borderId="51" xfId="1" applyFill="1" applyBorder="1" applyAlignment="1">
      <alignment horizontal="center"/>
    </xf>
    <xf numFmtId="0" fontId="2" fillId="41" borderId="28" xfId="1" applyFill="1" applyBorder="1" applyAlignment="1">
      <alignment horizontal="center"/>
    </xf>
    <xf numFmtId="0" fontId="2" fillId="41" borderId="106" xfId="1" applyFill="1" applyBorder="1" applyAlignment="1">
      <alignment horizontal="center"/>
    </xf>
    <xf numFmtId="0" fontId="2" fillId="41" borderId="20" xfId="1" applyFill="1" applyBorder="1"/>
    <xf numFmtId="0" fontId="2" fillId="41" borderId="21" xfId="1" applyFill="1" applyBorder="1"/>
    <xf numFmtId="0" fontId="2" fillId="41" borderId="19" xfId="1" applyFill="1" applyBorder="1" applyAlignment="1">
      <alignment horizontal="center"/>
    </xf>
    <xf numFmtId="0" fontId="2" fillId="41" borderId="30" xfId="1" applyFill="1" applyBorder="1"/>
    <xf numFmtId="0" fontId="2" fillId="41" borderId="31" xfId="1" applyFill="1" applyBorder="1"/>
    <xf numFmtId="0" fontId="2" fillId="41" borderId="32" xfId="1" applyFill="1" applyBorder="1" applyAlignment="1">
      <alignment horizontal="center"/>
    </xf>
    <xf numFmtId="0" fontId="2" fillId="41" borderId="46" xfId="1" applyFill="1" applyBorder="1"/>
    <xf numFmtId="0" fontId="2" fillId="41" borderId="47" xfId="1" applyFill="1" applyBorder="1"/>
    <xf numFmtId="0" fontId="2" fillId="41" borderId="45" xfId="1" applyFill="1" applyBorder="1" applyAlignment="1">
      <alignment horizontal="center"/>
    </xf>
    <xf numFmtId="0" fontId="2" fillId="41" borderId="103" xfId="1" applyFill="1" applyBorder="1" applyAlignment="1">
      <alignment horizontal="center"/>
    </xf>
    <xf numFmtId="0" fontId="2" fillId="41" borderId="135" xfId="1" applyFill="1" applyBorder="1" applyAlignment="1">
      <alignment horizontal="center"/>
    </xf>
    <xf numFmtId="0" fontId="2" fillId="41" borderId="97" xfId="1" applyFill="1" applyBorder="1" applyAlignment="1">
      <alignment horizontal="center"/>
    </xf>
    <xf numFmtId="0" fontId="2" fillId="41" borderId="134" xfId="1" applyFill="1" applyBorder="1" applyAlignment="1">
      <alignment horizontal="center"/>
    </xf>
    <xf numFmtId="0" fontId="2" fillId="41" borderId="104" xfId="1" applyFill="1" applyBorder="1" applyAlignment="1">
      <alignment horizontal="center"/>
    </xf>
    <xf numFmtId="0" fontId="2" fillId="41" borderId="66" xfId="1" applyFill="1" applyBorder="1" applyAlignment="1">
      <alignment horizontal="center"/>
    </xf>
    <xf numFmtId="0" fontId="2" fillId="41" borderId="53" xfId="1" applyFill="1" applyBorder="1" applyAlignment="1">
      <alignment horizontal="center"/>
    </xf>
    <xf numFmtId="0" fontId="2" fillId="41" borderId="52" xfId="1" applyFill="1" applyBorder="1" applyAlignment="1">
      <alignment horizontal="center"/>
    </xf>
    <xf numFmtId="0" fontId="2" fillId="41" borderId="15" xfId="1" applyFill="1" applyBorder="1" applyAlignment="1">
      <alignment horizontal="center" vertical="center"/>
    </xf>
    <xf numFmtId="0" fontId="2" fillId="41" borderId="21" xfId="1" applyFill="1" applyBorder="1" applyAlignment="1">
      <alignment horizontal="center"/>
    </xf>
    <xf numFmtId="0" fontId="2" fillId="41" borderId="15" xfId="1" applyFill="1" applyBorder="1" applyAlignment="1">
      <alignment horizontal="center"/>
    </xf>
    <xf numFmtId="0" fontId="2" fillId="41" borderId="20" xfId="1" applyFill="1" applyBorder="1" applyAlignment="1">
      <alignment horizontal="center"/>
    </xf>
    <xf numFmtId="0" fontId="2" fillId="24" borderId="1" xfId="1" applyFill="1" applyBorder="1" applyAlignment="1">
      <alignment horizontal="center" vertical="center"/>
    </xf>
    <xf numFmtId="0" fontId="2" fillId="24" borderId="12" xfId="1" applyFill="1" applyBorder="1" applyAlignment="1">
      <alignment horizontal="center" vertical="center"/>
    </xf>
    <xf numFmtId="0" fontId="2" fillId="24" borderId="2" xfId="1" applyFill="1" applyBorder="1" applyAlignment="1">
      <alignment horizontal="center" vertical="center"/>
    </xf>
    <xf numFmtId="0" fontId="2" fillId="24" borderId="4" xfId="1" applyFill="1" applyBorder="1" applyAlignment="1">
      <alignment horizontal="center" vertical="center"/>
    </xf>
    <xf numFmtId="0" fontId="2" fillId="24" borderId="5" xfId="1" applyFill="1" applyBorder="1" applyAlignment="1">
      <alignment horizontal="center" vertical="center"/>
    </xf>
    <xf numFmtId="0" fontId="2" fillId="24" borderId="10" xfId="1" applyFill="1" applyBorder="1" applyAlignment="1">
      <alignment horizontal="center" vertical="center"/>
    </xf>
    <xf numFmtId="0" fontId="2" fillId="24" borderId="9" xfId="1" applyFill="1" applyBorder="1" applyAlignment="1">
      <alignment horizontal="center" vertical="center"/>
    </xf>
    <xf numFmtId="0" fontId="2" fillId="24" borderId="4" xfId="1" applyFill="1" applyBorder="1" applyAlignment="1">
      <alignment horizontal="center"/>
    </xf>
    <xf numFmtId="0" fontId="2" fillId="24" borderId="5" xfId="1" applyFill="1" applyBorder="1" applyAlignment="1">
      <alignment horizontal="center"/>
    </xf>
    <xf numFmtId="0" fontId="2" fillId="24" borderId="12" xfId="1" applyFill="1" applyBorder="1" applyAlignment="1">
      <alignment horizontal="center"/>
    </xf>
    <xf numFmtId="0" fontId="2" fillId="24" borderId="133" xfId="1" applyFill="1" applyBorder="1" applyAlignment="1">
      <alignment horizontal="center"/>
    </xf>
    <xf numFmtId="0" fontId="2" fillId="24" borderId="130" xfId="1" applyFill="1" applyBorder="1" applyAlignment="1">
      <alignment horizontal="center"/>
    </xf>
    <xf numFmtId="0" fontId="2" fillId="24" borderId="129" xfId="1" applyFill="1" applyBorder="1" applyAlignment="1">
      <alignment horizontal="center"/>
    </xf>
    <xf numFmtId="0" fontId="2" fillId="24" borderId="10" xfId="1" applyFill="1" applyBorder="1" applyAlignment="1">
      <alignment horizontal="center"/>
    </xf>
    <xf numFmtId="0" fontId="2" fillId="24" borderId="9" xfId="1" applyFill="1" applyBorder="1" applyAlignment="1">
      <alignment horizontal="center"/>
    </xf>
    <xf numFmtId="0" fontId="2" fillId="24" borderId="50" xfId="1" applyFill="1" applyBorder="1" applyAlignment="1">
      <alignment horizontal="center"/>
    </xf>
    <xf numFmtId="0" fontId="2" fillId="24" borderId="8" xfId="1" applyFill="1" applyBorder="1" applyAlignment="1">
      <alignment horizontal="center"/>
    </xf>
    <xf numFmtId="0" fontId="2" fillId="24" borderId="11" xfId="1" applyFill="1" applyBorder="1" applyAlignment="1">
      <alignment horizontal="center"/>
    </xf>
    <xf numFmtId="0" fontId="2" fillId="24" borderId="80" xfId="1" applyFill="1" applyBorder="1" applyAlignment="1">
      <alignment horizontal="center"/>
    </xf>
    <xf numFmtId="0" fontId="2" fillId="24" borderId="132" xfId="1" applyFill="1" applyBorder="1" applyAlignment="1">
      <alignment horizontal="center"/>
    </xf>
    <xf numFmtId="0" fontId="2" fillId="24" borderId="7" xfId="1" applyFill="1" applyBorder="1"/>
    <xf numFmtId="0" fontId="2" fillId="24" borderId="15" xfId="1" applyFill="1" applyBorder="1" applyAlignment="1">
      <alignment vertical="center"/>
    </xf>
    <xf numFmtId="0" fontId="2" fillId="24" borderId="51" xfId="1" applyFill="1" applyBorder="1" applyAlignment="1">
      <alignment horizontal="center"/>
    </xf>
    <xf numFmtId="0" fontId="2" fillId="24" borderId="0" xfId="1" applyFill="1"/>
    <xf numFmtId="0" fontId="2" fillId="24" borderId="131" xfId="1" applyFill="1" applyBorder="1" applyAlignment="1">
      <alignment horizontal="center"/>
    </xf>
    <xf numFmtId="0" fontId="2" fillId="24" borderId="97" xfId="1" applyFill="1" applyBorder="1"/>
    <xf numFmtId="0" fontId="2" fillId="24" borderId="53" xfId="1" applyFill="1" applyBorder="1" applyAlignment="1">
      <alignment horizontal="center"/>
    </xf>
    <xf numFmtId="0" fontId="2" fillId="24" borderId="15" xfId="1" applyFill="1" applyBorder="1"/>
    <xf numFmtId="0" fontId="2" fillId="24" borderId="103" xfId="1" applyFill="1" applyBorder="1" applyAlignment="1">
      <alignment horizontal="center"/>
    </xf>
    <xf numFmtId="0" fontId="2" fillId="24" borderId="135" xfId="1" applyFill="1" applyBorder="1" applyAlignment="1">
      <alignment horizontal="center"/>
    </xf>
    <xf numFmtId="0" fontId="2" fillId="24" borderId="134" xfId="1" applyFill="1" applyBorder="1" applyAlignment="1">
      <alignment horizontal="center"/>
    </xf>
    <xf numFmtId="0" fontId="2" fillId="24" borderId="52" xfId="1" applyFill="1" applyBorder="1" applyAlignment="1">
      <alignment horizontal="center"/>
    </xf>
    <xf numFmtId="0" fontId="2" fillId="24" borderId="66" xfId="1" applyFill="1" applyBorder="1" applyAlignment="1">
      <alignment horizontal="center"/>
    </xf>
    <xf numFmtId="0" fontId="13" fillId="0" borderId="0" xfId="1" applyFont="1" applyAlignment="1">
      <alignment vertical="center"/>
    </xf>
    <xf numFmtId="0" fontId="2" fillId="24" borderId="20" xfId="1" applyFill="1" applyBorder="1" applyAlignment="1">
      <alignment horizontal="center" vertical="center"/>
    </xf>
    <xf numFmtId="0" fontId="2" fillId="24" borderId="21" xfId="1" applyFill="1" applyBorder="1" applyAlignment="1">
      <alignment horizontal="center" vertical="center"/>
    </xf>
    <xf numFmtId="0" fontId="2" fillId="24" borderId="11" xfId="1" applyFill="1" applyBorder="1" applyAlignment="1">
      <alignment horizontal="center" vertical="center"/>
    </xf>
    <xf numFmtId="0" fontId="2" fillId="24" borderId="19" xfId="1" applyFill="1" applyBorder="1" applyAlignment="1">
      <alignment horizontal="center" vertical="center"/>
    </xf>
    <xf numFmtId="0" fontId="2" fillId="0" borderId="16" xfId="1" applyBorder="1"/>
    <xf numFmtId="0" fontId="2" fillId="39" borderId="15" xfId="1" applyFill="1" applyBorder="1"/>
    <xf numFmtId="0" fontId="2" fillId="21" borderId="6" xfId="1" applyFill="1" applyBorder="1" applyAlignment="1">
      <alignment horizontal="center"/>
    </xf>
    <xf numFmtId="0" fontId="2" fillId="21" borderId="4" xfId="1" applyFill="1" applyBorder="1"/>
    <xf numFmtId="0" fontId="2" fillId="21" borderId="12" xfId="1" applyFill="1" applyBorder="1"/>
    <xf numFmtId="0" fontId="2" fillId="0" borderId="140" xfId="1" applyBorder="1"/>
    <xf numFmtId="0" fontId="2" fillId="0" borderId="7" xfId="1" applyBorder="1"/>
    <xf numFmtId="0" fontId="2" fillId="0" borderId="12" xfId="1" applyBorder="1"/>
    <xf numFmtId="0" fontId="2" fillId="0" borderId="10" xfId="1" applyBorder="1"/>
    <xf numFmtId="0" fontId="2" fillId="0" borderId="11" xfId="1" applyBorder="1"/>
    <xf numFmtId="0" fontId="2" fillId="0" borderId="9" xfId="1" applyBorder="1"/>
    <xf numFmtId="0" fontId="2" fillId="0" borderId="136" xfId="1" applyBorder="1" applyAlignment="1">
      <alignment horizontal="center"/>
    </xf>
    <xf numFmtId="0" fontId="2" fillId="39" borderId="20" xfId="1" applyFill="1" applyBorder="1"/>
    <xf numFmtId="0" fontId="2" fillId="39" borderId="21" xfId="1" applyFill="1" applyBorder="1"/>
    <xf numFmtId="0" fontId="2" fillId="39" borderId="19" xfId="1" applyFill="1" applyBorder="1"/>
    <xf numFmtId="0" fontId="2" fillId="39" borderId="0" xfId="1" applyFill="1"/>
    <xf numFmtId="0" fontId="2" fillId="20" borderId="81" xfId="1" applyFill="1" applyBorder="1" applyAlignment="1">
      <alignment horizontal="center"/>
    </xf>
    <xf numFmtId="0" fontId="2" fillId="0" borderId="21" xfId="1" applyBorder="1"/>
    <xf numFmtId="0" fontId="2" fillId="0" borderId="81" xfId="1" applyBorder="1"/>
    <xf numFmtId="0" fontId="2" fillId="0" borderId="26" xfId="1" applyBorder="1"/>
    <xf numFmtId="0" fontId="2" fillId="39" borderId="30" xfId="1" applyFill="1" applyBorder="1"/>
    <xf numFmtId="0" fontId="2" fillId="39" borderId="31" xfId="1" applyFill="1" applyBorder="1"/>
    <xf numFmtId="0" fontId="2" fillId="39" borderId="32" xfId="1" applyFill="1" applyBorder="1"/>
    <xf numFmtId="0" fontId="2" fillId="20" borderId="36" xfId="1" applyFill="1" applyBorder="1" applyAlignment="1">
      <alignment horizontal="center"/>
    </xf>
    <xf numFmtId="0" fontId="2" fillId="0" borderId="36" xfId="1" applyBorder="1"/>
    <xf numFmtId="0" fontId="2" fillId="0" borderId="35" xfId="1" applyBorder="1"/>
    <xf numFmtId="0" fontId="2" fillId="39" borderId="131" xfId="1" applyFill="1" applyBorder="1"/>
    <xf numFmtId="0" fontId="2" fillId="39" borderId="46" xfId="1" applyFill="1" applyBorder="1"/>
    <xf numFmtId="0" fontId="2" fillId="39" borderId="47" xfId="1" applyFill="1" applyBorder="1"/>
    <xf numFmtId="0" fontId="2" fillId="39" borderId="45" xfId="1" applyFill="1" applyBorder="1"/>
    <xf numFmtId="0" fontId="2" fillId="39" borderId="97" xfId="1" applyFill="1" applyBorder="1"/>
    <xf numFmtId="0" fontId="2" fillId="20" borderId="105" xfId="1" applyFill="1" applyBorder="1" applyAlignment="1">
      <alignment horizontal="center"/>
    </xf>
    <xf numFmtId="0" fontId="2" fillId="0" borderId="138" xfId="1" applyBorder="1"/>
    <xf numFmtId="0" fontId="2" fillId="0" borderId="139" xfId="1" applyBorder="1"/>
    <xf numFmtId="0" fontId="2" fillId="0" borderId="29" xfId="1" applyBorder="1"/>
    <xf numFmtId="0" fontId="2" fillId="0" borderId="141" xfId="1" applyBorder="1"/>
    <xf numFmtId="0" fontId="2" fillId="20" borderId="43" xfId="1" applyFill="1" applyBorder="1" applyAlignment="1">
      <alignment horizontal="center"/>
    </xf>
    <xf numFmtId="0" fontId="2" fillId="0" borderId="47" xfId="1" applyBorder="1"/>
    <xf numFmtId="0" fontId="2" fillId="0" borderId="43" xfId="1" applyBorder="1"/>
    <xf numFmtId="0" fontId="2" fillId="0" borderId="49" xfId="1" applyBorder="1"/>
    <xf numFmtId="0" fontId="2" fillId="52" borderId="0" xfId="1" applyFill="1"/>
    <xf numFmtId="0" fontId="2" fillId="53" borderId="0" xfId="1" applyFill="1"/>
    <xf numFmtId="0" fontId="2" fillId="0" borderId="14" xfId="1" applyBorder="1"/>
    <xf numFmtId="0" fontId="2" fillId="0" borderId="131" xfId="1" applyBorder="1"/>
    <xf numFmtId="0" fontId="2" fillId="0" borderId="24" xfId="1" applyBorder="1"/>
    <xf numFmtId="0" fontId="2" fillId="0" borderId="23" xfId="1" applyBorder="1"/>
    <xf numFmtId="0" fontId="2" fillId="0" borderId="34" xfId="1" applyBorder="1"/>
    <xf numFmtId="0" fontId="2" fillId="0" borderId="105" xfId="1" applyBorder="1"/>
    <xf numFmtId="0" fontId="2" fillId="0" borderId="44" xfId="1" applyBorder="1"/>
    <xf numFmtId="0" fontId="2" fillId="0" borderId="50" xfId="1" applyBorder="1"/>
    <xf numFmtId="0" fontId="2" fillId="21" borderId="5" xfId="1" applyFill="1" applyBorder="1"/>
    <xf numFmtId="0" fontId="2" fillId="0" borderId="8" xfId="1" applyBorder="1"/>
    <xf numFmtId="0" fontId="2" fillId="0" borderId="6" xfId="1" applyBorder="1"/>
    <xf numFmtId="0" fontId="2" fillId="0" borderId="18" xfId="1" applyBorder="1"/>
    <xf numFmtId="0" fontId="39" fillId="0" borderId="0" xfId="1" applyFont="1"/>
    <xf numFmtId="0" fontId="2" fillId="0" borderId="96" xfId="1" applyBorder="1"/>
    <xf numFmtId="0" fontId="2" fillId="0" borderId="140" xfId="1" applyBorder="1" applyAlignment="1">
      <alignment horizontal="center"/>
    </xf>
    <xf numFmtId="0" fontId="2" fillId="0" borderId="133" xfId="1" applyBorder="1"/>
    <xf numFmtId="0" fontId="2" fillId="0" borderId="26" xfId="1" applyBorder="1" applyAlignment="1">
      <alignment horizontal="center"/>
    </xf>
    <xf numFmtId="0" fontId="2" fillId="0" borderId="35" xfId="1" applyBorder="1" applyAlignment="1">
      <alignment horizontal="center"/>
    </xf>
    <xf numFmtId="0" fontId="2" fillId="0" borderId="141" xfId="1" applyBorder="1" applyAlignment="1">
      <alignment horizontal="center"/>
    </xf>
    <xf numFmtId="0" fontId="2" fillId="0" borderId="49" xfId="1" applyBorder="1" applyAlignment="1">
      <alignment horizontal="center"/>
    </xf>
    <xf numFmtId="0" fontId="42" fillId="0" borderId="0" xfId="1" applyFont="1"/>
    <xf numFmtId="0" fontId="2" fillId="21" borderId="1" xfId="1" applyFill="1" applyBorder="1" applyAlignment="1">
      <alignment horizontal="center"/>
    </xf>
    <xf numFmtId="0" fontId="2" fillId="21" borderId="1" xfId="1" applyFill="1" applyBorder="1"/>
    <xf numFmtId="0" fontId="2" fillId="21" borderId="2" xfId="1" applyFill="1" applyBorder="1"/>
    <xf numFmtId="0" fontId="2" fillId="21" borderId="7" xfId="1" applyFill="1" applyBorder="1" applyAlignment="1">
      <alignment horizontal="center"/>
    </xf>
    <xf numFmtId="0" fontId="2" fillId="21" borderId="8" xfId="1" applyFill="1" applyBorder="1"/>
    <xf numFmtId="0" fontId="2" fillId="21" borderId="11" xfId="1" applyFill="1" applyBorder="1"/>
    <xf numFmtId="0" fontId="2" fillId="21" borderId="9" xfId="1" applyFill="1" applyBorder="1"/>
    <xf numFmtId="0" fontId="2" fillId="21" borderId="16" xfId="1" applyFill="1" applyBorder="1"/>
    <xf numFmtId="0" fontId="2" fillId="20" borderId="88" xfId="1" applyFill="1" applyBorder="1" applyAlignment="1">
      <alignment horizontal="center"/>
    </xf>
    <xf numFmtId="0" fontId="2" fillId="0" borderId="88" xfId="1" applyBorder="1"/>
    <xf numFmtId="0" fontId="2" fillId="0" borderId="69" xfId="1" applyBorder="1"/>
    <xf numFmtId="0" fontId="2" fillId="20" borderId="26" xfId="1" applyFill="1" applyBorder="1" applyAlignment="1">
      <alignment horizontal="center"/>
    </xf>
    <xf numFmtId="0" fontId="2" fillId="20" borderId="35" xfId="1" applyFill="1" applyBorder="1" applyAlignment="1">
      <alignment horizontal="center"/>
    </xf>
    <xf numFmtId="0" fontId="2" fillId="0" borderId="94" xfId="1" applyBorder="1"/>
    <xf numFmtId="0" fontId="2" fillId="20" borderId="49" xfId="1" applyFill="1" applyBorder="1" applyAlignment="1">
      <alignment horizontal="center"/>
    </xf>
    <xf numFmtId="0" fontId="2" fillId="0" borderId="70" xfId="1" applyBorder="1"/>
    <xf numFmtId="0" fontId="2" fillId="0" borderId="103" xfId="1" applyBorder="1"/>
    <xf numFmtId="0" fontId="2" fillId="0" borderId="53" xfId="1" applyBorder="1"/>
    <xf numFmtId="0" fontId="2" fillId="0" borderId="135" xfId="1" applyBorder="1"/>
    <xf numFmtId="0" fontId="2" fillId="0" borderId="134" xfId="1" applyBorder="1"/>
    <xf numFmtId="0" fontId="2" fillId="49" borderId="88" xfId="1" applyFill="1" applyBorder="1" applyAlignment="1">
      <alignment horizontal="center"/>
    </xf>
    <xf numFmtId="0" fontId="2" fillId="49" borderId="35" xfId="1" applyFill="1" applyBorder="1" applyAlignment="1">
      <alignment horizontal="center"/>
    </xf>
    <xf numFmtId="0" fontId="2" fillId="49" borderId="49" xfId="1" applyFill="1" applyBorder="1" applyAlignment="1">
      <alignment horizontal="center"/>
    </xf>
    <xf numFmtId="0" fontId="2" fillId="35" borderId="7" xfId="1" applyFill="1" applyBorder="1" applyAlignment="1">
      <alignment horizontal="right"/>
    </xf>
    <xf numFmtId="0" fontId="2" fillId="35" borderId="4" xfId="1" applyFill="1" applyBorder="1"/>
    <xf numFmtId="0" fontId="2" fillId="35" borderId="12" xfId="1" applyFill="1" applyBorder="1"/>
    <xf numFmtId="0" fontId="2" fillId="35" borderId="5" xfId="1" applyFill="1" applyBorder="1"/>
    <xf numFmtId="0" fontId="2" fillId="35" borderId="81" xfId="1" applyFill="1" applyBorder="1" applyAlignment="1">
      <alignment horizontal="right"/>
    </xf>
    <xf numFmtId="0" fontId="2" fillId="35" borderId="105" xfId="1" applyFill="1" applyBorder="1" applyAlignment="1">
      <alignment horizontal="right"/>
    </xf>
    <xf numFmtId="0" fontId="2" fillId="0" borderId="0" xfId="1" applyAlignment="1">
      <alignment vertical="top"/>
    </xf>
    <xf numFmtId="49" fontId="2" fillId="0" borderId="0" xfId="1" applyNumberFormat="1" applyAlignment="1">
      <alignment vertical="top"/>
    </xf>
    <xf numFmtId="0" fontId="9" fillId="0" borderId="0" xfId="1" applyFont="1" applyAlignment="1">
      <alignment vertical="top"/>
    </xf>
    <xf numFmtId="49" fontId="9" fillId="0" borderId="0" xfId="1" applyNumberFormat="1" applyFont="1" applyAlignment="1">
      <alignment vertical="top"/>
    </xf>
    <xf numFmtId="14" fontId="2" fillId="0" borderId="0" xfId="1" applyNumberFormat="1" applyAlignment="1">
      <alignment vertical="top"/>
    </xf>
    <xf numFmtId="0" fontId="2" fillId="0" borderId="0" xfId="1" applyAlignment="1">
      <alignment vertical="top" wrapText="1"/>
    </xf>
    <xf numFmtId="0" fontId="2" fillId="0" borderId="0" xfId="1" applyAlignment="1">
      <alignment wrapText="1"/>
    </xf>
    <xf numFmtId="0" fontId="40" fillId="0" borderId="0" xfId="1" applyFont="1" applyAlignment="1">
      <alignment vertical="center"/>
    </xf>
    <xf numFmtId="0" fontId="2" fillId="0" borderId="142" xfId="1" applyBorder="1"/>
    <xf numFmtId="49" fontId="2" fillId="0" borderId="142" xfId="1" applyNumberFormat="1" applyBorder="1" applyAlignment="1">
      <alignment wrapText="1"/>
    </xf>
    <xf numFmtId="49" fontId="43" fillId="0" borderId="142" xfId="1" applyNumberFormat="1" applyFont="1" applyBorder="1" applyAlignment="1">
      <alignment wrapText="1"/>
    </xf>
    <xf numFmtId="49" fontId="9" fillId="0" borderId="142" xfId="1" applyNumberFormat="1" applyFont="1" applyBorder="1" applyAlignment="1">
      <alignment wrapText="1"/>
    </xf>
    <xf numFmtId="49" fontId="2" fillId="0" borderId="142" xfId="1" applyNumberFormat="1" applyBorder="1" applyAlignment="1">
      <alignment vertical="top" wrapText="1"/>
    </xf>
    <xf numFmtId="0" fontId="2" fillId="0" borderId="142" xfId="1" applyBorder="1" applyAlignment="1">
      <alignment horizontal="center"/>
    </xf>
    <xf numFmtId="166" fontId="2" fillId="0" borderId="142" xfId="1" applyNumberFormat="1" applyBorder="1"/>
    <xf numFmtId="0" fontId="3" fillId="0" borderId="0" xfId="1" applyFont="1" applyAlignment="1">
      <alignment horizontal="center" vertical="center"/>
    </xf>
    <xf numFmtId="0" fontId="2" fillId="16" borderId="0" xfId="1" applyFill="1" applyAlignment="1">
      <alignment horizontal="center"/>
    </xf>
    <xf numFmtId="0" fontId="2" fillId="16" borderId="0" xfId="1" applyFill="1"/>
    <xf numFmtId="49" fontId="2" fillId="0" borderId="0" xfId="1" quotePrefix="1" applyNumberFormat="1" applyAlignment="1">
      <alignment vertical="top"/>
    </xf>
    <xf numFmtId="0" fontId="2" fillId="35" borderId="152" xfId="1" applyFill="1" applyBorder="1" applyAlignment="1">
      <alignment horizontal="right"/>
    </xf>
    <xf numFmtId="0" fontId="2" fillId="35" borderId="145" xfId="1" applyFill="1" applyBorder="1" applyAlignment="1">
      <alignment horizontal="right"/>
    </xf>
    <xf numFmtId="0" fontId="2" fillId="35" borderId="150" xfId="1" applyFill="1" applyBorder="1" applyAlignment="1">
      <alignment horizontal="right"/>
    </xf>
    <xf numFmtId="164" fontId="2" fillId="2" borderId="0" xfId="1" applyNumberFormat="1" applyFill="1"/>
    <xf numFmtId="0" fontId="2" fillId="35" borderId="145" xfId="1" applyFill="1" applyBorder="1"/>
    <xf numFmtId="0" fontId="2" fillId="35" borderId="145" xfId="1" applyFill="1" applyBorder="1" applyAlignment="1">
      <alignment vertical="center"/>
    </xf>
    <xf numFmtId="0" fontId="12" fillId="2" borderId="0" xfId="1" applyFont="1" applyFill="1"/>
    <xf numFmtId="0" fontId="9" fillId="2" borderId="0" xfId="1" applyFont="1" applyFill="1"/>
    <xf numFmtId="0" fontId="2" fillId="0" borderId="150" xfId="1" applyBorder="1" applyAlignment="1">
      <alignment horizontal="right"/>
    </xf>
    <xf numFmtId="0" fontId="2" fillId="0" borderId="151" xfId="1" applyBorder="1" applyAlignment="1">
      <alignment horizontal="right"/>
    </xf>
    <xf numFmtId="0" fontId="2" fillId="0" borderId="147" xfId="1" applyBorder="1" applyAlignment="1">
      <alignment horizontal="right"/>
    </xf>
    <xf numFmtId="0" fontId="2" fillId="0" borderId="146" xfId="1" applyBorder="1" applyAlignment="1">
      <alignment horizontal="right"/>
    </xf>
    <xf numFmtId="0" fontId="2" fillId="0" borderId="148" xfId="1" applyBorder="1" applyAlignment="1">
      <alignment horizontal="right"/>
    </xf>
    <xf numFmtId="0" fontId="2" fillId="0" borderId="144" xfId="1" applyBorder="1" applyAlignment="1">
      <alignment horizontal="right"/>
    </xf>
    <xf numFmtId="0" fontId="2" fillId="0" borderId="153" xfId="1" applyBorder="1" applyAlignment="1">
      <alignment horizontal="right"/>
    </xf>
    <xf numFmtId="0" fontId="2" fillId="0" borderId="154" xfId="1" applyBorder="1" applyAlignment="1">
      <alignment horizontal="right"/>
    </xf>
    <xf numFmtId="0" fontId="2" fillId="0" borderId="81" xfId="1" applyBorder="1" applyAlignment="1">
      <alignment horizontal="right"/>
    </xf>
    <xf numFmtId="0" fontId="2" fillId="0" borderId="18" xfId="1" applyBorder="1" applyAlignment="1">
      <alignment horizontal="right"/>
    </xf>
    <xf numFmtId="0" fontId="2" fillId="0" borderId="149" xfId="1" applyBorder="1" applyAlignment="1">
      <alignment horizontal="right"/>
    </xf>
    <xf numFmtId="0" fontId="2" fillId="0" borderId="143" xfId="1" applyBorder="1" applyAlignment="1">
      <alignment horizontal="right"/>
    </xf>
    <xf numFmtId="0" fontId="2" fillId="0" borderId="155" xfId="1" applyBorder="1" applyAlignment="1">
      <alignment horizontal="right"/>
    </xf>
    <xf numFmtId="0" fontId="2" fillId="0" borderId="145" xfId="1" applyBorder="1" applyAlignment="1">
      <alignment horizontal="right"/>
    </xf>
    <xf numFmtId="0" fontId="2" fillId="0" borderId="34" xfId="1" applyBorder="1" applyAlignment="1">
      <alignment horizontal="right"/>
    </xf>
    <xf numFmtId="0" fontId="2" fillId="0" borderId="145" xfId="1" applyBorder="1"/>
    <xf numFmtId="0" fontId="2" fillId="0" borderId="149" xfId="1" applyBorder="1"/>
    <xf numFmtId="0" fontId="2" fillId="0" borderId="143" xfId="1" applyBorder="1"/>
    <xf numFmtId="0" fontId="2" fillId="0" borderId="155" xfId="1" applyBorder="1"/>
    <xf numFmtId="0" fontId="2" fillId="0" borderId="145" xfId="1" applyBorder="1" applyAlignment="1">
      <alignment vertical="center"/>
    </xf>
    <xf numFmtId="0" fontId="2" fillId="0" borderId="145" xfId="1" applyBorder="1" applyAlignment="1">
      <alignment horizontal="right" vertical="center"/>
    </xf>
    <xf numFmtId="0" fontId="2" fillId="0" borderId="156" xfId="1" applyBorder="1" applyAlignment="1">
      <alignment horizontal="right"/>
    </xf>
    <xf numFmtId="0" fontId="2" fillId="0" borderId="146" xfId="1" applyBorder="1" applyAlignment="1">
      <alignment vertical="center"/>
    </xf>
    <xf numFmtId="0" fontId="2" fillId="0" borderId="146" xfId="1" applyBorder="1" applyAlignment="1">
      <alignment horizontal="right" vertical="center"/>
    </xf>
    <xf numFmtId="0" fontId="3" fillId="9" borderId="1" xfId="1" applyFont="1" applyFill="1" applyBorder="1" applyAlignment="1">
      <alignment horizontal="center" vertical="center"/>
    </xf>
    <xf numFmtId="0" fontId="3" fillId="9" borderId="3" xfId="1" applyFont="1" applyFill="1" applyBorder="1" applyAlignment="1">
      <alignment horizontal="center" vertical="center"/>
    </xf>
    <xf numFmtId="0" fontId="3" fillId="9" borderId="2" xfId="1" applyFont="1" applyFill="1" applyBorder="1" applyAlignment="1">
      <alignment horizontal="center" vertical="center"/>
    </xf>
    <xf numFmtId="0" fontId="3" fillId="13" borderId="1" xfId="1" applyFont="1" applyFill="1" applyBorder="1" applyAlignment="1">
      <alignment horizontal="center" vertical="center"/>
    </xf>
    <xf numFmtId="0" fontId="3" fillId="13" borderId="2" xfId="1" applyFont="1" applyFill="1" applyBorder="1" applyAlignment="1">
      <alignment horizontal="center" vertical="center"/>
    </xf>
    <xf numFmtId="0" fontId="3" fillId="14" borderId="1" xfId="1" applyFont="1" applyFill="1" applyBorder="1" applyAlignment="1">
      <alignment horizontal="center" vertical="center"/>
    </xf>
    <xf numFmtId="0" fontId="3" fillId="14" borderId="3" xfId="1" applyFont="1" applyFill="1" applyBorder="1" applyAlignment="1">
      <alignment horizontal="center" vertical="center"/>
    </xf>
    <xf numFmtId="0" fontId="3" fillId="14" borderId="2" xfId="1" applyFont="1" applyFill="1" applyBorder="1" applyAlignment="1">
      <alignment horizontal="center" vertical="center"/>
    </xf>
    <xf numFmtId="0" fontId="3" fillId="3" borderId="1" xfId="1" applyFont="1" applyFill="1" applyBorder="1" applyAlignment="1">
      <alignment horizontal="center" vertical="center"/>
    </xf>
    <xf numFmtId="0" fontId="3" fillId="3" borderId="2" xfId="1" applyFont="1" applyFill="1" applyBorder="1" applyAlignment="1">
      <alignment horizontal="center" vertical="center"/>
    </xf>
    <xf numFmtId="0" fontId="3" fillId="5" borderId="1" xfId="1" applyFont="1" applyFill="1" applyBorder="1" applyAlignment="1">
      <alignment horizontal="center" vertical="center"/>
    </xf>
    <xf numFmtId="0" fontId="3" fillId="5" borderId="3" xfId="1" applyFont="1" applyFill="1" applyBorder="1" applyAlignment="1">
      <alignment horizontal="center" vertical="center"/>
    </xf>
    <xf numFmtId="0" fontId="3" fillId="5" borderId="2" xfId="1" applyFont="1" applyFill="1" applyBorder="1" applyAlignment="1">
      <alignment horizontal="center" vertical="center"/>
    </xf>
    <xf numFmtId="0" fontId="3" fillId="6" borderId="1" xfId="1" applyFont="1" applyFill="1" applyBorder="1" applyAlignment="1">
      <alignment horizontal="center" vertical="center"/>
    </xf>
    <xf numFmtId="0" fontId="3" fillId="6" borderId="3" xfId="1" applyFont="1" applyFill="1" applyBorder="1" applyAlignment="1">
      <alignment horizontal="center" vertical="center"/>
    </xf>
    <xf numFmtId="0" fontId="3" fillId="6" borderId="2" xfId="1" applyFont="1" applyFill="1" applyBorder="1" applyAlignment="1">
      <alignment horizontal="center" vertical="center"/>
    </xf>
    <xf numFmtId="0" fontId="3" fillId="7" borderId="1" xfId="1" applyFont="1" applyFill="1" applyBorder="1" applyAlignment="1">
      <alignment horizontal="center" vertical="center" wrapText="1"/>
    </xf>
    <xf numFmtId="0" fontId="3" fillId="7" borderId="3" xfId="1" applyFont="1" applyFill="1" applyBorder="1" applyAlignment="1">
      <alignment horizontal="center" vertical="center" wrapText="1"/>
    </xf>
    <xf numFmtId="0" fontId="3" fillId="7" borderId="2" xfId="1" applyFont="1" applyFill="1" applyBorder="1" applyAlignment="1">
      <alignment horizontal="center" vertical="center" wrapText="1"/>
    </xf>
    <xf numFmtId="0" fontId="3" fillId="8" borderId="1" xfId="1" applyFont="1" applyFill="1" applyBorder="1" applyAlignment="1">
      <alignment horizontal="center" vertical="center"/>
    </xf>
    <xf numFmtId="0" fontId="3" fillId="8" borderId="3" xfId="1" applyFont="1" applyFill="1" applyBorder="1" applyAlignment="1">
      <alignment horizontal="center" vertical="center"/>
    </xf>
    <xf numFmtId="0" fontId="3" fillId="8" borderId="2" xfId="1" applyFont="1" applyFill="1" applyBorder="1" applyAlignment="1">
      <alignment horizontal="center" vertical="center"/>
    </xf>
    <xf numFmtId="0" fontId="3" fillId="4" borderId="1" xfId="1" applyFont="1" applyFill="1" applyBorder="1" applyAlignment="1">
      <alignment horizontal="center" vertical="center" wrapText="1"/>
    </xf>
    <xf numFmtId="0" fontId="3" fillId="4" borderId="3" xfId="1" applyFont="1" applyFill="1" applyBorder="1" applyAlignment="1">
      <alignment horizontal="center" vertical="center" wrapText="1"/>
    </xf>
    <xf numFmtId="0" fontId="3" fillId="4" borderId="2" xfId="1" applyFont="1" applyFill="1" applyBorder="1" applyAlignment="1">
      <alignment horizontal="center" vertical="center" wrapText="1"/>
    </xf>
    <xf numFmtId="0" fontId="8" fillId="33" borderId="1" xfId="1" applyFont="1" applyFill="1" applyBorder="1" applyAlignment="1">
      <alignment horizontal="center" vertical="center"/>
    </xf>
    <xf numFmtId="0" fontId="8" fillId="33" borderId="3" xfId="1" applyFont="1" applyFill="1" applyBorder="1" applyAlignment="1">
      <alignment horizontal="center" vertical="center"/>
    </xf>
    <xf numFmtId="0" fontId="8" fillId="33" borderId="2" xfId="1" applyFont="1" applyFill="1" applyBorder="1" applyAlignment="1">
      <alignment horizontal="center" vertical="center"/>
    </xf>
    <xf numFmtId="0" fontId="8" fillId="32" borderId="1" xfId="1" applyFont="1" applyFill="1" applyBorder="1" applyAlignment="1">
      <alignment horizontal="center" vertical="center"/>
    </xf>
    <xf numFmtId="0" fontId="8" fillId="32" borderId="3" xfId="1" applyFont="1" applyFill="1" applyBorder="1" applyAlignment="1">
      <alignment horizontal="center" vertical="center"/>
    </xf>
    <xf numFmtId="0" fontId="8" fillId="32" borderId="2" xfId="1" applyFont="1" applyFill="1" applyBorder="1" applyAlignment="1">
      <alignment horizontal="center" vertical="center"/>
    </xf>
    <xf numFmtId="0" fontId="8" fillId="0" borderId="1" xfId="1" applyFont="1" applyBorder="1" applyAlignment="1">
      <alignment horizontal="center" vertical="center"/>
    </xf>
    <xf numFmtId="0" fontId="8" fillId="0" borderId="3" xfId="1" applyFont="1" applyBorder="1" applyAlignment="1">
      <alignment horizontal="center" vertical="center"/>
    </xf>
    <xf numFmtId="0" fontId="8" fillId="0" borderId="2" xfId="1" applyFont="1" applyBorder="1" applyAlignment="1">
      <alignment horizontal="center" vertical="center"/>
    </xf>
    <xf numFmtId="0" fontId="2" fillId="0" borderId="0" xfId="1" applyAlignment="1">
      <alignment horizontal="center"/>
    </xf>
    <xf numFmtId="0" fontId="8" fillId="24" borderId="50" xfId="1" applyFont="1" applyFill="1" applyBorder="1" applyAlignment="1">
      <alignment horizontal="center"/>
    </xf>
    <xf numFmtId="0" fontId="8" fillId="24" borderId="51" xfId="1" applyFont="1" applyFill="1" applyBorder="1" applyAlignment="1">
      <alignment horizontal="center"/>
    </xf>
    <xf numFmtId="0" fontId="8" fillId="30" borderId="1" xfId="1" applyFont="1" applyFill="1" applyBorder="1" applyAlignment="1">
      <alignment horizontal="center" vertical="center"/>
    </xf>
    <xf numFmtId="0" fontId="8" fillId="30" borderId="3" xfId="1" applyFont="1" applyFill="1" applyBorder="1" applyAlignment="1">
      <alignment horizontal="center" vertical="center"/>
    </xf>
    <xf numFmtId="0" fontId="8" fillId="30" borderId="2" xfId="1" applyFont="1" applyFill="1" applyBorder="1" applyAlignment="1">
      <alignment horizontal="center" vertical="center"/>
    </xf>
    <xf numFmtId="0" fontId="8" fillId="31" borderId="1" xfId="1" applyFont="1" applyFill="1" applyBorder="1" applyAlignment="1">
      <alignment horizontal="center" vertical="center"/>
    </xf>
    <xf numFmtId="0" fontId="8" fillId="31" borderId="3" xfId="1" applyFont="1" applyFill="1" applyBorder="1" applyAlignment="1">
      <alignment horizontal="center" vertical="center"/>
    </xf>
    <xf numFmtId="0" fontId="8" fillId="31" borderId="2" xfId="1" applyFont="1" applyFill="1" applyBorder="1" applyAlignment="1">
      <alignment horizontal="center" vertical="center"/>
    </xf>
    <xf numFmtId="0" fontId="8" fillId="34" borderId="1" xfId="1" applyFont="1" applyFill="1" applyBorder="1" applyAlignment="1">
      <alignment horizontal="center" vertical="center" wrapText="1"/>
    </xf>
    <xf numFmtId="0" fontId="8" fillId="34" borderId="3" xfId="1" applyFont="1" applyFill="1" applyBorder="1" applyAlignment="1">
      <alignment horizontal="center" vertical="center"/>
    </xf>
    <xf numFmtId="0" fontId="8" fillId="34" borderId="2" xfId="1" applyFont="1" applyFill="1" applyBorder="1" applyAlignment="1">
      <alignment horizontal="center" vertical="center"/>
    </xf>
    <xf numFmtId="164" fontId="8" fillId="34" borderId="1" xfId="1" applyNumberFormat="1" applyFont="1" applyFill="1" applyBorder="1" applyAlignment="1">
      <alignment horizontal="center" vertical="center"/>
    </xf>
    <xf numFmtId="164" fontId="8" fillId="34" borderId="3" xfId="1" applyNumberFormat="1" applyFont="1" applyFill="1" applyBorder="1" applyAlignment="1">
      <alignment horizontal="center" vertical="center"/>
    </xf>
    <xf numFmtId="164" fontId="8" fillId="34" borderId="2" xfId="1" applyNumberFormat="1" applyFont="1" applyFill="1" applyBorder="1" applyAlignment="1">
      <alignment horizontal="center" vertical="center"/>
    </xf>
    <xf numFmtId="0" fontId="13" fillId="17" borderId="1" xfId="1" applyFont="1" applyFill="1" applyBorder="1" applyAlignment="1">
      <alignment horizontal="center" vertical="center"/>
    </xf>
    <xf numFmtId="0" fontId="13" fillId="17" borderId="2" xfId="1" applyFont="1" applyFill="1" applyBorder="1" applyAlignment="1">
      <alignment horizontal="center" vertical="center"/>
    </xf>
    <xf numFmtId="0" fontId="13" fillId="0" borderId="0" xfId="1" applyFont="1" applyAlignment="1">
      <alignment horizontal="center" vertical="center"/>
    </xf>
    <xf numFmtId="0" fontId="12" fillId="0" borderId="0" xfId="1" applyFont="1" applyAlignment="1">
      <alignment horizontal="center"/>
    </xf>
    <xf numFmtId="0" fontId="12" fillId="0" borderId="15" xfId="1" applyFont="1" applyBorder="1" applyAlignment="1">
      <alignment horizontal="center"/>
    </xf>
    <xf numFmtId="0" fontId="12" fillId="0" borderId="3" xfId="1" applyFont="1" applyBorder="1" applyAlignment="1">
      <alignment horizontal="center"/>
    </xf>
    <xf numFmtId="0" fontId="3" fillId="42" borderId="4" xfId="1" applyFont="1" applyFill="1" applyBorder="1" applyAlignment="1">
      <alignment horizontal="center"/>
    </xf>
    <xf numFmtId="0" fontId="3" fillId="42" borderId="13" xfId="1" applyFont="1" applyFill="1" applyBorder="1" applyAlignment="1">
      <alignment horizontal="center"/>
    </xf>
    <xf numFmtId="0" fontId="29" fillId="0" borderId="0" xfId="1" applyFont="1" applyAlignment="1">
      <alignment horizontal="center"/>
    </xf>
    <xf numFmtId="0" fontId="31" fillId="0" borderId="0" xfId="1" applyFont="1" applyAlignment="1">
      <alignment horizontal="center"/>
    </xf>
    <xf numFmtId="0" fontId="3" fillId="40" borderId="15" xfId="1" applyFont="1" applyFill="1" applyBorder="1" applyAlignment="1">
      <alignment horizontal="center"/>
    </xf>
    <xf numFmtId="0" fontId="3" fillId="40" borderId="51" xfId="1" applyFont="1" applyFill="1" applyBorder="1" applyAlignment="1">
      <alignment horizontal="center"/>
    </xf>
    <xf numFmtId="0" fontId="3" fillId="17" borderId="1" xfId="1" applyFont="1" applyFill="1" applyBorder="1" applyAlignment="1">
      <alignment horizontal="center"/>
    </xf>
    <xf numFmtId="0" fontId="3" fillId="17" borderId="3" xfId="1" applyFont="1" applyFill="1" applyBorder="1" applyAlignment="1">
      <alignment horizontal="center"/>
    </xf>
    <xf numFmtId="0" fontId="3" fillId="36" borderId="1" xfId="1" applyFont="1" applyFill="1" applyBorder="1" applyAlignment="1">
      <alignment horizontal="center"/>
    </xf>
    <xf numFmtId="0" fontId="3" fillId="36" borderId="3" xfId="1" applyFont="1" applyFill="1" applyBorder="1" applyAlignment="1">
      <alignment horizontal="center"/>
    </xf>
    <xf numFmtId="0" fontId="3" fillId="36" borderId="2" xfId="1" applyFont="1" applyFill="1" applyBorder="1" applyAlignment="1">
      <alignment horizontal="center"/>
    </xf>
    <xf numFmtId="0" fontId="3" fillId="35" borderId="1" xfId="1" applyFont="1" applyFill="1" applyBorder="1" applyAlignment="1">
      <alignment horizontal="center"/>
    </xf>
    <xf numFmtId="0" fontId="3" fillId="35" borderId="2" xfId="1" applyFont="1" applyFill="1" applyBorder="1" applyAlignment="1">
      <alignment horizontal="center"/>
    </xf>
    <xf numFmtId="0" fontId="3" fillId="38" borderId="1" xfId="1" applyFont="1" applyFill="1" applyBorder="1" applyAlignment="1">
      <alignment horizontal="center"/>
    </xf>
    <xf numFmtId="0" fontId="3" fillId="38" borderId="3" xfId="1" applyFont="1" applyFill="1" applyBorder="1" applyAlignment="1">
      <alignment horizontal="center"/>
    </xf>
    <xf numFmtId="0" fontId="3" fillId="38" borderId="2" xfId="1" applyFont="1" applyFill="1" applyBorder="1" applyAlignment="1">
      <alignment horizontal="center"/>
    </xf>
    <xf numFmtId="0" fontId="3" fillId="23" borderId="12" xfId="1" applyFont="1" applyFill="1" applyBorder="1" applyAlignment="1">
      <alignment horizontal="center"/>
    </xf>
    <xf numFmtId="0" fontId="3" fillId="24" borderId="12" xfId="1" applyFont="1" applyFill="1" applyBorder="1" applyAlignment="1">
      <alignment horizontal="center"/>
    </xf>
    <xf numFmtId="0" fontId="3" fillId="24" borderId="5" xfId="1" applyFont="1" applyFill="1" applyBorder="1" applyAlignment="1">
      <alignment horizontal="center"/>
    </xf>
    <xf numFmtId="0" fontId="3" fillId="37" borderId="50" xfId="1" applyFont="1" applyFill="1" applyBorder="1" applyAlignment="1">
      <alignment horizontal="center"/>
    </xf>
    <xf numFmtId="0" fontId="3" fillId="37" borderId="51" xfId="1" applyFont="1" applyFill="1" applyBorder="1" applyAlignment="1">
      <alignment horizontal="center"/>
    </xf>
    <xf numFmtId="0" fontId="3" fillId="35" borderId="3" xfId="1" applyFont="1" applyFill="1" applyBorder="1" applyAlignment="1">
      <alignment horizontal="center"/>
    </xf>
    <xf numFmtId="0" fontId="3" fillId="23" borderId="50" xfId="1" applyFont="1" applyFill="1" applyBorder="1" applyAlignment="1">
      <alignment horizontal="center"/>
    </xf>
    <xf numFmtId="0" fontId="3" fillId="23" borderId="15" xfId="1" applyFont="1" applyFill="1" applyBorder="1" applyAlignment="1">
      <alignment horizontal="center"/>
    </xf>
    <xf numFmtId="0" fontId="3" fillId="17" borderId="50" xfId="1" applyFont="1" applyFill="1" applyBorder="1" applyAlignment="1">
      <alignment horizontal="center"/>
    </xf>
    <xf numFmtId="0" fontId="3" fillId="17" borderId="15" xfId="1" applyFont="1" applyFill="1" applyBorder="1" applyAlignment="1">
      <alignment horizontal="center"/>
    </xf>
    <xf numFmtId="0" fontId="3" fillId="17" borderId="51" xfId="1" applyFont="1" applyFill="1" applyBorder="1" applyAlignment="1">
      <alignment horizontal="center"/>
    </xf>
    <xf numFmtId="0" fontId="3" fillId="39" borderId="1" xfId="1" applyFont="1" applyFill="1" applyBorder="1" applyAlignment="1">
      <alignment horizontal="center"/>
    </xf>
    <xf numFmtId="0" fontId="3" fillId="39" borderId="3" xfId="1" applyFont="1" applyFill="1" applyBorder="1" applyAlignment="1">
      <alignment horizontal="center"/>
    </xf>
    <xf numFmtId="0" fontId="3" fillId="39" borderId="51" xfId="1" applyFont="1" applyFill="1" applyBorder="1" applyAlignment="1">
      <alignment horizontal="center"/>
    </xf>
    <xf numFmtId="0" fontId="2" fillId="48" borderId="1" xfId="1" applyFill="1" applyBorder="1" applyAlignment="1">
      <alignment horizontal="center" vertical="center"/>
    </xf>
    <xf numFmtId="0" fontId="2" fillId="48" borderId="3" xfId="1" applyFill="1" applyBorder="1" applyAlignment="1">
      <alignment horizontal="center" vertical="center"/>
    </xf>
    <xf numFmtId="0" fontId="2" fillId="48" borderId="2" xfId="1" applyFill="1" applyBorder="1" applyAlignment="1">
      <alignment horizontal="center" vertical="center"/>
    </xf>
    <xf numFmtId="0" fontId="3" fillId="48" borderId="1" xfId="1" applyFont="1" applyFill="1" applyBorder="1" applyAlignment="1">
      <alignment horizontal="center" vertical="center"/>
    </xf>
    <xf numFmtId="0" fontId="3" fillId="48" borderId="3" xfId="1" applyFont="1" applyFill="1" applyBorder="1" applyAlignment="1">
      <alignment horizontal="center" vertical="center"/>
    </xf>
    <xf numFmtId="0" fontId="3" fillId="48" borderId="2" xfId="1" applyFont="1" applyFill="1" applyBorder="1" applyAlignment="1">
      <alignment horizontal="center" vertical="center"/>
    </xf>
    <xf numFmtId="0" fontId="3" fillId="48" borderId="51" xfId="1" applyFont="1" applyFill="1" applyBorder="1" applyAlignment="1">
      <alignment horizontal="center" vertical="center"/>
    </xf>
    <xf numFmtId="0" fontId="2" fillId="28" borderId="1" xfId="1" applyFill="1" applyBorder="1" applyAlignment="1">
      <alignment horizontal="center"/>
    </xf>
    <xf numFmtId="0" fontId="2" fillId="28" borderId="2" xfId="1" applyFill="1" applyBorder="1" applyAlignment="1">
      <alignment horizontal="center"/>
    </xf>
    <xf numFmtId="0" fontId="3" fillId="47" borderId="50" xfId="1" applyFont="1" applyFill="1" applyBorder="1" applyAlignment="1">
      <alignment horizontal="center" vertical="center"/>
    </xf>
    <xf numFmtId="0" fontId="3" fillId="47" borderId="15" xfId="1" applyFont="1" applyFill="1" applyBorder="1" applyAlignment="1">
      <alignment horizontal="center" vertical="center"/>
    </xf>
    <xf numFmtId="0" fontId="3" fillId="47" borderId="51" xfId="1" applyFont="1" applyFill="1" applyBorder="1" applyAlignment="1">
      <alignment horizontal="center" vertical="center"/>
    </xf>
    <xf numFmtId="0" fontId="3" fillId="47" borderId="1" xfId="1" applyFont="1" applyFill="1" applyBorder="1" applyAlignment="1">
      <alignment horizontal="center" vertical="center"/>
    </xf>
    <xf numFmtId="0" fontId="3" fillId="47" borderId="3" xfId="1" applyFont="1" applyFill="1" applyBorder="1" applyAlignment="1">
      <alignment horizontal="center" vertical="center"/>
    </xf>
    <xf numFmtId="0" fontId="3" fillId="47" borderId="2" xfId="1" applyFont="1" applyFill="1" applyBorder="1" applyAlignment="1">
      <alignment horizontal="center" vertical="center"/>
    </xf>
    <xf numFmtId="0" fontId="12" fillId="48" borderId="50" xfId="1" applyFont="1" applyFill="1" applyBorder="1" applyAlignment="1">
      <alignment horizontal="center" vertical="center"/>
    </xf>
    <xf numFmtId="0" fontId="12" fillId="48" borderId="15" xfId="1" applyFont="1" applyFill="1" applyBorder="1" applyAlignment="1">
      <alignment horizontal="center" vertical="center"/>
    </xf>
    <xf numFmtId="0" fontId="12" fillId="48" borderId="51" xfId="1" applyFont="1" applyFill="1" applyBorder="1" applyAlignment="1">
      <alignment horizontal="center" vertical="center"/>
    </xf>
    <xf numFmtId="0" fontId="12" fillId="48" borderId="1" xfId="1" applyFont="1" applyFill="1" applyBorder="1" applyAlignment="1">
      <alignment horizontal="center" vertical="center"/>
    </xf>
    <xf numFmtId="0" fontId="12" fillId="48" borderId="3" xfId="1" applyFont="1" applyFill="1" applyBorder="1" applyAlignment="1">
      <alignment horizontal="center" vertical="center"/>
    </xf>
    <xf numFmtId="0" fontId="12" fillId="48" borderId="2" xfId="1" applyFont="1" applyFill="1" applyBorder="1" applyAlignment="1">
      <alignment horizontal="center" vertical="center"/>
    </xf>
    <xf numFmtId="0" fontId="13" fillId="24" borderId="50" xfId="1" applyFont="1" applyFill="1" applyBorder="1" applyAlignment="1">
      <alignment horizontal="center" vertical="center"/>
    </xf>
    <xf numFmtId="0" fontId="13" fillId="24" borderId="15" xfId="1" applyFont="1" applyFill="1" applyBorder="1" applyAlignment="1">
      <alignment horizontal="center" vertical="center"/>
    </xf>
    <xf numFmtId="0" fontId="13" fillId="24" borderId="51" xfId="1" applyFont="1" applyFill="1" applyBorder="1" applyAlignment="1">
      <alignment horizontal="center" vertical="center"/>
    </xf>
    <xf numFmtId="0" fontId="12" fillId="24" borderId="1" xfId="1" applyFont="1" applyFill="1" applyBorder="1" applyAlignment="1">
      <alignment horizontal="center" vertical="center"/>
    </xf>
    <xf numFmtId="0" fontId="12" fillId="24" borderId="3" xfId="1" applyFont="1" applyFill="1" applyBorder="1" applyAlignment="1">
      <alignment horizontal="center" vertical="center"/>
    </xf>
    <xf numFmtId="0" fontId="12" fillId="24" borderId="2" xfId="1" applyFont="1" applyFill="1" applyBorder="1" applyAlignment="1">
      <alignment horizontal="center" vertical="center"/>
    </xf>
    <xf numFmtId="0" fontId="13" fillId="24" borderId="1" xfId="1" applyFont="1" applyFill="1" applyBorder="1" applyAlignment="1">
      <alignment horizontal="center" vertical="center"/>
    </xf>
    <xf numFmtId="0" fontId="13" fillId="24" borderId="2" xfId="1" applyFont="1" applyFill="1" applyBorder="1" applyAlignment="1">
      <alignment horizontal="center" vertical="center"/>
    </xf>
    <xf numFmtId="0" fontId="13" fillId="41" borderId="50" xfId="1" applyFont="1" applyFill="1" applyBorder="1" applyAlignment="1">
      <alignment horizontal="center" vertical="center"/>
    </xf>
    <xf numFmtId="0" fontId="13" fillId="41" borderId="15" xfId="1" applyFont="1" applyFill="1" applyBorder="1" applyAlignment="1">
      <alignment horizontal="center" vertical="center"/>
    </xf>
    <xf numFmtId="0" fontId="13" fillId="41" borderId="51" xfId="1" applyFont="1" applyFill="1" applyBorder="1" applyAlignment="1">
      <alignment horizontal="center" vertical="center"/>
    </xf>
    <xf numFmtId="0" fontId="2" fillId="24" borderId="6" xfId="1" applyFill="1" applyBorder="1" applyAlignment="1">
      <alignment horizontal="center" vertical="center"/>
    </xf>
    <xf numFmtId="0" fontId="2" fillId="24" borderId="91" xfId="1" applyFill="1" applyBorder="1" applyAlignment="1">
      <alignment horizontal="center" vertical="center"/>
    </xf>
    <xf numFmtId="0" fontId="2" fillId="24" borderId="76" xfId="1" applyFill="1" applyBorder="1" applyAlignment="1">
      <alignment horizontal="center" vertical="center"/>
    </xf>
    <xf numFmtId="0" fontId="8" fillId="41" borderId="1" xfId="1" applyFont="1" applyFill="1" applyBorder="1" applyAlignment="1">
      <alignment horizontal="center" vertical="center"/>
    </xf>
    <xf numFmtId="0" fontId="8" fillId="41" borderId="2" xfId="1" applyFont="1" applyFill="1" applyBorder="1" applyAlignment="1">
      <alignment horizontal="center" vertical="center"/>
    </xf>
    <xf numFmtId="0" fontId="8" fillId="41" borderId="3" xfId="1" applyFont="1" applyFill="1" applyBorder="1" applyAlignment="1">
      <alignment horizontal="center" vertical="center"/>
    </xf>
    <xf numFmtId="0" fontId="8" fillId="41" borderId="50" xfId="1" applyFont="1" applyFill="1" applyBorder="1" applyAlignment="1">
      <alignment horizontal="center" vertical="center"/>
    </xf>
    <xf numFmtId="0" fontId="8" fillId="41" borderId="51" xfId="1" applyFont="1" applyFill="1" applyBorder="1" applyAlignment="1">
      <alignment horizontal="center" vertical="center"/>
    </xf>
    <xf numFmtId="0" fontId="12" fillId="49" borderId="1" xfId="1" applyFont="1" applyFill="1" applyBorder="1" applyAlignment="1">
      <alignment horizontal="center" vertical="center"/>
    </xf>
    <xf numFmtId="0" fontId="12" fillId="49" borderId="2" xfId="1" applyFont="1" applyFill="1" applyBorder="1" applyAlignment="1">
      <alignment horizontal="center" vertical="center"/>
    </xf>
    <xf numFmtId="0" fontId="12" fillId="50" borderId="50" xfId="1" applyFont="1" applyFill="1" applyBorder="1" applyAlignment="1">
      <alignment horizontal="center" vertical="center"/>
    </xf>
    <xf numFmtId="0" fontId="12" fillId="50" borderId="15" xfId="1" applyFont="1" applyFill="1" applyBorder="1" applyAlignment="1">
      <alignment horizontal="center" vertical="center"/>
    </xf>
    <xf numFmtId="0" fontId="12" fillId="50" borderId="51" xfId="1" applyFont="1" applyFill="1" applyBorder="1" applyAlignment="1">
      <alignment horizontal="center" vertical="center"/>
    </xf>
    <xf numFmtId="0" fontId="12" fillId="51" borderId="1" xfId="1" applyFont="1" applyFill="1" applyBorder="1" applyAlignment="1">
      <alignment horizontal="center" vertical="center"/>
    </xf>
    <xf numFmtId="0" fontId="12" fillId="51" borderId="2" xfId="1" applyFont="1" applyFill="1" applyBorder="1" applyAlignment="1">
      <alignment horizontal="center" vertical="center"/>
    </xf>
    <xf numFmtId="0" fontId="12" fillId="41" borderId="50" xfId="1" applyFont="1" applyFill="1" applyBorder="1" applyAlignment="1">
      <alignment horizontal="center" vertical="center"/>
    </xf>
    <xf numFmtId="0" fontId="12" fillId="41" borderId="51" xfId="1" applyFont="1" applyFill="1" applyBorder="1" applyAlignment="1">
      <alignment horizontal="center" vertical="center"/>
    </xf>
    <xf numFmtId="0" fontId="12" fillId="47" borderId="50" xfId="1" applyFont="1" applyFill="1" applyBorder="1" applyAlignment="1">
      <alignment horizontal="center" vertical="center"/>
    </xf>
    <xf numFmtId="0" fontId="12" fillId="47" borderId="15" xfId="1" applyFont="1" applyFill="1" applyBorder="1" applyAlignment="1">
      <alignment horizontal="center" vertical="center"/>
    </xf>
    <xf numFmtId="0" fontId="12" fillId="47" borderId="51" xfId="1" applyFont="1" applyFill="1" applyBorder="1" applyAlignment="1">
      <alignment horizontal="center" vertical="center"/>
    </xf>
    <xf numFmtId="0" fontId="2" fillId="20" borderId="4" xfId="1" applyFill="1" applyBorder="1" applyAlignment="1">
      <alignment horizontal="center"/>
    </xf>
    <xf numFmtId="0" fontId="2" fillId="20" borderId="2" xfId="1" applyFill="1" applyBorder="1" applyAlignment="1">
      <alignment horizontal="center"/>
    </xf>
    <xf numFmtId="0" fontId="12" fillId="43" borderId="1" xfId="1" applyFont="1" applyFill="1" applyBorder="1" applyAlignment="1">
      <alignment horizontal="center" vertical="center"/>
    </xf>
    <xf numFmtId="0" fontId="12" fillId="43" borderId="3" xfId="1" applyFont="1" applyFill="1" applyBorder="1" applyAlignment="1">
      <alignment horizontal="center" vertical="center"/>
    </xf>
    <xf numFmtId="0" fontId="12" fillId="43" borderId="2" xfId="1" applyFont="1" applyFill="1" applyBorder="1" applyAlignment="1">
      <alignment horizontal="center" vertical="center"/>
    </xf>
    <xf numFmtId="0" fontId="3" fillId="43" borderId="1" xfId="1" applyFont="1" applyFill="1" applyBorder="1" applyAlignment="1">
      <alignment horizontal="center" vertical="center"/>
    </xf>
    <xf numFmtId="0" fontId="3" fillId="43" borderId="3" xfId="1" applyFont="1" applyFill="1" applyBorder="1" applyAlignment="1">
      <alignment horizontal="center" vertical="center"/>
    </xf>
    <xf numFmtId="0" fontId="3" fillId="43" borderId="2" xfId="1" applyFont="1" applyFill="1" applyBorder="1" applyAlignment="1">
      <alignment horizontal="center" vertical="center"/>
    </xf>
    <xf numFmtId="0" fontId="2" fillId="43" borderId="1" xfId="1" applyFill="1" applyBorder="1" applyAlignment="1">
      <alignment horizontal="center" vertical="center"/>
    </xf>
    <xf numFmtId="0" fontId="2" fillId="43" borderId="3" xfId="1" applyFill="1" applyBorder="1" applyAlignment="1">
      <alignment horizontal="center" vertical="center"/>
    </xf>
    <xf numFmtId="0" fontId="2" fillId="43" borderId="2" xfId="1" applyFill="1" applyBorder="1" applyAlignment="1">
      <alignment horizontal="center" vertical="center"/>
    </xf>
    <xf numFmtId="0" fontId="3" fillId="43" borderId="50" xfId="1" applyFont="1" applyFill="1" applyBorder="1" applyAlignment="1">
      <alignment horizontal="center" vertical="center"/>
    </xf>
    <xf numFmtId="0" fontId="3" fillId="43" borderId="15" xfId="1" applyFont="1" applyFill="1" applyBorder="1" applyAlignment="1">
      <alignment horizontal="center" vertical="center"/>
    </xf>
    <xf numFmtId="0" fontId="3" fillId="43" borderId="51" xfId="1" applyFont="1" applyFill="1" applyBorder="1" applyAlignment="1">
      <alignment horizontal="center" vertical="center"/>
    </xf>
    <xf numFmtId="0" fontId="2" fillId="39" borderId="50" xfId="1" applyFill="1" applyBorder="1" applyAlignment="1">
      <alignment horizontal="center"/>
    </xf>
    <xf numFmtId="0" fontId="2" fillId="39" borderId="3" xfId="1" applyFill="1" applyBorder="1" applyAlignment="1">
      <alignment horizontal="center"/>
    </xf>
    <xf numFmtId="0" fontId="2" fillId="39" borderId="2" xfId="1" applyFill="1" applyBorder="1" applyAlignment="1">
      <alignment horizontal="center"/>
    </xf>
    <xf numFmtId="0" fontId="2" fillId="39" borderId="1" xfId="1" applyFill="1" applyBorder="1" applyAlignment="1">
      <alignment horizontal="center"/>
    </xf>
    <xf numFmtId="0" fontId="41" fillId="0" borderId="0" xfId="1" applyFont="1" applyAlignment="1">
      <alignment horizontal="center"/>
    </xf>
    <xf numFmtId="0" fontId="2" fillId="2" borderId="0" xfId="1" applyFill="1" applyAlignment="1">
      <alignment horizontal="left" vertical="top" wrapText="1"/>
    </xf>
    <xf numFmtId="0" fontId="2" fillId="2" borderId="0" xfId="1" applyFill="1" applyAlignment="1">
      <alignment horizontal="left" wrapText="1"/>
    </xf>
    <xf numFmtId="0" fontId="0" fillId="0" borderId="12" xfId="0" applyFill="1" applyBorder="1"/>
    <xf numFmtId="0" fontId="0" fillId="0" borderId="5" xfId="0" applyFill="1" applyBorder="1"/>
    <xf numFmtId="0" fontId="0" fillId="0" borderId="153" xfId="0" applyFill="1" applyBorder="1"/>
    <xf numFmtId="0" fontId="0" fillId="0" borderId="154" xfId="0" applyFill="1" applyBorder="1"/>
    <xf numFmtId="0" fontId="0" fillId="0" borderId="145" xfId="0" applyFill="1" applyBorder="1"/>
    <xf numFmtId="0" fontId="0" fillId="0" borderId="149" xfId="0" applyFill="1" applyBorder="1"/>
    <xf numFmtId="0" fontId="0" fillId="0" borderId="146" xfId="0" applyFill="1" applyBorder="1"/>
    <xf numFmtId="0" fontId="0" fillId="0" borderId="150" xfId="0" applyFill="1" applyBorder="1"/>
  </cellXfs>
  <cellStyles count="2">
    <cellStyle name="Normal" xfId="0" builtinId="0"/>
    <cellStyle name="Standard 2" xfId="1" xr:uid="{00000000-0005-0000-0000-000001000000}"/>
  </cellStyles>
  <dxfs count="2">
    <dxf>
      <fill>
        <patternFill>
          <bgColor rgb="FFFFFF99"/>
        </patternFill>
      </fill>
    </dxf>
    <dxf>
      <fill>
        <patternFill>
          <bgColor rgb="FFFFD966"/>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047758284600393E-2"/>
          <c:y val="1.3996956387733087E-2"/>
          <c:w val="0.96870487329434696"/>
          <c:h val="0.9609623979041455"/>
        </c:manualLayout>
      </c:layout>
      <c:scatterChart>
        <c:scatterStyle val="lineMarker"/>
        <c:varyColors val="0"/>
        <c:ser>
          <c:idx val="252"/>
          <c:order val="0"/>
          <c:tx>
            <c:v>BoundingBox</c:v>
          </c:tx>
          <c:spPr>
            <a:ln w="6350">
              <a:solidFill>
                <a:schemeClr val="bg1">
                  <a:lumMod val="75000"/>
                </a:schemeClr>
              </a:solidFill>
            </a:ln>
          </c:spPr>
          <c:marker>
            <c:symbol val="none"/>
          </c:marker>
          <c:xVal>
            <c:numRef>
              <c:f>PlotData!$CB$7:$CB$10</c:f>
              <c:numCache>
                <c:formatCode>General</c:formatCode>
                <c:ptCount val="4"/>
                <c:pt idx="0">
                  <c:v>-169.70562748477141</c:v>
                </c:pt>
                <c:pt idx="1">
                  <c:v>169.70562748477141</c:v>
                </c:pt>
                <c:pt idx="2">
                  <c:v>169.70562748477141</c:v>
                </c:pt>
                <c:pt idx="3">
                  <c:v>-169.70562748477141</c:v>
                </c:pt>
              </c:numCache>
            </c:numRef>
          </c:xVal>
          <c:yVal>
            <c:numRef>
              <c:f>PlotData!$CC$7:$CC$10</c:f>
              <c:numCache>
                <c:formatCode>General</c:formatCode>
                <c:ptCount val="4"/>
                <c:pt idx="0">
                  <c:v>169.70562748477141</c:v>
                </c:pt>
                <c:pt idx="1">
                  <c:v>169.70562748477141</c:v>
                </c:pt>
                <c:pt idx="2">
                  <c:v>-169.70562748477141</c:v>
                </c:pt>
                <c:pt idx="3">
                  <c:v>-169.70562748477141</c:v>
                </c:pt>
              </c:numCache>
            </c:numRef>
          </c:yVal>
          <c:smooth val="0"/>
          <c:extLst>
            <c:ext xmlns:c16="http://schemas.microsoft.com/office/drawing/2014/chart" uri="{C3380CC4-5D6E-409C-BE32-E72D297353CC}">
              <c16:uniqueId val="{00000000-5592-4E76-8908-496B42FE4A35}"/>
            </c:ext>
          </c:extLst>
        </c:ser>
        <c:ser>
          <c:idx val="253"/>
          <c:order val="1"/>
          <c:tx>
            <c:v>LagerV1</c:v>
          </c:tx>
          <c:spPr>
            <a:ln w="12700">
              <a:solidFill>
                <a:srgbClr val="808080"/>
              </a:solidFill>
              <a:prstDash val="solid"/>
            </a:ln>
          </c:spPr>
          <c:marker>
            <c:symbol val="none"/>
          </c:marker>
          <c:xVal>
            <c:numRef>
              <c:f>Symbole!$C$6:$F$6</c:f>
              <c:numCache>
                <c:formatCode>General</c:formatCode>
                <c:ptCount val="4"/>
                <c:pt idx="0">
                  <c:v>20</c:v>
                </c:pt>
                <c:pt idx="1">
                  <c:v>20</c:v>
                </c:pt>
                <c:pt idx="2">
                  <c:v>20</c:v>
                </c:pt>
                <c:pt idx="3">
                  <c:v>20</c:v>
                </c:pt>
              </c:numCache>
            </c:numRef>
          </c:xVal>
          <c:yVal>
            <c:numRef>
              <c:f>Symbole!$G$6:$J$6</c:f>
              <c:numCache>
                <c:formatCode>General</c:formatCode>
                <c:ptCount val="4"/>
                <c:pt idx="0">
                  <c:v>-40</c:v>
                </c:pt>
                <c:pt idx="1">
                  <c:v>-40</c:v>
                </c:pt>
                <c:pt idx="2">
                  <c:v>-40</c:v>
                </c:pt>
                <c:pt idx="3">
                  <c:v>-40</c:v>
                </c:pt>
              </c:numCache>
            </c:numRef>
          </c:yVal>
          <c:smooth val="0"/>
          <c:extLst>
            <c:ext xmlns:c16="http://schemas.microsoft.com/office/drawing/2014/chart" uri="{C3380CC4-5D6E-409C-BE32-E72D297353CC}">
              <c16:uniqueId val="{00000001-5592-4E76-8908-496B42FE4A35}"/>
            </c:ext>
          </c:extLst>
        </c:ser>
        <c:ser>
          <c:idx val="254"/>
          <c:order val="2"/>
          <c:tx>
            <c:v>LagerV2</c:v>
          </c:tx>
          <c:spPr>
            <a:ln w="12700">
              <a:solidFill>
                <a:srgbClr val="808080"/>
              </a:solidFill>
              <a:prstDash val="solid"/>
            </a:ln>
          </c:spPr>
          <c:marker>
            <c:symbol val="none"/>
          </c:marker>
          <c:xVal>
            <c:numRef>
              <c:f>Symbole!$C$7:$F$7</c:f>
              <c:numCache>
                <c:formatCode>General</c:formatCode>
                <c:ptCount val="4"/>
                <c:pt idx="0">
                  <c:v>100</c:v>
                </c:pt>
                <c:pt idx="1">
                  <c:v>108.48528137423857</c:v>
                </c:pt>
                <c:pt idx="2">
                  <c:v>91.514718625761432</c:v>
                </c:pt>
                <c:pt idx="3">
                  <c:v>100</c:v>
                </c:pt>
              </c:numCache>
            </c:numRef>
          </c:xVal>
          <c:yVal>
            <c:numRef>
              <c:f>Symbole!$G$7:$J$7</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2-5592-4E76-8908-496B42FE4A35}"/>
            </c:ext>
          </c:extLst>
        </c:ser>
        <c:ser>
          <c:idx val="23"/>
          <c:order val="3"/>
          <c:tx>
            <c:v>LagerV3</c:v>
          </c:tx>
          <c:spPr>
            <a:ln w="12700">
              <a:solidFill>
                <a:srgbClr val="808080"/>
              </a:solidFill>
              <a:prstDash val="solid"/>
            </a:ln>
          </c:spPr>
          <c:marker>
            <c:symbol val="none"/>
          </c:marker>
          <c:xVal>
            <c:numRef>
              <c:f>Symbole!$C$8:$F$8</c:f>
              <c:numCache>
                <c:formatCode>General</c:formatCode>
                <c:ptCount val="4"/>
                <c:pt idx="0">
                  <c:v>20</c:v>
                </c:pt>
                <c:pt idx="1">
                  <c:v>28.485281374238571</c:v>
                </c:pt>
                <c:pt idx="2">
                  <c:v>11.514718625761429</c:v>
                </c:pt>
                <c:pt idx="3">
                  <c:v>20</c:v>
                </c:pt>
              </c:numCache>
            </c:numRef>
          </c:xVal>
          <c:yVal>
            <c:numRef>
              <c:f>Symbole!$G$8:$J$8</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3-5592-4E76-8908-496B42FE4A35}"/>
            </c:ext>
          </c:extLst>
        </c:ser>
        <c:ser>
          <c:idx val="24"/>
          <c:order val="4"/>
          <c:tx>
            <c:v>LagerV4</c:v>
          </c:tx>
          <c:spPr>
            <a:ln w="12700">
              <a:solidFill>
                <a:srgbClr val="808080"/>
              </a:solidFill>
              <a:prstDash val="solid"/>
            </a:ln>
          </c:spPr>
          <c:marker>
            <c:symbol val="none"/>
          </c:marker>
          <c:xVal>
            <c:numRef>
              <c:f>Symbole!$C$9:$F$9</c:f>
              <c:numCache>
                <c:formatCode>General</c:formatCode>
                <c:ptCount val="4"/>
                <c:pt idx="0">
                  <c:v>60</c:v>
                </c:pt>
                <c:pt idx="1">
                  <c:v>68.485281374238568</c:v>
                </c:pt>
                <c:pt idx="2">
                  <c:v>51.514718625761432</c:v>
                </c:pt>
                <c:pt idx="3">
                  <c:v>60</c:v>
                </c:pt>
              </c:numCache>
            </c:numRef>
          </c:xVal>
          <c:yVal>
            <c:numRef>
              <c:f>Symbole!$G$9:$J$9</c:f>
              <c:numCache>
                <c:formatCode>General</c:formatCode>
                <c:ptCount val="4"/>
                <c:pt idx="0">
                  <c:v>-100</c:v>
                </c:pt>
                <c:pt idx="1">
                  <c:v>-85.303492659818801</c:v>
                </c:pt>
                <c:pt idx="2">
                  <c:v>-85.303492659818801</c:v>
                </c:pt>
                <c:pt idx="3">
                  <c:v>-100</c:v>
                </c:pt>
              </c:numCache>
            </c:numRef>
          </c:yVal>
          <c:smooth val="0"/>
          <c:extLst>
            <c:ext xmlns:c16="http://schemas.microsoft.com/office/drawing/2014/chart" uri="{C3380CC4-5D6E-409C-BE32-E72D297353CC}">
              <c16:uniqueId val="{00000004-5592-4E76-8908-496B42FE4A35}"/>
            </c:ext>
          </c:extLst>
        </c:ser>
        <c:ser>
          <c:idx val="25"/>
          <c:order val="5"/>
          <c:tx>
            <c:v>LagerV5</c:v>
          </c:tx>
          <c:spPr>
            <a:ln w="12700">
              <a:solidFill>
                <a:srgbClr val="808080"/>
              </a:solidFill>
              <a:prstDash val="solid"/>
            </a:ln>
          </c:spPr>
          <c:marker>
            <c:symbol val="none"/>
          </c:marker>
          <c:xVal>
            <c:numRef>
              <c:f>Symbole!$C$10:$F$10</c:f>
              <c:numCache>
                <c:formatCode>General</c:formatCode>
                <c:ptCount val="4"/>
                <c:pt idx="0">
                  <c:v>-50</c:v>
                </c:pt>
                <c:pt idx="1">
                  <c:v>-41.514718625761432</c:v>
                </c:pt>
                <c:pt idx="2">
                  <c:v>-58.485281374238568</c:v>
                </c:pt>
                <c:pt idx="3">
                  <c:v>-50</c:v>
                </c:pt>
              </c:numCache>
            </c:numRef>
          </c:xVal>
          <c:yVal>
            <c:numRef>
              <c:f>Symbole!$G$10:$J$10</c:f>
              <c:numCache>
                <c:formatCode>General</c:formatCode>
                <c:ptCount val="4"/>
                <c:pt idx="0">
                  <c:v>-70</c:v>
                </c:pt>
                <c:pt idx="1">
                  <c:v>-55.303492659818794</c:v>
                </c:pt>
                <c:pt idx="2">
                  <c:v>-55.303492659818794</c:v>
                </c:pt>
                <c:pt idx="3">
                  <c:v>-70</c:v>
                </c:pt>
              </c:numCache>
            </c:numRef>
          </c:yVal>
          <c:smooth val="0"/>
          <c:extLst>
            <c:ext xmlns:c16="http://schemas.microsoft.com/office/drawing/2014/chart" uri="{C3380CC4-5D6E-409C-BE32-E72D297353CC}">
              <c16:uniqueId val="{00000005-5592-4E76-8908-496B42FE4A35}"/>
            </c:ext>
          </c:extLst>
        </c:ser>
        <c:ser>
          <c:idx val="26"/>
          <c:order val="6"/>
          <c:tx>
            <c:v>LagerV6</c:v>
          </c:tx>
          <c:spPr>
            <a:ln w="12700">
              <a:solidFill>
                <a:srgbClr val="808080"/>
              </a:solidFill>
              <a:prstDash val="solid"/>
            </a:ln>
          </c:spPr>
          <c:marker>
            <c:symbol val="none"/>
          </c:marker>
          <c:xVal>
            <c:numRef>
              <c:f>Symbole!$C$11:$F$11</c:f>
              <c:numCache>
                <c:formatCode>General</c:formatCode>
                <c:ptCount val="4"/>
                <c:pt idx="0">
                  <c:v>-100</c:v>
                </c:pt>
                <c:pt idx="1">
                  <c:v>-91.514718625761432</c:v>
                </c:pt>
                <c:pt idx="2">
                  <c:v>-108.48528137423857</c:v>
                </c:pt>
                <c:pt idx="3">
                  <c:v>-100</c:v>
                </c:pt>
              </c:numCache>
            </c:numRef>
          </c:xVal>
          <c:yVal>
            <c:numRef>
              <c:f>Symbole!$G$11:$J$11</c:f>
              <c:numCache>
                <c:formatCode>General</c:formatCode>
                <c:ptCount val="4"/>
                <c:pt idx="0">
                  <c:v>100</c:v>
                </c:pt>
                <c:pt idx="1">
                  <c:v>114.6965073401812</c:v>
                </c:pt>
                <c:pt idx="2">
                  <c:v>114.6965073401812</c:v>
                </c:pt>
                <c:pt idx="3">
                  <c:v>100</c:v>
                </c:pt>
              </c:numCache>
            </c:numRef>
          </c:yVal>
          <c:smooth val="0"/>
          <c:extLst>
            <c:ext xmlns:c16="http://schemas.microsoft.com/office/drawing/2014/chart" uri="{C3380CC4-5D6E-409C-BE32-E72D297353CC}">
              <c16:uniqueId val="{00000006-5592-4E76-8908-496B42FE4A35}"/>
            </c:ext>
          </c:extLst>
        </c:ser>
        <c:ser>
          <c:idx val="27"/>
          <c:order val="7"/>
          <c:tx>
            <c:v>LagerV7</c:v>
          </c:tx>
          <c:spPr>
            <a:ln w="12700">
              <a:solidFill>
                <a:srgbClr val="808080"/>
              </a:solidFill>
              <a:prstDash val="solid"/>
            </a:ln>
          </c:spPr>
          <c:marker>
            <c:symbol val="none"/>
          </c:marker>
          <c:xVal>
            <c:numRef>
              <c:f>Symbole!$C$12:$F$12</c:f>
              <c:numCache>
                <c:formatCode>General</c:formatCode>
                <c:ptCount val="4"/>
                <c:pt idx="0">
                  <c:v>0</c:v>
                </c:pt>
                <c:pt idx="1">
                  <c:v>0</c:v>
                </c:pt>
                <c:pt idx="2">
                  <c:v>0</c:v>
                </c:pt>
                <c:pt idx="3">
                  <c:v>0</c:v>
                </c:pt>
              </c:numCache>
            </c:numRef>
          </c:xVal>
          <c:yVal>
            <c:numRef>
              <c:f>Symbole!$G$12:$J$12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7-5592-4E76-8908-496B42FE4A35}"/>
            </c:ext>
          </c:extLst>
        </c:ser>
        <c:ser>
          <c:idx val="28"/>
          <c:order val="8"/>
          <c:tx>
            <c:v>LagerV8</c:v>
          </c:tx>
          <c:spPr>
            <a:ln w="12700">
              <a:solidFill>
                <a:srgbClr val="808080"/>
              </a:solidFill>
              <a:prstDash val="solid"/>
            </a:ln>
          </c:spPr>
          <c:marker>
            <c:symbol val="none"/>
          </c:marker>
          <c:xVal>
            <c:numRef>
              <c:f>Symbole!$C$13:$F$13</c:f>
              <c:numCache>
                <c:formatCode>General</c:formatCode>
                <c:ptCount val="4"/>
                <c:pt idx="0">
                  <c:v>0</c:v>
                </c:pt>
                <c:pt idx="1">
                  <c:v>0</c:v>
                </c:pt>
                <c:pt idx="2">
                  <c:v>0</c:v>
                </c:pt>
                <c:pt idx="3">
                  <c:v>0</c:v>
                </c:pt>
              </c:numCache>
            </c:numRef>
          </c:xVal>
          <c:yVal>
            <c:numRef>
              <c:f>Symbole!$G$13:$J$13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8-5592-4E76-8908-496B42FE4A35}"/>
            </c:ext>
          </c:extLst>
        </c:ser>
        <c:ser>
          <c:idx val="29"/>
          <c:order val="9"/>
          <c:tx>
            <c:v>LagerV9</c:v>
          </c:tx>
          <c:spPr>
            <a:ln w="12700">
              <a:solidFill>
                <a:srgbClr val="808080"/>
              </a:solidFill>
              <a:prstDash val="solid"/>
            </a:ln>
          </c:spPr>
          <c:marker>
            <c:symbol val="none"/>
          </c:marker>
          <c:xVal>
            <c:numRef>
              <c:f>Symbole!$C$14:$F$14</c:f>
              <c:numCache>
                <c:formatCode>General</c:formatCode>
                <c:ptCount val="4"/>
                <c:pt idx="0">
                  <c:v>0</c:v>
                </c:pt>
                <c:pt idx="1">
                  <c:v>0</c:v>
                </c:pt>
                <c:pt idx="2">
                  <c:v>0</c:v>
                </c:pt>
                <c:pt idx="3">
                  <c:v>0</c:v>
                </c:pt>
              </c:numCache>
            </c:numRef>
          </c:xVal>
          <c:yVal>
            <c:numRef>
              <c:f>Symbole!$G$14:$J$14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9-5592-4E76-8908-496B42FE4A35}"/>
            </c:ext>
          </c:extLst>
        </c:ser>
        <c:ser>
          <c:idx val="30"/>
          <c:order val="10"/>
          <c:tx>
            <c:v>LagerV10</c:v>
          </c:tx>
          <c:spPr>
            <a:ln w="12700">
              <a:solidFill>
                <a:srgbClr val="808080"/>
              </a:solidFill>
              <a:prstDash val="solid"/>
            </a:ln>
          </c:spPr>
          <c:marker>
            <c:symbol val="none"/>
          </c:marker>
          <c:xVal>
            <c:numRef>
              <c:f>Symbole!$C$15:$F$15</c:f>
              <c:numCache>
                <c:formatCode>General</c:formatCode>
                <c:ptCount val="4"/>
                <c:pt idx="0">
                  <c:v>0</c:v>
                </c:pt>
                <c:pt idx="1">
                  <c:v>0</c:v>
                </c:pt>
                <c:pt idx="2">
                  <c:v>0</c:v>
                </c:pt>
                <c:pt idx="3">
                  <c:v>0</c:v>
                </c:pt>
              </c:numCache>
            </c:numRef>
          </c:xVal>
          <c:yVal>
            <c:numRef>
              <c:f>Symbole!$G$15:$J$15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A-5592-4E76-8908-496B42FE4A35}"/>
            </c:ext>
          </c:extLst>
        </c:ser>
        <c:ser>
          <c:idx val="31"/>
          <c:order val="11"/>
          <c:tx>
            <c:v>LagerV11</c:v>
          </c:tx>
          <c:spPr>
            <a:ln w="12700">
              <a:solidFill>
                <a:srgbClr val="808080"/>
              </a:solidFill>
              <a:prstDash val="solid"/>
            </a:ln>
          </c:spPr>
          <c:marker>
            <c:symbol val="none"/>
          </c:marker>
          <c:xVal>
            <c:numRef>
              <c:f>Symbole!$C$16:$F$16</c:f>
              <c:numCache>
                <c:formatCode>General</c:formatCode>
                <c:ptCount val="4"/>
                <c:pt idx="0">
                  <c:v>0</c:v>
                </c:pt>
                <c:pt idx="1">
                  <c:v>0</c:v>
                </c:pt>
                <c:pt idx="2">
                  <c:v>0</c:v>
                </c:pt>
                <c:pt idx="3">
                  <c:v>0</c:v>
                </c:pt>
              </c:numCache>
            </c:numRef>
          </c:xVal>
          <c:yVal>
            <c:numRef>
              <c:f>Symbole!$G$16:$J$16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B-5592-4E76-8908-496B42FE4A35}"/>
            </c:ext>
          </c:extLst>
        </c:ser>
        <c:ser>
          <c:idx val="32"/>
          <c:order val="12"/>
          <c:tx>
            <c:v>LagerV12</c:v>
          </c:tx>
          <c:spPr>
            <a:ln w="12700">
              <a:solidFill>
                <a:srgbClr val="808080"/>
              </a:solidFill>
              <a:prstDash val="solid"/>
            </a:ln>
          </c:spPr>
          <c:marker>
            <c:symbol val="none"/>
          </c:marker>
          <c:xVal>
            <c:numRef>
              <c:f>Symbole!$C$17:$F$17</c:f>
              <c:numCache>
                <c:formatCode>General</c:formatCode>
                <c:ptCount val="4"/>
                <c:pt idx="0">
                  <c:v>0</c:v>
                </c:pt>
                <c:pt idx="1">
                  <c:v>0</c:v>
                </c:pt>
                <c:pt idx="2">
                  <c:v>0</c:v>
                </c:pt>
                <c:pt idx="3">
                  <c:v>0</c:v>
                </c:pt>
              </c:numCache>
            </c:numRef>
          </c:xVal>
          <c:yVal>
            <c:numRef>
              <c:f>Symbole!$G$17:$J$17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C-5592-4E76-8908-496B42FE4A35}"/>
            </c:ext>
          </c:extLst>
        </c:ser>
        <c:ser>
          <c:idx val="33"/>
          <c:order val="13"/>
          <c:tx>
            <c:v>LagerV13</c:v>
          </c:tx>
          <c:spPr>
            <a:ln w="12700">
              <a:solidFill>
                <a:srgbClr val="808080"/>
              </a:solidFill>
              <a:prstDash val="solid"/>
            </a:ln>
          </c:spPr>
          <c:marker>
            <c:symbol val="none"/>
          </c:marker>
          <c:xVal>
            <c:numRef>
              <c:f>Symbole!$C$18:$F$18</c:f>
              <c:numCache>
                <c:formatCode>General</c:formatCode>
                <c:ptCount val="4"/>
                <c:pt idx="0">
                  <c:v>0</c:v>
                </c:pt>
                <c:pt idx="1">
                  <c:v>0</c:v>
                </c:pt>
                <c:pt idx="2">
                  <c:v>0</c:v>
                </c:pt>
                <c:pt idx="3">
                  <c:v>0</c:v>
                </c:pt>
              </c:numCache>
            </c:numRef>
          </c:xVal>
          <c:yVal>
            <c:numRef>
              <c:f>Symbole!$G$18:$J$18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D-5592-4E76-8908-496B42FE4A35}"/>
            </c:ext>
          </c:extLst>
        </c:ser>
        <c:ser>
          <c:idx val="34"/>
          <c:order val="14"/>
          <c:tx>
            <c:v>LagerV14</c:v>
          </c:tx>
          <c:spPr>
            <a:ln w="12700">
              <a:solidFill>
                <a:srgbClr val="808080"/>
              </a:solidFill>
              <a:prstDash val="solid"/>
            </a:ln>
          </c:spPr>
          <c:marker>
            <c:symbol val="none"/>
          </c:marker>
          <c:xVal>
            <c:numRef>
              <c:f>Symbole!$C$19:$F$19</c:f>
              <c:numCache>
                <c:formatCode>General</c:formatCode>
                <c:ptCount val="4"/>
                <c:pt idx="0">
                  <c:v>0</c:v>
                </c:pt>
                <c:pt idx="1">
                  <c:v>0</c:v>
                </c:pt>
                <c:pt idx="2">
                  <c:v>0</c:v>
                </c:pt>
                <c:pt idx="3">
                  <c:v>0</c:v>
                </c:pt>
              </c:numCache>
            </c:numRef>
          </c:xVal>
          <c:yVal>
            <c:numRef>
              <c:f>Symbole!$G$19:$J$19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E-5592-4E76-8908-496B42FE4A35}"/>
            </c:ext>
          </c:extLst>
        </c:ser>
        <c:ser>
          <c:idx val="35"/>
          <c:order val="15"/>
          <c:tx>
            <c:v>LagerV15</c:v>
          </c:tx>
          <c:spPr>
            <a:ln w="12700">
              <a:solidFill>
                <a:srgbClr val="808080"/>
              </a:solidFill>
              <a:prstDash val="solid"/>
            </a:ln>
          </c:spPr>
          <c:marker>
            <c:symbol val="none"/>
          </c:marker>
          <c:xVal>
            <c:numRef>
              <c:f>Symbole!$C$20:$F$20</c:f>
              <c:numCache>
                <c:formatCode>General</c:formatCode>
                <c:ptCount val="4"/>
                <c:pt idx="0">
                  <c:v>0</c:v>
                </c:pt>
                <c:pt idx="1">
                  <c:v>0</c:v>
                </c:pt>
                <c:pt idx="2">
                  <c:v>0</c:v>
                </c:pt>
                <c:pt idx="3">
                  <c:v>0</c:v>
                </c:pt>
              </c:numCache>
            </c:numRef>
          </c:xVal>
          <c:yVal>
            <c:numRef>
              <c:f>Symbole!$G$20:$J$20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F-5592-4E76-8908-496B42FE4A35}"/>
            </c:ext>
          </c:extLst>
        </c:ser>
        <c:ser>
          <c:idx val="36"/>
          <c:order val="16"/>
          <c:tx>
            <c:v>LagerV16</c:v>
          </c:tx>
          <c:spPr>
            <a:ln w="12700">
              <a:solidFill>
                <a:srgbClr val="808080"/>
              </a:solidFill>
              <a:prstDash val="solid"/>
            </a:ln>
          </c:spPr>
          <c:marker>
            <c:symbol val="none"/>
          </c:marker>
          <c:xVal>
            <c:numRef>
              <c:f>Symbole!$C$21:$F$21</c:f>
              <c:numCache>
                <c:formatCode>General</c:formatCode>
                <c:ptCount val="4"/>
                <c:pt idx="0">
                  <c:v>0</c:v>
                </c:pt>
                <c:pt idx="1">
                  <c:v>0</c:v>
                </c:pt>
                <c:pt idx="2">
                  <c:v>0</c:v>
                </c:pt>
                <c:pt idx="3">
                  <c:v>0</c:v>
                </c:pt>
              </c:numCache>
            </c:numRef>
          </c:xVal>
          <c:yVal>
            <c:numRef>
              <c:f>Symbole!$G$21:$J$21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0-5592-4E76-8908-496B42FE4A35}"/>
            </c:ext>
          </c:extLst>
        </c:ser>
        <c:ser>
          <c:idx val="37"/>
          <c:order val="17"/>
          <c:tx>
            <c:v>LagerV17</c:v>
          </c:tx>
          <c:spPr>
            <a:ln w="12700">
              <a:solidFill>
                <a:srgbClr val="808080"/>
              </a:solidFill>
              <a:prstDash val="solid"/>
            </a:ln>
          </c:spPr>
          <c:marker>
            <c:symbol val="none"/>
          </c:marker>
          <c:xVal>
            <c:numRef>
              <c:f>Symbole!$C$22:$F$22</c:f>
              <c:numCache>
                <c:formatCode>General</c:formatCode>
                <c:ptCount val="4"/>
                <c:pt idx="0">
                  <c:v>0</c:v>
                </c:pt>
                <c:pt idx="1">
                  <c:v>0</c:v>
                </c:pt>
                <c:pt idx="2">
                  <c:v>0</c:v>
                </c:pt>
                <c:pt idx="3">
                  <c:v>0</c:v>
                </c:pt>
              </c:numCache>
            </c:numRef>
          </c:xVal>
          <c:yVal>
            <c:numRef>
              <c:f>Symbole!$G$22:$J$22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1-5592-4E76-8908-496B42FE4A35}"/>
            </c:ext>
          </c:extLst>
        </c:ser>
        <c:ser>
          <c:idx val="38"/>
          <c:order val="18"/>
          <c:tx>
            <c:v>LagerV18</c:v>
          </c:tx>
          <c:spPr>
            <a:ln w="12700">
              <a:solidFill>
                <a:srgbClr val="808080"/>
              </a:solidFill>
              <a:prstDash val="solid"/>
            </a:ln>
          </c:spPr>
          <c:marker>
            <c:symbol val="none"/>
          </c:marker>
          <c:xVal>
            <c:numRef>
              <c:f>Symbole!$C$23:$F$23</c:f>
              <c:numCache>
                <c:formatCode>General</c:formatCode>
                <c:ptCount val="4"/>
                <c:pt idx="0">
                  <c:v>0</c:v>
                </c:pt>
                <c:pt idx="1">
                  <c:v>0</c:v>
                </c:pt>
                <c:pt idx="2">
                  <c:v>0</c:v>
                </c:pt>
                <c:pt idx="3">
                  <c:v>0</c:v>
                </c:pt>
              </c:numCache>
            </c:numRef>
          </c:xVal>
          <c:yVal>
            <c:numRef>
              <c:f>Symbole!$G$23:$J$23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2-5592-4E76-8908-496B42FE4A35}"/>
            </c:ext>
          </c:extLst>
        </c:ser>
        <c:ser>
          <c:idx val="39"/>
          <c:order val="19"/>
          <c:tx>
            <c:v>LagerV19</c:v>
          </c:tx>
          <c:spPr>
            <a:ln w="12700">
              <a:solidFill>
                <a:srgbClr val="808080"/>
              </a:solidFill>
              <a:prstDash val="solid"/>
            </a:ln>
          </c:spPr>
          <c:marker>
            <c:symbol val="none"/>
          </c:marker>
          <c:xVal>
            <c:numRef>
              <c:f>Symbole!$C$24:$F$24</c:f>
              <c:numCache>
                <c:formatCode>General</c:formatCode>
                <c:ptCount val="4"/>
                <c:pt idx="0">
                  <c:v>0</c:v>
                </c:pt>
                <c:pt idx="1">
                  <c:v>0</c:v>
                </c:pt>
                <c:pt idx="2">
                  <c:v>0</c:v>
                </c:pt>
                <c:pt idx="3">
                  <c:v>0</c:v>
                </c:pt>
              </c:numCache>
            </c:numRef>
          </c:xVal>
          <c:yVal>
            <c:numRef>
              <c:f>Symbole!$G$24:$J$24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3-5592-4E76-8908-496B42FE4A35}"/>
            </c:ext>
          </c:extLst>
        </c:ser>
        <c:ser>
          <c:idx val="40"/>
          <c:order val="20"/>
          <c:tx>
            <c:v>LagerV20</c:v>
          </c:tx>
          <c:spPr>
            <a:ln w="12700">
              <a:solidFill>
                <a:srgbClr val="808080"/>
              </a:solidFill>
              <a:prstDash val="solid"/>
            </a:ln>
          </c:spPr>
          <c:marker>
            <c:symbol val="none"/>
          </c:marker>
          <c:xVal>
            <c:numRef>
              <c:f>Symbole!$C$25:$F$25</c:f>
              <c:numCache>
                <c:formatCode>General</c:formatCode>
                <c:ptCount val="4"/>
                <c:pt idx="0">
                  <c:v>0</c:v>
                </c:pt>
                <c:pt idx="1">
                  <c:v>0</c:v>
                </c:pt>
                <c:pt idx="2">
                  <c:v>0</c:v>
                </c:pt>
                <c:pt idx="3">
                  <c:v>0</c:v>
                </c:pt>
              </c:numCache>
            </c:numRef>
          </c:xVal>
          <c:yVal>
            <c:numRef>
              <c:f>Symbole!$G$25:$J$25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4-5592-4E76-8908-496B42FE4A35}"/>
            </c:ext>
          </c:extLst>
        </c:ser>
        <c:ser>
          <c:idx val="41"/>
          <c:order val="21"/>
          <c:tx>
            <c:v>LagerH1</c:v>
          </c:tx>
          <c:spPr>
            <a:ln w="12700">
              <a:solidFill>
                <a:srgbClr val="808080"/>
              </a:solidFill>
              <a:prstDash val="solid"/>
            </a:ln>
          </c:spPr>
          <c:marker>
            <c:symbol val="none"/>
          </c:marker>
          <c:xVal>
            <c:numRef>
              <c:f>Symbole!$C$29:$F$29</c:f>
              <c:numCache>
                <c:formatCode>General</c:formatCode>
                <c:ptCount val="4"/>
                <c:pt idx="0">
                  <c:v>20</c:v>
                </c:pt>
                <c:pt idx="1">
                  <c:v>20</c:v>
                </c:pt>
                <c:pt idx="2">
                  <c:v>20</c:v>
                </c:pt>
                <c:pt idx="3">
                  <c:v>20</c:v>
                </c:pt>
              </c:numCache>
            </c:numRef>
          </c:xVal>
          <c:yVal>
            <c:numRef>
              <c:f>Symbole!$G$29:$J$29</c:f>
              <c:numCache>
                <c:formatCode>General</c:formatCode>
                <c:ptCount val="4"/>
                <c:pt idx="0">
                  <c:v>-40</c:v>
                </c:pt>
                <c:pt idx="1">
                  <c:v>-40</c:v>
                </c:pt>
                <c:pt idx="2">
                  <c:v>-40</c:v>
                </c:pt>
                <c:pt idx="3">
                  <c:v>-40</c:v>
                </c:pt>
              </c:numCache>
            </c:numRef>
          </c:yVal>
          <c:smooth val="0"/>
          <c:extLst>
            <c:ext xmlns:c16="http://schemas.microsoft.com/office/drawing/2014/chart" uri="{C3380CC4-5D6E-409C-BE32-E72D297353CC}">
              <c16:uniqueId val="{00000015-5592-4E76-8908-496B42FE4A35}"/>
            </c:ext>
          </c:extLst>
        </c:ser>
        <c:ser>
          <c:idx val="42"/>
          <c:order val="22"/>
          <c:tx>
            <c:v>LagerH2</c:v>
          </c:tx>
          <c:spPr>
            <a:ln w="12700">
              <a:solidFill>
                <a:srgbClr val="808080"/>
              </a:solidFill>
              <a:prstDash val="solid"/>
            </a:ln>
          </c:spPr>
          <c:marker>
            <c:symbol val="none"/>
          </c:marker>
          <c:xVal>
            <c:numRef>
              <c:f>Symbole!$C$30:$F$30</c:f>
              <c:numCache>
                <c:formatCode>General</c:formatCode>
                <c:ptCount val="4"/>
                <c:pt idx="0">
                  <c:v>100</c:v>
                </c:pt>
                <c:pt idx="1">
                  <c:v>114.6965073401812</c:v>
                </c:pt>
                <c:pt idx="2">
                  <c:v>114.6965073401812</c:v>
                </c:pt>
                <c:pt idx="3">
                  <c:v>100</c:v>
                </c:pt>
              </c:numCache>
            </c:numRef>
          </c:xVal>
          <c:yVal>
            <c:numRef>
              <c:f>Symbole!$G$30:$J$30</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6-5592-4E76-8908-496B42FE4A35}"/>
            </c:ext>
          </c:extLst>
        </c:ser>
        <c:ser>
          <c:idx val="43"/>
          <c:order val="23"/>
          <c:tx>
            <c:v>LagerH3</c:v>
          </c:tx>
          <c:spPr>
            <a:ln w="12700">
              <a:solidFill>
                <a:srgbClr val="808080"/>
              </a:solidFill>
              <a:prstDash val="solid"/>
            </a:ln>
          </c:spPr>
          <c:marker>
            <c:symbol val="none"/>
          </c:marker>
          <c:xVal>
            <c:numRef>
              <c:f>Symbole!$C$31:$F$31</c:f>
              <c:numCache>
                <c:formatCode>General</c:formatCode>
                <c:ptCount val="4"/>
                <c:pt idx="0">
                  <c:v>20</c:v>
                </c:pt>
                <c:pt idx="1">
                  <c:v>34.696507340181206</c:v>
                </c:pt>
                <c:pt idx="2">
                  <c:v>34.696507340181206</c:v>
                </c:pt>
                <c:pt idx="3">
                  <c:v>20</c:v>
                </c:pt>
              </c:numCache>
            </c:numRef>
          </c:xVal>
          <c:yVal>
            <c:numRef>
              <c:f>Symbole!$G$31:$J$31</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7-5592-4E76-8908-496B42FE4A35}"/>
            </c:ext>
          </c:extLst>
        </c:ser>
        <c:ser>
          <c:idx val="44"/>
          <c:order val="24"/>
          <c:tx>
            <c:v>LagerH4</c:v>
          </c:tx>
          <c:spPr>
            <a:ln w="12700">
              <a:solidFill>
                <a:srgbClr val="808080"/>
              </a:solidFill>
              <a:prstDash val="solid"/>
            </a:ln>
          </c:spPr>
          <c:marker>
            <c:symbol val="none"/>
          </c:marker>
          <c:xVal>
            <c:numRef>
              <c:f>Symbole!$C$32:$F$32</c:f>
              <c:numCache>
                <c:formatCode>General</c:formatCode>
                <c:ptCount val="4"/>
                <c:pt idx="0">
                  <c:v>60</c:v>
                </c:pt>
                <c:pt idx="1">
                  <c:v>74.696507340181199</c:v>
                </c:pt>
                <c:pt idx="2">
                  <c:v>74.696507340181199</c:v>
                </c:pt>
                <c:pt idx="3">
                  <c:v>60</c:v>
                </c:pt>
              </c:numCache>
            </c:numRef>
          </c:xVal>
          <c:yVal>
            <c:numRef>
              <c:f>Symbole!$G$32:$J$32</c:f>
              <c:numCache>
                <c:formatCode>General</c:formatCode>
                <c:ptCount val="4"/>
                <c:pt idx="0">
                  <c:v>-100</c:v>
                </c:pt>
                <c:pt idx="1">
                  <c:v>-91.514718625761432</c:v>
                </c:pt>
                <c:pt idx="2">
                  <c:v>-108.48528137423857</c:v>
                </c:pt>
                <c:pt idx="3">
                  <c:v>-100</c:v>
                </c:pt>
              </c:numCache>
            </c:numRef>
          </c:yVal>
          <c:smooth val="0"/>
          <c:extLst>
            <c:ext xmlns:c16="http://schemas.microsoft.com/office/drawing/2014/chart" uri="{C3380CC4-5D6E-409C-BE32-E72D297353CC}">
              <c16:uniqueId val="{00000018-5592-4E76-8908-496B42FE4A35}"/>
            </c:ext>
          </c:extLst>
        </c:ser>
        <c:ser>
          <c:idx val="45"/>
          <c:order val="25"/>
          <c:tx>
            <c:v>LagerH5</c:v>
          </c:tx>
          <c:spPr>
            <a:ln w="12700">
              <a:solidFill>
                <a:srgbClr val="808080"/>
              </a:solidFill>
              <a:prstDash val="solid"/>
            </a:ln>
          </c:spPr>
          <c:marker>
            <c:symbol val="none"/>
          </c:marker>
          <c:xVal>
            <c:numRef>
              <c:f>Symbole!$C$33:$F$33</c:f>
              <c:numCache>
                <c:formatCode>General</c:formatCode>
                <c:ptCount val="4"/>
                <c:pt idx="0">
                  <c:v>-50</c:v>
                </c:pt>
                <c:pt idx="1">
                  <c:v>-35.303492659818794</c:v>
                </c:pt>
                <c:pt idx="2">
                  <c:v>-35.303492659818794</c:v>
                </c:pt>
                <c:pt idx="3">
                  <c:v>-50</c:v>
                </c:pt>
              </c:numCache>
            </c:numRef>
          </c:xVal>
          <c:yVal>
            <c:numRef>
              <c:f>Symbole!$G$33:$J$33</c:f>
              <c:numCache>
                <c:formatCode>General</c:formatCode>
                <c:ptCount val="4"/>
                <c:pt idx="0">
                  <c:v>-70</c:v>
                </c:pt>
                <c:pt idx="1">
                  <c:v>-61.514718625761432</c:v>
                </c:pt>
                <c:pt idx="2">
                  <c:v>-78.485281374238568</c:v>
                </c:pt>
                <c:pt idx="3">
                  <c:v>-70</c:v>
                </c:pt>
              </c:numCache>
            </c:numRef>
          </c:yVal>
          <c:smooth val="0"/>
          <c:extLst>
            <c:ext xmlns:c16="http://schemas.microsoft.com/office/drawing/2014/chart" uri="{C3380CC4-5D6E-409C-BE32-E72D297353CC}">
              <c16:uniqueId val="{00000019-5592-4E76-8908-496B42FE4A35}"/>
            </c:ext>
          </c:extLst>
        </c:ser>
        <c:ser>
          <c:idx val="46"/>
          <c:order val="26"/>
          <c:tx>
            <c:v>LagerH6</c:v>
          </c:tx>
          <c:spPr>
            <a:ln w="12700">
              <a:solidFill>
                <a:srgbClr val="808080"/>
              </a:solidFill>
              <a:prstDash val="solid"/>
            </a:ln>
          </c:spPr>
          <c:marker>
            <c:symbol val="none"/>
          </c:marker>
          <c:xVal>
            <c:numRef>
              <c:f>Symbole!$C$34:$F$34</c:f>
              <c:numCache>
                <c:formatCode>General</c:formatCode>
                <c:ptCount val="4"/>
                <c:pt idx="0">
                  <c:v>-100</c:v>
                </c:pt>
                <c:pt idx="1">
                  <c:v>-85.303492659818801</c:v>
                </c:pt>
                <c:pt idx="2">
                  <c:v>-85.303492659818801</c:v>
                </c:pt>
                <c:pt idx="3">
                  <c:v>-100</c:v>
                </c:pt>
              </c:numCache>
            </c:numRef>
          </c:xVal>
          <c:yVal>
            <c:numRef>
              <c:f>Symbole!$G$34:$J$34</c:f>
              <c:numCache>
                <c:formatCode>General</c:formatCode>
                <c:ptCount val="4"/>
                <c:pt idx="0">
                  <c:v>100</c:v>
                </c:pt>
                <c:pt idx="1">
                  <c:v>108.48528137423857</c:v>
                </c:pt>
                <c:pt idx="2">
                  <c:v>91.514718625761432</c:v>
                </c:pt>
                <c:pt idx="3">
                  <c:v>100</c:v>
                </c:pt>
              </c:numCache>
            </c:numRef>
          </c:yVal>
          <c:smooth val="0"/>
          <c:extLst>
            <c:ext xmlns:c16="http://schemas.microsoft.com/office/drawing/2014/chart" uri="{C3380CC4-5D6E-409C-BE32-E72D297353CC}">
              <c16:uniqueId val="{0000001A-5592-4E76-8908-496B42FE4A35}"/>
            </c:ext>
          </c:extLst>
        </c:ser>
        <c:ser>
          <c:idx val="47"/>
          <c:order val="27"/>
          <c:tx>
            <c:v>LagerH7</c:v>
          </c:tx>
          <c:spPr>
            <a:ln w="12700">
              <a:solidFill>
                <a:srgbClr val="808080"/>
              </a:solidFill>
              <a:prstDash val="solid"/>
            </a:ln>
          </c:spPr>
          <c:marker>
            <c:symbol val="none"/>
          </c:marker>
          <c:xVal>
            <c:numRef>
              <c:f>Symbole!$C$35:$F$35</c:f>
              <c:numCache>
                <c:formatCode>General</c:formatCode>
                <c:ptCount val="4"/>
                <c:pt idx="0">
                  <c:v>0</c:v>
                </c:pt>
                <c:pt idx="1">
                  <c:v>0</c:v>
                </c:pt>
                <c:pt idx="2">
                  <c:v>0</c:v>
                </c:pt>
                <c:pt idx="3">
                  <c:v>0</c:v>
                </c:pt>
              </c:numCache>
            </c:numRef>
          </c:xVal>
          <c:yVal>
            <c:numRef>
              <c:f>Symbole!$G$35:$J$35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B-5592-4E76-8908-496B42FE4A35}"/>
            </c:ext>
          </c:extLst>
        </c:ser>
        <c:ser>
          <c:idx val="48"/>
          <c:order val="28"/>
          <c:tx>
            <c:v>LagerH8</c:v>
          </c:tx>
          <c:spPr>
            <a:ln w="12700">
              <a:solidFill>
                <a:srgbClr val="808080"/>
              </a:solidFill>
              <a:prstDash val="solid"/>
            </a:ln>
          </c:spPr>
          <c:marker>
            <c:symbol val="none"/>
          </c:marker>
          <c:xVal>
            <c:numRef>
              <c:f>Symbole!$C$36:$F$36</c:f>
              <c:numCache>
                <c:formatCode>General</c:formatCode>
                <c:ptCount val="4"/>
                <c:pt idx="0">
                  <c:v>0</c:v>
                </c:pt>
                <c:pt idx="1">
                  <c:v>0</c:v>
                </c:pt>
                <c:pt idx="2">
                  <c:v>0</c:v>
                </c:pt>
                <c:pt idx="3">
                  <c:v>0</c:v>
                </c:pt>
              </c:numCache>
            </c:numRef>
          </c:xVal>
          <c:yVal>
            <c:numRef>
              <c:f>Symbole!$G$36:$J$36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C-5592-4E76-8908-496B42FE4A35}"/>
            </c:ext>
          </c:extLst>
        </c:ser>
        <c:ser>
          <c:idx val="49"/>
          <c:order val="29"/>
          <c:tx>
            <c:v>LagerH9</c:v>
          </c:tx>
          <c:spPr>
            <a:ln w="12700">
              <a:solidFill>
                <a:srgbClr val="808080"/>
              </a:solidFill>
              <a:prstDash val="solid"/>
            </a:ln>
          </c:spPr>
          <c:marker>
            <c:symbol val="none"/>
          </c:marker>
          <c:xVal>
            <c:numRef>
              <c:f>Symbole!$C$37:$F$37</c:f>
              <c:numCache>
                <c:formatCode>General</c:formatCode>
                <c:ptCount val="4"/>
                <c:pt idx="0">
                  <c:v>0</c:v>
                </c:pt>
                <c:pt idx="1">
                  <c:v>0</c:v>
                </c:pt>
                <c:pt idx="2">
                  <c:v>0</c:v>
                </c:pt>
                <c:pt idx="3">
                  <c:v>0</c:v>
                </c:pt>
              </c:numCache>
            </c:numRef>
          </c:xVal>
          <c:yVal>
            <c:numRef>
              <c:f>Symbole!$G$37:$J$37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D-5592-4E76-8908-496B42FE4A35}"/>
            </c:ext>
          </c:extLst>
        </c:ser>
        <c:ser>
          <c:idx val="50"/>
          <c:order val="30"/>
          <c:tx>
            <c:v>LagerH10</c:v>
          </c:tx>
          <c:spPr>
            <a:ln w="12700">
              <a:solidFill>
                <a:srgbClr val="808080"/>
              </a:solidFill>
              <a:prstDash val="solid"/>
            </a:ln>
          </c:spPr>
          <c:marker>
            <c:symbol val="none"/>
          </c:marker>
          <c:xVal>
            <c:numRef>
              <c:f>Symbole!$C$38:$F$38</c:f>
              <c:numCache>
                <c:formatCode>General</c:formatCode>
                <c:ptCount val="4"/>
                <c:pt idx="0">
                  <c:v>0</c:v>
                </c:pt>
                <c:pt idx="1">
                  <c:v>0</c:v>
                </c:pt>
                <c:pt idx="2">
                  <c:v>0</c:v>
                </c:pt>
                <c:pt idx="3">
                  <c:v>0</c:v>
                </c:pt>
              </c:numCache>
            </c:numRef>
          </c:xVal>
          <c:yVal>
            <c:numRef>
              <c:f>Symbole!$G$38:$J$38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E-5592-4E76-8908-496B42FE4A35}"/>
            </c:ext>
          </c:extLst>
        </c:ser>
        <c:ser>
          <c:idx val="51"/>
          <c:order val="31"/>
          <c:tx>
            <c:v>LagerH11</c:v>
          </c:tx>
          <c:spPr>
            <a:ln w="12700">
              <a:solidFill>
                <a:srgbClr val="808080"/>
              </a:solidFill>
              <a:prstDash val="solid"/>
            </a:ln>
          </c:spPr>
          <c:marker>
            <c:symbol val="none"/>
          </c:marker>
          <c:xVal>
            <c:numRef>
              <c:f>Symbole!$C$39:$F$39</c:f>
              <c:numCache>
                <c:formatCode>General</c:formatCode>
                <c:ptCount val="4"/>
                <c:pt idx="0">
                  <c:v>0</c:v>
                </c:pt>
                <c:pt idx="1">
                  <c:v>0</c:v>
                </c:pt>
                <c:pt idx="2">
                  <c:v>0</c:v>
                </c:pt>
                <c:pt idx="3">
                  <c:v>0</c:v>
                </c:pt>
              </c:numCache>
            </c:numRef>
          </c:xVal>
          <c:yVal>
            <c:numRef>
              <c:f>Symbole!$G$39:$J$39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F-5592-4E76-8908-496B42FE4A35}"/>
            </c:ext>
          </c:extLst>
        </c:ser>
        <c:ser>
          <c:idx val="52"/>
          <c:order val="32"/>
          <c:tx>
            <c:v>LagerH12</c:v>
          </c:tx>
          <c:spPr>
            <a:ln w="12700">
              <a:solidFill>
                <a:srgbClr val="808080"/>
              </a:solidFill>
              <a:prstDash val="solid"/>
            </a:ln>
          </c:spPr>
          <c:marker>
            <c:symbol val="none"/>
          </c:marker>
          <c:xVal>
            <c:numRef>
              <c:f>Symbole!$C$40:$F$40</c:f>
              <c:numCache>
                <c:formatCode>General</c:formatCode>
                <c:ptCount val="4"/>
                <c:pt idx="0">
                  <c:v>0</c:v>
                </c:pt>
                <c:pt idx="1">
                  <c:v>0</c:v>
                </c:pt>
                <c:pt idx="2">
                  <c:v>0</c:v>
                </c:pt>
                <c:pt idx="3">
                  <c:v>0</c:v>
                </c:pt>
              </c:numCache>
            </c:numRef>
          </c:xVal>
          <c:yVal>
            <c:numRef>
              <c:f>Symbole!$G$40:$J$40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0-5592-4E76-8908-496B42FE4A35}"/>
            </c:ext>
          </c:extLst>
        </c:ser>
        <c:ser>
          <c:idx val="53"/>
          <c:order val="33"/>
          <c:tx>
            <c:v>LagerH13</c:v>
          </c:tx>
          <c:spPr>
            <a:ln w="12700">
              <a:solidFill>
                <a:srgbClr val="808080"/>
              </a:solidFill>
              <a:prstDash val="solid"/>
            </a:ln>
          </c:spPr>
          <c:marker>
            <c:symbol val="none"/>
          </c:marker>
          <c:xVal>
            <c:numRef>
              <c:f>Symbole!$C$41:$F$41</c:f>
              <c:numCache>
                <c:formatCode>General</c:formatCode>
                <c:ptCount val="4"/>
                <c:pt idx="0">
                  <c:v>0</c:v>
                </c:pt>
                <c:pt idx="1">
                  <c:v>0</c:v>
                </c:pt>
                <c:pt idx="2">
                  <c:v>0</c:v>
                </c:pt>
                <c:pt idx="3">
                  <c:v>0</c:v>
                </c:pt>
              </c:numCache>
            </c:numRef>
          </c:xVal>
          <c:yVal>
            <c:numRef>
              <c:f>Symbole!$G$41:$J$41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1-5592-4E76-8908-496B42FE4A35}"/>
            </c:ext>
          </c:extLst>
        </c:ser>
        <c:ser>
          <c:idx val="54"/>
          <c:order val="34"/>
          <c:tx>
            <c:v>LagerH14</c:v>
          </c:tx>
          <c:spPr>
            <a:ln w="12700">
              <a:solidFill>
                <a:srgbClr val="808080"/>
              </a:solidFill>
              <a:prstDash val="solid"/>
            </a:ln>
          </c:spPr>
          <c:marker>
            <c:symbol val="none"/>
          </c:marker>
          <c:xVal>
            <c:numRef>
              <c:f>Symbole!$C$42:$F$42</c:f>
              <c:numCache>
                <c:formatCode>General</c:formatCode>
                <c:ptCount val="4"/>
                <c:pt idx="0">
                  <c:v>0</c:v>
                </c:pt>
                <c:pt idx="1">
                  <c:v>0</c:v>
                </c:pt>
                <c:pt idx="2">
                  <c:v>0</c:v>
                </c:pt>
                <c:pt idx="3">
                  <c:v>0</c:v>
                </c:pt>
              </c:numCache>
            </c:numRef>
          </c:xVal>
          <c:yVal>
            <c:numRef>
              <c:f>Symbole!$G$42:$J$42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2-5592-4E76-8908-496B42FE4A35}"/>
            </c:ext>
          </c:extLst>
        </c:ser>
        <c:ser>
          <c:idx val="55"/>
          <c:order val="35"/>
          <c:tx>
            <c:v>LagerH15</c:v>
          </c:tx>
          <c:spPr>
            <a:ln w="12700">
              <a:solidFill>
                <a:srgbClr val="808080"/>
              </a:solidFill>
              <a:prstDash val="solid"/>
            </a:ln>
          </c:spPr>
          <c:marker>
            <c:symbol val="none"/>
          </c:marker>
          <c:xVal>
            <c:numRef>
              <c:f>Symbole!$C$43:$F$43</c:f>
              <c:numCache>
                <c:formatCode>General</c:formatCode>
                <c:ptCount val="4"/>
                <c:pt idx="0">
                  <c:v>0</c:v>
                </c:pt>
                <c:pt idx="1">
                  <c:v>0</c:v>
                </c:pt>
                <c:pt idx="2">
                  <c:v>0</c:v>
                </c:pt>
                <c:pt idx="3">
                  <c:v>0</c:v>
                </c:pt>
              </c:numCache>
            </c:numRef>
          </c:xVal>
          <c:yVal>
            <c:numRef>
              <c:f>Symbole!$G$43:$J$43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3-5592-4E76-8908-496B42FE4A35}"/>
            </c:ext>
          </c:extLst>
        </c:ser>
        <c:ser>
          <c:idx val="56"/>
          <c:order val="36"/>
          <c:tx>
            <c:v>LagerH16</c:v>
          </c:tx>
          <c:spPr>
            <a:ln w="12700">
              <a:solidFill>
                <a:srgbClr val="808080"/>
              </a:solidFill>
              <a:prstDash val="solid"/>
            </a:ln>
          </c:spPr>
          <c:marker>
            <c:symbol val="none"/>
          </c:marker>
          <c:xVal>
            <c:numRef>
              <c:f>Symbole!$C$44:$F$44</c:f>
              <c:numCache>
                <c:formatCode>General</c:formatCode>
                <c:ptCount val="4"/>
                <c:pt idx="0">
                  <c:v>0</c:v>
                </c:pt>
                <c:pt idx="1">
                  <c:v>0</c:v>
                </c:pt>
                <c:pt idx="2">
                  <c:v>0</c:v>
                </c:pt>
                <c:pt idx="3">
                  <c:v>0</c:v>
                </c:pt>
              </c:numCache>
            </c:numRef>
          </c:xVal>
          <c:yVal>
            <c:numRef>
              <c:f>Symbole!$G$44:$J$44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4-5592-4E76-8908-496B42FE4A35}"/>
            </c:ext>
          </c:extLst>
        </c:ser>
        <c:ser>
          <c:idx val="57"/>
          <c:order val="37"/>
          <c:tx>
            <c:v>LagerH17</c:v>
          </c:tx>
          <c:spPr>
            <a:ln w="12700">
              <a:solidFill>
                <a:srgbClr val="808080"/>
              </a:solidFill>
              <a:prstDash val="solid"/>
            </a:ln>
          </c:spPr>
          <c:marker>
            <c:symbol val="none"/>
          </c:marker>
          <c:xVal>
            <c:numRef>
              <c:f>Symbole!$C$45:$F$45</c:f>
              <c:numCache>
                <c:formatCode>General</c:formatCode>
                <c:ptCount val="4"/>
                <c:pt idx="0">
                  <c:v>0</c:v>
                </c:pt>
                <c:pt idx="1">
                  <c:v>0</c:v>
                </c:pt>
                <c:pt idx="2">
                  <c:v>0</c:v>
                </c:pt>
                <c:pt idx="3">
                  <c:v>0</c:v>
                </c:pt>
              </c:numCache>
            </c:numRef>
          </c:xVal>
          <c:yVal>
            <c:numRef>
              <c:f>Symbole!$G$45:$J$45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5-5592-4E76-8908-496B42FE4A35}"/>
            </c:ext>
          </c:extLst>
        </c:ser>
        <c:ser>
          <c:idx val="58"/>
          <c:order val="38"/>
          <c:tx>
            <c:v>LagerH18</c:v>
          </c:tx>
          <c:spPr>
            <a:ln w="12700">
              <a:solidFill>
                <a:srgbClr val="808080"/>
              </a:solidFill>
              <a:prstDash val="solid"/>
            </a:ln>
          </c:spPr>
          <c:marker>
            <c:symbol val="none"/>
          </c:marker>
          <c:xVal>
            <c:numRef>
              <c:f>Symbole!$C$46:$F$46</c:f>
              <c:numCache>
                <c:formatCode>General</c:formatCode>
                <c:ptCount val="4"/>
                <c:pt idx="0">
                  <c:v>0</c:v>
                </c:pt>
                <c:pt idx="1">
                  <c:v>0</c:v>
                </c:pt>
                <c:pt idx="2">
                  <c:v>0</c:v>
                </c:pt>
                <c:pt idx="3">
                  <c:v>0</c:v>
                </c:pt>
              </c:numCache>
            </c:numRef>
          </c:xVal>
          <c:yVal>
            <c:numRef>
              <c:f>Symbole!$G$46:$J$46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6-5592-4E76-8908-496B42FE4A35}"/>
            </c:ext>
          </c:extLst>
        </c:ser>
        <c:ser>
          <c:idx val="59"/>
          <c:order val="39"/>
          <c:tx>
            <c:v>LagerH19</c:v>
          </c:tx>
          <c:spPr>
            <a:ln w="12700">
              <a:solidFill>
                <a:srgbClr val="808080"/>
              </a:solidFill>
              <a:prstDash val="solid"/>
            </a:ln>
          </c:spPr>
          <c:marker>
            <c:symbol val="none"/>
          </c:marker>
          <c:xVal>
            <c:numRef>
              <c:f>Symbole!$C$47:$F$47</c:f>
              <c:numCache>
                <c:formatCode>General</c:formatCode>
                <c:ptCount val="4"/>
                <c:pt idx="0">
                  <c:v>0</c:v>
                </c:pt>
                <c:pt idx="1">
                  <c:v>0</c:v>
                </c:pt>
                <c:pt idx="2">
                  <c:v>0</c:v>
                </c:pt>
                <c:pt idx="3">
                  <c:v>0</c:v>
                </c:pt>
              </c:numCache>
            </c:numRef>
          </c:xVal>
          <c:yVal>
            <c:numRef>
              <c:f>Symbole!$G$47:$J$47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7-5592-4E76-8908-496B42FE4A35}"/>
            </c:ext>
          </c:extLst>
        </c:ser>
        <c:ser>
          <c:idx val="60"/>
          <c:order val="40"/>
          <c:tx>
            <c:v>LagerH20</c:v>
          </c:tx>
          <c:spPr>
            <a:ln w="12700">
              <a:solidFill>
                <a:srgbClr val="808080"/>
              </a:solidFill>
              <a:prstDash val="solid"/>
            </a:ln>
          </c:spPr>
          <c:marker>
            <c:symbol val="none"/>
          </c:marker>
          <c:xVal>
            <c:numRef>
              <c:f>Symbole!$C$48:$F$48</c:f>
              <c:numCache>
                <c:formatCode>General</c:formatCode>
                <c:ptCount val="4"/>
                <c:pt idx="0">
                  <c:v>0</c:v>
                </c:pt>
                <c:pt idx="1">
                  <c:v>0</c:v>
                </c:pt>
                <c:pt idx="2">
                  <c:v>0</c:v>
                </c:pt>
                <c:pt idx="3">
                  <c:v>0</c:v>
                </c:pt>
              </c:numCache>
            </c:numRef>
          </c:xVal>
          <c:yVal>
            <c:numRef>
              <c:f>Symbole!$G$48:$J$48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8-5592-4E76-8908-496B42FE4A35}"/>
            </c:ext>
          </c:extLst>
        </c:ser>
        <c:ser>
          <c:idx val="61"/>
          <c:order val="41"/>
          <c:tx>
            <c:v>LagerR1</c:v>
          </c:tx>
          <c:spPr>
            <a:ln w="12700">
              <a:solidFill>
                <a:srgbClr val="808080"/>
              </a:solidFill>
              <a:prstDash val="solid"/>
            </a:ln>
          </c:spPr>
          <c:marker>
            <c:symbol val="none"/>
          </c:marker>
          <c:xVal>
            <c:numRef>
              <c:f>Symbole!$C$52:$G$52</c:f>
              <c:numCache>
                <c:formatCode>General</c:formatCode>
                <c:ptCount val="5"/>
                <c:pt idx="0">
                  <c:v>20</c:v>
                </c:pt>
                <c:pt idx="1">
                  <c:v>20</c:v>
                </c:pt>
                <c:pt idx="2">
                  <c:v>20</c:v>
                </c:pt>
                <c:pt idx="3">
                  <c:v>20</c:v>
                </c:pt>
                <c:pt idx="4">
                  <c:v>20</c:v>
                </c:pt>
              </c:numCache>
            </c:numRef>
          </c:xVal>
          <c:yVal>
            <c:numRef>
              <c:f>Symbole!$H$52:$L$52</c:f>
              <c:numCache>
                <c:formatCode>General</c:formatCode>
                <c:ptCount val="5"/>
                <c:pt idx="0">
                  <c:v>-40</c:v>
                </c:pt>
                <c:pt idx="1">
                  <c:v>-40</c:v>
                </c:pt>
                <c:pt idx="2">
                  <c:v>-40</c:v>
                </c:pt>
                <c:pt idx="3">
                  <c:v>-40</c:v>
                </c:pt>
                <c:pt idx="4">
                  <c:v>-40</c:v>
                </c:pt>
              </c:numCache>
            </c:numRef>
          </c:yVal>
          <c:smooth val="0"/>
          <c:extLst>
            <c:ext xmlns:c16="http://schemas.microsoft.com/office/drawing/2014/chart" uri="{C3380CC4-5D6E-409C-BE32-E72D297353CC}">
              <c16:uniqueId val="{00000029-5592-4E76-8908-496B42FE4A35}"/>
            </c:ext>
          </c:extLst>
        </c:ser>
        <c:ser>
          <c:idx val="62"/>
          <c:order val="42"/>
          <c:tx>
            <c:v>LagerR2</c:v>
          </c:tx>
          <c:spPr>
            <a:ln w="12700">
              <a:solidFill>
                <a:srgbClr val="808080"/>
              </a:solidFill>
              <a:prstDash val="solid"/>
            </a:ln>
          </c:spPr>
          <c:marker>
            <c:symbol val="none"/>
          </c:marker>
          <c:xVal>
            <c:numRef>
              <c:f>Symbole!$C$53:$G$53</c:f>
              <c:numCache>
                <c:formatCode>General</c:formatCode>
                <c:ptCount val="5"/>
                <c:pt idx="0">
                  <c:v>100</c:v>
                </c:pt>
                <c:pt idx="1">
                  <c:v>100</c:v>
                </c:pt>
                <c:pt idx="2">
                  <c:v>100</c:v>
                </c:pt>
                <c:pt idx="3">
                  <c:v>100</c:v>
                </c:pt>
                <c:pt idx="4">
                  <c:v>100</c:v>
                </c:pt>
              </c:numCache>
            </c:numRef>
          </c:xVal>
          <c:yVal>
            <c:numRef>
              <c:f>Symbole!$H$53:$L$53</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A-5592-4E76-8908-496B42FE4A35}"/>
            </c:ext>
          </c:extLst>
        </c:ser>
        <c:ser>
          <c:idx val="63"/>
          <c:order val="43"/>
          <c:tx>
            <c:v>LagerR3</c:v>
          </c:tx>
          <c:spPr>
            <a:ln w="12700">
              <a:solidFill>
                <a:srgbClr val="808080"/>
              </a:solidFill>
              <a:prstDash val="solid"/>
            </a:ln>
          </c:spPr>
          <c:marker>
            <c:symbol val="none"/>
          </c:marker>
          <c:xVal>
            <c:numRef>
              <c:f>Symbole!$C$54:$G$54</c:f>
              <c:numCache>
                <c:formatCode>General</c:formatCode>
                <c:ptCount val="5"/>
                <c:pt idx="0">
                  <c:v>20</c:v>
                </c:pt>
                <c:pt idx="1">
                  <c:v>20</c:v>
                </c:pt>
                <c:pt idx="2">
                  <c:v>20</c:v>
                </c:pt>
                <c:pt idx="3">
                  <c:v>20</c:v>
                </c:pt>
                <c:pt idx="4">
                  <c:v>20</c:v>
                </c:pt>
              </c:numCache>
            </c:numRef>
          </c:xVal>
          <c:yVal>
            <c:numRef>
              <c:f>Symbole!$H$54:$L$54</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B-5592-4E76-8908-496B42FE4A35}"/>
            </c:ext>
          </c:extLst>
        </c:ser>
        <c:ser>
          <c:idx val="64"/>
          <c:order val="44"/>
          <c:tx>
            <c:v>LagerR4</c:v>
          </c:tx>
          <c:spPr>
            <a:ln w="12700">
              <a:solidFill>
                <a:srgbClr val="808080"/>
              </a:solidFill>
              <a:prstDash val="solid"/>
            </a:ln>
          </c:spPr>
          <c:marker>
            <c:symbol val="none"/>
          </c:marker>
          <c:xVal>
            <c:numRef>
              <c:f>Symbole!$C$55:$G$55</c:f>
              <c:numCache>
                <c:formatCode>General</c:formatCode>
                <c:ptCount val="5"/>
                <c:pt idx="0">
                  <c:v>60</c:v>
                </c:pt>
                <c:pt idx="1">
                  <c:v>60</c:v>
                </c:pt>
                <c:pt idx="2">
                  <c:v>60</c:v>
                </c:pt>
                <c:pt idx="3">
                  <c:v>60</c:v>
                </c:pt>
                <c:pt idx="4">
                  <c:v>60</c:v>
                </c:pt>
              </c:numCache>
            </c:numRef>
          </c:xVal>
          <c:yVal>
            <c:numRef>
              <c:f>Symbole!$H$55:$L$55</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C-5592-4E76-8908-496B42FE4A35}"/>
            </c:ext>
          </c:extLst>
        </c:ser>
        <c:ser>
          <c:idx val="65"/>
          <c:order val="45"/>
          <c:tx>
            <c:v>LagerR5</c:v>
          </c:tx>
          <c:spPr>
            <a:ln w="12700">
              <a:solidFill>
                <a:srgbClr val="808080"/>
              </a:solidFill>
              <a:prstDash val="solid"/>
            </a:ln>
          </c:spPr>
          <c:marker>
            <c:symbol val="none"/>
          </c:marker>
          <c:xVal>
            <c:numRef>
              <c:f>Symbole!$C$56:$G$56</c:f>
              <c:numCache>
                <c:formatCode>General</c:formatCode>
                <c:ptCount val="5"/>
                <c:pt idx="0">
                  <c:v>-50</c:v>
                </c:pt>
                <c:pt idx="1">
                  <c:v>-50</c:v>
                </c:pt>
                <c:pt idx="2">
                  <c:v>-50</c:v>
                </c:pt>
                <c:pt idx="3">
                  <c:v>-50</c:v>
                </c:pt>
                <c:pt idx="4">
                  <c:v>-50</c:v>
                </c:pt>
              </c:numCache>
            </c:numRef>
          </c:xVal>
          <c:yVal>
            <c:numRef>
              <c:f>Symbole!$H$56:$L$56</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2D-5592-4E76-8908-496B42FE4A35}"/>
            </c:ext>
          </c:extLst>
        </c:ser>
        <c:ser>
          <c:idx val="66"/>
          <c:order val="46"/>
          <c:tx>
            <c:v>LagerR6</c:v>
          </c:tx>
          <c:spPr>
            <a:ln w="12700">
              <a:solidFill>
                <a:srgbClr val="808080"/>
              </a:solidFill>
              <a:prstDash val="solid"/>
            </a:ln>
          </c:spPr>
          <c:marker>
            <c:symbol val="none"/>
          </c:marker>
          <c:xVal>
            <c:numRef>
              <c:f>Symbole!$C$57:$G$57</c:f>
              <c:numCache>
                <c:formatCode>General</c:formatCode>
                <c:ptCount val="5"/>
                <c:pt idx="0">
                  <c:v>-100</c:v>
                </c:pt>
                <c:pt idx="1">
                  <c:v>-100</c:v>
                </c:pt>
                <c:pt idx="2">
                  <c:v>-100</c:v>
                </c:pt>
                <c:pt idx="3">
                  <c:v>-100</c:v>
                </c:pt>
                <c:pt idx="4">
                  <c:v>-100</c:v>
                </c:pt>
              </c:numCache>
            </c:numRef>
          </c:xVal>
          <c:yVal>
            <c:numRef>
              <c:f>Symbole!$H$57:$L$57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E-5592-4E76-8908-496B42FE4A35}"/>
            </c:ext>
          </c:extLst>
        </c:ser>
        <c:ser>
          <c:idx val="67"/>
          <c:order val="47"/>
          <c:tx>
            <c:v>LagerR7</c:v>
          </c:tx>
          <c:spPr>
            <a:ln w="12700">
              <a:solidFill>
                <a:srgbClr val="808080"/>
              </a:solidFill>
              <a:prstDash val="solid"/>
            </a:ln>
          </c:spPr>
          <c:marker>
            <c:symbol val="none"/>
          </c:marker>
          <c:xVal>
            <c:numRef>
              <c:f>Symbole!$C$58:$G$58</c:f>
              <c:numCache>
                <c:formatCode>General</c:formatCode>
                <c:ptCount val="5"/>
                <c:pt idx="0">
                  <c:v>0</c:v>
                </c:pt>
                <c:pt idx="1">
                  <c:v>0</c:v>
                </c:pt>
                <c:pt idx="2">
                  <c:v>0</c:v>
                </c:pt>
                <c:pt idx="3">
                  <c:v>0</c:v>
                </c:pt>
                <c:pt idx="4">
                  <c:v>0</c:v>
                </c:pt>
              </c:numCache>
            </c:numRef>
          </c:xVal>
          <c:yVal>
            <c:numRef>
              <c:f>Symbole!$H$58:$L$58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2F-5592-4E76-8908-496B42FE4A35}"/>
            </c:ext>
          </c:extLst>
        </c:ser>
        <c:ser>
          <c:idx val="68"/>
          <c:order val="48"/>
          <c:tx>
            <c:v>LagerR8</c:v>
          </c:tx>
          <c:spPr>
            <a:ln w="12700">
              <a:solidFill>
                <a:srgbClr val="808080"/>
              </a:solidFill>
              <a:prstDash val="solid"/>
            </a:ln>
          </c:spPr>
          <c:marker>
            <c:symbol val="none"/>
          </c:marker>
          <c:xVal>
            <c:numRef>
              <c:f>Symbole!$C$59:$G$59</c:f>
              <c:numCache>
                <c:formatCode>General</c:formatCode>
                <c:ptCount val="5"/>
                <c:pt idx="0">
                  <c:v>0</c:v>
                </c:pt>
                <c:pt idx="1">
                  <c:v>0</c:v>
                </c:pt>
                <c:pt idx="2">
                  <c:v>0</c:v>
                </c:pt>
                <c:pt idx="3">
                  <c:v>0</c:v>
                </c:pt>
                <c:pt idx="4">
                  <c:v>0</c:v>
                </c:pt>
              </c:numCache>
            </c:numRef>
          </c:xVal>
          <c:yVal>
            <c:numRef>
              <c:f>Symbole!$H$59:$L$59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0-5592-4E76-8908-496B42FE4A35}"/>
            </c:ext>
          </c:extLst>
        </c:ser>
        <c:ser>
          <c:idx val="69"/>
          <c:order val="49"/>
          <c:tx>
            <c:v>LagerR9</c:v>
          </c:tx>
          <c:spPr>
            <a:ln w="12700">
              <a:solidFill>
                <a:srgbClr val="808080"/>
              </a:solidFill>
              <a:prstDash val="solid"/>
            </a:ln>
          </c:spPr>
          <c:marker>
            <c:symbol val="none"/>
          </c:marker>
          <c:xVal>
            <c:numRef>
              <c:f>Symbole!$C$60:$G$60</c:f>
              <c:numCache>
                <c:formatCode>General</c:formatCode>
                <c:ptCount val="5"/>
                <c:pt idx="0">
                  <c:v>0</c:v>
                </c:pt>
                <c:pt idx="1">
                  <c:v>0</c:v>
                </c:pt>
                <c:pt idx="2">
                  <c:v>0</c:v>
                </c:pt>
                <c:pt idx="3">
                  <c:v>0</c:v>
                </c:pt>
                <c:pt idx="4">
                  <c:v>0</c:v>
                </c:pt>
              </c:numCache>
            </c:numRef>
          </c:xVal>
          <c:yVal>
            <c:numRef>
              <c:f>Symbole!$H$60:$L$60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1-5592-4E76-8908-496B42FE4A35}"/>
            </c:ext>
          </c:extLst>
        </c:ser>
        <c:ser>
          <c:idx val="70"/>
          <c:order val="50"/>
          <c:tx>
            <c:v>LagerR10</c:v>
          </c:tx>
          <c:spPr>
            <a:ln w="12700">
              <a:solidFill>
                <a:srgbClr val="808080"/>
              </a:solidFill>
              <a:prstDash val="solid"/>
            </a:ln>
          </c:spPr>
          <c:marker>
            <c:symbol val="none"/>
          </c:marker>
          <c:xVal>
            <c:numRef>
              <c:f>Symbole!$C$61:$G$61</c:f>
              <c:numCache>
                <c:formatCode>General</c:formatCode>
                <c:ptCount val="5"/>
                <c:pt idx="0">
                  <c:v>0</c:v>
                </c:pt>
                <c:pt idx="1">
                  <c:v>0</c:v>
                </c:pt>
                <c:pt idx="2">
                  <c:v>0</c:v>
                </c:pt>
                <c:pt idx="3">
                  <c:v>0</c:v>
                </c:pt>
                <c:pt idx="4">
                  <c:v>0</c:v>
                </c:pt>
              </c:numCache>
            </c:numRef>
          </c:xVal>
          <c:yVal>
            <c:numRef>
              <c:f>Symbole!$H$61:$L$61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2-5592-4E76-8908-496B42FE4A35}"/>
            </c:ext>
          </c:extLst>
        </c:ser>
        <c:ser>
          <c:idx val="71"/>
          <c:order val="51"/>
          <c:tx>
            <c:v>LagerR11</c:v>
          </c:tx>
          <c:spPr>
            <a:ln w="12700">
              <a:solidFill>
                <a:srgbClr val="808080"/>
              </a:solidFill>
              <a:prstDash val="solid"/>
            </a:ln>
          </c:spPr>
          <c:marker>
            <c:symbol val="none"/>
          </c:marker>
          <c:xVal>
            <c:numRef>
              <c:f>Symbole!$C$62:$G$62</c:f>
              <c:numCache>
                <c:formatCode>General</c:formatCode>
                <c:ptCount val="5"/>
                <c:pt idx="0">
                  <c:v>0</c:v>
                </c:pt>
                <c:pt idx="1">
                  <c:v>0</c:v>
                </c:pt>
                <c:pt idx="2">
                  <c:v>0</c:v>
                </c:pt>
                <c:pt idx="3">
                  <c:v>0</c:v>
                </c:pt>
                <c:pt idx="4">
                  <c:v>0</c:v>
                </c:pt>
              </c:numCache>
            </c:numRef>
          </c:xVal>
          <c:yVal>
            <c:numRef>
              <c:f>Symbole!$H$62:$L$62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3-5592-4E76-8908-496B42FE4A35}"/>
            </c:ext>
          </c:extLst>
        </c:ser>
        <c:ser>
          <c:idx val="72"/>
          <c:order val="52"/>
          <c:tx>
            <c:v>LagerR12</c:v>
          </c:tx>
          <c:spPr>
            <a:ln w="12700">
              <a:solidFill>
                <a:srgbClr val="808080"/>
              </a:solidFill>
              <a:prstDash val="solid"/>
            </a:ln>
          </c:spPr>
          <c:marker>
            <c:symbol val="none"/>
          </c:marker>
          <c:xVal>
            <c:numRef>
              <c:f>Symbole!$C$63:$G$63</c:f>
              <c:numCache>
                <c:formatCode>General</c:formatCode>
                <c:ptCount val="5"/>
                <c:pt idx="0">
                  <c:v>0</c:v>
                </c:pt>
                <c:pt idx="1">
                  <c:v>0</c:v>
                </c:pt>
                <c:pt idx="2">
                  <c:v>0</c:v>
                </c:pt>
                <c:pt idx="3">
                  <c:v>0</c:v>
                </c:pt>
                <c:pt idx="4">
                  <c:v>0</c:v>
                </c:pt>
              </c:numCache>
            </c:numRef>
          </c:xVal>
          <c:yVal>
            <c:numRef>
              <c:f>Symbole!$H$63:$L$63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4-5592-4E76-8908-496B42FE4A35}"/>
            </c:ext>
          </c:extLst>
        </c:ser>
        <c:ser>
          <c:idx val="73"/>
          <c:order val="53"/>
          <c:tx>
            <c:v>LagerR13</c:v>
          </c:tx>
          <c:spPr>
            <a:ln w="12700">
              <a:solidFill>
                <a:srgbClr val="808080"/>
              </a:solidFill>
              <a:prstDash val="solid"/>
            </a:ln>
          </c:spPr>
          <c:marker>
            <c:symbol val="none"/>
          </c:marker>
          <c:xVal>
            <c:numRef>
              <c:f>Symbole!$C$64:$G$64</c:f>
              <c:numCache>
                <c:formatCode>General</c:formatCode>
                <c:ptCount val="5"/>
                <c:pt idx="0">
                  <c:v>0</c:v>
                </c:pt>
                <c:pt idx="1">
                  <c:v>0</c:v>
                </c:pt>
                <c:pt idx="2">
                  <c:v>0</c:v>
                </c:pt>
                <c:pt idx="3">
                  <c:v>0</c:v>
                </c:pt>
                <c:pt idx="4">
                  <c:v>0</c:v>
                </c:pt>
              </c:numCache>
            </c:numRef>
          </c:xVal>
          <c:yVal>
            <c:numRef>
              <c:f>Symbole!$H$64:$L$64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5-5592-4E76-8908-496B42FE4A35}"/>
            </c:ext>
          </c:extLst>
        </c:ser>
        <c:ser>
          <c:idx val="74"/>
          <c:order val="54"/>
          <c:tx>
            <c:v>LagerR14</c:v>
          </c:tx>
          <c:spPr>
            <a:ln w="12700">
              <a:solidFill>
                <a:srgbClr val="808080"/>
              </a:solidFill>
              <a:prstDash val="solid"/>
            </a:ln>
          </c:spPr>
          <c:marker>
            <c:symbol val="none"/>
          </c:marker>
          <c:xVal>
            <c:numRef>
              <c:f>Symbole!$C$65:$G$65</c:f>
              <c:numCache>
                <c:formatCode>General</c:formatCode>
                <c:ptCount val="5"/>
                <c:pt idx="0">
                  <c:v>0</c:v>
                </c:pt>
                <c:pt idx="1">
                  <c:v>0</c:v>
                </c:pt>
                <c:pt idx="2">
                  <c:v>0</c:v>
                </c:pt>
                <c:pt idx="3">
                  <c:v>0</c:v>
                </c:pt>
                <c:pt idx="4">
                  <c:v>0</c:v>
                </c:pt>
              </c:numCache>
            </c:numRef>
          </c:xVal>
          <c:yVal>
            <c:numRef>
              <c:f>Symbole!$H$65:$L$65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6-5592-4E76-8908-496B42FE4A35}"/>
            </c:ext>
          </c:extLst>
        </c:ser>
        <c:ser>
          <c:idx val="75"/>
          <c:order val="55"/>
          <c:tx>
            <c:v>LagerR15</c:v>
          </c:tx>
          <c:spPr>
            <a:ln w="12700">
              <a:solidFill>
                <a:srgbClr val="808080"/>
              </a:solidFill>
              <a:prstDash val="solid"/>
            </a:ln>
          </c:spPr>
          <c:marker>
            <c:symbol val="none"/>
          </c:marker>
          <c:xVal>
            <c:numRef>
              <c:f>Symbole!$C$66:$G$66</c:f>
              <c:numCache>
                <c:formatCode>General</c:formatCode>
                <c:ptCount val="5"/>
                <c:pt idx="0">
                  <c:v>0</c:v>
                </c:pt>
                <c:pt idx="1">
                  <c:v>0</c:v>
                </c:pt>
                <c:pt idx="2">
                  <c:v>0</c:v>
                </c:pt>
                <c:pt idx="3">
                  <c:v>0</c:v>
                </c:pt>
                <c:pt idx="4">
                  <c:v>0</c:v>
                </c:pt>
              </c:numCache>
            </c:numRef>
          </c:xVal>
          <c:yVal>
            <c:numRef>
              <c:f>Symbole!$H$66:$L$66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7-5592-4E76-8908-496B42FE4A35}"/>
            </c:ext>
          </c:extLst>
        </c:ser>
        <c:ser>
          <c:idx val="76"/>
          <c:order val="56"/>
          <c:tx>
            <c:v>LagerR16</c:v>
          </c:tx>
          <c:spPr>
            <a:ln w="12700">
              <a:solidFill>
                <a:srgbClr val="808080"/>
              </a:solidFill>
              <a:prstDash val="solid"/>
            </a:ln>
          </c:spPr>
          <c:marker>
            <c:symbol val="none"/>
          </c:marker>
          <c:xVal>
            <c:numRef>
              <c:f>Symbole!$C$67:$G$67</c:f>
              <c:numCache>
                <c:formatCode>General</c:formatCode>
                <c:ptCount val="5"/>
                <c:pt idx="0">
                  <c:v>0</c:v>
                </c:pt>
                <c:pt idx="1">
                  <c:v>0</c:v>
                </c:pt>
                <c:pt idx="2">
                  <c:v>0</c:v>
                </c:pt>
                <c:pt idx="3">
                  <c:v>0</c:v>
                </c:pt>
                <c:pt idx="4">
                  <c:v>0</c:v>
                </c:pt>
              </c:numCache>
            </c:numRef>
          </c:xVal>
          <c:yVal>
            <c:numRef>
              <c:f>Symbole!$H$67:$L$67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8-5592-4E76-8908-496B42FE4A35}"/>
            </c:ext>
          </c:extLst>
        </c:ser>
        <c:ser>
          <c:idx val="77"/>
          <c:order val="57"/>
          <c:tx>
            <c:v>LagerR17</c:v>
          </c:tx>
          <c:spPr>
            <a:ln w="12700">
              <a:solidFill>
                <a:srgbClr val="808080"/>
              </a:solidFill>
              <a:prstDash val="solid"/>
            </a:ln>
          </c:spPr>
          <c:marker>
            <c:symbol val="none"/>
          </c:marker>
          <c:xVal>
            <c:numRef>
              <c:f>Symbole!$C$68:$G$68</c:f>
              <c:numCache>
                <c:formatCode>General</c:formatCode>
                <c:ptCount val="5"/>
                <c:pt idx="0">
                  <c:v>0</c:v>
                </c:pt>
                <c:pt idx="1">
                  <c:v>0</c:v>
                </c:pt>
                <c:pt idx="2">
                  <c:v>0</c:v>
                </c:pt>
                <c:pt idx="3">
                  <c:v>0</c:v>
                </c:pt>
                <c:pt idx="4">
                  <c:v>0</c:v>
                </c:pt>
              </c:numCache>
            </c:numRef>
          </c:xVal>
          <c:yVal>
            <c:numRef>
              <c:f>Symbole!$H$68:$L$68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9-5592-4E76-8908-496B42FE4A35}"/>
            </c:ext>
          </c:extLst>
        </c:ser>
        <c:ser>
          <c:idx val="78"/>
          <c:order val="58"/>
          <c:tx>
            <c:v>LagerR18</c:v>
          </c:tx>
          <c:spPr>
            <a:ln w="12700">
              <a:solidFill>
                <a:srgbClr val="808080"/>
              </a:solidFill>
              <a:prstDash val="solid"/>
            </a:ln>
          </c:spPr>
          <c:marker>
            <c:symbol val="none"/>
          </c:marker>
          <c:xVal>
            <c:numRef>
              <c:f>Symbole!$C$69:$G$69</c:f>
              <c:numCache>
                <c:formatCode>General</c:formatCode>
                <c:ptCount val="5"/>
                <c:pt idx="0">
                  <c:v>0</c:v>
                </c:pt>
                <c:pt idx="1">
                  <c:v>0</c:v>
                </c:pt>
                <c:pt idx="2">
                  <c:v>0</c:v>
                </c:pt>
                <c:pt idx="3">
                  <c:v>0</c:v>
                </c:pt>
                <c:pt idx="4">
                  <c:v>0</c:v>
                </c:pt>
              </c:numCache>
            </c:numRef>
          </c:xVal>
          <c:yVal>
            <c:numRef>
              <c:f>Symbole!$H$69:$L$69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A-5592-4E76-8908-496B42FE4A35}"/>
            </c:ext>
          </c:extLst>
        </c:ser>
        <c:ser>
          <c:idx val="79"/>
          <c:order val="59"/>
          <c:tx>
            <c:v>LagerR19</c:v>
          </c:tx>
          <c:spPr>
            <a:ln w="12700">
              <a:solidFill>
                <a:srgbClr val="808080"/>
              </a:solidFill>
              <a:prstDash val="solid"/>
            </a:ln>
          </c:spPr>
          <c:marker>
            <c:symbol val="none"/>
          </c:marker>
          <c:xVal>
            <c:numRef>
              <c:f>Symbole!$C$70:$G$70</c:f>
              <c:numCache>
                <c:formatCode>General</c:formatCode>
                <c:ptCount val="5"/>
                <c:pt idx="0">
                  <c:v>0</c:v>
                </c:pt>
                <c:pt idx="1">
                  <c:v>0</c:v>
                </c:pt>
                <c:pt idx="2">
                  <c:v>0</c:v>
                </c:pt>
                <c:pt idx="3">
                  <c:v>0</c:v>
                </c:pt>
                <c:pt idx="4">
                  <c:v>0</c:v>
                </c:pt>
              </c:numCache>
            </c:numRef>
          </c:xVal>
          <c:yVal>
            <c:numRef>
              <c:f>Symbole!$H$70:$L$70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B-5592-4E76-8908-496B42FE4A35}"/>
            </c:ext>
          </c:extLst>
        </c:ser>
        <c:ser>
          <c:idx val="80"/>
          <c:order val="60"/>
          <c:tx>
            <c:v>LagerR20</c:v>
          </c:tx>
          <c:spPr>
            <a:ln w="12700">
              <a:solidFill>
                <a:srgbClr val="808080"/>
              </a:solidFill>
              <a:prstDash val="solid"/>
            </a:ln>
          </c:spPr>
          <c:marker>
            <c:symbol val="none"/>
          </c:marker>
          <c:xVal>
            <c:numRef>
              <c:f>Symbole!$C$71:$G$71</c:f>
              <c:numCache>
                <c:formatCode>General</c:formatCode>
                <c:ptCount val="5"/>
                <c:pt idx="0">
                  <c:v>0</c:v>
                </c:pt>
                <c:pt idx="1">
                  <c:v>0</c:v>
                </c:pt>
                <c:pt idx="2">
                  <c:v>0</c:v>
                </c:pt>
                <c:pt idx="3">
                  <c:v>0</c:v>
                </c:pt>
                <c:pt idx="4">
                  <c:v>0</c:v>
                </c:pt>
              </c:numCache>
            </c:numRef>
          </c:xVal>
          <c:yVal>
            <c:numRef>
              <c:f>Symbole!$H$71:$L$71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C-5592-4E76-8908-496B42FE4A35}"/>
            </c:ext>
          </c:extLst>
        </c:ser>
        <c:ser>
          <c:idx val="121"/>
          <c:order val="61"/>
          <c:tx>
            <c:v>Knotenmoment1</c:v>
          </c:tx>
          <c:spPr>
            <a:ln w="12700">
              <a:solidFill>
                <a:srgbClr val="808080"/>
              </a:solidFill>
              <a:prstDash val="solid"/>
            </a:ln>
          </c:spPr>
          <c:marker>
            <c:symbol val="none"/>
          </c:marker>
          <c:xVal>
            <c:numRef>
              <c:f>KLasten!$C$50:$L$50</c:f>
              <c:numCache>
                <c:formatCode>General</c:formatCode>
                <c:ptCount val="10"/>
                <c:pt idx="0">
                  <c:v>44</c:v>
                </c:pt>
                <c:pt idx="1">
                  <c:v>37.734189357002492</c:v>
                </c:pt>
                <c:pt idx="2">
                  <c:v>30.488384586771701</c:v>
                </c:pt>
                <c:pt idx="3">
                  <c:v>22.662990014476343</c:v>
                </c:pt>
                <c:pt idx="4">
                  <c:v>14.690438190020611</c:v>
                </c:pt>
                <c:pt idx="5">
                  <c:v>7.0112935964912513</c:v>
                </c:pt>
                <c:pt idx="6">
                  <c:v>5.1256256963622064</c:v>
                </c:pt>
                <c:pt idx="7">
                  <c:v>-4.0000000000000071</c:v>
                </c:pt>
                <c:pt idx="8">
                  <c:v>8.8969614966202961</c:v>
                </c:pt>
                <c:pt idx="9">
                  <c:v>7.0112935964912513</c:v>
                </c:pt>
              </c:numCache>
            </c:numRef>
          </c:xVal>
          <c:yVal>
            <c:numRef>
              <c:f>KLasten!$M$50:$V$50</c:f>
              <c:numCache>
                <c:formatCode>General</c:formatCode>
                <c:ptCount val="10"/>
                <c:pt idx="0">
                  <c:v>-64</c:v>
                </c:pt>
                <c:pt idx="1">
                  <c:v>-68.939566822085979</c:v>
                </c:pt>
                <c:pt idx="2">
                  <c:v>-72.27992857426996</c:v>
                </c:pt>
                <c:pt idx="3">
                  <c:v>-73.836496334325147</c:v>
                </c:pt>
                <c:pt idx="4">
                  <c:v>-73.523253920018092</c:v>
                </c:pt>
                <c:pt idx="5">
                  <c:v>-71.357511157033031</c:v>
                </c:pt>
                <c:pt idx="6">
                  <c:v>-74.179612602839498</c:v>
                </c:pt>
                <c:pt idx="7">
                  <c:v>-64</c:v>
                </c:pt>
                <c:pt idx="8">
                  <c:v>-68.535409711226563</c:v>
                </c:pt>
                <c:pt idx="9">
                  <c:v>-71.357511157033031</c:v>
                </c:pt>
              </c:numCache>
            </c:numRef>
          </c:yVal>
          <c:smooth val="0"/>
          <c:extLst>
            <c:ext xmlns:c16="http://schemas.microsoft.com/office/drawing/2014/chart" uri="{C3380CC4-5D6E-409C-BE32-E72D297353CC}">
              <c16:uniqueId val="{0000003D-5592-4E76-8908-496B42FE4A35}"/>
            </c:ext>
          </c:extLst>
        </c:ser>
        <c:ser>
          <c:idx val="122"/>
          <c:order val="62"/>
          <c:tx>
            <c:v>Knotenmoment2</c:v>
          </c:tx>
          <c:spPr>
            <a:ln w="12700">
              <a:solidFill>
                <a:srgbClr val="808080"/>
              </a:solidFill>
              <a:prstDash val="solid"/>
            </a:ln>
          </c:spPr>
          <c:marker>
            <c:symbol val="none"/>
          </c:marker>
          <c:xVal>
            <c:numRef>
              <c:f>KLasten!$C$51:$L$51</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KLasten!$M$51:$V$51</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3E-5592-4E76-8908-496B42FE4A35}"/>
            </c:ext>
          </c:extLst>
        </c:ser>
        <c:ser>
          <c:idx val="123"/>
          <c:order val="63"/>
          <c:tx>
            <c:v>Knotenmoment3</c:v>
          </c:tx>
          <c:spPr>
            <a:ln w="12700">
              <a:solidFill>
                <a:srgbClr val="808080"/>
              </a:solidFill>
              <a:prstDash val="solid"/>
            </a:ln>
          </c:spPr>
          <c:marker>
            <c:symbol val="none"/>
          </c:marker>
          <c:xVal>
            <c:numRef>
              <c:f>KLasten!$C$52:$L$52</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KLasten!$M$52:$V$52</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3F-5592-4E76-8908-496B42FE4A35}"/>
            </c:ext>
          </c:extLst>
        </c:ser>
        <c:ser>
          <c:idx val="124"/>
          <c:order val="64"/>
          <c:tx>
            <c:v>Knotenmoment4</c:v>
          </c:tx>
          <c:spPr>
            <a:ln w="12700">
              <a:solidFill>
                <a:srgbClr val="808080"/>
              </a:solidFill>
              <a:prstDash val="solid"/>
            </a:ln>
          </c:spPr>
          <c:marker>
            <c:symbol val="none"/>
          </c:marker>
          <c:xVal>
            <c:numRef>
              <c:f>KLasten!$C$53:$L$53</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KLasten!$M$53:$V$53</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0-5592-4E76-8908-496B42FE4A35}"/>
            </c:ext>
          </c:extLst>
        </c:ser>
        <c:ser>
          <c:idx val="125"/>
          <c:order val="65"/>
          <c:tx>
            <c:v>Knotenmoment5</c:v>
          </c:tx>
          <c:spPr>
            <a:ln w="12700">
              <a:solidFill>
                <a:srgbClr val="808080"/>
              </a:solidFill>
              <a:prstDash val="solid"/>
            </a:ln>
          </c:spPr>
          <c:marker>
            <c:symbol val="none"/>
          </c:marker>
          <c:xVal>
            <c:numRef>
              <c:f>KLasten!$C$54:$L$54</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KLasten!$M$54:$V$54</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1-5592-4E76-8908-496B42FE4A35}"/>
            </c:ext>
          </c:extLst>
        </c:ser>
        <c:ser>
          <c:idx val="126"/>
          <c:order val="66"/>
          <c:tx>
            <c:v>Knotenmoment6</c:v>
          </c:tx>
          <c:spPr>
            <a:ln w="12700">
              <a:solidFill>
                <a:srgbClr val="808080"/>
              </a:solidFill>
              <a:prstDash val="solid"/>
            </a:ln>
          </c:spPr>
          <c:marker>
            <c:symbol val="none"/>
          </c:marker>
          <c:xVal>
            <c:numRef>
              <c:f>KLasten!$C$55:$L$55</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KLasten!$M$55:$V$55</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2-5592-4E76-8908-496B42FE4A35}"/>
            </c:ext>
          </c:extLst>
        </c:ser>
        <c:ser>
          <c:idx val="127"/>
          <c:order val="67"/>
          <c:tx>
            <c:v>Knotenmoment7</c:v>
          </c:tx>
          <c:spPr>
            <a:ln w="12700">
              <a:solidFill>
                <a:srgbClr val="808080"/>
              </a:solidFill>
              <a:prstDash val="solid"/>
            </a:ln>
          </c:spPr>
          <c:marker>
            <c:symbol val="none"/>
          </c:marker>
          <c:xVal>
            <c:numRef>
              <c:f>KLasten!$C$56:$L$56</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KLasten!$M$56:$V$56</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3-5592-4E76-8908-496B42FE4A35}"/>
            </c:ext>
          </c:extLst>
        </c:ser>
        <c:ser>
          <c:idx val="128"/>
          <c:order val="68"/>
          <c:tx>
            <c:v>Knotenmoment8</c:v>
          </c:tx>
          <c:spPr>
            <a:ln w="12700">
              <a:solidFill>
                <a:srgbClr val="808080"/>
              </a:solidFill>
              <a:prstDash val="solid"/>
            </a:ln>
          </c:spPr>
          <c:marker>
            <c:symbol val="none"/>
          </c:marker>
          <c:xVal>
            <c:numRef>
              <c:f>KLasten!$C$57:$L$57</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KLasten!$M$57:$V$57</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4-5592-4E76-8908-496B42FE4A35}"/>
            </c:ext>
          </c:extLst>
        </c:ser>
        <c:ser>
          <c:idx val="129"/>
          <c:order val="69"/>
          <c:tx>
            <c:v>Knotenmoment9</c:v>
          </c:tx>
          <c:spPr>
            <a:ln w="12700">
              <a:solidFill>
                <a:srgbClr val="808080"/>
              </a:solidFill>
              <a:prstDash val="solid"/>
            </a:ln>
          </c:spPr>
          <c:marker>
            <c:symbol val="none"/>
          </c:marker>
          <c:xVal>
            <c:numRef>
              <c:f>KLasten!$C$58:$L$58</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KLasten!$M$58:$V$58</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5-5592-4E76-8908-496B42FE4A35}"/>
            </c:ext>
          </c:extLst>
        </c:ser>
        <c:ser>
          <c:idx val="130"/>
          <c:order val="70"/>
          <c:tx>
            <c:v>Knotenmoment10</c:v>
          </c:tx>
          <c:spPr>
            <a:ln w="12700">
              <a:solidFill>
                <a:srgbClr val="808080"/>
              </a:solidFill>
              <a:prstDash val="solid"/>
            </a:ln>
          </c:spPr>
          <c:marker>
            <c:symbol val="none"/>
          </c:marker>
          <c:xVal>
            <c:numRef>
              <c:f>KLasten!$C$59:$L$59</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KLasten!$M$59:$V$59</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6-5592-4E76-8908-496B42FE4A35}"/>
            </c:ext>
          </c:extLst>
        </c:ser>
        <c:ser>
          <c:idx val="131"/>
          <c:order val="71"/>
          <c:tx>
            <c:v>Knotenmoment11</c:v>
          </c:tx>
          <c:spPr>
            <a:ln w="12700">
              <a:solidFill>
                <a:srgbClr val="808080"/>
              </a:solidFill>
              <a:prstDash val="solid"/>
            </a:ln>
          </c:spPr>
          <c:marker>
            <c:symbol val="none"/>
          </c:marker>
          <c:xVal>
            <c:numRef>
              <c:f>KLasten!$C$60:$L$60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KLasten!$M$60:$V$60</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7-5592-4E76-8908-496B42FE4A35}"/>
            </c:ext>
          </c:extLst>
        </c:ser>
        <c:ser>
          <c:idx val="132"/>
          <c:order val="72"/>
          <c:tx>
            <c:v>Knotenmoment12</c:v>
          </c:tx>
          <c:spPr>
            <a:ln w="12700">
              <a:solidFill>
                <a:srgbClr val="808080"/>
              </a:solidFill>
              <a:prstDash val="solid"/>
            </a:ln>
          </c:spPr>
          <c:marker>
            <c:symbol val="none"/>
          </c:marker>
          <c:xVal>
            <c:numRef>
              <c:f>KLasten!$C$61:$L$61</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KLasten!$M$61:$V$61</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8-5592-4E76-8908-496B42FE4A35}"/>
            </c:ext>
          </c:extLst>
        </c:ser>
        <c:ser>
          <c:idx val="133"/>
          <c:order val="73"/>
          <c:tx>
            <c:v>Knotenmoment13</c:v>
          </c:tx>
          <c:spPr>
            <a:ln w="12700">
              <a:solidFill>
                <a:srgbClr val="808080"/>
              </a:solidFill>
              <a:prstDash val="solid"/>
            </a:ln>
          </c:spPr>
          <c:marker>
            <c:symbol val="none"/>
          </c:marker>
          <c:xVal>
            <c:numRef>
              <c:f>KLasten!$C$62:$L$62</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KLasten!$M$62:$V$62</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9-5592-4E76-8908-496B42FE4A35}"/>
            </c:ext>
          </c:extLst>
        </c:ser>
        <c:ser>
          <c:idx val="134"/>
          <c:order val="74"/>
          <c:tx>
            <c:v>Knotenmoment14</c:v>
          </c:tx>
          <c:spPr>
            <a:ln w="12700">
              <a:solidFill>
                <a:srgbClr val="808080"/>
              </a:solidFill>
              <a:prstDash val="solid"/>
            </a:ln>
          </c:spPr>
          <c:marker>
            <c:symbol val="none"/>
          </c:marker>
          <c:xVal>
            <c:numRef>
              <c:f>KLasten!$C$63:$L$63</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KLasten!$M$63:$V$63</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A-5592-4E76-8908-496B42FE4A35}"/>
            </c:ext>
          </c:extLst>
        </c:ser>
        <c:ser>
          <c:idx val="135"/>
          <c:order val="75"/>
          <c:tx>
            <c:v>Knotenmoment15</c:v>
          </c:tx>
          <c:spPr>
            <a:ln w="12700">
              <a:solidFill>
                <a:srgbClr val="808080"/>
              </a:solidFill>
              <a:prstDash val="solid"/>
            </a:ln>
          </c:spPr>
          <c:marker>
            <c:symbol val="none"/>
          </c:marker>
          <c:xVal>
            <c:numRef>
              <c:f>KLasten!$C$64:$L$64</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KLasten!$M$64:$V$64</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B-5592-4E76-8908-496B42FE4A35}"/>
            </c:ext>
          </c:extLst>
        </c:ser>
        <c:ser>
          <c:idx val="136"/>
          <c:order val="76"/>
          <c:tx>
            <c:v>Knotenmoment16</c:v>
          </c:tx>
          <c:spPr>
            <a:ln w="12700">
              <a:solidFill>
                <a:srgbClr val="808080"/>
              </a:solidFill>
              <a:prstDash val="solid"/>
            </a:ln>
          </c:spPr>
          <c:marker>
            <c:symbol val="none"/>
          </c:marker>
          <c:xVal>
            <c:numRef>
              <c:f>KLasten!$C$65:$L$65</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KLasten!$M$65:$V$65</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C-5592-4E76-8908-496B42FE4A35}"/>
            </c:ext>
          </c:extLst>
        </c:ser>
        <c:ser>
          <c:idx val="137"/>
          <c:order val="77"/>
          <c:tx>
            <c:v>Knotenmoment17</c:v>
          </c:tx>
          <c:spPr>
            <a:ln w="12700">
              <a:solidFill>
                <a:srgbClr val="808080"/>
              </a:solidFill>
              <a:prstDash val="solid"/>
            </a:ln>
          </c:spPr>
          <c:marker>
            <c:symbol val="none"/>
          </c:marker>
          <c:xVal>
            <c:numRef>
              <c:f>KLasten!$C$66:$L$66</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KLasten!$M$66:$V$66</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D-5592-4E76-8908-496B42FE4A35}"/>
            </c:ext>
          </c:extLst>
        </c:ser>
        <c:ser>
          <c:idx val="138"/>
          <c:order val="78"/>
          <c:tx>
            <c:v>Knotenmoment18</c:v>
          </c:tx>
          <c:spPr>
            <a:ln w="12700">
              <a:solidFill>
                <a:srgbClr val="808080"/>
              </a:solidFill>
              <a:prstDash val="solid"/>
            </a:ln>
          </c:spPr>
          <c:marker>
            <c:symbol val="none"/>
          </c:marker>
          <c:xVal>
            <c:numRef>
              <c:f>KLasten!$C$67:$L$67</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KLasten!$M$67:$V$67</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E-5592-4E76-8908-496B42FE4A35}"/>
            </c:ext>
          </c:extLst>
        </c:ser>
        <c:ser>
          <c:idx val="139"/>
          <c:order val="79"/>
          <c:tx>
            <c:v>Knotenmoment19</c:v>
          </c:tx>
          <c:spPr>
            <a:ln w="12700">
              <a:solidFill>
                <a:srgbClr val="808080"/>
              </a:solidFill>
              <a:prstDash val="solid"/>
            </a:ln>
          </c:spPr>
          <c:marker>
            <c:symbol val="none"/>
          </c:marker>
          <c:xVal>
            <c:numRef>
              <c:f>KLasten!$C$68:$L$68</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KLasten!$M$68:$V$68</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F-5592-4E76-8908-496B42FE4A35}"/>
            </c:ext>
          </c:extLst>
        </c:ser>
        <c:ser>
          <c:idx val="140"/>
          <c:order val="80"/>
          <c:tx>
            <c:v>Knotenmoment20</c:v>
          </c:tx>
          <c:spPr>
            <a:ln w="12700">
              <a:solidFill>
                <a:srgbClr val="808080"/>
              </a:solidFill>
              <a:prstDash val="solid"/>
            </a:ln>
          </c:spPr>
          <c:marker>
            <c:symbol val="none"/>
          </c:marker>
          <c:xVal>
            <c:numRef>
              <c:f>KLasten!$C$69:$L$69</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KLasten!$M$69:$V$69</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50-5592-4E76-8908-496B42FE4A35}"/>
            </c:ext>
          </c:extLst>
        </c:ser>
        <c:ser>
          <c:idx val="0"/>
          <c:order val="81"/>
          <c:tx>
            <c:v>Element:1</c:v>
          </c:tx>
          <c:spPr>
            <a:ln w="25400">
              <a:solidFill>
                <a:srgbClr val="000080"/>
              </a:solidFill>
              <a:prstDash val="solid"/>
            </a:ln>
          </c:spPr>
          <c:marker>
            <c:symbol val="none"/>
          </c:marker>
          <c:xVal>
            <c:numRef>
              <c:f>System!$BC$122:$BD$122</c:f>
              <c:numCache>
                <c:formatCode>General</c:formatCode>
                <c:ptCount val="2"/>
                <c:pt idx="0">
                  <c:v>20</c:v>
                </c:pt>
                <c:pt idx="1">
                  <c:v>100</c:v>
                </c:pt>
              </c:numCache>
            </c:numRef>
          </c:xVal>
          <c:yVal>
            <c:numRef>
              <c:f>System!$BE$122:$BF$122</c:f>
              <c:numCache>
                <c:formatCode>General</c:formatCode>
                <c:ptCount val="2"/>
                <c:pt idx="0">
                  <c:v>-40</c:v>
                </c:pt>
                <c:pt idx="1">
                  <c:v>20</c:v>
                </c:pt>
              </c:numCache>
            </c:numRef>
          </c:yVal>
          <c:smooth val="0"/>
          <c:extLst>
            <c:ext xmlns:c16="http://schemas.microsoft.com/office/drawing/2014/chart" uri="{C3380CC4-5D6E-409C-BE32-E72D297353CC}">
              <c16:uniqueId val="{00000051-5592-4E76-8908-496B42FE4A35}"/>
            </c:ext>
          </c:extLst>
        </c:ser>
        <c:ser>
          <c:idx val="1"/>
          <c:order val="82"/>
          <c:tx>
            <c:v>Element:2</c:v>
          </c:tx>
          <c:spPr>
            <a:ln w="25400">
              <a:solidFill>
                <a:srgbClr val="000080"/>
              </a:solidFill>
              <a:prstDash val="solid"/>
            </a:ln>
          </c:spPr>
          <c:marker>
            <c:symbol val="none"/>
          </c:marker>
          <c:xVal>
            <c:numRef>
              <c:f>System!$BC$123:$BD$123</c:f>
              <c:numCache>
                <c:formatCode>General</c:formatCode>
                <c:ptCount val="2"/>
                <c:pt idx="0">
                  <c:v>20</c:v>
                </c:pt>
                <c:pt idx="1">
                  <c:v>20</c:v>
                </c:pt>
              </c:numCache>
            </c:numRef>
          </c:xVal>
          <c:yVal>
            <c:numRef>
              <c:f>System!$BE$123:$BF$123</c:f>
              <c:numCache>
                <c:formatCode>General</c:formatCode>
                <c:ptCount val="2"/>
                <c:pt idx="0">
                  <c:v>-40</c:v>
                </c:pt>
                <c:pt idx="1">
                  <c:v>20</c:v>
                </c:pt>
              </c:numCache>
            </c:numRef>
          </c:yVal>
          <c:smooth val="0"/>
          <c:extLst>
            <c:ext xmlns:c16="http://schemas.microsoft.com/office/drawing/2014/chart" uri="{C3380CC4-5D6E-409C-BE32-E72D297353CC}">
              <c16:uniqueId val="{00000052-5592-4E76-8908-496B42FE4A35}"/>
            </c:ext>
          </c:extLst>
        </c:ser>
        <c:ser>
          <c:idx val="2"/>
          <c:order val="83"/>
          <c:tx>
            <c:v>Element:3</c:v>
          </c:tx>
          <c:spPr>
            <a:ln w="25400">
              <a:solidFill>
                <a:srgbClr val="000080"/>
              </a:solidFill>
              <a:prstDash val="solid"/>
            </a:ln>
          </c:spPr>
          <c:marker>
            <c:symbol val="none"/>
          </c:marker>
          <c:xVal>
            <c:numRef>
              <c:f>System!$BC$124:$BD$124</c:f>
              <c:numCache>
                <c:formatCode>General</c:formatCode>
                <c:ptCount val="2"/>
                <c:pt idx="0">
                  <c:v>20</c:v>
                </c:pt>
                <c:pt idx="1">
                  <c:v>60</c:v>
                </c:pt>
              </c:numCache>
            </c:numRef>
          </c:xVal>
          <c:yVal>
            <c:numRef>
              <c:f>System!$BE$124:$BF$124</c:f>
              <c:numCache>
                <c:formatCode>General</c:formatCode>
                <c:ptCount val="2"/>
                <c:pt idx="0">
                  <c:v>-40</c:v>
                </c:pt>
                <c:pt idx="1">
                  <c:v>-100</c:v>
                </c:pt>
              </c:numCache>
            </c:numRef>
          </c:yVal>
          <c:smooth val="0"/>
          <c:extLst>
            <c:ext xmlns:c16="http://schemas.microsoft.com/office/drawing/2014/chart" uri="{C3380CC4-5D6E-409C-BE32-E72D297353CC}">
              <c16:uniqueId val="{00000053-5592-4E76-8908-496B42FE4A35}"/>
            </c:ext>
          </c:extLst>
        </c:ser>
        <c:ser>
          <c:idx val="3"/>
          <c:order val="84"/>
          <c:tx>
            <c:v>Element:4</c:v>
          </c:tx>
          <c:spPr>
            <a:ln w="25400">
              <a:solidFill>
                <a:srgbClr val="000080"/>
              </a:solidFill>
              <a:prstDash val="solid"/>
            </a:ln>
          </c:spPr>
          <c:marker>
            <c:symbol val="none"/>
          </c:marker>
          <c:xVal>
            <c:numRef>
              <c:f>System!$BC$125:$BD$125</c:f>
              <c:numCache>
                <c:formatCode>General</c:formatCode>
                <c:ptCount val="2"/>
                <c:pt idx="0">
                  <c:v>20</c:v>
                </c:pt>
                <c:pt idx="1">
                  <c:v>-50</c:v>
                </c:pt>
              </c:numCache>
            </c:numRef>
          </c:xVal>
          <c:yVal>
            <c:numRef>
              <c:f>System!$BE$125:$BF$125</c:f>
              <c:numCache>
                <c:formatCode>General</c:formatCode>
                <c:ptCount val="2"/>
                <c:pt idx="0">
                  <c:v>-40</c:v>
                </c:pt>
                <c:pt idx="1">
                  <c:v>-70</c:v>
                </c:pt>
              </c:numCache>
            </c:numRef>
          </c:yVal>
          <c:smooth val="0"/>
          <c:extLst>
            <c:ext xmlns:c16="http://schemas.microsoft.com/office/drawing/2014/chart" uri="{C3380CC4-5D6E-409C-BE32-E72D297353CC}">
              <c16:uniqueId val="{00000054-5592-4E76-8908-496B42FE4A35}"/>
            </c:ext>
          </c:extLst>
        </c:ser>
        <c:ser>
          <c:idx val="4"/>
          <c:order val="85"/>
          <c:tx>
            <c:v>Element:5</c:v>
          </c:tx>
          <c:spPr>
            <a:ln w="25400">
              <a:solidFill>
                <a:srgbClr val="000080"/>
              </a:solidFill>
              <a:prstDash val="solid"/>
            </a:ln>
          </c:spPr>
          <c:marker>
            <c:symbol val="none"/>
          </c:marker>
          <c:xVal>
            <c:numRef>
              <c:f>System!$BC$126:$BD$126</c:f>
              <c:numCache>
                <c:formatCode>General</c:formatCode>
                <c:ptCount val="2"/>
                <c:pt idx="0">
                  <c:v>20</c:v>
                </c:pt>
                <c:pt idx="1">
                  <c:v>-100</c:v>
                </c:pt>
              </c:numCache>
            </c:numRef>
          </c:xVal>
          <c:yVal>
            <c:numRef>
              <c:f>System!$BE$126:$BF$126</c:f>
              <c:numCache>
                <c:formatCode>General</c:formatCode>
                <c:ptCount val="2"/>
                <c:pt idx="0">
                  <c:v>-40</c:v>
                </c:pt>
                <c:pt idx="1">
                  <c:v>100</c:v>
                </c:pt>
              </c:numCache>
            </c:numRef>
          </c:yVal>
          <c:smooth val="0"/>
          <c:extLst>
            <c:ext xmlns:c16="http://schemas.microsoft.com/office/drawing/2014/chart" uri="{C3380CC4-5D6E-409C-BE32-E72D297353CC}">
              <c16:uniqueId val="{00000055-5592-4E76-8908-496B42FE4A35}"/>
            </c:ext>
          </c:extLst>
        </c:ser>
        <c:ser>
          <c:idx val="5"/>
          <c:order val="86"/>
          <c:tx>
            <c:v>Element:6</c:v>
          </c:tx>
          <c:spPr>
            <a:ln w="25400">
              <a:solidFill>
                <a:srgbClr val="000080"/>
              </a:solidFill>
              <a:prstDash val="solid"/>
            </a:ln>
          </c:spPr>
          <c:marker>
            <c:symbol val="none"/>
          </c:marker>
          <c:xVal>
            <c:numRef>
              <c:f>System!$BC$127:$BD$127</c:f>
              <c:numCache>
                <c:formatCode>General</c:formatCode>
                <c:ptCount val="2"/>
                <c:pt idx="0">
                  <c:v>0</c:v>
                </c:pt>
                <c:pt idx="1">
                  <c:v>0</c:v>
                </c:pt>
              </c:numCache>
            </c:numRef>
          </c:xVal>
          <c:yVal>
            <c:numRef>
              <c:f>System!$BE$127:$BF$127</c:f>
              <c:numCache>
                <c:formatCode>General</c:formatCode>
                <c:ptCount val="2"/>
                <c:pt idx="0">
                  <c:v>0</c:v>
                </c:pt>
                <c:pt idx="1">
                  <c:v>0</c:v>
                </c:pt>
              </c:numCache>
            </c:numRef>
          </c:yVal>
          <c:smooth val="0"/>
          <c:extLst>
            <c:ext xmlns:c16="http://schemas.microsoft.com/office/drawing/2014/chart" uri="{C3380CC4-5D6E-409C-BE32-E72D297353CC}">
              <c16:uniqueId val="{00000056-5592-4E76-8908-496B42FE4A35}"/>
            </c:ext>
          </c:extLst>
        </c:ser>
        <c:ser>
          <c:idx val="6"/>
          <c:order val="87"/>
          <c:tx>
            <c:v>Element:7</c:v>
          </c:tx>
          <c:spPr>
            <a:ln w="25400">
              <a:solidFill>
                <a:srgbClr val="000080"/>
              </a:solidFill>
              <a:prstDash val="solid"/>
            </a:ln>
          </c:spPr>
          <c:marker>
            <c:symbol val="none"/>
          </c:marker>
          <c:xVal>
            <c:numRef>
              <c:f>System!$BC$128:$BD$128</c:f>
              <c:numCache>
                <c:formatCode>General</c:formatCode>
                <c:ptCount val="2"/>
                <c:pt idx="0">
                  <c:v>0</c:v>
                </c:pt>
                <c:pt idx="1">
                  <c:v>0</c:v>
                </c:pt>
              </c:numCache>
            </c:numRef>
          </c:xVal>
          <c:yVal>
            <c:numRef>
              <c:f>System!$BE$128:$BF$128</c:f>
              <c:numCache>
                <c:formatCode>General</c:formatCode>
                <c:ptCount val="2"/>
                <c:pt idx="0">
                  <c:v>0</c:v>
                </c:pt>
                <c:pt idx="1">
                  <c:v>0</c:v>
                </c:pt>
              </c:numCache>
            </c:numRef>
          </c:yVal>
          <c:smooth val="0"/>
          <c:extLst>
            <c:ext xmlns:c16="http://schemas.microsoft.com/office/drawing/2014/chart" uri="{C3380CC4-5D6E-409C-BE32-E72D297353CC}">
              <c16:uniqueId val="{00000057-5592-4E76-8908-496B42FE4A35}"/>
            </c:ext>
          </c:extLst>
        </c:ser>
        <c:ser>
          <c:idx val="7"/>
          <c:order val="88"/>
          <c:tx>
            <c:v>Element:8</c:v>
          </c:tx>
          <c:spPr>
            <a:ln w="25400">
              <a:solidFill>
                <a:srgbClr val="000080"/>
              </a:solidFill>
              <a:prstDash val="solid"/>
            </a:ln>
          </c:spPr>
          <c:marker>
            <c:symbol val="none"/>
          </c:marker>
          <c:xVal>
            <c:numRef>
              <c:f>System!$BC$129:$BD$129</c:f>
              <c:numCache>
                <c:formatCode>General</c:formatCode>
                <c:ptCount val="2"/>
                <c:pt idx="0">
                  <c:v>0</c:v>
                </c:pt>
                <c:pt idx="1">
                  <c:v>0</c:v>
                </c:pt>
              </c:numCache>
            </c:numRef>
          </c:xVal>
          <c:yVal>
            <c:numRef>
              <c:f>System!$BE$129:$BF$129</c:f>
              <c:numCache>
                <c:formatCode>General</c:formatCode>
                <c:ptCount val="2"/>
                <c:pt idx="0">
                  <c:v>0</c:v>
                </c:pt>
                <c:pt idx="1">
                  <c:v>0</c:v>
                </c:pt>
              </c:numCache>
            </c:numRef>
          </c:yVal>
          <c:smooth val="0"/>
          <c:extLst>
            <c:ext xmlns:c16="http://schemas.microsoft.com/office/drawing/2014/chart" uri="{C3380CC4-5D6E-409C-BE32-E72D297353CC}">
              <c16:uniqueId val="{00000058-5592-4E76-8908-496B42FE4A35}"/>
            </c:ext>
          </c:extLst>
        </c:ser>
        <c:ser>
          <c:idx val="8"/>
          <c:order val="89"/>
          <c:tx>
            <c:v>Element:9</c:v>
          </c:tx>
          <c:spPr>
            <a:ln w="25400">
              <a:solidFill>
                <a:srgbClr val="000080"/>
              </a:solidFill>
              <a:prstDash val="solid"/>
            </a:ln>
          </c:spPr>
          <c:marker>
            <c:symbol val="none"/>
          </c:marker>
          <c:xVal>
            <c:numRef>
              <c:f>System!$BC$130:$BD$130</c:f>
              <c:numCache>
                <c:formatCode>General</c:formatCode>
                <c:ptCount val="2"/>
                <c:pt idx="0">
                  <c:v>0</c:v>
                </c:pt>
                <c:pt idx="1">
                  <c:v>0</c:v>
                </c:pt>
              </c:numCache>
            </c:numRef>
          </c:xVal>
          <c:yVal>
            <c:numRef>
              <c:f>System!$BE$130:$BF$130</c:f>
              <c:numCache>
                <c:formatCode>General</c:formatCode>
                <c:ptCount val="2"/>
                <c:pt idx="0">
                  <c:v>0</c:v>
                </c:pt>
                <c:pt idx="1">
                  <c:v>0</c:v>
                </c:pt>
              </c:numCache>
            </c:numRef>
          </c:yVal>
          <c:smooth val="0"/>
          <c:extLst>
            <c:ext xmlns:c16="http://schemas.microsoft.com/office/drawing/2014/chart" uri="{C3380CC4-5D6E-409C-BE32-E72D297353CC}">
              <c16:uniqueId val="{00000059-5592-4E76-8908-496B42FE4A35}"/>
            </c:ext>
          </c:extLst>
        </c:ser>
        <c:ser>
          <c:idx val="9"/>
          <c:order val="90"/>
          <c:tx>
            <c:v>Element:10</c:v>
          </c:tx>
          <c:spPr>
            <a:ln w="25400">
              <a:solidFill>
                <a:srgbClr val="000080"/>
              </a:solidFill>
              <a:prstDash val="solid"/>
            </a:ln>
          </c:spPr>
          <c:marker>
            <c:symbol val="none"/>
          </c:marker>
          <c:xVal>
            <c:numRef>
              <c:f>System!$BC$131:$BD$131</c:f>
              <c:numCache>
                <c:formatCode>General</c:formatCode>
                <c:ptCount val="2"/>
                <c:pt idx="0">
                  <c:v>0</c:v>
                </c:pt>
                <c:pt idx="1">
                  <c:v>0</c:v>
                </c:pt>
              </c:numCache>
            </c:numRef>
          </c:xVal>
          <c:yVal>
            <c:numRef>
              <c:f>System!$BE$131:$BF$131</c:f>
              <c:numCache>
                <c:formatCode>General</c:formatCode>
                <c:ptCount val="2"/>
                <c:pt idx="0">
                  <c:v>0</c:v>
                </c:pt>
                <c:pt idx="1">
                  <c:v>0</c:v>
                </c:pt>
              </c:numCache>
            </c:numRef>
          </c:yVal>
          <c:smooth val="0"/>
          <c:extLst>
            <c:ext xmlns:c16="http://schemas.microsoft.com/office/drawing/2014/chart" uri="{C3380CC4-5D6E-409C-BE32-E72D297353CC}">
              <c16:uniqueId val="{0000005A-5592-4E76-8908-496B42FE4A35}"/>
            </c:ext>
          </c:extLst>
        </c:ser>
        <c:ser>
          <c:idx val="10"/>
          <c:order val="91"/>
          <c:tx>
            <c:v>Element:11</c:v>
          </c:tx>
          <c:spPr>
            <a:ln w="25400">
              <a:solidFill>
                <a:srgbClr val="000080"/>
              </a:solidFill>
              <a:prstDash val="solid"/>
            </a:ln>
          </c:spPr>
          <c:marker>
            <c:symbol val="none"/>
          </c:marker>
          <c:xVal>
            <c:numRef>
              <c:f>System!$BC$132:$BD$132</c:f>
              <c:numCache>
                <c:formatCode>General</c:formatCode>
                <c:ptCount val="2"/>
                <c:pt idx="0">
                  <c:v>0</c:v>
                </c:pt>
                <c:pt idx="1">
                  <c:v>0</c:v>
                </c:pt>
              </c:numCache>
            </c:numRef>
          </c:xVal>
          <c:yVal>
            <c:numRef>
              <c:f>System!$BE$132:$BF$132</c:f>
              <c:numCache>
                <c:formatCode>General</c:formatCode>
                <c:ptCount val="2"/>
                <c:pt idx="0">
                  <c:v>0</c:v>
                </c:pt>
                <c:pt idx="1">
                  <c:v>0</c:v>
                </c:pt>
              </c:numCache>
            </c:numRef>
          </c:yVal>
          <c:smooth val="0"/>
          <c:extLst>
            <c:ext xmlns:c16="http://schemas.microsoft.com/office/drawing/2014/chart" uri="{C3380CC4-5D6E-409C-BE32-E72D297353CC}">
              <c16:uniqueId val="{0000005B-5592-4E76-8908-496B42FE4A35}"/>
            </c:ext>
          </c:extLst>
        </c:ser>
        <c:ser>
          <c:idx val="11"/>
          <c:order val="92"/>
          <c:tx>
            <c:v>Element:12</c:v>
          </c:tx>
          <c:spPr>
            <a:ln w="25400">
              <a:solidFill>
                <a:srgbClr val="000080"/>
              </a:solidFill>
              <a:prstDash val="solid"/>
            </a:ln>
          </c:spPr>
          <c:marker>
            <c:symbol val="none"/>
          </c:marker>
          <c:xVal>
            <c:numRef>
              <c:f>System!$BC$133:$BD$133</c:f>
              <c:numCache>
                <c:formatCode>General</c:formatCode>
                <c:ptCount val="2"/>
                <c:pt idx="0">
                  <c:v>0</c:v>
                </c:pt>
                <c:pt idx="1">
                  <c:v>0</c:v>
                </c:pt>
              </c:numCache>
            </c:numRef>
          </c:xVal>
          <c:yVal>
            <c:numRef>
              <c:f>System!$BE$133:$BF$133</c:f>
              <c:numCache>
                <c:formatCode>General</c:formatCode>
                <c:ptCount val="2"/>
                <c:pt idx="0">
                  <c:v>0</c:v>
                </c:pt>
                <c:pt idx="1">
                  <c:v>0</c:v>
                </c:pt>
              </c:numCache>
            </c:numRef>
          </c:yVal>
          <c:smooth val="0"/>
          <c:extLst>
            <c:ext xmlns:c16="http://schemas.microsoft.com/office/drawing/2014/chart" uri="{C3380CC4-5D6E-409C-BE32-E72D297353CC}">
              <c16:uniqueId val="{0000005C-5592-4E76-8908-496B42FE4A35}"/>
            </c:ext>
          </c:extLst>
        </c:ser>
        <c:ser>
          <c:idx val="12"/>
          <c:order val="93"/>
          <c:tx>
            <c:v>Element:13</c:v>
          </c:tx>
          <c:spPr>
            <a:ln w="25400">
              <a:solidFill>
                <a:srgbClr val="000080"/>
              </a:solidFill>
              <a:prstDash val="solid"/>
            </a:ln>
          </c:spPr>
          <c:marker>
            <c:symbol val="none"/>
          </c:marker>
          <c:xVal>
            <c:numRef>
              <c:f>System!$BC$134:$BD$134</c:f>
              <c:numCache>
                <c:formatCode>General</c:formatCode>
                <c:ptCount val="2"/>
                <c:pt idx="0">
                  <c:v>0</c:v>
                </c:pt>
                <c:pt idx="1">
                  <c:v>0</c:v>
                </c:pt>
              </c:numCache>
            </c:numRef>
          </c:xVal>
          <c:yVal>
            <c:numRef>
              <c:f>System!$BE$134:$BF$134</c:f>
              <c:numCache>
                <c:formatCode>General</c:formatCode>
                <c:ptCount val="2"/>
                <c:pt idx="0">
                  <c:v>0</c:v>
                </c:pt>
                <c:pt idx="1">
                  <c:v>0</c:v>
                </c:pt>
              </c:numCache>
            </c:numRef>
          </c:yVal>
          <c:smooth val="0"/>
          <c:extLst>
            <c:ext xmlns:c16="http://schemas.microsoft.com/office/drawing/2014/chart" uri="{C3380CC4-5D6E-409C-BE32-E72D297353CC}">
              <c16:uniqueId val="{0000005D-5592-4E76-8908-496B42FE4A35}"/>
            </c:ext>
          </c:extLst>
        </c:ser>
        <c:ser>
          <c:idx val="13"/>
          <c:order val="94"/>
          <c:tx>
            <c:v>Element:14</c:v>
          </c:tx>
          <c:spPr>
            <a:ln w="25400">
              <a:solidFill>
                <a:srgbClr val="000080"/>
              </a:solidFill>
              <a:prstDash val="solid"/>
            </a:ln>
          </c:spPr>
          <c:marker>
            <c:symbol val="none"/>
          </c:marker>
          <c:xVal>
            <c:numRef>
              <c:f>System!$BC$135:$BD$135</c:f>
              <c:numCache>
                <c:formatCode>General</c:formatCode>
                <c:ptCount val="2"/>
                <c:pt idx="0">
                  <c:v>0</c:v>
                </c:pt>
                <c:pt idx="1">
                  <c:v>0</c:v>
                </c:pt>
              </c:numCache>
            </c:numRef>
          </c:xVal>
          <c:yVal>
            <c:numRef>
              <c:f>System!$BE$135:$BF$135</c:f>
              <c:numCache>
                <c:formatCode>General</c:formatCode>
                <c:ptCount val="2"/>
                <c:pt idx="0">
                  <c:v>0</c:v>
                </c:pt>
                <c:pt idx="1">
                  <c:v>0</c:v>
                </c:pt>
              </c:numCache>
            </c:numRef>
          </c:yVal>
          <c:smooth val="0"/>
          <c:extLst>
            <c:ext xmlns:c16="http://schemas.microsoft.com/office/drawing/2014/chart" uri="{C3380CC4-5D6E-409C-BE32-E72D297353CC}">
              <c16:uniqueId val="{0000005E-5592-4E76-8908-496B42FE4A35}"/>
            </c:ext>
          </c:extLst>
        </c:ser>
        <c:ser>
          <c:idx val="14"/>
          <c:order val="95"/>
          <c:tx>
            <c:v>Element:15</c:v>
          </c:tx>
          <c:spPr>
            <a:ln w="25400">
              <a:solidFill>
                <a:srgbClr val="000080"/>
              </a:solidFill>
              <a:prstDash val="solid"/>
            </a:ln>
          </c:spPr>
          <c:marker>
            <c:symbol val="none"/>
          </c:marker>
          <c:xVal>
            <c:numRef>
              <c:f>System!$BC$136:$BD$136</c:f>
              <c:numCache>
                <c:formatCode>General</c:formatCode>
                <c:ptCount val="2"/>
                <c:pt idx="0">
                  <c:v>0</c:v>
                </c:pt>
                <c:pt idx="1">
                  <c:v>0</c:v>
                </c:pt>
              </c:numCache>
            </c:numRef>
          </c:xVal>
          <c:yVal>
            <c:numRef>
              <c:f>System!$BE$136:$BF$136</c:f>
              <c:numCache>
                <c:formatCode>General</c:formatCode>
                <c:ptCount val="2"/>
                <c:pt idx="0">
                  <c:v>0</c:v>
                </c:pt>
                <c:pt idx="1">
                  <c:v>0</c:v>
                </c:pt>
              </c:numCache>
            </c:numRef>
          </c:yVal>
          <c:smooth val="0"/>
          <c:extLst>
            <c:ext xmlns:c16="http://schemas.microsoft.com/office/drawing/2014/chart" uri="{C3380CC4-5D6E-409C-BE32-E72D297353CC}">
              <c16:uniqueId val="{0000005F-5592-4E76-8908-496B42FE4A35}"/>
            </c:ext>
          </c:extLst>
        </c:ser>
        <c:ser>
          <c:idx val="15"/>
          <c:order val="96"/>
          <c:tx>
            <c:v>Element:16</c:v>
          </c:tx>
          <c:spPr>
            <a:ln w="25400">
              <a:solidFill>
                <a:srgbClr val="000080"/>
              </a:solidFill>
              <a:prstDash val="solid"/>
            </a:ln>
          </c:spPr>
          <c:marker>
            <c:symbol val="none"/>
          </c:marker>
          <c:xVal>
            <c:numRef>
              <c:f>System!$BC$137:$BD$137</c:f>
              <c:numCache>
                <c:formatCode>General</c:formatCode>
                <c:ptCount val="2"/>
                <c:pt idx="0">
                  <c:v>0</c:v>
                </c:pt>
                <c:pt idx="1">
                  <c:v>0</c:v>
                </c:pt>
              </c:numCache>
            </c:numRef>
          </c:xVal>
          <c:yVal>
            <c:numRef>
              <c:f>System!$BE$137:$BF$137</c:f>
              <c:numCache>
                <c:formatCode>General</c:formatCode>
                <c:ptCount val="2"/>
                <c:pt idx="0">
                  <c:v>0</c:v>
                </c:pt>
                <c:pt idx="1">
                  <c:v>0</c:v>
                </c:pt>
              </c:numCache>
            </c:numRef>
          </c:yVal>
          <c:smooth val="0"/>
          <c:extLst>
            <c:ext xmlns:c16="http://schemas.microsoft.com/office/drawing/2014/chart" uri="{C3380CC4-5D6E-409C-BE32-E72D297353CC}">
              <c16:uniqueId val="{00000060-5592-4E76-8908-496B42FE4A35}"/>
            </c:ext>
          </c:extLst>
        </c:ser>
        <c:ser>
          <c:idx val="16"/>
          <c:order val="97"/>
          <c:tx>
            <c:v>Element:17</c:v>
          </c:tx>
          <c:spPr>
            <a:ln w="25400">
              <a:solidFill>
                <a:srgbClr val="000080"/>
              </a:solidFill>
              <a:prstDash val="solid"/>
            </a:ln>
          </c:spPr>
          <c:marker>
            <c:symbol val="none"/>
          </c:marker>
          <c:xVal>
            <c:numRef>
              <c:f>System!$BC$138:$BD$138</c:f>
              <c:numCache>
                <c:formatCode>General</c:formatCode>
                <c:ptCount val="2"/>
                <c:pt idx="0">
                  <c:v>0</c:v>
                </c:pt>
                <c:pt idx="1">
                  <c:v>0</c:v>
                </c:pt>
              </c:numCache>
            </c:numRef>
          </c:xVal>
          <c:yVal>
            <c:numRef>
              <c:f>System!$BE$138:$BF$138</c:f>
              <c:numCache>
                <c:formatCode>General</c:formatCode>
                <c:ptCount val="2"/>
                <c:pt idx="0">
                  <c:v>0</c:v>
                </c:pt>
                <c:pt idx="1">
                  <c:v>0</c:v>
                </c:pt>
              </c:numCache>
            </c:numRef>
          </c:yVal>
          <c:smooth val="0"/>
          <c:extLst>
            <c:ext xmlns:c16="http://schemas.microsoft.com/office/drawing/2014/chart" uri="{C3380CC4-5D6E-409C-BE32-E72D297353CC}">
              <c16:uniqueId val="{00000061-5592-4E76-8908-496B42FE4A35}"/>
            </c:ext>
          </c:extLst>
        </c:ser>
        <c:ser>
          <c:idx val="17"/>
          <c:order val="98"/>
          <c:tx>
            <c:v>Element:18</c:v>
          </c:tx>
          <c:spPr>
            <a:ln w="25400">
              <a:solidFill>
                <a:srgbClr val="000080"/>
              </a:solidFill>
              <a:prstDash val="solid"/>
            </a:ln>
          </c:spPr>
          <c:marker>
            <c:symbol val="none"/>
          </c:marker>
          <c:xVal>
            <c:numRef>
              <c:f>System!$BC$139:$BD$139</c:f>
              <c:numCache>
                <c:formatCode>General</c:formatCode>
                <c:ptCount val="2"/>
                <c:pt idx="0">
                  <c:v>0</c:v>
                </c:pt>
                <c:pt idx="1">
                  <c:v>0</c:v>
                </c:pt>
              </c:numCache>
            </c:numRef>
          </c:xVal>
          <c:yVal>
            <c:numRef>
              <c:f>System!$BE$139:$BF$139</c:f>
              <c:numCache>
                <c:formatCode>General</c:formatCode>
                <c:ptCount val="2"/>
                <c:pt idx="0">
                  <c:v>0</c:v>
                </c:pt>
                <c:pt idx="1">
                  <c:v>0</c:v>
                </c:pt>
              </c:numCache>
            </c:numRef>
          </c:yVal>
          <c:smooth val="0"/>
          <c:extLst>
            <c:ext xmlns:c16="http://schemas.microsoft.com/office/drawing/2014/chart" uri="{C3380CC4-5D6E-409C-BE32-E72D297353CC}">
              <c16:uniqueId val="{00000062-5592-4E76-8908-496B42FE4A35}"/>
            </c:ext>
          </c:extLst>
        </c:ser>
        <c:ser>
          <c:idx val="18"/>
          <c:order val="99"/>
          <c:tx>
            <c:v>Element:19</c:v>
          </c:tx>
          <c:spPr>
            <a:ln w="25400">
              <a:solidFill>
                <a:srgbClr val="000080"/>
              </a:solidFill>
              <a:prstDash val="solid"/>
            </a:ln>
          </c:spPr>
          <c:marker>
            <c:symbol val="none"/>
          </c:marker>
          <c:xVal>
            <c:numRef>
              <c:f>System!$BC$140:$BD$140</c:f>
              <c:numCache>
                <c:formatCode>General</c:formatCode>
                <c:ptCount val="2"/>
                <c:pt idx="0">
                  <c:v>0</c:v>
                </c:pt>
                <c:pt idx="1">
                  <c:v>0</c:v>
                </c:pt>
              </c:numCache>
            </c:numRef>
          </c:xVal>
          <c:yVal>
            <c:numRef>
              <c:f>System!$BE$140:$BF$140</c:f>
              <c:numCache>
                <c:formatCode>General</c:formatCode>
                <c:ptCount val="2"/>
                <c:pt idx="0">
                  <c:v>0</c:v>
                </c:pt>
                <c:pt idx="1">
                  <c:v>0</c:v>
                </c:pt>
              </c:numCache>
            </c:numRef>
          </c:yVal>
          <c:smooth val="0"/>
          <c:extLst>
            <c:ext xmlns:c16="http://schemas.microsoft.com/office/drawing/2014/chart" uri="{C3380CC4-5D6E-409C-BE32-E72D297353CC}">
              <c16:uniqueId val="{00000063-5592-4E76-8908-496B42FE4A35}"/>
            </c:ext>
          </c:extLst>
        </c:ser>
        <c:ser>
          <c:idx val="19"/>
          <c:order val="100"/>
          <c:tx>
            <c:v>Element:20</c:v>
          </c:tx>
          <c:spPr>
            <a:ln w="25400">
              <a:solidFill>
                <a:srgbClr val="000080"/>
              </a:solidFill>
              <a:prstDash val="solid"/>
            </a:ln>
          </c:spPr>
          <c:marker>
            <c:symbol val="none"/>
          </c:marker>
          <c:xVal>
            <c:numRef>
              <c:f>System!$BC$141:$BD$141</c:f>
              <c:numCache>
                <c:formatCode>General</c:formatCode>
                <c:ptCount val="2"/>
                <c:pt idx="0">
                  <c:v>0</c:v>
                </c:pt>
                <c:pt idx="1">
                  <c:v>0</c:v>
                </c:pt>
              </c:numCache>
            </c:numRef>
          </c:xVal>
          <c:yVal>
            <c:numRef>
              <c:f>System!$BE$141:$BF$141</c:f>
              <c:numCache>
                <c:formatCode>General</c:formatCode>
                <c:ptCount val="2"/>
                <c:pt idx="0">
                  <c:v>0</c:v>
                </c:pt>
                <c:pt idx="1">
                  <c:v>0</c:v>
                </c:pt>
              </c:numCache>
            </c:numRef>
          </c:yVal>
          <c:smooth val="0"/>
          <c:extLst>
            <c:ext xmlns:c16="http://schemas.microsoft.com/office/drawing/2014/chart" uri="{C3380CC4-5D6E-409C-BE32-E72D297353CC}">
              <c16:uniqueId val="{00000064-5592-4E76-8908-496B42FE4A35}"/>
            </c:ext>
          </c:extLst>
        </c:ser>
        <c:ser>
          <c:idx val="161"/>
          <c:order val="101"/>
          <c:tx>
            <c:v>Element:21</c:v>
          </c:tx>
          <c:spPr>
            <a:ln w="25400">
              <a:solidFill>
                <a:srgbClr val="000080"/>
              </a:solidFill>
              <a:prstDash val="solid"/>
            </a:ln>
          </c:spPr>
          <c:marker>
            <c:symbol val="none"/>
          </c:marker>
          <c:xVal>
            <c:numRef>
              <c:f>System!$BC$142:$BD$142</c:f>
              <c:numCache>
                <c:formatCode>General</c:formatCode>
                <c:ptCount val="2"/>
                <c:pt idx="0">
                  <c:v>0</c:v>
                </c:pt>
                <c:pt idx="1">
                  <c:v>0</c:v>
                </c:pt>
              </c:numCache>
            </c:numRef>
          </c:xVal>
          <c:yVal>
            <c:numRef>
              <c:f>System!$BE$142:$BF$142</c:f>
              <c:numCache>
                <c:formatCode>General</c:formatCode>
                <c:ptCount val="2"/>
                <c:pt idx="0">
                  <c:v>0</c:v>
                </c:pt>
                <c:pt idx="1">
                  <c:v>0</c:v>
                </c:pt>
              </c:numCache>
            </c:numRef>
          </c:yVal>
          <c:smooth val="0"/>
          <c:extLst>
            <c:ext xmlns:c16="http://schemas.microsoft.com/office/drawing/2014/chart" uri="{C3380CC4-5D6E-409C-BE32-E72D297353CC}">
              <c16:uniqueId val="{00000065-5592-4E76-8908-496B42FE4A35}"/>
            </c:ext>
          </c:extLst>
        </c:ser>
        <c:ser>
          <c:idx val="162"/>
          <c:order val="102"/>
          <c:tx>
            <c:v>Element:22</c:v>
          </c:tx>
          <c:spPr>
            <a:ln w="25400">
              <a:solidFill>
                <a:srgbClr val="000080"/>
              </a:solidFill>
              <a:prstDash val="solid"/>
            </a:ln>
          </c:spPr>
          <c:marker>
            <c:symbol val="none"/>
          </c:marker>
          <c:xVal>
            <c:numRef>
              <c:f>System!$BC$143:$BD$143</c:f>
              <c:numCache>
                <c:formatCode>General</c:formatCode>
                <c:ptCount val="2"/>
                <c:pt idx="0">
                  <c:v>0</c:v>
                </c:pt>
                <c:pt idx="1">
                  <c:v>0</c:v>
                </c:pt>
              </c:numCache>
            </c:numRef>
          </c:xVal>
          <c:yVal>
            <c:numRef>
              <c:f>System!$BE$143:$BF$143</c:f>
              <c:numCache>
                <c:formatCode>General</c:formatCode>
                <c:ptCount val="2"/>
                <c:pt idx="0">
                  <c:v>0</c:v>
                </c:pt>
                <c:pt idx="1">
                  <c:v>0</c:v>
                </c:pt>
              </c:numCache>
            </c:numRef>
          </c:yVal>
          <c:smooth val="0"/>
          <c:extLst>
            <c:ext xmlns:c16="http://schemas.microsoft.com/office/drawing/2014/chart" uri="{C3380CC4-5D6E-409C-BE32-E72D297353CC}">
              <c16:uniqueId val="{00000066-5592-4E76-8908-496B42FE4A35}"/>
            </c:ext>
          </c:extLst>
        </c:ser>
        <c:ser>
          <c:idx val="163"/>
          <c:order val="103"/>
          <c:tx>
            <c:v>Element:23</c:v>
          </c:tx>
          <c:spPr>
            <a:ln w="25400">
              <a:solidFill>
                <a:srgbClr val="000080"/>
              </a:solidFill>
              <a:prstDash val="solid"/>
            </a:ln>
          </c:spPr>
          <c:marker>
            <c:symbol val="none"/>
          </c:marker>
          <c:xVal>
            <c:numRef>
              <c:f>System!$BC$144:$BD$144</c:f>
              <c:numCache>
                <c:formatCode>General</c:formatCode>
                <c:ptCount val="2"/>
                <c:pt idx="0">
                  <c:v>0</c:v>
                </c:pt>
                <c:pt idx="1">
                  <c:v>0</c:v>
                </c:pt>
              </c:numCache>
            </c:numRef>
          </c:xVal>
          <c:yVal>
            <c:numRef>
              <c:f>System!$BE$144:$BF$144</c:f>
              <c:numCache>
                <c:formatCode>General</c:formatCode>
                <c:ptCount val="2"/>
                <c:pt idx="0">
                  <c:v>0</c:v>
                </c:pt>
                <c:pt idx="1">
                  <c:v>0</c:v>
                </c:pt>
              </c:numCache>
            </c:numRef>
          </c:yVal>
          <c:smooth val="0"/>
          <c:extLst>
            <c:ext xmlns:c16="http://schemas.microsoft.com/office/drawing/2014/chart" uri="{C3380CC4-5D6E-409C-BE32-E72D297353CC}">
              <c16:uniqueId val="{00000067-5592-4E76-8908-496B42FE4A35}"/>
            </c:ext>
          </c:extLst>
        </c:ser>
        <c:ser>
          <c:idx val="164"/>
          <c:order val="104"/>
          <c:tx>
            <c:v>Element:24</c:v>
          </c:tx>
          <c:spPr>
            <a:ln w="25400">
              <a:solidFill>
                <a:srgbClr val="000080"/>
              </a:solidFill>
              <a:prstDash val="solid"/>
            </a:ln>
          </c:spPr>
          <c:marker>
            <c:symbol val="none"/>
          </c:marker>
          <c:xVal>
            <c:numRef>
              <c:f>System!$BC$145:$BD$145</c:f>
              <c:numCache>
                <c:formatCode>General</c:formatCode>
                <c:ptCount val="2"/>
                <c:pt idx="0">
                  <c:v>0</c:v>
                </c:pt>
                <c:pt idx="1">
                  <c:v>0</c:v>
                </c:pt>
              </c:numCache>
            </c:numRef>
          </c:xVal>
          <c:yVal>
            <c:numRef>
              <c:f>System!$BE$145:$BF$145</c:f>
              <c:numCache>
                <c:formatCode>General</c:formatCode>
                <c:ptCount val="2"/>
                <c:pt idx="0">
                  <c:v>0</c:v>
                </c:pt>
                <c:pt idx="1">
                  <c:v>0</c:v>
                </c:pt>
              </c:numCache>
            </c:numRef>
          </c:yVal>
          <c:smooth val="0"/>
          <c:extLst>
            <c:ext xmlns:c16="http://schemas.microsoft.com/office/drawing/2014/chart" uri="{C3380CC4-5D6E-409C-BE32-E72D297353CC}">
              <c16:uniqueId val="{00000068-5592-4E76-8908-496B42FE4A35}"/>
            </c:ext>
          </c:extLst>
        </c:ser>
        <c:ser>
          <c:idx val="165"/>
          <c:order val="105"/>
          <c:tx>
            <c:v>Element:25</c:v>
          </c:tx>
          <c:spPr>
            <a:ln w="25400">
              <a:solidFill>
                <a:srgbClr val="000080"/>
              </a:solidFill>
              <a:prstDash val="solid"/>
            </a:ln>
          </c:spPr>
          <c:marker>
            <c:symbol val="none"/>
          </c:marker>
          <c:xVal>
            <c:numRef>
              <c:f>System!$BC$146:$BD$146</c:f>
              <c:numCache>
                <c:formatCode>General</c:formatCode>
                <c:ptCount val="2"/>
                <c:pt idx="0">
                  <c:v>0</c:v>
                </c:pt>
                <c:pt idx="1">
                  <c:v>0</c:v>
                </c:pt>
              </c:numCache>
            </c:numRef>
          </c:xVal>
          <c:yVal>
            <c:numRef>
              <c:f>System!$BE$146:$BF$146</c:f>
              <c:numCache>
                <c:formatCode>General</c:formatCode>
                <c:ptCount val="2"/>
                <c:pt idx="0">
                  <c:v>0</c:v>
                </c:pt>
                <c:pt idx="1">
                  <c:v>0</c:v>
                </c:pt>
              </c:numCache>
            </c:numRef>
          </c:yVal>
          <c:smooth val="0"/>
          <c:extLst>
            <c:ext xmlns:c16="http://schemas.microsoft.com/office/drawing/2014/chart" uri="{C3380CC4-5D6E-409C-BE32-E72D297353CC}">
              <c16:uniqueId val="{00000069-5592-4E76-8908-496B42FE4A35}"/>
            </c:ext>
          </c:extLst>
        </c:ser>
        <c:ser>
          <c:idx val="166"/>
          <c:order val="106"/>
          <c:tx>
            <c:v>Element:26</c:v>
          </c:tx>
          <c:spPr>
            <a:ln w="25400">
              <a:solidFill>
                <a:srgbClr val="000080"/>
              </a:solidFill>
              <a:prstDash val="solid"/>
            </a:ln>
          </c:spPr>
          <c:marker>
            <c:symbol val="none"/>
          </c:marker>
          <c:xVal>
            <c:numRef>
              <c:f>System!$BC$147:$BD$147</c:f>
              <c:numCache>
                <c:formatCode>General</c:formatCode>
                <c:ptCount val="2"/>
                <c:pt idx="0">
                  <c:v>0</c:v>
                </c:pt>
                <c:pt idx="1">
                  <c:v>0</c:v>
                </c:pt>
              </c:numCache>
            </c:numRef>
          </c:xVal>
          <c:yVal>
            <c:numRef>
              <c:f>System!$BE$147:$BF$147</c:f>
              <c:numCache>
                <c:formatCode>General</c:formatCode>
                <c:ptCount val="2"/>
                <c:pt idx="0">
                  <c:v>0</c:v>
                </c:pt>
                <c:pt idx="1">
                  <c:v>0</c:v>
                </c:pt>
              </c:numCache>
            </c:numRef>
          </c:yVal>
          <c:smooth val="0"/>
          <c:extLst>
            <c:ext xmlns:c16="http://schemas.microsoft.com/office/drawing/2014/chart" uri="{C3380CC4-5D6E-409C-BE32-E72D297353CC}">
              <c16:uniqueId val="{0000006A-5592-4E76-8908-496B42FE4A35}"/>
            </c:ext>
          </c:extLst>
        </c:ser>
        <c:ser>
          <c:idx val="167"/>
          <c:order val="107"/>
          <c:tx>
            <c:v>Element:27</c:v>
          </c:tx>
          <c:spPr>
            <a:ln w="25400">
              <a:solidFill>
                <a:srgbClr val="000080"/>
              </a:solidFill>
              <a:prstDash val="solid"/>
            </a:ln>
          </c:spPr>
          <c:marker>
            <c:symbol val="none"/>
          </c:marker>
          <c:xVal>
            <c:numRef>
              <c:f>System!$BC$148:$BD$148</c:f>
              <c:numCache>
                <c:formatCode>General</c:formatCode>
                <c:ptCount val="2"/>
                <c:pt idx="0">
                  <c:v>0</c:v>
                </c:pt>
                <c:pt idx="1">
                  <c:v>0</c:v>
                </c:pt>
              </c:numCache>
            </c:numRef>
          </c:xVal>
          <c:yVal>
            <c:numRef>
              <c:f>System!$BE$148:$BF$148</c:f>
              <c:numCache>
                <c:formatCode>General</c:formatCode>
                <c:ptCount val="2"/>
                <c:pt idx="0">
                  <c:v>0</c:v>
                </c:pt>
                <c:pt idx="1">
                  <c:v>0</c:v>
                </c:pt>
              </c:numCache>
            </c:numRef>
          </c:yVal>
          <c:smooth val="0"/>
          <c:extLst>
            <c:ext xmlns:c16="http://schemas.microsoft.com/office/drawing/2014/chart" uri="{C3380CC4-5D6E-409C-BE32-E72D297353CC}">
              <c16:uniqueId val="{0000006B-5592-4E76-8908-496B42FE4A35}"/>
            </c:ext>
          </c:extLst>
        </c:ser>
        <c:ser>
          <c:idx val="168"/>
          <c:order val="108"/>
          <c:tx>
            <c:v>Element:28</c:v>
          </c:tx>
          <c:spPr>
            <a:ln w="25400">
              <a:solidFill>
                <a:srgbClr val="000080"/>
              </a:solidFill>
              <a:prstDash val="solid"/>
            </a:ln>
          </c:spPr>
          <c:marker>
            <c:symbol val="none"/>
          </c:marker>
          <c:xVal>
            <c:numRef>
              <c:f>System!$BC$149:$BD$149</c:f>
              <c:numCache>
                <c:formatCode>General</c:formatCode>
                <c:ptCount val="2"/>
                <c:pt idx="0">
                  <c:v>0</c:v>
                </c:pt>
                <c:pt idx="1">
                  <c:v>0</c:v>
                </c:pt>
              </c:numCache>
            </c:numRef>
          </c:xVal>
          <c:yVal>
            <c:numRef>
              <c:f>System!$BE$149:$BF$149</c:f>
              <c:numCache>
                <c:formatCode>General</c:formatCode>
                <c:ptCount val="2"/>
                <c:pt idx="0">
                  <c:v>0</c:v>
                </c:pt>
                <c:pt idx="1">
                  <c:v>0</c:v>
                </c:pt>
              </c:numCache>
            </c:numRef>
          </c:yVal>
          <c:smooth val="0"/>
          <c:extLst>
            <c:ext xmlns:c16="http://schemas.microsoft.com/office/drawing/2014/chart" uri="{C3380CC4-5D6E-409C-BE32-E72D297353CC}">
              <c16:uniqueId val="{0000006C-5592-4E76-8908-496B42FE4A35}"/>
            </c:ext>
          </c:extLst>
        </c:ser>
        <c:ser>
          <c:idx val="169"/>
          <c:order val="109"/>
          <c:tx>
            <c:v>Element:29</c:v>
          </c:tx>
          <c:spPr>
            <a:ln w="25400">
              <a:solidFill>
                <a:srgbClr val="000080"/>
              </a:solidFill>
              <a:prstDash val="solid"/>
            </a:ln>
          </c:spPr>
          <c:marker>
            <c:symbol val="none"/>
          </c:marker>
          <c:xVal>
            <c:numRef>
              <c:f>System!$BC$150:$BD$150</c:f>
              <c:numCache>
                <c:formatCode>General</c:formatCode>
                <c:ptCount val="2"/>
                <c:pt idx="0">
                  <c:v>0</c:v>
                </c:pt>
                <c:pt idx="1">
                  <c:v>0</c:v>
                </c:pt>
              </c:numCache>
            </c:numRef>
          </c:xVal>
          <c:yVal>
            <c:numRef>
              <c:f>System!$BE$150:$BF$150</c:f>
              <c:numCache>
                <c:formatCode>General</c:formatCode>
                <c:ptCount val="2"/>
                <c:pt idx="0">
                  <c:v>0</c:v>
                </c:pt>
                <c:pt idx="1">
                  <c:v>0</c:v>
                </c:pt>
              </c:numCache>
            </c:numRef>
          </c:yVal>
          <c:smooth val="0"/>
          <c:extLst>
            <c:ext xmlns:c16="http://schemas.microsoft.com/office/drawing/2014/chart" uri="{C3380CC4-5D6E-409C-BE32-E72D297353CC}">
              <c16:uniqueId val="{0000006D-5592-4E76-8908-496B42FE4A35}"/>
            </c:ext>
          </c:extLst>
        </c:ser>
        <c:ser>
          <c:idx val="170"/>
          <c:order val="110"/>
          <c:tx>
            <c:v>Element:30</c:v>
          </c:tx>
          <c:spPr>
            <a:ln w="25400">
              <a:solidFill>
                <a:srgbClr val="000080"/>
              </a:solidFill>
              <a:prstDash val="solid"/>
            </a:ln>
          </c:spPr>
          <c:marker>
            <c:symbol val="none"/>
          </c:marker>
          <c:xVal>
            <c:numRef>
              <c:f>System!$BC$151:$BD$151</c:f>
              <c:numCache>
                <c:formatCode>General</c:formatCode>
                <c:ptCount val="2"/>
                <c:pt idx="0">
                  <c:v>0</c:v>
                </c:pt>
                <c:pt idx="1">
                  <c:v>0</c:v>
                </c:pt>
              </c:numCache>
            </c:numRef>
          </c:xVal>
          <c:yVal>
            <c:numRef>
              <c:f>System!$BE$151:$BF$151</c:f>
              <c:numCache>
                <c:formatCode>General</c:formatCode>
                <c:ptCount val="2"/>
                <c:pt idx="0">
                  <c:v>0</c:v>
                </c:pt>
                <c:pt idx="1">
                  <c:v>0</c:v>
                </c:pt>
              </c:numCache>
            </c:numRef>
          </c:yVal>
          <c:smooth val="0"/>
          <c:extLst>
            <c:ext xmlns:c16="http://schemas.microsoft.com/office/drawing/2014/chart" uri="{C3380CC4-5D6E-409C-BE32-E72D297353CC}">
              <c16:uniqueId val="{0000006E-5592-4E76-8908-496B42FE4A35}"/>
            </c:ext>
          </c:extLst>
        </c:ser>
        <c:ser>
          <c:idx val="172"/>
          <c:order val="111"/>
          <c:tx>
            <c:v>Element:32</c:v>
          </c:tx>
          <c:spPr>
            <a:ln w="25400">
              <a:solidFill>
                <a:srgbClr val="000080"/>
              </a:solidFill>
              <a:prstDash val="solid"/>
            </a:ln>
          </c:spPr>
          <c:marker>
            <c:symbol val="none"/>
          </c:marker>
          <c:xVal>
            <c:numRef>
              <c:f>System!$BC$153:$BD$153</c:f>
              <c:numCache>
                <c:formatCode>General</c:formatCode>
                <c:ptCount val="2"/>
                <c:pt idx="0">
                  <c:v>0</c:v>
                </c:pt>
                <c:pt idx="1">
                  <c:v>0</c:v>
                </c:pt>
              </c:numCache>
            </c:numRef>
          </c:xVal>
          <c:yVal>
            <c:numRef>
              <c:f>System!$BE$153:$BF$153</c:f>
              <c:numCache>
                <c:formatCode>General</c:formatCode>
                <c:ptCount val="2"/>
                <c:pt idx="0">
                  <c:v>0</c:v>
                </c:pt>
                <c:pt idx="1">
                  <c:v>0</c:v>
                </c:pt>
              </c:numCache>
            </c:numRef>
          </c:yVal>
          <c:smooth val="0"/>
          <c:extLst>
            <c:ext xmlns:c16="http://schemas.microsoft.com/office/drawing/2014/chart" uri="{C3380CC4-5D6E-409C-BE32-E72D297353CC}">
              <c16:uniqueId val="{0000006F-5592-4E76-8908-496B42FE4A35}"/>
            </c:ext>
          </c:extLst>
        </c:ser>
        <c:ser>
          <c:idx val="173"/>
          <c:order val="112"/>
          <c:tx>
            <c:v>Element:33</c:v>
          </c:tx>
          <c:spPr>
            <a:ln w="25400">
              <a:solidFill>
                <a:srgbClr val="000080"/>
              </a:solidFill>
              <a:prstDash val="solid"/>
            </a:ln>
          </c:spPr>
          <c:marker>
            <c:symbol val="none"/>
          </c:marker>
          <c:xVal>
            <c:numRef>
              <c:f>System!$BC$154:$BD$154</c:f>
              <c:numCache>
                <c:formatCode>General</c:formatCode>
                <c:ptCount val="2"/>
                <c:pt idx="0">
                  <c:v>0</c:v>
                </c:pt>
                <c:pt idx="1">
                  <c:v>0</c:v>
                </c:pt>
              </c:numCache>
            </c:numRef>
          </c:xVal>
          <c:yVal>
            <c:numRef>
              <c:f>System!$BE$154:$BF$154</c:f>
              <c:numCache>
                <c:formatCode>General</c:formatCode>
                <c:ptCount val="2"/>
                <c:pt idx="0">
                  <c:v>0</c:v>
                </c:pt>
                <c:pt idx="1">
                  <c:v>0</c:v>
                </c:pt>
              </c:numCache>
            </c:numRef>
          </c:yVal>
          <c:smooth val="0"/>
          <c:extLst>
            <c:ext xmlns:c16="http://schemas.microsoft.com/office/drawing/2014/chart" uri="{C3380CC4-5D6E-409C-BE32-E72D297353CC}">
              <c16:uniqueId val="{00000070-5592-4E76-8908-496B42FE4A35}"/>
            </c:ext>
          </c:extLst>
        </c:ser>
        <c:ser>
          <c:idx val="174"/>
          <c:order val="113"/>
          <c:tx>
            <c:v>Element:34</c:v>
          </c:tx>
          <c:spPr>
            <a:ln w="25400">
              <a:solidFill>
                <a:srgbClr val="000080"/>
              </a:solidFill>
              <a:prstDash val="solid"/>
            </a:ln>
          </c:spPr>
          <c:marker>
            <c:symbol val="none"/>
          </c:marker>
          <c:xVal>
            <c:numRef>
              <c:f>System!$BC$155:$BD$155</c:f>
              <c:numCache>
                <c:formatCode>General</c:formatCode>
                <c:ptCount val="2"/>
                <c:pt idx="0">
                  <c:v>0</c:v>
                </c:pt>
                <c:pt idx="1">
                  <c:v>0</c:v>
                </c:pt>
              </c:numCache>
            </c:numRef>
          </c:xVal>
          <c:yVal>
            <c:numRef>
              <c:f>System!$BE$155:$BF$155</c:f>
              <c:numCache>
                <c:formatCode>General</c:formatCode>
                <c:ptCount val="2"/>
                <c:pt idx="0">
                  <c:v>0</c:v>
                </c:pt>
                <c:pt idx="1">
                  <c:v>0</c:v>
                </c:pt>
              </c:numCache>
            </c:numRef>
          </c:yVal>
          <c:smooth val="0"/>
          <c:extLst>
            <c:ext xmlns:c16="http://schemas.microsoft.com/office/drawing/2014/chart" uri="{C3380CC4-5D6E-409C-BE32-E72D297353CC}">
              <c16:uniqueId val="{00000071-5592-4E76-8908-496B42FE4A35}"/>
            </c:ext>
          </c:extLst>
        </c:ser>
        <c:ser>
          <c:idx val="175"/>
          <c:order val="114"/>
          <c:tx>
            <c:v>Element:35</c:v>
          </c:tx>
          <c:spPr>
            <a:ln w="25400">
              <a:solidFill>
                <a:srgbClr val="000080"/>
              </a:solidFill>
              <a:prstDash val="solid"/>
            </a:ln>
          </c:spPr>
          <c:marker>
            <c:symbol val="none"/>
          </c:marker>
          <c:xVal>
            <c:numRef>
              <c:f>System!$BC$156:$BD$156</c:f>
              <c:numCache>
                <c:formatCode>General</c:formatCode>
                <c:ptCount val="2"/>
                <c:pt idx="0">
                  <c:v>0</c:v>
                </c:pt>
                <c:pt idx="1">
                  <c:v>0</c:v>
                </c:pt>
              </c:numCache>
            </c:numRef>
          </c:xVal>
          <c:yVal>
            <c:numRef>
              <c:f>System!$BE$156:$BF$156</c:f>
              <c:numCache>
                <c:formatCode>General</c:formatCode>
                <c:ptCount val="2"/>
                <c:pt idx="0">
                  <c:v>0</c:v>
                </c:pt>
                <c:pt idx="1">
                  <c:v>0</c:v>
                </c:pt>
              </c:numCache>
            </c:numRef>
          </c:yVal>
          <c:smooth val="0"/>
          <c:extLst>
            <c:ext xmlns:c16="http://schemas.microsoft.com/office/drawing/2014/chart" uri="{C3380CC4-5D6E-409C-BE32-E72D297353CC}">
              <c16:uniqueId val="{00000072-5592-4E76-8908-496B42FE4A35}"/>
            </c:ext>
          </c:extLst>
        </c:ser>
        <c:ser>
          <c:idx val="176"/>
          <c:order val="115"/>
          <c:tx>
            <c:v>Element:36</c:v>
          </c:tx>
          <c:spPr>
            <a:ln w="19050">
              <a:solidFill>
                <a:schemeClr val="tx1"/>
              </a:solidFill>
              <a:prstDash val="solid"/>
              <a:round/>
            </a:ln>
          </c:spPr>
          <c:marker>
            <c:symbol val="none"/>
          </c:marker>
          <c:xVal>
            <c:numRef>
              <c:f>System!$BC$157:$BD$157</c:f>
              <c:numCache>
                <c:formatCode>General</c:formatCode>
                <c:ptCount val="2"/>
                <c:pt idx="0">
                  <c:v>0</c:v>
                </c:pt>
                <c:pt idx="1">
                  <c:v>0</c:v>
                </c:pt>
              </c:numCache>
            </c:numRef>
          </c:xVal>
          <c:yVal>
            <c:numRef>
              <c:f>System!$BE$157:$BF$157</c:f>
              <c:numCache>
                <c:formatCode>General</c:formatCode>
                <c:ptCount val="2"/>
                <c:pt idx="0">
                  <c:v>0</c:v>
                </c:pt>
                <c:pt idx="1">
                  <c:v>0</c:v>
                </c:pt>
              </c:numCache>
            </c:numRef>
          </c:yVal>
          <c:smooth val="0"/>
          <c:extLst>
            <c:ext xmlns:c16="http://schemas.microsoft.com/office/drawing/2014/chart" uri="{C3380CC4-5D6E-409C-BE32-E72D297353CC}">
              <c16:uniqueId val="{00000073-5592-4E76-8908-496B42FE4A35}"/>
            </c:ext>
          </c:extLst>
        </c:ser>
        <c:ser>
          <c:idx val="177"/>
          <c:order val="116"/>
          <c:tx>
            <c:v>Element:37</c:v>
          </c:tx>
          <c:spPr>
            <a:ln w="19050">
              <a:solidFill>
                <a:schemeClr val="tx1"/>
              </a:solidFill>
              <a:prstDash val="solid"/>
            </a:ln>
          </c:spPr>
          <c:marker>
            <c:symbol val="none"/>
          </c:marker>
          <c:xVal>
            <c:numRef>
              <c:f>System!$BC$158:$BD$158</c:f>
              <c:numCache>
                <c:formatCode>General</c:formatCode>
                <c:ptCount val="2"/>
                <c:pt idx="0">
                  <c:v>0</c:v>
                </c:pt>
                <c:pt idx="1">
                  <c:v>0</c:v>
                </c:pt>
              </c:numCache>
            </c:numRef>
          </c:xVal>
          <c:yVal>
            <c:numRef>
              <c:f>System!$BE$158:$BF$158</c:f>
              <c:numCache>
                <c:formatCode>General</c:formatCode>
                <c:ptCount val="2"/>
                <c:pt idx="0">
                  <c:v>0</c:v>
                </c:pt>
                <c:pt idx="1">
                  <c:v>0</c:v>
                </c:pt>
              </c:numCache>
            </c:numRef>
          </c:yVal>
          <c:smooth val="0"/>
          <c:extLst>
            <c:ext xmlns:c16="http://schemas.microsoft.com/office/drawing/2014/chart" uri="{C3380CC4-5D6E-409C-BE32-E72D297353CC}">
              <c16:uniqueId val="{00000074-5592-4E76-8908-496B42FE4A35}"/>
            </c:ext>
          </c:extLst>
        </c:ser>
        <c:ser>
          <c:idx val="178"/>
          <c:order val="117"/>
          <c:tx>
            <c:v>Element:38</c:v>
          </c:tx>
          <c:spPr>
            <a:ln w="25400">
              <a:solidFill>
                <a:srgbClr val="000080"/>
              </a:solidFill>
              <a:prstDash val="solid"/>
            </a:ln>
          </c:spPr>
          <c:marker>
            <c:symbol val="none"/>
          </c:marker>
          <c:xVal>
            <c:numRef>
              <c:f>System!$BC$159:$BD$159</c:f>
              <c:numCache>
                <c:formatCode>General</c:formatCode>
                <c:ptCount val="2"/>
                <c:pt idx="0">
                  <c:v>0</c:v>
                </c:pt>
                <c:pt idx="1">
                  <c:v>0</c:v>
                </c:pt>
              </c:numCache>
            </c:numRef>
          </c:xVal>
          <c:yVal>
            <c:numRef>
              <c:f>System!$BE$159:$BF$159</c:f>
              <c:numCache>
                <c:formatCode>General</c:formatCode>
                <c:ptCount val="2"/>
                <c:pt idx="0">
                  <c:v>0</c:v>
                </c:pt>
                <c:pt idx="1">
                  <c:v>0</c:v>
                </c:pt>
              </c:numCache>
            </c:numRef>
          </c:yVal>
          <c:smooth val="0"/>
          <c:extLst>
            <c:ext xmlns:c16="http://schemas.microsoft.com/office/drawing/2014/chart" uri="{C3380CC4-5D6E-409C-BE32-E72D297353CC}">
              <c16:uniqueId val="{00000075-5592-4E76-8908-496B42FE4A35}"/>
            </c:ext>
          </c:extLst>
        </c:ser>
        <c:ser>
          <c:idx val="179"/>
          <c:order val="118"/>
          <c:tx>
            <c:v>Element:39</c:v>
          </c:tx>
          <c:spPr>
            <a:ln w="25400">
              <a:solidFill>
                <a:srgbClr val="000080"/>
              </a:solidFill>
              <a:prstDash val="solid"/>
            </a:ln>
          </c:spPr>
          <c:marker>
            <c:symbol val="none"/>
          </c:marker>
          <c:xVal>
            <c:numRef>
              <c:f>System!$BC$160:$BD$160</c:f>
              <c:numCache>
                <c:formatCode>General</c:formatCode>
                <c:ptCount val="2"/>
                <c:pt idx="0">
                  <c:v>0</c:v>
                </c:pt>
                <c:pt idx="1">
                  <c:v>0</c:v>
                </c:pt>
              </c:numCache>
            </c:numRef>
          </c:xVal>
          <c:yVal>
            <c:numRef>
              <c:f>System!$BE$160:$BF$160</c:f>
              <c:numCache>
                <c:formatCode>General</c:formatCode>
                <c:ptCount val="2"/>
                <c:pt idx="0">
                  <c:v>0</c:v>
                </c:pt>
                <c:pt idx="1">
                  <c:v>0</c:v>
                </c:pt>
              </c:numCache>
            </c:numRef>
          </c:yVal>
          <c:smooth val="0"/>
          <c:extLst>
            <c:ext xmlns:c16="http://schemas.microsoft.com/office/drawing/2014/chart" uri="{C3380CC4-5D6E-409C-BE32-E72D297353CC}">
              <c16:uniqueId val="{00000076-5592-4E76-8908-496B42FE4A35}"/>
            </c:ext>
          </c:extLst>
        </c:ser>
        <c:ser>
          <c:idx val="180"/>
          <c:order val="119"/>
          <c:tx>
            <c:v>Element:40</c:v>
          </c:tx>
          <c:spPr>
            <a:ln w="25400">
              <a:solidFill>
                <a:srgbClr val="000080"/>
              </a:solidFill>
              <a:prstDash val="solid"/>
            </a:ln>
          </c:spPr>
          <c:marker>
            <c:symbol val="none"/>
          </c:marker>
          <c:xVal>
            <c:numRef>
              <c:f>System!$BC$161:$BD$161</c:f>
              <c:numCache>
                <c:formatCode>General</c:formatCode>
                <c:ptCount val="2"/>
                <c:pt idx="0">
                  <c:v>0</c:v>
                </c:pt>
                <c:pt idx="1">
                  <c:v>0</c:v>
                </c:pt>
              </c:numCache>
            </c:numRef>
          </c:xVal>
          <c:yVal>
            <c:numRef>
              <c:f>System!$BE$161:$BF$161</c:f>
              <c:numCache>
                <c:formatCode>General</c:formatCode>
                <c:ptCount val="2"/>
                <c:pt idx="0">
                  <c:v>0</c:v>
                </c:pt>
                <c:pt idx="1">
                  <c:v>0</c:v>
                </c:pt>
              </c:numCache>
            </c:numRef>
          </c:yVal>
          <c:smooth val="0"/>
          <c:extLst>
            <c:ext xmlns:c16="http://schemas.microsoft.com/office/drawing/2014/chart" uri="{C3380CC4-5D6E-409C-BE32-E72D297353CC}">
              <c16:uniqueId val="{00000077-5592-4E76-8908-496B42FE4A35}"/>
            </c:ext>
          </c:extLst>
        </c:ser>
        <c:ser>
          <c:idx val="141"/>
          <c:order val="120"/>
          <c:tx>
            <c:v>Elementlast1</c:v>
          </c:tx>
          <c:spPr>
            <a:ln w="12700">
              <a:solidFill>
                <a:schemeClr val="bg1">
                  <a:lumMod val="50000"/>
                </a:schemeClr>
              </a:solidFill>
              <a:prstDash val="solid"/>
            </a:ln>
          </c:spPr>
          <c:marker>
            <c:symbol val="none"/>
          </c:marker>
          <c:xVal>
            <c:numRef>
              <c:f>ELasten!$B$47:$R$47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ELasten!$S$47:$AI$47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8-5592-4E76-8908-496B42FE4A35}"/>
            </c:ext>
          </c:extLst>
        </c:ser>
        <c:ser>
          <c:idx val="142"/>
          <c:order val="121"/>
          <c:tx>
            <c:v>Elementlast2</c:v>
          </c:tx>
          <c:spPr>
            <a:ln w="12700">
              <a:solidFill>
                <a:srgbClr val="808080"/>
              </a:solidFill>
              <a:prstDash val="solid"/>
            </a:ln>
          </c:spPr>
          <c:marker>
            <c:symbol val="none"/>
          </c:marker>
          <c:xVal>
            <c:numRef>
              <c:f>ELasten!$B$48:$R$48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ELasten!$S$48:$AI$48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9-5592-4E76-8908-496B42FE4A35}"/>
            </c:ext>
          </c:extLst>
        </c:ser>
        <c:ser>
          <c:idx val="143"/>
          <c:order val="122"/>
          <c:tx>
            <c:v>Elementlast3</c:v>
          </c:tx>
          <c:spPr>
            <a:ln w="12700">
              <a:solidFill>
                <a:srgbClr val="808080"/>
              </a:solidFill>
              <a:prstDash val="solid"/>
            </a:ln>
          </c:spPr>
          <c:marker>
            <c:symbol val="none"/>
          </c:marker>
          <c:xVal>
            <c:numRef>
              <c:f>ELasten!$B$49:$R$49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ELasten!$S$49:$AI$49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A-5592-4E76-8908-496B42FE4A35}"/>
            </c:ext>
          </c:extLst>
        </c:ser>
        <c:ser>
          <c:idx val="144"/>
          <c:order val="123"/>
          <c:tx>
            <c:v>Elementlast4</c:v>
          </c:tx>
          <c:spPr>
            <a:ln w="12700">
              <a:solidFill>
                <a:srgbClr val="808080"/>
              </a:solidFill>
              <a:prstDash val="solid"/>
            </a:ln>
          </c:spPr>
          <c:marker>
            <c:symbol val="none"/>
          </c:marker>
          <c:xVal>
            <c:numRef>
              <c:f>ELasten!$B$50:$R$50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ELasten!$S$50:$AI$50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B-5592-4E76-8908-496B42FE4A35}"/>
            </c:ext>
          </c:extLst>
        </c:ser>
        <c:ser>
          <c:idx val="145"/>
          <c:order val="124"/>
          <c:tx>
            <c:v>Elementlast5</c:v>
          </c:tx>
          <c:spPr>
            <a:ln w="12700">
              <a:solidFill>
                <a:srgbClr val="808080"/>
              </a:solidFill>
              <a:prstDash val="solid"/>
            </a:ln>
          </c:spPr>
          <c:marker>
            <c:symbol val="none"/>
          </c:marker>
          <c:xVal>
            <c:numRef>
              <c:f>ELasten!$B$51:$R$51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ELasten!$S$51:$AI$51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C-5592-4E76-8908-496B42FE4A35}"/>
            </c:ext>
          </c:extLst>
        </c:ser>
        <c:ser>
          <c:idx val="146"/>
          <c:order val="125"/>
          <c:tx>
            <c:v>Elementlast6</c:v>
          </c:tx>
          <c:spPr>
            <a:ln w="12700">
              <a:solidFill>
                <a:srgbClr val="808080"/>
              </a:solidFill>
              <a:prstDash val="solid"/>
            </a:ln>
          </c:spPr>
          <c:marker>
            <c:symbol val="none"/>
          </c:marker>
          <c:xVal>
            <c:numRef>
              <c:f>ELasten!$B$52:$R$52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ELasten!$S$52:$AI$52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D-5592-4E76-8908-496B42FE4A35}"/>
            </c:ext>
          </c:extLst>
        </c:ser>
        <c:ser>
          <c:idx val="147"/>
          <c:order val="126"/>
          <c:tx>
            <c:v>Elementlast7</c:v>
          </c:tx>
          <c:spPr>
            <a:ln w="12700">
              <a:solidFill>
                <a:srgbClr val="808080"/>
              </a:solidFill>
              <a:prstDash val="solid"/>
            </a:ln>
          </c:spPr>
          <c:marker>
            <c:symbol val="none"/>
          </c:marker>
          <c:xVal>
            <c:numRef>
              <c:f>ELasten!$B$53:$R$53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ELasten!$S$53:$AI$53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E-5592-4E76-8908-496B42FE4A35}"/>
            </c:ext>
          </c:extLst>
        </c:ser>
        <c:ser>
          <c:idx val="148"/>
          <c:order val="127"/>
          <c:tx>
            <c:v>Elementlast8</c:v>
          </c:tx>
          <c:spPr>
            <a:ln w="12700">
              <a:solidFill>
                <a:srgbClr val="808080"/>
              </a:solidFill>
              <a:prstDash val="solid"/>
            </a:ln>
          </c:spPr>
          <c:marker>
            <c:symbol val="none"/>
          </c:marker>
          <c:xVal>
            <c:numRef>
              <c:f>ELasten!$B$54:$R$54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ELasten!$S$54:$AI$54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F-5592-4E76-8908-496B42FE4A35}"/>
            </c:ext>
          </c:extLst>
        </c:ser>
        <c:ser>
          <c:idx val="149"/>
          <c:order val="128"/>
          <c:tx>
            <c:v>Elementlast9</c:v>
          </c:tx>
          <c:spPr>
            <a:ln w="12700">
              <a:solidFill>
                <a:srgbClr val="808080"/>
              </a:solidFill>
              <a:prstDash val="solid"/>
            </a:ln>
          </c:spPr>
          <c:marker>
            <c:symbol val="none"/>
          </c:marker>
          <c:xVal>
            <c:numRef>
              <c:f>ELasten!$B$55:$R$55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ELasten!$S$55:$AI$55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0-5592-4E76-8908-496B42FE4A35}"/>
            </c:ext>
          </c:extLst>
        </c:ser>
        <c:ser>
          <c:idx val="150"/>
          <c:order val="129"/>
          <c:tx>
            <c:v>Elementlast10</c:v>
          </c:tx>
          <c:spPr>
            <a:ln w="12700">
              <a:solidFill>
                <a:srgbClr val="808080"/>
              </a:solidFill>
              <a:prstDash val="solid"/>
            </a:ln>
          </c:spPr>
          <c:marker>
            <c:symbol val="none"/>
          </c:marker>
          <c:xVal>
            <c:numRef>
              <c:f>ELasten!$B$56:$R$56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ELasten!$S$56:$AI$56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1-5592-4E76-8908-496B42FE4A35}"/>
            </c:ext>
          </c:extLst>
        </c:ser>
        <c:ser>
          <c:idx val="151"/>
          <c:order val="130"/>
          <c:tx>
            <c:v>Elementlast11</c:v>
          </c:tx>
          <c:spPr>
            <a:ln w="12700">
              <a:solidFill>
                <a:srgbClr val="808080"/>
              </a:solidFill>
              <a:prstDash val="solid"/>
            </a:ln>
          </c:spPr>
          <c:marker>
            <c:symbol val="none"/>
          </c:marker>
          <c:xVal>
            <c:numRef>
              <c:f>ELasten!$B$57:$R$57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ELasten!$S$57:$AI$57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2-5592-4E76-8908-496B42FE4A35}"/>
            </c:ext>
          </c:extLst>
        </c:ser>
        <c:ser>
          <c:idx val="152"/>
          <c:order val="131"/>
          <c:tx>
            <c:v>Elementlast12</c:v>
          </c:tx>
          <c:spPr>
            <a:ln w="12700">
              <a:solidFill>
                <a:srgbClr val="808080"/>
              </a:solidFill>
              <a:prstDash val="solid"/>
            </a:ln>
          </c:spPr>
          <c:marker>
            <c:symbol val="none"/>
          </c:marker>
          <c:xVal>
            <c:numRef>
              <c:f>ELasten!$B$58:$R$58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ELasten!$S$58:$AI$58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3-5592-4E76-8908-496B42FE4A35}"/>
            </c:ext>
          </c:extLst>
        </c:ser>
        <c:ser>
          <c:idx val="153"/>
          <c:order val="132"/>
          <c:tx>
            <c:v>Elementlast13</c:v>
          </c:tx>
          <c:spPr>
            <a:ln w="12700">
              <a:solidFill>
                <a:srgbClr val="808080"/>
              </a:solidFill>
              <a:prstDash val="solid"/>
            </a:ln>
          </c:spPr>
          <c:marker>
            <c:symbol val="none"/>
          </c:marker>
          <c:xVal>
            <c:numRef>
              <c:f>ELasten!$B$59:$R$59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ELasten!$S$59:$AI$59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4-5592-4E76-8908-496B42FE4A35}"/>
            </c:ext>
          </c:extLst>
        </c:ser>
        <c:ser>
          <c:idx val="154"/>
          <c:order val="133"/>
          <c:tx>
            <c:v>Elementlast14</c:v>
          </c:tx>
          <c:spPr>
            <a:ln w="12700">
              <a:solidFill>
                <a:srgbClr val="808080"/>
              </a:solidFill>
              <a:prstDash val="solid"/>
            </a:ln>
          </c:spPr>
          <c:marker>
            <c:symbol val="none"/>
          </c:marker>
          <c:xVal>
            <c:numRef>
              <c:f>ELasten!$B$60:$R$60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ELasten!$S$60:$AI$60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5-5592-4E76-8908-496B42FE4A35}"/>
            </c:ext>
          </c:extLst>
        </c:ser>
        <c:ser>
          <c:idx val="155"/>
          <c:order val="134"/>
          <c:tx>
            <c:v>Elementlast15</c:v>
          </c:tx>
          <c:spPr>
            <a:ln w="12700">
              <a:solidFill>
                <a:srgbClr val="808080"/>
              </a:solidFill>
              <a:prstDash val="solid"/>
            </a:ln>
          </c:spPr>
          <c:marker>
            <c:symbol val="none"/>
          </c:marker>
          <c:xVal>
            <c:numRef>
              <c:f>ELasten!$B$61:$R$61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ELasten!$S$61:$AI$61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6-5592-4E76-8908-496B42FE4A35}"/>
            </c:ext>
          </c:extLst>
        </c:ser>
        <c:ser>
          <c:idx val="156"/>
          <c:order val="135"/>
          <c:tx>
            <c:v>Elementlast16</c:v>
          </c:tx>
          <c:spPr>
            <a:ln w="12700">
              <a:solidFill>
                <a:srgbClr val="808080"/>
              </a:solidFill>
              <a:prstDash val="solid"/>
            </a:ln>
          </c:spPr>
          <c:marker>
            <c:symbol val="none"/>
          </c:marker>
          <c:xVal>
            <c:numRef>
              <c:f>ELasten!$B$62:$R$62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ELasten!$S$62:$AI$62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7-5592-4E76-8908-496B42FE4A35}"/>
            </c:ext>
          </c:extLst>
        </c:ser>
        <c:ser>
          <c:idx val="157"/>
          <c:order val="136"/>
          <c:tx>
            <c:v>Elementlast17</c:v>
          </c:tx>
          <c:spPr>
            <a:ln w="12700">
              <a:solidFill>
                <a:srgbClr val="808080"/>
              </a:solidFill>
              <a:prstDash val="solid"/>
            </a:ln>
          </c:spPr>
          <c:marker>
            <c:symbol val="none"/>
          </c:marker>
          <c:xVal>
            <c:numRef>
              <c:f>ELasten!$B$63:$R$63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ELasten!$S$63:$AI$63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8-5592-4E76-8908-496B42FE4A35}"/>
            </c:ext>
          </c:extLst>
        </c:ser>
        <c:ser>
          <c:idx val="158"/>
          <c:order val="137"/>
          <c:tx>
            <c:v>Elementlast18</c:v>
          </c:tx>
          <c:spPr>
            <a:ln w="12700">
              <a:solidFill>
                <a:srgbClr val="808080"/>
              </a:solidFill>
              <a:prstDash val="solid"/>
            </a:ln>
          </c:spPr>
          <c:marker>
            <c:symbol val="none"/>
          </c:marker>
          <c:xVal>
            <c:numRef>
              <c:f>ELasten!$B$64:$R$64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ELasten!$S$64:$AI$64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9-5592-4E76-8908-496B42FE4A35}"/>
            </c:ext>
          </c:extLst>
        </c:ser>
        <c:ser>
          <c:idx val="159"/>
          <c:order val="138"/>
          <c:tx>
            <c:v>Elementlast19</c:v>
          </c:tx>
          <c:spPr>
            <a:ln w="12700">
              <a:solidFill>
                <a:srgbClr val="808080"/>
              </a:solidFill>
              <a:prstDash val="solid"/>
            </a:ln>
          </c:spPr>
          <c:marker>
            <c:symbol val="none"/>
          </c:marker>
          <c:xVal>
            <c:numRef>
              <c:f>ELasten!$B$65:$R$65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ELasten!$S$65:$AI$65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A-5592-4E76-8908-496B42FE4A35}"/>
            </c:ext>
          </c:extLst>
        </c:ser>
        <c:ser>
          <c:idx val="160"/>
          <c:order val="139"/>
          <c:tx>
            <c:v>Elementlast20</c:v>
          </c:tx>
          <c:spPr>
            <a:ln w="12700">
              <a:solidFill>
                <a:srgbClr val="808080"/>
              </a:solidFill>
              <a:prstDash val="solid"/>
            </a:ln>
          </c:spPr>
          <c:marker>
            <c:symbol val="none"/>
          </c:marker>
          <c:xVal>
            <c:numRef>
              <c:f>ELasten!$B$66:$R$66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ELasten!$S$66:$AI$66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B-5592-4E76-8908-496B42FE4A35}"/>
            </c:ext>
          </c:extLst>
        </c:ser>
        <c:ser>
          <c:idx val="181"/>
          <c:order val="140"/>
          <c:tx>
            <c:v>Elementlast21</c:v>
          </c:tx>
          <c:spPr>
            <a:ln w="12700">
              <a:solidFill>
                <a:srgbClr val="808080"/>
              </a:solidFill>
              <a:prstDash val="solid"/>
            </a:ln>
          </c:spPr>
          <c:marker>
            <c:symbol val="none"/>
          </c:marker>
          <c:xVal>
            <c:numRef>
              <c:f>ELasten!$B$67:$R$67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ELasten!$S$67:$AI$67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C-5592-4E76-8908-496B42FE4A35}"/>
            </c:ext>
          </c:extLst>
        </c:ser>
        <c:ser>
          <c:idx val="182"/>
          <c:order val="141"/>
          <c:tx>
            <c:v>Elementlast22</c:v>
          </c:tx>
          <c:spPr>
            <a:ln w="12700">
              <a:solidFill>
                <a:srgbClr val="808080"/>
              </a:solidFill>
              <a:prstDash val="solid"/>
            </a:ln>
          </c:spPr>
          <c:marker>
            <c:symbol val="none"/>
          </c:marker>
          <c:xVal>
            <c:numRef>
              <c:f>ELasten!$B$68:$R$68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ELasten!$S$68:$AI$68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D-5592-4E76-8908-496B42FE4A35}"/>
            </c:ext>
          </c:extLst>
        </c:ser>
        <c:ser>
          <c:idx val="183"/>
          <c:order val="142"/>
          <c:tx>
            <c:v>Elementlast23</c:v>
          </c:tx>
          <c:spPr>
            <a:ln w="12700">
              <a:solidFill>
                <a:srgbClr val="808080"/>
              </a:solidFill>
              <a:prstDash val="solid"/>
            </a:ln>
          </c:spPr>
          <c:marker>
            <c:symbol val="none"/>
          </c:marker>
          <c:xVal>
            <c:numRef>
              <c:f>ELasten!$B$69:$R$69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ELasten!$S$69:$AI$69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E-5592-4E76-8908-496B42FE4A35}"/>
            </c:ext>
          </c:extLst>
        </c:ser>
        <c:ser>
          <c:idx val="184"/>
          <c:order val="143"/>
          <c:tx>
            <c:v>Elementlast24</c:v>
          </c:tx>
          <c:spPr>
            <a:ln w="12700">
              <a:solidFill>
                <a:srgbClr val="808080"/>
              </a:solidFill>
              <a:prstDash val="solid"/>
            </a:ln>
          </c:spPr>
          <c:marker>
            <c:symbol val="none"/>
          </c:marker>
          <c:xVal>
            <c:numRef>
              <c:f>ELasten!$B$70:$R$70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ELasten!$S$70:$AI$70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F-5592-4E76-8908-496B42FE4A35}"/>
            </c:ext>
          </c:extLst>
        </c:ser>
        <c:ser>
          <c:idx val="185"/>
          <c:order val="144"/>
          <c:tx>
            <c:v>Elementlast25</c:v>
          </c:tx>
          <c:spPr>
            <a:ln w="12700">
              <a:solidFill>
                <a:srgbClr val="808080"/>
              </a:solidFill>
              <a:prstDash val="solid"/>
            </a:ln>
          </c:spPr>
          <c:marker>
            <c:symbol val="none"/>
          </c:marker>
          <c:xVal>
            <c:numRef>
              <c:f>ELasten!$B$71:$R$71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ELasten!$S$71:$AI$71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0-5592-4E76-8908-496B42FE4A35}"/>
            </c:ext>
          </c:extLst>
        </c:ser>
        <c:ser>
          <c:idx val="186"/>
          <c:order val="145"/>
          <c:tx>
            <c:v>Elementlast26</c:v>
          </c:tx>
          <c:spPr>
            <a:ln w="12700">
              <a:solidFill>
                <a:srgbClr val="808080"/>
              </a:solidFill>
              <a:prstDash val="solid"/>
            </a:ln>
          </c:spPr>
          <c:marker>
            <c:symbol val="none"/>
          </c:marker>
          <c:xVal>
            <c:numRef>
              <c:f>ELasten!$B$72:$R$72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ELasten!$S$72:$AI$72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1-5592-4E76-8908-496B42FE4A35}"/>
            </c:ext>
          </c:extLst>
        </c:ser>
        <c:ser>
          <c:idx val="187"/>
          <c:order val="146"/>
          <c:tx>
            <c:v>Elementlast27</c:v>
          </c:tx>
          <c:spPr>
            <a:ln w="12700">
              <a:solidFill>
                <a:srgbClr val="808080"/>
              </a:solidFill>
              <a:prstDash val="solid"/>
            </a:ln>
          </c:spPr>
          <c:marker>
            <c:symbol val="none"/>
          </c:marker>
          <c:xVal>
            <c:numRef>
              <c:f>ELasten!$B$73:$R$73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ELasten!$S$73:$AI$73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2-5592-4E76-8908-496B42FE4A35}"/>
            </c:ext>
          </c:extLst>
        </c:ser>
        <c:ser>
          <c:idx val="188"/>
          <c:order val="147"/>
          <c:tx>
            <c:v>Elementlast28</c:v>
          </c:tx>
          <c:spPr>
            <a:ln w="12700">
              <a:solidFill>
                <a:srgbClr val="808080"/>
              </a:solidFill>
              <a:prstDash val="solid"/>
            </a:ln>
          </c:spPr>
          <c:marker>
            <c:symbol val="none"/>
          </c:marker>
          <c:xVal>
            <c:numRef>
              <c:f>ELasten!$B$74:$R$74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ELasten!$S$74:$AI$74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3-5592-4E76-8908-496B42FE4A35}"/>
            </c:ext>
          </c:extLst>
        </c:ser>
        <c:ser>
          <c:idx val="189"/>
          <c:order val="148"/>
          <c:tx>
            <c:v>Elementlast29</c:v>
          </c:tx>
          <c:spPr>
            <a:ln w="12700">
              <a:solidFill>
                <a:srgbClr val="808080"/>
              </a:solidFill>
              <a:prstDash val="solid"/>
            </a:ln>
          </c:spPr>
          <c:marker>
            <c:symbol val="none"/>
          </c:marker>
          <c:xVal>
            <c:numRef>
              <c:f>ELasten!$B$75:$R$75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ELasten!$S$75:$AI$75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4-5592-4E76-8908-496B42FE4A35}"/>
            </c:ext>
          </c:extLst>
        </c:ser>
        <c:ser>
          <c:idx val="190"/>
          <c:order val="149"/>
          <c:tx>
            <c:v>Elementlast30</c:v>
          </c:tx>
          <c:spPr>
            <a:ln w="12700">
              <a:solidFill>
                <a:srgbClr val="808080"/>
              </a:solidFill>
              <a:prstDash val="solid"/>
            </a:ln>
          </c:spPr>
          <c:marker>
            <c:symbol val="none"/>
          </c:marker>
          <c:xVal>
            <c:numRef>
              <c:f>ELasten!$B$76:$R$76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ELasten!$S$76:$AI$76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5-5592-4E76-8908-496B42FE4A35}"/>
            </c:ext>
          </c:extLst>
        </c:ser>
        <c:ser>
          <c:idx val="191"/>
          <c:order val="150"/>
          <c:tx>
            <c:v>Elementlast31</c:v>
          </c:tx>
          <c:spPr>
            <a:ln w="12700">
              <a:solidFill>
                <a:srgbClr val="808080"/>
              </a:solidFill>
              <a:prstDash val="solid"/>
            </a:ln>
          </c:spPr>
          <c:marker>
            <c:symbol val="none"/>
          </c:marker>
          <c:xVal>
            <c:numRef>
              <c:f>ELasten!$B$77:$R$77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ELasten!$S$77:$AI$77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6-5592-4E76-8908-496B42FE4A35}"/>
            </c:ext>
          </c:extLst>
        </c:ser>
        <c:ser>
          <c:idx val="192"/>
          <c:order val="151"/>
          <c:tx>
            <c:v>Elementlast32</c:v>
          </c:tx>
          <c:spPr>
            <a:ln w="12700">
              <a:solidFill>
                <a:srgbClr val="808080"/>
              </a:solidFill>
              <a:prstDash val="solid"/>
            </a:ln>
          </c:spPr>
          <c:marker>
            <c:symbol val="none"/>
          </c:marker>
          <c:xVal>
            <c:numRef>
              <c:f>ELasten!$B$78:$R$78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ELasten!$S$78:$AI$78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7-5592-4E76-8908-496B42FE4A35}"/>
            </c:ext>
          </c:extLst>
        </c:ser>
        <c:ser>
          <c:idx val="193"/>
          <c:order val="152"/>
          <c:tx>
            <c:v>Elementlast33</c:v>
          </c:tx>
          <c:spPr>
            <a:ln w="12700">
              <a:solidFill>
                <a:srgbClr val="808080"/>
              </a:solidFill>
              <a:prstDash val="solid"/>
            </a:ln>
          </c:spPr>
          <c:marker>
            <c:symbol val="none"/>
          </c:marker>
          <c:xVal>
            <c:numRef>
              <c:f>ELasten!$B$79:$R$79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ELasten!$S$79:$AI$79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8-5592-4E76-8908-496B42FE4A35}"/>
            </c:ext>
          </c:extLst>
        </c:ser>
        <c:ser>
          <c:idx val="194"/>
          <c:order val="153"/>
          <c:tx>
            <c:v>Elementlast34</c:v>
          </c:tx>
          <c:spPr>
            <a:ln w="12700">
              <a:solidFill>
                <a:srgbClr val="808080"/>
              </a:solidFill>
              <a:prstDash val="solid"/>
            </a:ln>
          </c:spPr>
          <c:marker>
            <c:symbol val="none"/>
          </c:marker>
          <c:xVal>
            <c:numRef>
              <c:f>ELasten!$B$80:$R$80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ELasten!$S$80:$AI$80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9-5592-4E76-8908-496B42FE4A35}"/>
            </c:ext>
          </c:extLst>
        </c:ser>
        <c:ser>
          <c:idx val="195"/>
          <c:order val="154"/>
          <c:tx>
            <c:v>Elementlast35</c:v>
          </c:tx>
          <c:spPr>
            <a:ln w="12700">
              <a:solidFill>
                <a:srgbClr val="808080"/>
              </a:solidFill>
              <a:prstDash val="solid"/>
            </a:ln>
          </c:spPr>
          <c:marker>
            <c:symbol val="none"/>
          </c:marker>
          <c:xVal>
            <c:numRef>
              <c:f>ELasten!$B$81:$R$81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ELasten!$S$81:$AI$81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A-5592-4E76-8908-496B42FE4A35}"/>
            </c:ext>
          </c:extLst>
        </c:ser>
        <c:ser>
          <c:idx val="196"/>
          <c:order val="155"/>
          <c:tx>
            <c:v>Elementlast36</c:v>
          </c:tx>
          <c:spPr>
            <a:ln w="12700">
              <a:solidFill>
                <a:srgbClr val="808080"/>
              </a:solidFill>
              <a:prstDash val="solid"/>
            </a:ln>
          </c:spPr>
          <c:marker>
            <c:symbol val="none"/>
          </c:marker>
          <c:xVal>
            <c:numRef>
              <c:f>ELasten!$B$82:$R$82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ELasten!$S$82:$AI$82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B-5592-4E76-8908-496B42FE4A35}"/>
            </c:ext>
          </c:extLst>
        </c:ser>
        <c:ser>
          <c:idx val="197"/>
          <c:order val="156"/>
          <c:tx>
            <c:v>Elementlast37</c:v>
          </c:tx>
          <c:spPr>
            <a:ln w="12700">
              <a:solidFill>
                <a:srgbClr val="808080"/>
              </a:solidFill>
              <a:prstDash val="solid"/>
            </a:ln>
          </c:spPr>
          <c:marker>
            <c:symbol val="none"/>
          </c:marker>
          <c:xVal>
            <c:numRef>
              <c:f>ELasten!$B$83:$R$83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ELasten!$S$83:$AI$83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C-5592-4E76-8908-496B42FE4A35}"/>
            </c:ext>
          </c:extLst>
        </c:ser>
        <c:ser>
          <c:idx val="198"/>
          <c:order val="157"/>
          <c:tx>
            <c:v>Elementlast38</c:v>
          </c:tx>
          <c:spPr>
            <a:ln w="12700">
              <a:solidFill>
                <a:srgbClr val="808080"/>
              </a:solidFill>
              <a:prstDash val="solid"/>
            </a:ln>
          </c:spPr>
          <c:marker>
            <c:symbol val="none"/>
          </c:marker>
          <c:xVal>
            <c:numRef>
              <c:f>ELasten!$B$84:$R$84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ELasten!$S$84:$AI$84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D-5592-4E76-8908-496B42FE4A35}"/>
            </c:ext>
          </c:extLst>
        </c:ser>
        <c:ser>
          <c:idx val="199"/>
          <c:order val="158"/>
          <c:tx>
            <c:v>Elementlast39</c:v>
          </c:tx>
          <c:spPr>
            <a:ln w="12700">
              <a:solidFill>
                <a:srgbClr val="808080"/>
              </a:solidFill>
              <a:prstDash val="solid"/>
            </a:ln>
          </c:spPr>
          <c:marker>
            <c:symbol val="none"/>
          </c:marker>
          <c:xVal>
            <c:numRef>
              <c:f>ELasten!$B$85:$R$85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ELasten!$S$85:$AI$85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E-5592-4E76-8908-496B42FE4A35}"/>
            </c:ext>
          </c:extLst>
        </c:ser>
        <c:ser>
          <c:idx val="200"/>
          <c:order val="159"/>
          <c:tx>
            <c:v>Elementlast40</c:v>
          </c:tx>
          <c:spPr>
            <a:ln w="12700">
              <a:solidFill>
                <a:srgbClr val="808080"/>
              </a:solidFill>
              <a:prstDash val="solid"/>
            </a:ln>
          </c:spPr>
          <c:marker>
            <c:symbol val="none"/>
          </c:marker>
          <c:xVal>
            <c:numRef>
              <c:f>ELasten!$B$86:$R$86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ELasten!$S$86:$AI$86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F-5592-4E76-8908-496B42FE4A35}"/>
            </c:ext>
          </c:extLst>
        </c:ser>
        <c:ser>
          <c:idx val="81"/>
          <c:order val="160"/>
          <c:tx>
            <c:v>Knotenlast V 1</c:v>
          </c:tx>
          <c:spPr>
            <a:ln w="12700">
              <a:solidFill>
                <a:srgbClr val="808080"/>
              </a:solidFill>
              <a:prstDash val="solid"/>
            </a:ln>
          </c:spPr>
          <c:marker>
            <c:symbol val="none"/>
          </c:marker>
          <c:xVal>
            <c:numRef>
              <c:f>KLasten!$C$4:$G$4</c:f>
              <c:numCache>
                <c:formatCode>General</c:formatCode>
                <c:ptCount val="5"/>
                <c:pt idx="0">
                  <c:v>20</c:v>
                </c:pt>
                <c:pt idx="1">
                  <c:v>20</c:v>
                </c:pt>
                <c:pt idx="2">
                  <c:v>16.605887450304571</c:v>
                </c:pt>
                <c:pt idx="3">
                  <c:v>23.394112549695429</c:v>
                </c:pt>
                <c:pt idx="4">
                  <c:v>20</c:v>
                </c:pt>
              </c:numCache>
            </c:numRef>
          </c:xVal>
          <c:yVal>
            <c:numRef>
              <c:f>KLasten!$H$4:$L$4</c:f>
              <c:numCache>
                <c:formatCode>General</c:formatCode>
                <c:ptCount val="5"/>
                <c:pt idx="0">
                  <c:v>0.72935059634514232</c:v>
                </c:pt>
                <c:pt idx="1">
                  <c:v>-33.211774900609143</c:v>
                </c:pt>
                <c:pt idx="2">
                  <c:v>-21.332380976675143</c:v>
                </c:pt>
                <c:pt idx="3">
                  <c:v>-21.332380976675143</c:v>
                </c:pt>
                <c:pt idx="4">
                  <c:v>-33.211774900609143</c:v>
                </c:pt>
              </c:numCache>
            </c:numRef>
          </c:yVal>
          <c:smooth val="0"/>
          <c:extLst>
            <c:ext xmlns:c16="http://schemas.microsoft.com/office/drawing/2014/chart" uri="{C3380CC4-5D6E-409C-BE32-E72D297353CC}">
              <c16:uniqueId val="{000000A0-5592-4E76-8908-496B42FE4A35}"/>
            </c:ext>
          </c:extLst>
        </c:ser>
        <c:ser>
          <c:idx val="82"/>
          <c:order val="161"/>
          <c:tx>
            <c:v>Knotenlast V 2</c:v>
          </c:tx>
          <c:spPr>
            <a:ln w="12700">
              <a:solidFill>
                <a:srgbClr val="808080"/>
              </a:solidFill>
              <a:prstDash val="solid"/>
            </a:ln>
          </c:spPr>
          <c:marker>
            <c:symbol val="none"/>
          </c:marker>
          <c:xVal>
            <c:numRef>
              <c:f>KLasten!$C$5:$G$5</c:f>
              <c:numCache>
                <c:formatCode>General</c:formatCode>
                <c:ptCount val="5"/>
                <c:pt idx="0">
                  <c:v>100</c:v>
                </c:pt>
                <c:pt idx="1">
                  <c:v>100</c:v>
                </c:pt>
                <c:pt idx="2">
                  <c:v>100</c:v>
                </c:pt>
                <c:pt idx="3">
                  <c:v>100</c:v>
                </c:pt>
                <c:pt idx="4">
                  <c:v>100</c:v>
                </c:pt>
              </c:numCache>
            </c:numRef>
          </c:xVal>
          <c:yVal>
            <c:numRef>
              <c:f>KLasten!$H$5:$L$5</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A1-5592-4E76-8908-496B42FE4A35}"/>
            </c:ext>
          </c:extLst>
        </c:ser>
        <c:ser>
          <c:idx val="83"/>
          <c:order val="162"/>
          <c:tx>
            <c:v>Knotenlast V 3</c:v>
          </c:tx>
          <c:spPr>
            <a:ln w="12700">
              <a:solidFill>
                <a:srgbClr val="808080"/>
              </a:solidFill>
              <a:prstDash val="solid"/>
            </a:ln>
          </c:spPr>
          <c:marker>
            <c:symbol val="none"/>
          </c:marker>
          <c:xVal>
            <c:numRef>
              <c:f>KLasten!$C$6:$G$6</c:f>
              <c:numCache>
                <c:formatCode>General</c:formatCode>
                <c:ptCount val="5"/>
                <c:pt idx="0">
                  <c:v>20</c:v>
                </c:pt>
                <c:pt idx="1">
                  <c:v>20</c:v>
                </c:pt>
                <c:pt idx="2">
                  <c:v>20</c:v>
                </c:pt>
                <c:pt idx="3">
                  <c:v>20</c:v>
                </c:pt>
                <c:pt idx="4">
                  <c:v>20</c:v>
                </c:pt>
              </c:numCache>
            </c:numRef>
          </c:xVal>
          <c:yVal>
            <c:numRef>
              <c:f>KLasten!$H$6:$L$6</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A2-5592-4E76-8908-496B42FE4A35}"/>
            </c:ext>
          </c:extLst>
        </c:ser>
        <c:ser>
          <c:idx val="84"/>
          <c:order val="163"/>
          <c:tx>
            <c:v>Knotenlast V 4</c:v>
          </c:tx>
          <c:spPr>
            <a:ln w="12700">
              <a:solidFill>
                <a:srgbClr val="808080"/>
              </a:solidFill>
              <a:prstDash val="solid"/>
            </a:ln>
          </c:spPr>
          <c:marker>
            <c:symbol val="none"/>
          </c:marker>
          <c:xVal>
            <c:numRef>
              <c:f>KLasten!$C$7:$G$7</c:f>
              <c:numCache>
                <c:formatCode>General</c:formatCode>
                <c:ptCount val="5"/>
                <c:pt idx="0">
                  <c:v>60</c:v>
                </c:pt>
                <c:pt idx="1">
                  <c:v>60</c:v>
                </c:pt>
                <c:pt idx="2">
                  <c:v>60</c:v>
                </c:pt>
                <c:pt idx="3">
                  <c:v>60</c:v>
                </c:pt>
                <c:pt idx="4">
                  <c:v>60</c:v>
                </c:pt>
              </c:numCache>
            </c:numRef>
          </c:xVal>
          <c:yVal>
            <c:numRef>
              <c:f>KLasten!$H$7:$L$7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A3-5592-4E76-8908-496B42FE4A35}"/>
            </c:ext>
          </c:extLst>
        </c:ser>
        <c:ser>
          <c:idx val="85"/>
          <c:order val="164"/>
          <c:tx>
            <c:v>Knotenlast V 5</c:v>
          </c:tx>
          <c:spPr>
            <a:ln w="12700">
              <a:solidFill>
                <a:srgbClr val="808080"/>
              </a:solidFill>
              <a:prstDash val="solid"/>
            </a:ln>
          </c:spPr>
          <c:marker>
            <c:symbol val="none"/>
          </c:marker>
          <c:xVal>
            <c:numRef>
              <c:f>KLasten!$C$8:$G$8</c:f>
              <c:numCache>
                <c:formatCode>General</c:formatCode>
                <c:ptCount val="5"/>
                <c:pt idx="0">
                  <c:v>-50</c:v>
                </c:pt>
                <c:pt idx="1">
                  <c:v>-50</c:v>
                </c:pt>
                <c:pt idx="2">
                  <c:v>-50</c:v>
                </c:pt>
                <c:pt idx="3">
                  <c:v>-50</c:v>
                </c:pt>
                <c:pt idx="4">
                  <c:v>-50</c:v>
                </c:pt>
              </c:numCache>
            </c:numRef>
          </c:xVal>
          <c:yVal>
            <c:numRef>
              <c:f>KLasten!$H$8:$L$8</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A4-5592-4E76-8908-496B42FE4A35}"/>
            </c:ext>
          </c:extLst>
        </c:ser>
        <c:ser>
          <c:idx val="86"/>
          <c:order val="165"/>
          <c:tx>
            <c:v>Knotenlast V 6</c:v>
          </c:tx>
          <c:spPr>
            <a:ln w="12700">
              <a:solidFill>
                <a:srgbClr val="808080"/>
              </a:solidFill>
              <a:prstDash val="solid"/>
            </a:ln>
          </c:spPr>
          <c:marker>
            <c:symbol val="none"/>
          </c:marker>
          <c:xVal>
            <c:numRef>
              <c:f>KLasten!$C$9:$G$9</c:f>
              <c:numCache>
                <c:formatCode>General</c:formatCode>
                <c:ptCount val="5"/>
                <c:pt idx="0">
                  <c:v>-100</c:v>
                </c:pt>
                <c:pt idx="1">
                  <c:v>-100</c:v>
                </c:pt>
                <c:pt idx="2">
                  <c:v>-100</c:v>
                </c:pt>
                <c:pt idx="3">
                  <c:v>-100</c:v>
                </c:pt>
                <c:pt idx="4">
                  <c:v>-100</c:v>
                </c:pt>
              </c:numCache>
            </c:numRef>
          </c:xVal>
          <c:yVal>
            <c:numRef>
              <c:f>KLasten!$H$9:$L$9</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A5-5592-4E76-8908-496B42FE4A35}"/>
            </c:ext>
          </c:extLst>
        </c:ser>
        <c:ser>
          <c:idx val="87"/>
          <c:order val="166"/>
          <c:tx>
            <c:v>Knotenlast V 7</c:v>
          </c:tx>
          <c:spPr>
            <a:ln w="12700">
              <a:solidFill>
                <a:srgbClr val="808080"/>
              </a:solidFill>
              <a:prstDash val="solid"/>
            </a:ln>
          </c:spPr>
          <c:marker>
            <c:symbol val="none"/>
          </c:marker>
          <c:xVal>
            <c:numRef>
              <c:f>KLasten!$C$10:$G$10</c:f>
              <c:numCache>
                <c:formatCode>General</c:formatCode>
                <c:ptCount val="5"/>
                <c:pt idx="0">
                  <c:v>0</c:v>
                </c:pt>
                <c:pt idx="1">
                  <c:v>0</c:v>
                </c:pt>
                <c:pt idx="2">
                  <c:v>0</c:v>
                </c:pt>
                <c:pt idx="3">
                  <c:v>0</c:v>
                </c:pt>
                <c:pt idx="4">
                  <c:v>0</c:v>
                </c:pt>
              </c:numCache>
            </c:numRef>
          </c:xVal>
          <c:yVal>
            <c:numRef>
              <c:f>KLasten!$H$10:$L$10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6-5592-4E76-8908-496B42FE4A35}"/>
            </c:ext>
          </c:extLst>
        </c:ser>
        <c:ser>
          <c:idx val="88"/>
          <c:order val="167"/>
          <c:tx>
            <c:v>Knotenlast V 8</c:v>
          </c:tx>
          <c:spPr>
            <a:ln w="12700">
              <a:solidFill>
                <a:srgbClr val="808080"/>
              </a:solidFill>
              <a:prstDash val="solid"/>
            </a:ln>
          </c:spPr>
          <c:marker>
            <c:symbol val="none"/>
          </c:marker>
          <c:xVal>
            <c:numRef>
              <c:f>KLasten!$C$11:$G$11</c:f>
              <c:numCache>
                <c:formatCode>General</c:formatCode>
                <c:ptCount val="5"/>
                <c:pt idx="0">
                  <c:v>0</c:v>
                </c:pt>
                <c:pt idx="1">
                  <c:v>0</c:v>
                </c:pt>
                <c:pt idx="2">
                  <c:v>0</c:v>
                </c:pt>
                <c:pt idx="3">
                  <c:v>0</c:v>
                </c:pt>
                <c:pt idx="4">
                  <c:v>0</c:v>
                </c:pt>
              </c:numCache>
            </c:numRef>
          </c:xVal>
          <c:yVal>
            <c:numRef>
              <c:f>KLasten!$H$11:$L$11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7-5592-4E76-8908-496B42FE4A35}"/>
            </c:ext>
          </c:extLst>
        </c:ser>
        <c:ser>
          <c:idx val="89"/>
          <c:order val="168"/>
          <c:tx>
            <c:v>Knotenlast V 9</c:v>
          </c:tx>
          <c:spPr>
            <a:ln w="12700">
              <a:solidFill>
                <a:srgbClr val="808080"/>
              </a:solidFill>
              <a:prstDash val="solid"/>
            </a:ln>
          </c:spPr>
          <c:marker>
            <c:symbol val="none"/>
          </c:marker>
          <c:xVal>
            <c:numRef>
              <c:f>KLasten!$C$12:$G$12</c:f>
              <c:numCache>
                <c:formatCode>General</c:formatCode>
                <c:ptCount val="5"/>
                <c:pt idx="0">
                  <c:v>0</c:v>
                </c:pt>
                <c:pt idx="1">
                  <c:v>0</c:v>
                </c:pt>
                <c:pt idx="2">
                  <c:v>0</c:v>
                </c:pt>
                <c:pt idx="3">
                  <c:v>0</c:v>
                </c:pt>
                <c:pt idx="4">
                  <c:v>0</c:v>
                </c:pt>
              </c:numCache>
            </c:numRef>
          </c:xVal>
          <c:yVal>
            <c:numRef>
              <c:f>KLasten!$H$12:$L$12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8-5592-4E76-8908-496B42FE4A35}"/>
            </c:ext>
          </c:extLst>
        </c:ser>
        <c:ser>
          <c:idx val="90"/>
          <c:order val="169"/>
          <c:tx>
            <c:v>Knotenlast V 10</c:v>
          </c:tx>
          <c:spPr>
            <a:ln w="12700">
              <a:solidFill>
                <a:srgbClr val="808080"/>
              </a:solidFill>
              <a:prstDash val="solid"/>
            </a:ln>
          </c:spPr>
          <c:marker>
            <c:symbol val="none"/>
          </c:marker>
          <c:xVal>
            <c:numRef>
              <c:f>KLasten!$C$13:$G$13</c:f>
              <c:numCache>
                <c:formatCode>General</c:formatCode>
                <c:ptCount val="5"/>
                <c:pt idx="0">
                  <c:v>0</c:v>
                </c:pt>
                <c:pt idx="1">
                  <c:v>0</c:v>
                </c:pt>
                <c:pt idx="2">
                  <c:v>0</c:v>
                </c:pt>
                <c:pt idx="3">
                  <c:v>0</c:v>
                </c:pt>
                <c:pt idx="4">
                  <c:v>0</c:v>
                </c:pt>
              </c:numCache>
            </c:numRef>
          </c:xVal>
          <c:yVal>
            <c:numRef>
              <c:f>KLasten!$H$13:$L$13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9-5592-4E76-8908-496B42FE4A35}"/>
            </c:ext>
          </c:extLst>
        </c:ser>
        <c:ser>
          <c:idx val="91"/>
          <c:order val="170"/>
          <c:tx>
            <c:v>Knotenlast V 11</c:v>
          </c:tx>
          <c:spPr>
            <a:ln w="12700">
              <a:solidFill>
                <a:srgbClr val="808080"/>
              </a:solidFill>
              <a:prstDash val="solid"/>
            </a:ln>
          </c:spPr>
          <c:marker>
            <c:symbol val="none"/>
          </c:marker>
          <c:xVal>
            <c:numRef>
              <c:f>KLasten!$C$14:$G$14</c:f>
              <c:numCache>
                <c:formatCode>General</c:formatCode>
                <c:ptCount val="5"/>
                <c:pt idx="0">
                  <c:v>0</c:v>
                </c:pt>
                <c:pt idx="1">
                  <c:v>0</c:v>
                </c:pt>
                <c:pt idx="2">
                  <c:v>0</c:v>
                </c:pt>
                <c:pt idx="3">
                  <c:v>0</c:v>
                </c:pt>
                <c:pt idx="4">
                  <c:v>0</c:v>
                </c:pt>
              </c:numCache>
            </c:numRef>
          </c:xVal>
          <c:yVal>
            <c:numRef>
              <c:f>KLasten!$H$14:$L$14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A-5592-4E76-8908-496B42FE4A35}"/>
            </c:ext>
          </c:extLst>
        </c:ser>
        <c:ser>
          <c:idx val="92"/>
          <c:order val="171"/>
          <c:tx>
            <c:v>Knotenlast V 12</c:v>
          </c:tx>
          <c:spPr>
            <a:ln w="12700">
              <a:solidFill>
                <a:srgbClr val="808080"/>
              </a:solidFill>
              <a:prstDash val="solid"/>
            </a:ln>
          </c:spPr>
          <c:marker>
            <c:symbol val="none"/>
          </c:marker>
          <c:xVal>
            <c:numRef>
              <c:f>KLasten!$C$15:$G$15</c:f>
              <c:numCache>
                <c:formatCode>General</c:formatCode>
                <c:ptCount val="5"/>
                <c:pt idx="0">
                  <c:v>0</c:v>
                </c:pt>
                <c:pt idx="1">
                  <c:v>0</c:v>
                </c:pt>
                <c:pt idx="2">
                  <c:v>0</c:v>
                </c:pt>
                <c:pt idx="3">
                  <c:v>0</c:v>
                </c:pt>
                <c:pt idx="4">
                  <c:v>0</c:v>
                </c:pt>
              </c:numCache>
            </c:numRef>
          </c:xVal>
          <c:yVal>
            <c:numRef>
              <c:f>KLasten!$H$15:$L$15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B-5592-4E76-8908-496B42FE4A35}"/>
            </c:ext>
          </c:extLst>
        </c:ser>
        <c:ser>
          <c:idx val="93"/>
          <c:order val="172"/>
          <c:tx>
            <c:v>Knotenlast V 13</c:v>
          </c:tx>
          <c:spPr>
            <a:ln w="12700">
              <a:solidFill>
                <a:srgbClr val="808080"/>
              </a:solidFill>
              <a:prstDash val="solid"/>
            </a:ln>
          </c:spPr>
          <c:marker>
            <c:symbol val="none"/>
          </c:marker>
          <c:xVal>
            <c:numRef>
              <c:f>KLasten!$C$16:$G$16</c:f>
              <c:numCache>
                <c:formatCode>General</c:formatCode>
                <c:ptCount val="5"/>
                <c:pt idx="0">
                  <c:v>0</c:v>
                </c:pt>
                <c:pt idx="1">
                  <c:v>0</c:v>
                </c:pt>
                <c:pt idx="2">
                  <c:v>0</c:v>
                </c:pt>
                <c:pt idx="3">
                  <c:v>0</c:v>
                </c:pt>
                <c:pt idx="4">
                  <c:v>0</c:v>
                </c:pt>
              </c:numCache>
            </c:numRef>
          </c:xVal>
          <c:yVal>
            <c:numRef>
              <c:f>KLasten!$H$16:$L$16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C-5592-4E76-8908-496B42FE4A35}"/>
            </c:ext>
          </c:extLst>
        </c:ser>
        <c:ser>
          <c:idx val="94"/>
          <c:order val="173"/>
          <c:tx>
            <c:v>Knotenlast V 14</c:v>
          </c:tx>
          <c:spPr>
            <a:ln w="12700">
              <a:solidFill>
                <a:srgbClr val="808080"/>
              </a:solidFill>
              <a:prstDash val="solid"/>
            </a:ln>
          </c:spPr>
          <c:marker>
            <c:symbol val="none"/>
          </c:marker>
          <c:xVal>
            <c:numRef>
              <c:f>KLasten!$C$17:$G$17</c:f>
              <c:numCache>
                <c:formatCode>General</c:formatCode>
                <c:ptCount val="5"/>
                <c:pt idx="0">
                  <c:v>0</c:v>
                </c:pt>
                <c:pt idx="1">
                  <c:v>0</c:v>
                </c:pt>
                <c:pt idx="2">
                  <c:v>0</c:v>
                </c:pt>
                <c:pt idx="3">
                  <c:v>0</c:v>
                </c:pt>
                <c:pt idx="4">
                  <c:v>0</c:v>
                </c:pt>
              </c:numCache>
            </c:numRef>
          </c:xVal>
          <c:yVal>
            <c:numRef>
              <c:f>KLasten!$H$17:$L$17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D-5592-4E76-8908-496B42FE4A35}"/>
            </c:ext>
          </c:extLst>
        </c:ser>
        <c:ser>
          <c:idx val="95"/>
          <c:order val="174"/>
          <c:tx>
            <c:v>Knotenlast V 15</c:v>
          </c:tx>
          <c:spPr>
            <a:ln w="12700">
              <a:solidFill>
                <a:srgbClr val="808080"/>
              </a:solidFill>
              <a:prstDash val="solid"/>
            </a:ln>
          </c:spPr>
          <c:marker>
            <c:symbol val="none"/>
          </c:marker>
          <c:xVal>
            <c:numRef>
              <c:f>KLasten!$C$18:$G$18</c:f>
              <c:numCache>
                <c:formatCode>General</c:formatCode>
                <c:ptCount val="5"/>
                <c:pt idx="0">
                  <c:v>0</c:v>
                </c:pt>
                <c:pt idx="1">
                  <c:v>0</c:v>
                </c:pt>
                <c:pt idx="2">
                  <c:v>0</c:v>
                </c:pt>
                <c:pt idx="3">
                  <c:v>0</c:v>
                </c:pt>
                <c:pt idx="4">
                  <c:v>0</c:v>
                </c:pt>
              </c:numCache>
            </c:numRef>
          </c:xVal>
          <c:yVal>
            <c:numRef>
              <c:f>KLasten!$H$18:$L$18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E-5592-4E76-8908-496B42FE4A35}"/>
            </c:ext>
          </c:extLst>
        </c:ser>
        <c:ser>
          <c:idx val="96"/>
          <c:order val="175"/>
          <c:tx>
            <c:v>Knotenlast V 16</c:v>
          </c:tx>
          <c:spPr>
            <a:ln w="12700">
              <a:solidFill>
                <a:srgbClr val="808080"/>
              </a:solidFill>
              <a:prstDash val="solid"/>
            </a:ln>
          </c:spPr>
          <c:marker>
            <c:symbol val="none"/>
          </c:marker>
          <c:xVal>
            <c:numRef>
              <c:f>KLasten!$C$19:$G$19</c:f>
              <c:numCache>
                <c:formatCode>General</c:formatCode>
                <c:ptCount val="5"/>
                <c:pt idx="0">
                  <c:v>0</c:v>
                </c:pt>
                <c:pt idx="1">
                  <c:v>0</c:v>
                </c:pt>
                <c:pt idx="2">
                  <c:v>0</c:v>
                </c:pt>
                <c:pt idx="3">
                  <c:v>0</c:v>
                </c:pt>
                <c:pt idx="4">
                  <c:v>0</c:v>
                </c:pt>
              </c:numCache>
            </c:numRef>
          </c:xVal>
          <c:yVal>
            <c:numRef>
              <c:f>KLasten!$H$19:$L$19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F-5592-4E76-8908-496B42FE4A35}"/>
            </c:ext>
          </c:extLst>
        </c:ser>
        <c:ser>
          <c:idx val="97"/>
          <c:order val="176"/>
          <c:tx>
            <c:v>Knotenlast V 17</c:v>
          </c:tx>
          <c:spPr>
            <a:ln w="12700">
              <a:solidFill>
                <a:srgbClr val="808080"/>
              </a:solidFill>
              <a:prstDash val="solid"/>
            </a:ln>
          </c:spPr>
          <c:marker>
            <c:symbol val="none"/>
          </c:marker>
          <c:xVal>
            <c:numRef>
              <c:f>KLasten!$C$20:$G$20</c:f>
              <c:numCache>
                <c:formatCode>General</c:formatCode>
                <c:ptCount val="5"/>
                <c:pt idx="0">
                  <c:v>0</c:v>
                </c:pt>
                <c:pt idx="1">
                  <c:v>0</c:v>
                </c:pt>
                <c:pt idx="2">
                  <c:v>0</c:v>
                </c:pt>
                <c:pt idx="3">
                  <c:v>0</c:v>
                </c:pt>
                <c:pt idx="4">
                  <c:v>0</c:v>
                </c:pt>
              </c:numCache>
            </c:numRef>
          </c:xVal>
          <c:yVal>
            <c:numRef>
              <c:f>KLasten!$H$20:$L$20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0-5592-4E76-8908-496B42FE4A35}"/>
            </c:ext>
          </c:extLst>
        </c:ser>
        <c:ser>
          <c:idx val="98"/>
          <c:order val="177"/>
          <c:tx>
            <c:v>Knotenlast V 18</c:v>
          </c:tx>
          <c:spPr>
            <a:ln w="12700">
              <a:solidFill>
                <a:srgbClr val="808080"/>
              </a:solidFill>
              <a:prstDash val="solid"/>
            </a:ln>
          </c:spPr>
          <c:marker>
            <c:symbol val="none"/>
          </c:marker>
          <c:xVal>
            <c:numRef>
              <c:f>KLasten!$C$21:$G$21</c:f>
              <c:numCache>
                <c:formatCode>General</c:formatCode>
                <c:ptCount val="5"/>
                <c:pt idx="0">
                  <c:v>0</c:v>
                </c:pt>
                <c:pt idx="1">
                  <c:v>0</c:v>
                </c:pt>
                <c:pt idx="2">
                  <c:v>0</c:v>
                </c:pt>
                <c:pt idx="3">
                  <c:v>0</c:v>
                </c:pt>
                <c:pt idx="4">
                  <c:v>0</c:v>
                </c:pt>
              </c:numCache>
            </c:numRef>
          </c:xVal>
          <c:yVal>
            <c:numRef>
              <c:f>KLasten!$H$21:$L$21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1-5592-4E76-8908-496B42FE4A35}"/>
            </c:ext>
          </c:extLst>
        </c:ser>
        <c:ser>
          <c:idx val="99"/>
          <c:order val="178"/>
          <c:tx>
            <c:v>Knotenlast V 19</c:v>
          </c:tx>
          <c:spPr>
            <a:ln w="12700">
              <a:solidFill>
                <a:srgbClr val="808080"/>
              </a:solidFill>
              <a:prstDash val="solid"/>
            </a:ln>
          </c:spPr>
          <c:marker>
            <c:symbol val="none"/>
          </c:marker>
          <c:xVal>
            <c:numRef>
              <c:f>KLasten!$C$22:$G$22</c:f>
              <c:numCache>
                <c:formatCode>General</c:formatCode>
                <c:ptCount val="5"/>
                <c:pt idx="0">
                  <c:v>0</c:v>
                </c:pt>
                <c:pt idx="1">
                  <c:v>0</c:v>
                </c:pt>
                <c:pt idx="2">
                  <c:v>0</c:v>
                </c:pt>
                <c:pt idx="3">
                  <c:v>0</c:v>
                </c:pt>
                <c:pt idx="4">
                  <c:v>0</c:v>
                </c:pt>
              </c:numCache>
            </c:numRef>
          </c:xVal>
          <c:yVal>
            <c:numRef>
              <c:f>KLasten!$H$22:$L$22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2-5592-4E76-8908-496B42FE4A35}"/>
            </c:ext>
          </c:extLst>
        </c:ser>
        <c:ser>
          <c:idx val="100"/>
          <c:order val="179"/>
          <c:tx>
            <c:v>Knotenlast V 20</c:v>
          </c:tx>
          <c:spPr>
            <a:ln w="12700">
              <a:solidFill>
                <a:srgbClr val="808080"/>
              </a:solidFill>
              <a:prstDash val="solid"/>
            </a:ln>
          </c:spPr>
          <c:marker>
            <c:symbol val="none"/>
          </c:marker>
          <c:xVal>
            <c:numRef>
              <c:f>KLasten!$C$23:$G$23</c:f>
              <c:numCache>
                <c:formatCode>General</c:formatCode>
                <c:ptCount val="5"/>
                <c:pt idx="0">
                  <c:v>0</c:v>
                </c:pt>
                <c:pt idx="1">
                  <c:v>0</c:v>
                </c:pt>
                <c:pt idx="2">
                  <c:v>0</c:v>
                </c:pt>
                <c:pt idx="3">
                  <c:v>0</c:v>
                </c:pt>
                <c:pt idx="4">
                  <c:v>0</c:v>
                </c:pt>
              </c:numCache>
            </c:numRef>
          </c:xVal>
          <c:yVal>
            <c:numRef>
              <c:f>KLasten!$H$23:$L$23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3-5592-4E76-8908-496B42FE4A35}"/>
            </c:ext>
          </c:extLst>
        </c:ser>
        <c:ser>
          <c:idx val="101"/>
          <c:order val="180"/>
          <c:tx>
            <c:v>Rotzeigeru1</c:v>
          </c:tx>
          <c:spPr>
            <a:ln>
              <a:solidFill>
                <a:srgbClr val="8064A2">
                  <a:lumMod val="60000"/>
                  <a:lumOff val="40000"/>
                </a:srgbClr>
              </a:solidFill>
              <a:tailEnd type="triangle"/>
            </a:ln>
          </c:spPr>
          <c:marker>
            <c:symbol val="none"/>
          </c:marker>
          <c:xVal>
            <c:numRef>
              <c:f>Symbole!$D$75:$E$75</c:f>
              <c:numCache>
                <c:formatCode>General</c:formatCode>
                <c:ptCount val="2"/>
                <c:pt idx="0">
                  <c:v>20</c:v>
                </c:pt>
                <c:pt idx="1">
                  <c:v>20</c:v>
                </c:pt>
              </c:numCache>
            </c:numRef>
          </c:xVal>
          <c:yVal>
            <c:numRef>
              <c:f>Symbole!$H$75:$I$75</c:f>
              <c:numCache>
                <c:formatCode>General</c:formatCode>
                <c:ptCount val="2"/>
                <c:pt idx="0">
                  <c:v>-40</c:v>
                </c:pt>
                <c:pt idx="1">
                  <c:v>-40</c:v>
                </c:pt>
              </c:numCache>
            </c:numRef>
          </c:yVal>
          <c:smooth val="0"/>
          <c:extLst>
            <c:ext xmlns:c16="http://schemas.microsoft.com/office/drawing/2014/chart" uri="{C3380CC4-5D6E-409C-BE32-E72D297353CC}">
              <c16:uniqueId val="{000000B4-5592-4E76-8908-496B42FE4A35}"/>
            </c:ext>
          </c:extLst>
        </c:ser>
        <c:ser>
          <c:idx val="102"/>
          <c:order val="181"/>
          <c:tx>
            <c:v>Rotzeigeru2</c:v>
          </c:tx>
          <c:spPr>
            <a:ln>
              <a:solidFill>
                <a:srgbClr val="8064A2">
                  <a:lumMod val="60000"/>
                  <a:lumOff val="40000"/>
                </a:srgbClr>
              </a:solidFill>
              <a:tailEnd type="triangle"/>
            </a:ln>
          </c:spPr>
          <c:marker>
            <c:symbol val="none"/>
          </c:marker>
          <c:xVal>
            <c:numRef>
              <c:f>Symbole!$D$76:$E$76</c:f>
              <c:numCache>
                <c:formatCode>General</c:formatCode>
                <c:ptCount val="2"/>
                <c:pt idx="0">
                  <c:v>100</c:v>
                </c:pt>
                <c:pt idx="1">
                  <c:v>100</c:v>
                </c:pt>
              </c:numCache>
            </c:numRef>
          </c:xVal>
          <c:yVal>
            <c:numRef>
              <c:f>Symbole!$H$76:$I$76</c:f>
              <c:numCache>
                <c:formatCode>General</c:formatCode>
                <c:ptCount val="2"/>
                <c:pt idx="0">
                  <c:v>20</c:v>
                </c:pt>
                <c:pt idx="1">
                  <c:v>20</c:v>
                </c:pt>
              </c:numCache>
            </c:numRef>
          </c:yVal>
          <c:smooth val="0"/>
          <c:extLst>
            <c:ext xmlns:c16="http://schemas.microsoft.com/office/drawing/2014/chart" uri="{C3380CC4-5D6E-409C-BE32-E72D297353CC}">
              <c16:uniqueId val="{000000B5-5592-4E76-8908-496B42FE4A35}"/>
            </c:ext>
          </c:extLst>
        </c:ser>
        <c:ser>
          <c:idx val="103"/>
          <c:order val="182"/>
          <c:tx>
            <c:v>Rotzeigeru3</c:v>
          </c:tx>
          <c:spPr>
            <a:ln>
              <a:solidFill>
                <a:srgbClr val="8064A2">
                  <a:lumMod val="60000"/>
                  <a:lumOff val="40000"/>
                </a:srgbClr>
              </a:solidFill>
              <a:tailEnd type="triangle"/>
            </a:ln>
          </c:spPr>
          <c:marker>
            <c:symbol val="none"/>
          </c:marker>
          <c:xVal>
            <c:numRef>
              <c:f>Symbole!$D$77:$E$77</c:f>
              <c:numCache>
                <c:formatCode>General</c:formatCode>
                <c:ptCount val="2"/>
                <c:pt idx="0">
                  <c:v>20</c:v>
                </c:pt>
                <c:pt idx="1">
                  <c:v>20</c:v>
                </c:pt>
              </c:numCache>
            </c:numRef>
          </c:xVal>
          <c:yVal>
            <c:numRef>
              <c:f>Symbole!$H$77:$I$77</c:f>
              <c:numCache>
                <c:formatCode>General</c:formatCode>
                <c:ptCount val="2"/>
                <c:pt idx="0">
                  <c:v>20</c:v>
                </c:pt>
                <c:pt idx="1">
                  <c:v>20</c:v>
                </c:pt>
              </c:numCache>
            </c:numRef>
          </c:yVal>
          <c:smooth val="0"/>
          <c:extLst>
            <c:ext xmlns:c16="http://schemas.microsoft.com/office/drawing/2014/chart" uri="{C3380CC4-5D6E-409C-BE32-E72D297353CC}">
              <c16:uniqueId val="{000000B6-5592-4E76-8908-496B42FE4A35}"/>
            </c:ext>
          </c:extLst>
        </c:ser>
        <c:ser>
          <c:idx val="104"/>
          <c:order val="183"/>
          <c:tx>
            <c:v>Rotzeigeru4</c:v>
          </c:tx>
          <c:spPr>
            <a:ln>
              <a:solidFill>
                <a:srgbClr val="8064A2">
                  <a:lumMod val="60000"/>
                  <a:lumOff val="40000"/>
                </a:srgbClr>
              </a:solidFill>
              <a:tailEnd type="triangle"/>
            </a:ln>
          </c:spPr>
          <c:marker>
            <c:symbol val="none"/>
          </c:marker>
          <c:xVal>
            <c:numRef>
              <c:f>Symbole!$D$78:$E$78</c:f>
              <c:numCache>
                <c:formatCode>General</c:formatCode>
                <c:ptCount val="2"/>
                <c:pt idx="0">
                  <c:v>60</c:v>
                </c:pt>
                <c:pt idx="1">
                  <c:v>60</c:v>
                </c:pt>
              </c:numCache>
            </c:numRef>
          </c:xVal>
          <c:yVal>
            <c:numRef>
              <c:f>Symbole!$H$78:$I$78</c:f>
              <c:numCache>
                <c:formatCode>General</c:formatCode>
                <c:ptCount val="2"/>
                <c:pt idx="0">
                  <c:v>-100</c:v>
                </c:pt>
                <c:pt idx="1">
                  <c:v>-100</c:v>
                </c:pt>
              </c:numCache>
            </c:numRef>
          </c:yVal>
          <c:smooth val="0"/>
          <c:extLst>
            <c:ext xmlns:c16="http://schemas.microsoft.com/office/drawing/2014/chart" uri="{C3380CC4-5D6E-409C-BE32-E72D297353CC}">
              <c16:uniqueId val="{000000B7-5592-4E76-8908-496B42FE4A35}"/>
            </c:ext>
          </c:extLst>
        </c:ser>
        <c:ser>
          <c:idx val="105"/>
          <c:order val="184"/>
          <c:tx>
            <c:v>Rotzeigeru5</c:v>
          </c:tx>
          <c:spPr>
            <a:ln>
              <a:solidFill>
                <a:srgbClr val="8064A2">
                  <a:lumMod val="60000"/>
                  <a:lumOff val="40000"/>
                </a:srgbClr>
              </a:solidFill>
              <a:tailEnd type="triangle"/>
            </a:ln>
          </c:spPr>
          <c:marker>
            <c:symbol val="none"/>
          </c:marker>
          <c:xVal>
            <c:numRef>
              <c:f>Symbole!$D$79:$E$79</c:f>
              <c:numCache>
                <c:formatCode>General</c:formatCode>
                <c:ptCount val="2"/>
                <c:pt idx="0">
                  <c:v>-50</c:v>
                </c:pt>
                <c:pt idx="1">
                  <c:v>-50</c:v>
                </c:pt>
              </c:numCache>
            </c:numRef>
          </c:xVal>
          <c:yVal>
            <c:numRef>
              <c:f>Symbole!$H$79:$I$79</c:f>
              <c:numCache>
                <c:formatCode>General</c:formatCode>
                <c:ptCount val="2"/>
                <c:pt idx="0">
                  <c:v>-70</c:v>
                </c:pt>
                <c:pt idx="1">
                  <c:v>-70</c:v>
                </c:pt>
              </c:numCache>
            </c:numRef>
          </c:yVal>
          <c:smooth val="0"/>
          <c:extLst>
            <c:ext xmlns:c16="http://schemas.microsoft.com/office/drawing/2014/chart" uri="{C3380CC4-5D6E-409C-BE32-E72D297353CC}">
              <c16:uniqueId val="{000000B8-5592-4E76-8908-496B42FE4A35}"/>
            </c:ext>
          </c:extLst>
        </c:ser>
        <c:ser>
          <c:idx val="106"/>
          <c:order val="185"/>
          <c:tx>
            <c:v>Rotzeigeru6</c:v>
          </c:tx>
          <c:spPr>
            <a:ln>
              <a:solidFill>
                <a:srgbClr val="8064A2">
                  <a:lumMod val="60000"/>
                  <a:lumOff val="40000"/>
                </a:srgbClr>
              </a:solidFill>
              <a:tailEnd type="triangle"/>
            </a:ln>
          </c:spPr>
          <c:marker>
            <c:symbol val="none"/>
          </c:marker>
          <c:xVal>
            <c:numRef>
              <c:f>Symbole!$D$80:$E$80</c:f>
              <c:numCache>
                <c:formatCode>General</c:formatCode>
                <c:ptCount val="2"/>
                <c:pt idx="0">
                  <c:v>-100</c:v>
                </c:pt>
                <c:pt idx="1">
                  <c:v>-100</c:v>
                </c:pt>
              </c:numCache>
            </c:numRef>
          </c:xVal>
          <c:yVal>
            <c:numRef>
              <c:f>Symbole!$H$80:$I$80</c:f>
              <c:numCache>
                <c:formatCode>General</c:formatCode>
                <c:ptCount val="2"/>
                <c:pt idx="0">
                  <c:v>100</c:v>
                </c:pt>
                <c:pt idx="1">
                  <c:v>100</c:v>
                </c:pt>
              </c:numCache>
            </c:numRef>
          </c:yVal>
          <c:smooth val="0"/>
          <c:extLst>
            <c:ext xmlns:c16="http://schemas.microsoft.com/office/drawing/2014/chart" uri="{C3380CC4-5D6E-409C-BE32-E72D297353CC}">
              <c16:uniqueId val="{000000B9-5592-4E76-8908-496B42FE4A35}"/>
            </c:ext>
          </c:extLst>
        </c:ser>
        <c:ser>
          <c:idx val="107"/>
          <c:order val="186"/>
          <c:tx>
            <c:v>Rotzeigeru7</c:v>
          </c:tx>
          <c:spPr>
            <a:ln>
              <a:solidFill>
                <a:srgbClr val="8064A2">
                  <a:lumMod val="60000"/>
                  <a:lumOff val="40000"/>
                </a:srgbClr>
              </a:solidFill>
              <a:tailEnd type="triangle"/>
            </a:ln>
          </c:spPr>
          <c:marker>
            <c:symbol val="none"/>
          </c:marker>
          <c:xVal>
            <c:numRef>
              <c:f>Symbole!$D$81:$E$81</c:f>
              <c:numCache>
                <c:formatCode>General</c:formatCode>
                <c:ptCount val="2"/>
                <c:pt idx="0">
                  <c:v>0</c:v>
                </c:pt>
                <c:pt idx="1">
                  <c:v>0</c:v>
                </c:pt>
              </c:numCache>
            </c:numRef>
          </c:xVal>
          <c:yVal>
            <c:numRef>
              <c:f>Symbole!$H$81:$I$81</c:f>
              <c:numCache>
                <c:formatCode>General</c:formatCode>
                <c:ptCount val="2"/>
                <c:pt idx="0">
                  <c:v>0</c:v>
                </c:pt>
                <c:pt idx="1">
                  <c:v>0</c:v>
                </c:pt>
              </c:numCache>
            </c:numRef>
          </c:yVal>
          <c:smooth val="0"/>
          <c:extLst>
            <c:ext xmlns:c16="http://schemas.microsoft.com/office/drawing/2014/chart" uri="{C3380CC4-5D6E-409C-BE32-E72D297353CC}">
              <c16:uniqueId val="{000000BA-5592-4E76-8908-496B42FE4A35}"/>
            </c:ext>
          </c:extLst>
        </c:ser>
        <c:ser>
          <c:idx val="108"/>
          <c:order val="187"/>
          <c:tx>
            <c:v>Rotzeigeru8</c:v>
          </c:tx>
          <c:spPr>
            <a:ln>
              <a:solidFill>
                <a:srgbClr val="8064A2">
                  <a:lumMod val="60000"/>
                  <a:lumOff val="40000"/>
                </a:srgbClr>
              </a:solidFill>
              <a:tailEnd type="triangle"/>
            </a:ln>
          </c:spPr>
          <c:marker>
            <c:symbol val="none"/>
          </c:marker>
          <c:xVal>
            <c:numRef>
              <c:f>Symbole!$D$82:$E$82</c:f>
              <c:numCache>
                <c:formatCode>General</c:formatCode>
                <c:ptCount val="2"/>
                <c:pt idx="0">
                  <c:v>0</c:v>
                </c:pt>
                <c:pt idx="1">
                  <c:v>0</c:v>
                </c:pt>
              </c:numCache>
            </c:numRef>
          </c:xVal>
          <c:yVal>
            <c:numRef>
              <c:f>Symbole!$H$82:$I$82</c:f>
              <c:numCache>
                <c:formatCode>General</c:formatCode>
                <c:ptCount val="2"/>
                <c:pt idx="0">
                  <c:v>0</c:v>
                </c:pt>
                <c:pt idx="1">
                  <c:v>0</c:v>
                </c:pt>
              </c:numCache>
            </c:numRef>
          </c:yVal>
          <c:smooth val="0"/>
          <c:extLst>
            <c:ext xmlns:c16="http://schemas.microsoft.com/office/drawing/2014/chart" uri="{C3380CC4-5D6E-409C-BE32-E72D297353CC}">
              <c16:uniqueId val="{000000BB-5592-4E76-8908-496B42FE4A35}"/>
            </c:ext>
          </c:extLst>
        </c:ser>
        <c:ser>
          <c:idx val="109"/>
          <c:order val="188"/>
          <c:tx>
            <c:v>Rotzeigeru9</c:v>
          </c:tx>
          <c:spPr>
            <a:ln>
              <a:solidFill>
                <a:srgbClr val="8064A2">
                  <a:lumMod val="60000"/>
                  <a:lumOff val="40000"/>
                </a:srgbClr>
              </a:solidFill>
              <a:tailEnd type="triangle"/>
            </a:ln>
          </c:spPr>
          <c:marker>
            <c:symbol val="none"/>
          </c:marker>
          <c:xVal>
            <c:numRef>
              <c:f>Symbole!$D$83:$E$83</c:f>
              <c:numCache>
                <c:formatCode>General</c:formatCode>
                <c:ptCount val="2"/>
                <c:pt idx="0">
                  <c:v>0</c:v>
                </c:pt>
                <c:pt idx="1">
                  <c:v>0</c:v>
                </c:pt>
              </c:numCache>
            </c:numRef>
          </c:xVal>
          <c:yVal>
            <c:numRef>
              <c:f>Symbole!$H$83:$I$83</c:f>
              <c:numCache>
                <c:formatCode>General</c:formatCode>
                <c:ptCount val="2"/>
                <c:pt idx="0">
                  <c:v>0</c:v>
                </c:pt>
                <c:pt idx="1">
                  <c:v>0</c:v>
                </c:pt>
              </c:numCache>
            </c:numRef>
          </c:yVal>
          <c:smooth val="0"/>
          <c:extLst>
            <c:ext xmlns:c16="http://schemas.microsoft.com/office/drawing/2014/chart" uri="{C3380CC4-5D6E-409C-BE32-E72D297353CC}">
              <c16:uniqueId val="{000000BC-5592-4E76-8908-496B42FE4A35}"/>
            </c:ext>
          </c:extLst>
        </c:ser>
        <c:ser>
          <c:idx val="110"/>
          <c:order val="189"/>
          <c:tx>
            <c:v>Rotzeigeru10</c:v>
          </c:tx>
          <c:spPr>
            <a:ln>
              <a:solidFill>
                <a:srgbClr val="8064A2">
                  <a:lumMod val="60000"/>
                  <a:lumOff val="40000"/>
                </a:srgbClr>
              </a:solidFill>
              <a:tailEnd type="triangle"/>
            </a:ln>
          </c:spPr>
          <c:marker>
            <c:symbol val="none"/>
          </c:marker>
          <c:xVal>
            <c:numRef>
              <c:f>Symbole!$D$84:$E$84</c:f>
              <c:numCache>
                <c:formatCode>General</c:formatCode>
                <c:ptCount val="2"/>
                <c:pt idx="0">
                  <c:v>0</c:v>
                </c:pt>
                <c:pt idx="1">
                  <c:v>0</c:v>
                </c:pt>
              </c:numCache>
            </c:numRef>
          </c:xVal>
          <c:yVal>
            <c:numRef>
              <c:f>Symbole!$H$84:$I$84</c:f>
              <c:numCache>
                <c:formatCode>General</c:formatCode>
                <c:ptCount val="2"/>
                <c:pt idx="0">
                  <c:v>0</c:v>
                </c:pt>
                <c:pt idx="1">
                  <c:v>0</c:v>
                </c:pt>
              </c:numCache>
            </c:numRef>
          </c:yVal>
          <c:smooth val="0"/>
          <c:extLst>
            <c:ext xmlns:c16="http://schemas.microsoft.com/office/drawing/2014/chart" uri="{C3380CC4-5D6E-409C-BE32-E72D297353CC}">
              <c16:uniqueId val="{000000BD-5592-4E76-8908-496B42FE4A35}"/>
            </c:ext>
          </c:extLst>
        </c:ser>
        <c:ser>
          <c:idx val="111"/>
          <c:order val="190"/>
          <c:tx>
            <c:v>Rotzeigeru11</c:v>
          </c:tx>
          <c:spPr>
            <a:ln>
              <a:solidFill>
                <a:schemeClr val="accent4">
                  <a:lumMod val="60000"/>
                  <a:lumOff val="40000"/>
                </a:schemeClr>
              </a:solidFill>
              <a:tailEnd type="triangle"/>
            </a:ln>
          </c:spPr>
          <c:marker>
            <c:symbol val="none"/>
          </c:marker>
          <c:xVal>
            <c:numRef>
              <c:f>Symbole!$D$85:$E$85</c:f>
              <c:numCache>
                <c:formatCode>General</c:formatCode>
                <c:ptCount val="2"/>
                <c:pt idx="0">
                  <c:v>0</c:v>
                </c:pt>
                <c:pt idx="1">
                  <c:v>0</c:v>
                </c:pt>
              </c:numCache>
            </c:numRef>
          </c:xVal>
          <c:yVal>
            <c:numRef>
              <c:f>Symbole!$H$85:$I$85</c:f>
              <c:numCache>
                <c:formatCode>General</c:formatCode>
                <c:ptCount val="2"/>
                <c:pt idx="0">
                  <c:v>0</c:v>
                </c:pt>
                <c:pt idx="1">
                  <c:v>0</c:v>
                </c:pt>
              </c:numCache>
            </c:numRef>
          </c:yVal>
          <c:smooth val="0"/>
          <c:extLst>
            <c:ext xmlns:c16="http://schemas.microsoft.com/office/drawing/2014/chart" uri="{C3380CC4-5D6E-409C-BE32-E72D297353CC}">
              <c16:uniqueId val="{000000BE-5592-4E76-8908-496B42FE4A35}"/>
            </c:ext>
          </c:extLst>
        </c:ser>
        <c:ser>
          <c:idx val="112"/>
          <c:order val="191"/>
          <c:tx>
            <c:v>Rotzeigeru12</c:v>
          </c:tx>
          <c:spPr>
            <a:ln>
              <a:solidFill>
                <a:srgbClr val="8064A2">
                  <a:lumMod val="60000"/>
                  <a:lumOff val="40000"/>
                </a:srgbClr>
              </a:solidFill>
              <a:tailEnd type="triangle"/>
            </a:ln>
          </c:spPr>
          <c:marker>
            <c:symbol val="none"/>
          </c:marker>
          <c:xVal>
            <c:numRef>
              <c:f>Symbole!$D$86:$E$86</c:f>
              <c:numCache>
                <c:formatCode>General</c:formatCode>
                <c:ptCount val="2"/>
                <c:pt idx="0">
                  <c:v>0</c:v>
                </c:pt>
                <c:pt idx="1">
                  <c:v>0</c:v>
                </c:pt>
              </c:numCache>
            </c:numRef>
          </c:xVal>
          <c:yVal>
            <c:numRef>
              <c:f>Symbole!$H$86:$I$86</c:f>
              <c:numCache>
                <c:formatCode>General</c:formatCode>
                <c:ptCount val="2"/>
                <c:pt idx="0">
                  <c:v>0</c:v>
                </c:pt>
                <c:pt idx="1">
                  <c:v>0</c:v>
                </c:pt>
              </c:numCache>
            </c:numRef>
          </c:yVal>
          <c:smooth val="0"/>
          <c:extLst>
            <c:ext xmlns:c16="http://schemas.microsoft.com/office/drawing/2014/chart" uri="{C3380CC4-5D6E-409C-BE32-E72D297353CC}">
              <c16:uniqueId val="{000000BF-5592-4E76-8908-496B42FE4A35}"/>
            </c:ext>
          </c:extLst>
        </c:ser>
        <c:ser>
          <c:idx val="113"/>
          <c:order val="192"/>
          <c:tx>
            <c:v>Rotzeigeru13</c:v>
          </c:tx>
          <c:spPr>
            <a:ln>
              <a:solidFill>
                <a:srgbClr val="8064A2">
                  <a:lumMod val="60000"/>
                  <a:lumOff val="40000"/>
                </a:srgbClr>
              </a:solidFill>
              <a:tailEnd type="triangle"/>
            </a:ln>
          </c:spPr>
          <c:marker>
            <c:symbol val="none"/>
          </c:marker>
          <c:xVal>
            <c:numRef>
              <c:f>Symbole!$D$87:$E$87</c:f>
              <c:numCache>
                <c:formatCode>General</c:formatCode>
                <c:ptCount val="2"/>
                <c:pt idx="0">
                  <c:v>0</c:v>
                </c:pt>
                <c:pt idx="1">
                  <c:v>0</c:v>
                </c:pt>
              </c:numCache>
            </c:numRef>
          </c:xVal>
          <c:yVal>
            <c:numRef>
              <c:f>Symbole!$H$87:$I$87</c:f>
              <c:numCache>
                <c:formatCode>General</c:formatCode>
                <c:ptCount val="2"/>
                <c:pt idx="0">
                  <c:v>0</c:v>
                </c:pt>
                <c:pt idx="1">
                  <c:v>0</c:v>
                </c:pt>
              </c:numCache>
            </c:numRef>
          </c:yVal>
          <c:smooth val="0"/>
          <c:extLst>
            <c:ext xmlns:c16="http://schemas.microsoft.com/office/drawing/2014/chart" uri="{C3380CC4-5D6E-409C-BE32-E72D297353CC}">
              <c16:uniqueId val="{000000C0-5592-4E76-8908-496B42FE4A35}"/>
            </c:ext>
          </c:extLst>
        </c:ser>
        <c:ser>
          <c:idx val="114"/>
          <c:order val="193"/>
          <c:tx>
            <c:v>Rotzeigeru14</c:v>
          </c:tx>
          <c:spPr>
            <a:ln>
              <a:solidFill>
                <a:srgbClr val="8064A2">
                  <a:lumMod val="60000"/>
                  <a:lumOff val="40000"/>
                </a:srgbClr>
              </a:solidFill>
              <a:tailEnd type="triangle"/>
            </a:ln>
          </c:spPr>
          <c:marker>
            <c:symbol val="none"/>
          </c:marker>
          <c:xVal>
            <c:numRef>
              <c:f>Symbole!$D$88:$E$88</c:f>
              <c:numCache>
                <c:formatCode>General</c:formatCode>
                <c:ptCount val="2"/>
                <c:pt idx="0">
                  <c:v>0</c:v>
                </c:pt>
                <c:pt idx="1">
                  <c:v>0</c:v>
                </c:pt>
              </c:numCache>
            </c:numRef>
          </c:xVal>
          <c:yVal>
            <c:numRef>
              <c:f>Symbole!$H$88:$I$88</c:f>
              <c:numCache>
                <c:formatCode>General</c:formatCode>
                <c:ptCount val="2"/>
                <c:pt idx="0">
                  <c:v>0</c:v>
                </c:pt>
                <c:pt idx="1">
                  <c:v>0</c:v>
                </c:pt>
              </c:numCache>
            </c:numRef>
          </c:yVal>
          <c:smooth val="0"/>
          <c:extLst>
            <c:ext xmlns:c16="http://schemas.microsoft.com/office/drawing/2014/chart" uri="{C3380CC4-5D6E-409C-BE32-E72D297353CC}">
              <c16:uniqueId val="{000000C1-5592-4E76-8908-496B42FE4A35}"/>
            </c:ext>
          </c:extLst>
        </c:ser>
        <c:ser>
          <c:idx val="115"/>
          <c:order val="194"/>
          <c:tx>
            <c:v>Rotzeigeru15</c:v>
          </c:tx>
          <c:spPr>
            <a:ln>
              <a:solidFill>
                <a:srgbClr val="8064A2">
                  <a:lumMod val="60000"/>
                  <a:lumOff val="40000"/>
                </a:srgbClr>
              </a:solidFill>
              <a:tailEnd type="triangle"/>
            </a:ln>
          </c:spPr>
          <c:marker>
            <c:symbol val="none"/>
          </c:marker>
          <c:xVal>
            <c:numRef>
              <c:f>Symbole!$D$89:$E$89</c:f>
              <c:numCache>
                <c:formatCode>General</c:formatCode>
                <c:ptCount val="2"/>
                <c:pt idx="0">
                  <c:v>0</c:v>
                </c:pt>
                <c:pt idx="1">
                  <c:v>0</c:v>
                </c:pt>
              </c:numCache>
            </c:numRef>
          </c:xVal>
          <c:yVal>
            <c:numRef>
              <c:f>Symbole!$H$89:$I$89</c:f>
              <c:numCache>
                <c:formatCode>General</c:formatCode>
                <c:ptCount val="2"/>
                <c:pt idx="0">
                  <c:v>0</c:v>
                </c:pt>
                <c:pt idx="1">
                  <c:v>0</c:v>
                </c:pt>
              </c:numCache>
            </c:numRef>
          </c:yVal>
          <c:smooth val="0"/>
          <c:extLst>
            <c:ext xmlns:c16="http://schemas.microsoft.com/office/drawing/2014/chart" uri="{C3380CC4-5D6E-409C-BE32-E72D297353CC}">
              <c16:uniqueId val="{000000C2-5592-4E76-8908-496B42FE4A35}"/>
            </c:ext>
          </c:extLst>
        </c:ser>
        <c:ser>
          <c:idx val="116"/>
          <c:order val="195"/>
          <c:tx>
            <c:v>Rotzeigeru16</c:v>
          </c:tx>
          <c:spPr>
            <a:ln>
              <a:solidFill>
                <a:srgbClr val="8064A2">
                  <a:lumMod val="60000"/>
                  <a:lumOff val="40000"/>
                </a:srgbClr>
              </a:solidFill>
              <a:tailEnd type="triangle"/>
            </a:ln>
          </c:spPr>
          <c:marker>
            <c:symbol val="none"/>
          </c:marker>
          <c:xVal>
            <c:numRef>
              <c:f>Symbole!$D$90:$E$90</c:f>
              <c:numCache>
                <c:formatCode>General</c:formatCode>
                <c:ptCount val="2"/>
                <c:pt idx="0">
                  <c:v>0</c:v>
                </c:pt>
                <c:pt idx="1">
                  <c:v>0</c:v>
                </c:pt>
              </c:numCache>
            </c:numRef>
          </c:xVal>
          <c:yVal>
            <c:numRef>
              <c:f>Symbole!$H$90:$I$90</c:f>
              <c:numCache>
                <c:formatCode>General</c:formatCode>
                <c:ptCount val="2"/>
                <c:pt idx="0">
                  <c:v>0</c:v>
                </c:pt>
                <c:pt idx="1">
                  <c:v>0</c:v>
                </c:pt>
              </c:numCache>
            </c:numRef>
          </c:yVal>
          <c:smooth val="0"/>
          <c:extLst>
            <c:ext xmlns:c16="http://schemas.microsoft.com/office/drawing/2014/chart" uri="{C3380CC4-5D6E-409C-BE32-E72D297353CC}">
              <c16:uniqueId val="{000000C3-5592-4E76-8908-496B42FE4A35}"/>
            </c:ext>
          </c:extLst>
        </c:ser>
        <c:ser>
          <c:idx val="117"/>
          <c:order val="196"/>
          <c:tx>
            <c:v>Rotzeigeru17</c:v>
          </c:tx>
          <c:spPr>
            <a:ln>
              <a:solidFill>
                <a:srgbClr val="8064A2">
                  <a:lumMod val="60000"/>
                  <a:lumOff val="40000"/>
                </a:srgbClr>
              </a:solidFill>
              <a:tailEnd type="triangle"/>
            </a:ln>
          </c:spPr>
          <c:marker>
            <c:symbol val="none"/>
          </c:marker>
          <c:xVal>
            <c:numRef>
              <c:f>Symbole!$D$91:$E$91</c:f>
              <c:numCache>
                <c:formatCode>General</c:formatCode>
                <c:ptCount val="2"/>
                <c:pt idx="0">
                  <c:v>0</c:v>
                </c:pt>
                <c:pt idx="1">
                  <c:v>0</c:v>
                </c:pt>
              </c:numCache>
            </c:numRef>
          </c:xVal>
          <c:yVal>
            <c:numRef>
              <c:f>Symbole!$H$91:$I$91</c:f>
              <c:numCache>
                <c:formatCode>General</c:formatCode>
                <c:ptCount val="2"/>
                <c:pt idx="0">
                  <c:v>0</c:v>
                </c:pt>
                <c:pt idx="1">
                  <c:v>0</c:v>
                </c:pt>
              </c:numCache>
            </c:numRef>
          </c:yVal>
          <c:smooth val="0"/>
          <c:extLst>
            <c:ext xmlns:c16="http://schemas.microsoft.com/office/drawing/2014/chart" uri="{C3380CC4-5D6E-409C-BE32-E72D297353CC}">
              <c16:uniqueId val="{000000C4-5592-4E76-8908-496B42FE4A35}"/>
            </c:ext>
          </c:extLst>
        </c:ser>
        <c:ser>
          <c:idx val="118"/>
          <c:order val="197"/>
          <c:tx>
            <c:v>Rotzeigeru18</c:v>
          </c:tx>
          <c:spPr>
            <a:ln>
              <a:solidFill>
                <a:srgbClr val="8064A2">
                  <a:lumMod val="60000"/>
                  <a:lumOff val="40000"/>
                </a:srgbClr>
              </a:solidFill>
              <a:tailEnd type="triangle"/>
            </a:ln>
          </c:spPr>
          <c:marker>
            <c:symbol val="none"/>
          </c:marker>
          <c:xVal>
            <c:numRef>
              <c:f>Symbole!$D$92:$E$92</c:f>
              <c:numCache>
                <c:formatCode>General</c:formatCode>
                <c:ptCount val="2"/>
                <c:pt idx="0">
                  <c:v>0</c:v>
                </c:pt>
                <c:pt idx="1">
                  <c:v>0</c:v>
                </c:pt>
              </c:numCache>
            </c:numRef>
          </c:xVal>
          <c:yVal>
            <c:numRef>
              <c:f>Symbole!$H$92:$I$92</c:f>
              <c:numCache>
                <c:formatCode>General</c:formatCode>
                <c:ptCount val="2"/>
                <c:pt idx="0">
                  <c:v>0</c:v>
                </c:pt>
                <c:pt idx="1">
                  <c:v>0</c:v>
                </c:pt>
              </c:numCache>
            </c:numRef>
          </c:yVal>
          <c:smooth val="0"/>
          <c:extLst>
            <c:ext xmlns:c16="http://schemas.microsoft.com/office/drawing/2014/chart" uri="{C3380CC4-5D6E-409C-BE32-E72D297353CC}">
              <c16:uniqueId val="{000000C5-5592-4E76-8908-496B42FE4A35}"/>
            </c:ext>
          </c:extLst>
        </c:ser>
        <c:ser>
          <c:idx val="119"/>
          <c:order val="198"/>
          <c:tx>
            <c:v>Rotzeigeru19</c:v>
          </c:tx>
          <c:spPr>
            <a:ln>
              <a:solidFill>
                <a:srgbClr val="8064A2">
                  <a:lumMod val="60000"/>
                  <a:lumOff val="40000"/>
                </a:srgbClr>
              </a:solidFill>
              <a:tailEnd type="triangle"/>
            </a:ln>
          </c:spPr>
          <c:marker>
            <c:symbol val="none"/>
          </c:marker>
          <c:xVal>
            <c:numRef>
              <c:f>Symbole!$D$93:$E$93</c:f>
              <c:numCache>
                <c:formatCode>General</c:formatCode>
                <c:ptCount val="2"/>
                <c:pt idx="0">
                  <c:v>0</c:v>
                </c:pt>
                <c:pt idx="1">
                  <c:v>0</c:v>
                </c:pt>
              </c:numCache>
            </c:numRef>
          </c:xVal>
          <c:yVal>
            <c:numRef>
              <c:f>Symbole!$H$93:$I$93</c:f>
              <c:numCache>
                <c:formatCode>General</c:formatCode>
                <c:ptCount val="2"/>
                <c:pt idx="0">
                  <c:v>0</c:v>
                </c:pt>
                <c:pt idx="1">
                  <c:v>0</c:v>
                </c:pt>
              </c:numCache>
            </c:numRef>
          </c:yVal>
          <c:smooth val="0"/>
          <c:extLst>
            <c:ext xmlns:c16="http://schemas.microsoft.com/office/drawing/2014/chart" uri="{C3380CC4-5D6E-409C-BE32-E72D297353CC}">
              <c16:uniqueId val="{000000C6-5592-4E76-8908-496B42FE4A35}"/>
            </c:ext>
          </c:extLst>
        </c:ser>
        <c:ser>
          <c:idx val="120"/>
          <c:order val="199"/>
          <c:tx>
            <c:v>Rotzeigeru20</c:v>
          </c:tx>
          <c:spPr>
            <a:ln>
              <a:solidFill>
                <a:srgbClr val="8064A2">
                  <a:lumMod val="60000"/>
                  <a:lumOff val="40000"/>
                </a:srgbClr>
              </a:solidFill>
              <a:tailEnd type="triangle"/>
            </a:ln>
          </c:spPr>
          <c:marker>
            <c:symbol val="none"/>
          </c:marker>
          <c:xVal>
            <c:numRef>
              <c:f>Symbole!$D$94:$E$94</c:f>
              <c:numCache>
                <c:formatCode>General</c:formatCode>
                <c:ptCount val="2"/>
                <c:pt idx="0">
                  <c:v>0</c:v>
                </c:pt>
                <c:pt idx="1">
                  <c:v>0</c:v>
                </c:pt>
              </c:numCache>
            </c:numRef>
          </c:xVal>
          <c:yVal>
            <c:numRef>
              <c:f>Symbole!$H$94:$I$94</c:f>
              <c:numCache>
                <c:formatCode>General</c:formatCode>
                <c:ptCount val="2"/>
                <c:pt idx="0">
                  <c:v>0</c:v>
                </c:pt>
                <c:pt idx="1">
                  <c:v>0</c:v>
                </c:pt>
              </c:numCache>
            </c:numRef>
          </c:yVal>
          <c:smooth val="0"/>
          <c:extLst>
            <c:ext xmlns:c16="http://schemas.microsoft.com/office/drawing/2014/chart" uri="{C3380CC4-5D6E-409C-BE32-E72D297353CC}">
              <c16:uniqueId val="{000000C7-5592-4E76-8908-496B42FE4A35}"/>
            </c:ext>
          </c:extLst>
        </c:ser>
        <c:ser>
          <c:idx val="201"/>
          <c:order val="200"/>
          <c:tx>
            <c:v>Rotzeigerw1</c:v>
          </c:tx>
          <c:spPr>
            <a:ln w="28575">
              <a:solidFill>
                <a:schemeClr val="accent4">
                  <a:lumMod val="60000"/>
                  <a:lumOff val="40000"/>
                </a:schemeClr>
              </a:solidFill>
              <a:tailEnd type="triangle"/>
            </a:ln>
          </c:spPr>
          <c:marker>
            <c:symbol val="none"/>
          </c:marker>
          <c:xVal>
            <c:numRef>
              <c:f>Symbole!$F$75:$G$75</c:f>
              <c:numCache>
                <c:formatCode>General</c:formatCode>
                <c:ptCount val="2"/>
                <c:pt idx="0">
                  <c:v>20</c:v>
                </c:pt>
                <c:pt idx="1">
                  <c:v>20</c:v>
                </c:pt>
              </c:numCache>
            </c:numRef>
          </c:xVal>
          <c:yVal>
            <c:numRef>
              <c:f>Symbole!$J$75:$K$75</c:f>
              <c:numCache>
                <c:formatCode>General</c:formatCode>
                <c:ptCount val="2"/>
                <c:pt idx="0">
                  <c:v>-40</c:v>
                </c:pt>
                <c:pt idx="1">
                  <c:v>-40</c:v>
                </c:pt>
              </c:numCache>
            </c:numRef>
          </c:yVal>
          <c:smooth val="0"/>
          <c:extLst>
            <c:ext xmlns:c16="http://schemas.microsoft.com/office/drawing/2014/chart" uri="{C3380CC4-5D6E-409C-BE32-E72D297353CC}">
              <c16:uniqueId val="{000000C8-5592-4E76-8908-496B42FE4A35}"/>
            </c:ext>
          </c:extLst>
        </c:ser>
        <c:ser>
          <c:idx val="202"/>
          <c:order val="201"/>
          <c:tx>
            <c:v>Rotzeigerw2</c:v>
          </c:tx>
          <c:spPr>
            <a:ln>
              <a:solidFill>
                <a:srgbClr val="8064A2">
                  <a:lumMod val="60000"/>
                  <a:lumOff val="40000"/>
                </a:srgbClr>
              </a:solidFill>
              <a:tailEnd type="triangle"/>
            </a:ln>
          </c:spPr>
          <c:marker>
            <c:symbol val="none"/>
          </c:marker>
          <c:xVal>
            <c:numRef>
              <c:f>Symbole!$F$76:$G$76</c:f>
              <c:numCache>
                <c:formatCode>General</c:formatCode>
                <c:ptCount val="2"/>
                <c:pt idx="0">
                  <c:v>100</c:v>
                </c:pt>
                <c:pt idx="1">
                  <c:v>100</c:v>
                </c:pt>
              </c:numCache>
            </c:numRef>
          </c:xVal>
          <c:yVal>
            <c:numRef>
              <c:f>Symbole!$J$76:$K$76</c:f>
              <c:numCache>
                <c:formatCode>General</c:formatCode>
                <c:ptCount val="2"/>
                <c:pt idx="0">
                  <c:v>20</c:v>
                </c:pt>
                <c:pt idx="1">
                  <c:v>20</c:v>
                </c:pt>
              </c:numCache>
            </c:numRef>
          </c:yVal>
          <c:smooth val="0"/>
          <c:extLst>
            <c:ext xmlns:c16="http://schemas.microsoft.com/office/drawing/2014/chart" uri="{C3380CC4-5D6E-409C-BE32-E72D297353CC}">
              <c16:uniqueId val="{000000C9-5592-4E76-8908-496B42FE4A35}"/>
            </c:ext>
          </c:extLst>
        </c:ser>
        <c:ser>
          <c:idx val="203"/>
          <c:order val="202"/>
          <c:tx>
            <c:v>Rotzeigerw3</c:v>
          </c:tx>
          <c:spPr>
            <a:ln>
              <a:solidFill>
                <a:srgbClr val="8064A2">
                  <a:lumMod val="60000"/>
                  <a:lumOff val="40000"/>
                </a:srgbClr>
              </a:solidFill>
              <a:tailEnd type="triangle"/>
            </a:ln>
          </c:spPr>
          <c:marker>
            <c:symbol val="none"/>
          </c:marker>
          <c:xVal>
            <c:numRef>
              <c:f>Symbole!$F$77:$G$77</c:f>
              <c:numCache>
                <c:formatCode>General</c:formatCode>
                <c:ptCount val="2"/>
                <c:pt idx="0">
                  <c:v>20</c:v>
                </c:pt>
                <c:pt idx="1">
                  <c:v>20</c:v>
                </c:pt>
              </c:numCache>
            </c:numRef>
          </c:xVal>
          <c:yVal>
            <c:numRef>
              <c:f>Symbole!$J$77:$K$77</c:f>
              <c:numCache>
                <c:formatCode>General</c:formatCode>
                <c:ptCount val="2"/>
                <c:pt idx="0">
                  <c:v>20</c:v>
                </c:pt>
                <c:pt idx="1">
                  <c:v>20</c:v>
                </c:pt>
              </c:numCache>
            </c:numRef>
          </c:yVal>
          <c:smooth val="0"/>
          <c:extLst>
            <c:ext xmlns:c16="http://schemas.microsoft.com/office/drawing/2014/chart" uri="{C3380CC4-5D6E-409C-BE32-E72D297353CC}">
              <c16:uniqueId val="{000000CA-5592-4E76-8908-496B42FE4A35}"/>
            </c:ext>
          </c:extLst>
        </c:ser>
        <c:ser>
          <c:idx val="204"/>
          <c:order val="203"/>
          <c:tx>
            <c:v>Rotzeigerw4</c:v>
          </c:tx>
          <c:spPr>
            <a:ln>
              <a:solidFill>
                <a:srgbClr val="8064A2">
                  <a:lumMod val="60000"/>
                  <a:lumOff val="40000"/>
                </a:srgbClr>
              </a:solidFill>
              <a:tailEnd type="triangle"/>
            </a:ln>
          </c:spPr>
          <c:marker>
            <c:symbol val="none"/>
          </c:marker>
          <c:xVal>
            <c:numRef>
              <c:f>Symbole!$F$78:$G$78</c:f>
              <c:numCache>
                <c:formatCode>General</c:formatCode>
                <c:ptCount val="2"/>
                <c:pt idx="0">
                  <c:v>60</c:v>
                </c:pt>
                <c:pt idx="1">
                  <c:v>60</c:v>
                </c:pt>
              </c:numCache>
            </c:numRef>
          </c:xVal>
          <c:yVal>
            <c:numRef>
              <c:f>Symbole!$J$78:$K$78</c:f>
              <c:numCache>
                <c:formatCode>General</c:formatCode>
                <c:ptCount val="2"/>
                <c:pt idx="0">
                  <c:v>-100</c:v>
                </c:pt>
                <c:pt idx="1">
                  <c:v>-100</c:v>
                </c:pt>
              </c:numCache>
            </c:numRef>
          </c:yVal>
          <c:smooth val="0"/>
          <c:extLst>
            <c:ext xmlns:c16="http://schemas.microsoft.com/office/drawing/2014/chart" uri="{C3380CC4-5D6E-409C-BE32-E72D297353CC}">
              <c16:uniqueId val="{000000CB-5592-4E76-8908-496B42FE4A35}"/>
            </c:ext>
          </c:extLst>
        </c:ser>
        <c:ser>
          <c:idx val="205"/>
          <c:order val="204"/>
          <c:tx>
            <c:v>Rotzeigerw5</c:v>
          </c:tx>
          <c:spPr>
            <a:ln>
              <a:solidFill>
                <a:schemeClr val="accent4">
                  <a:lumMod val="60000"/>
                  <a:lumOff val="40000"/>
                </a:schemeClr>
              </a:solidFill>
              <a:tailEnd type="triangle"/>
            </a:ln>
          </c:spPr>
          <c:marker>
            <c:symbol val="none"/>
          </c:marker>
          <c:xVal>
            <c:numRef>
              <c:f>Symbole!$F$79:$G$79</c:f>
              <c:numCache>
                <c:formatCode>General</c:formatCode>
                <c:ptCount val="2"/>
                <c:pt idx="0">
                  <c:v>-50</c:v>
                </c:pt>
                <c:pt idx="1">
                  <c:v>-50</c:v>
                </c:pt>
              </c:numCache>
            </c:numRef>
          </c:xVal>
          <c:yVal>
            <c:numRef>
              <c:f>Symbole!$J$79:$K$79</c:f>
              <c:numCache>
                <c:formatCode>General</c:formatCode>
                <c:ptCount val="2"/>
                <c:pt idx="0">
                  <c:v>-70</c:v>
                </c:pt>
                <c:pt idx="1">
                  <c:v>-70</c:v>
                </c:pt>
              </c:numCache>
            </c:numRef>
          </c:yVal>
          <c:smooth val="0"/>
          <c:extLst>
            <c:ext xmlns:c16="http://schemas.microsoft.com/office/drawing/2014/chart" uri="{C3380CC4-5D6E-409C-BE32-E72D297353CC}">
              <c16:uniqueId val="{000000CC-5592-4E76-8908-496B42FE4A35}"/>
            </c:ext>
          </c:extLst>
        </c:ser>
        <c:ser>
          <c:idx val="206"/>
          <c:order val="205"/>
          <c:tx>
            <c:v>Rotzeigerw6</c:v>
          </c:tx>
          <c:spPr>
            <a:ln>
              <a:solidFill>
                <a:srgbClr val="8064A2">
                  <a:lumMod val="60000"/>
                  <a:lumOff val="40000"/>
                </a:srgbClr>
              </a:solidFill>
              <a:tailEnd type="triangle"/>
            </a:ln>
          </c:spPr>
          <c:marker>
            <c:symbol val="none"/>
          </c:marker>
          <c:xVal>
            <c:numRef>
              <c:f>Symbole!$F$80:$G$80</c:f>
              <c:numCache>
                <c:formatCode>General</c:formatCode>
                <c:ptCount val="2"/>
                <c:pt idx="0">
                  <c:v>-100</c:v>
                </c:pt>
                <c:pt idx="1">
                  <c:v>-100</c:v>
                </c:pt>
              </c:numCache>
            </c:numRef>
          </c:xVal>
          <c:yVal>
            <c:numRef>
              <c:f>Symbole!$J$80:$K$80</c:f>
              <c:numCache>
                <c:formatCode>General</c:formatCode>
                <c:ptCount val="2"/>
                <c:pt idx="0">
                  <c:v>100</c:v>
                </c:pt>
                <c:pt idx="1">
                  <c:v>100</c:v>
                </c:pt>
              </c:numCache>
            </c:numRef>
          </c:yVal>
          <c:smooth val="0"/>
          <c:extLst>
            <c:ext xmlns:c16="http://schemas.microsoft.com/office/drawing/2014/chart" uri="{C3380CC4-5D6E-409C-BE32-E72D297353CC}">
              <c16:uniqueId val="{000000CD-5592-4E76-8908-496B42FE4A35}"/>
            </c:ext>
          </c:extLst>
        </c:ser>
        <c:ser>
          <c:idx val="207"/>
          <c:order val="206"/>
          <c:tx>
            <c:v>Rotzeigerw7</c:v>
          </c:tx>
          <c:spPr>
            <a:ln>
              <a:solidFill>
                <a:srgbClr val="8064A2">
                  <a:lumMod val="60000"/>
                  <a:lumOff val="40000"/>
                </a:srgbClr>
              </a:solidFill>
              <a:tailEnd type="triangle"/>
            </a:ln>
          </c:spPr>
          <c:marker>
            <c:symbol val="none"/>
          </c:marker>
          <c:xVal>
            <c:numRef>
              <c:f>Symbole!$F$81:$G$81</c:f>
              <c:numCache>
                <c:formatCode>General</c:formatCode>
                <c:ptCount val="2"/>
                <c:pt idx="0">
                  <c:v>0</c:v>
                </c:pt>
                <c:pt idx="1">
                  <c:v>0</c:v>
                </c:pt>
              </c:numCache>
            </c:numRef>
          </c:xVal>
          <c:yVal>
            <c:numRef>
              <c:f>Symbole!$J$81:$K$81</c:f>
              <c:numCache>
                <c:formatCode>General</c:formatCode>
                <c:ptCount val="2"/>
                <c:pt idx="0">
                  <c:v>0</c:v>
                </c:pt>
                <c:pt idx="1">
                  <c:v>0</c:v>
                </c:pt>
              </c:numCache>
            </c:numRef>
          </c:yVal>
          <c:smooth val="0"/>
          <c:extLst>
            <c:ext xmlns:c16="http://schemas.microsoft.com/office/drawing/2014/chart" uri="{C3380CC4-5D6E-409C-BE32-E72D297353CC}">
              <c16:uniqueId val="{000000CE-5592-4E76-8908-496B42FE4A35}"/>
            </c:ext>
          </c:extLst>
        </c:ser>
        <c:ser>
          <c:idx val="208"/>
          <c:order val="207"/>
          <c:tx>
            <c:v>Rotzeigerw8</c:v>
          </c:tx>
          <c:spPr>
            <a:ln>
              <a:solidFill>
                <a:srgbClr val="8064A2">
                  <a:lumMod val="60000"/>
                  <a:lumOff val="40000"/>
                </a:srgbClr>
              </a:solidFill>
              <a:tailEnd type="triangle"/>
            </a:ln>
          </c:spPr>
          <c:marker>
            <c:symbol val="none"/>
          </c:marker>
          <c:xVal>
            <c:numRef>
              <c:f>Symbole!$F$82:$G$82</c:f>
              <c:numCache>
                <c:formatCode>General</c:formatCode>
                <c:ptCount val="2"/>
                <c:pt idx="0">
                  <c:v>0</c:v>
                </c:pt>
                <c:pt idx="1">
                  <c:v>0</c:v>
                </c:pt>
              </c:numCache>
            </c:numRef>
          </c:xVal>
          <c:yVal>
            <c:numRef>
              <c:f>Symbole!$J$82:$K$82</c:f>
              <c:numCache>
                <c:formatCode>General</c:formatCode>
                <c:ptCount val="2"/>
                <c:pt idx="0">
                  <c:v>0</c:v>
                </c:pt>
                <c:pt idx="1">
                  <c:v>0</c:v>
                </c:pt>
              </c:numCache>
            </c:numRef>
          </c:yVal>
          <c:smooth val="0"/>
          <c:extLst>
            <c:ext xmlns:c16="http://schemas.microsoft.com/office/drawing/2014/chart" uri="{C3380CC4-5D6E-409C-BE32-E72D297353CC}">
              <c16:uniqueId val="{000000CF-5592-4E76-8908-496B42FE4A35}"/>
            </c:ext>
          </c:extLst>
        </c:ser>
        <c:ser>
          <c:idx val="209"/>
          <c:order val="208"/>
          <c:tx>
            <c:v>Rotzeigerw9</c:v>
          </c:tx>
          <c:spPr>
            <a:ln>
              <a:solidFill>
                <a:srgbClr val="8064A2">
                  <a:lumMod val="60000"/>
                  <a:lumOff val="40000"/>
                </a:srgbClr>
              </a:solidFill>
              <a:tailEnd type="triangle"/>
            </a:ln>
          </c:spPr>
          <c:marker>
            <c:symbol val="none"/>
          </c:marker>
          <c:xVal>
            <c:numRef>
              <c:f>Symbole!$F$83:$G$83</c:f>
              <c:numCache>
                <c:formatCode>General</c:formatCode>
                <c:ptCount val="2"/>
                <c:pt idx="0">
                  <c:v>0</c:v>
                </c:pt>
                <c:pt idx="1">
                  <c:v>0</c:v>
                </c:pt>
              </c:numCache>
            </c:numRef>
          </c:xVal>
          <c:yVal>
            <c:numRef>
              <c:f>Symbole!$J$83:$K$83</c:f>
              <c:numCache>
                <c:formatCode>General</c:formatCode>
                <c:ptCount val="2"/>
                <c:pt idx="0">
                  <c:v>0</c:v>
                </c:pt>
                <c:pt idx="1">
                  <c:v>0</c:v>
                </c:pt>
              </c:numCache>
            </c:numRef>
          </c:yVal>
          <c:smooth val="0"/>
          <c:extLst>
            <c:ext xmlns:c16="http://schemas.microsoft.com/office/drawing/2014/chart" uri="{C3380CC4-5D6E-409C-BE32-E72D297353CC}">
              <c16:uniqueId val="{000000D0-5592-4E76-8908-496B42FE4A35}"/>
            </c:ext>
          </c:extLst>
        </c:ser>
        <c:ser>
          <c:idx val="210"/>
          <c:order val="209"/>
          <c:tx>
            <c:v>Rotzeigerw10</c:v>
          </c:tx>
          <c:spPr>
            <a:ln>
              <a:solidFill>
                <a:srgbClr val="8064A2">
                  <a:lumMod val="60000"/>
                  <a:lumOff val="40000"/>
                </a:srgbClr>
              </a:solidFill>
              <a:tailEnd type="triangle"/>
            </a:ln>
          </c:spPr>
          <c:marker>
            <c:symbol val="none"/>
          </c:marker>
          <c:xVal>
            <c:numRef>
              <c:f>Symbole!$F$84:$G$84</c:f>
              <c:numCache>
                <c:formatCode>General</c:formatCode>
                <c:ptCount val="2"/>
                <c:pt idx="0">
                  <c:v>0</c:v>
                </c:pt>
                <c:pt idx="1">
                  <c:v>0</c:v>
                </c:pt>
              </c:numCache>
            </c:numRef>
          </c:xVal>
          <c:yVal>
            <c:numRef>
              <c:f>Symbole!$J$84:$K$84</c:f>
              <c:numCache>
                <c:formatCode>General</c:formatCode>
                <c:ptCount val="2"/>
                <c:pt idx="0">
                  <c:v>0</c:v>
                </c:pt>
                <c:pt idx="1">
                  <c:v>0</c:v>
                </c:pt>
              </c:numCache>
            </c:numRef>
          </c:yVal>
          <c:smooth val="0"/>
          <c:extLst>
            <c:ext xmlns:c16="http://schemas.microsoft.com/office/drawing/2014/chart" uri="{C3380CC4-5D6E-409C-BE32-E72D297353CC}">
              <c16:uniqueId val="{000000D1-5592-4E76-8908-496B42FE4A35}"/>
            </c:ext>
          </c:extLst>
        </c:ser>
        <c:ser>
          <c:idx val="211"/>
          <c:order val="210"/>
          <c:tx>
            <c:v>Rotzeigerw11</c:v>
          </c:tx>
          <c:spPr>
            <a:ln>
              <a:solidFill>
                <a:srgbClr val="8064A2">
                  <a:lumMod val="60000"/>
                  <a:lumOff val="40000"/>
                </a:srgbClr>
              </a:solidFill>
              <a:tailEnd type="triangle"/>
            </a:ln>
          </c:spPr>
          <c:marker>
            <c:symbol val="none"/>
          </c:marker>
          <c:xVal>
            <c:numRef>
              <c:f>Symbole!$F$85:$G$85</c:f>
              <c:numCache>
                <c:formatCode>General</c:formatCode>
                <c:ptCount val="2"/>
                <c:pt idx="0">
                  <c:v>0</c:v>
                </c:pt>
                <c:pt idx="1">
                  <c:v>0</c:v>
                </c:pt>
              </c:numCache>
            </c:numRef>
          </c:xVal>
          <c:yVal>
            <c:numRef>
              <c:f>Symbole!$J$85:$K$85</c:f>
              <c:numCache>
                <c:formatCode>General</c:formatCode>
                <c:ptCount val="2"/>
                <c:pt idx="0">
                  <c:v>0</c:v>
                </c:pt>
                <c:pt idx="1">
                  <c:v>0</c:v>
                </c:pt>
              </c:numCache>
            </c:numRef>
          </c:yVal>
          <c:smooth val="0"/>
          <c:extLst>
            <c:ext xmlns:c16="http://schemas.microsoft.com/office/drawing/2014/chart" uri="{C3380CC4-5D6E-409C-BE32-E72D297353CC}">
              <c16:uniqueId val="{000000D2-5592-4E76-8908-496B42FE4A35}"/>
            </c:ext>
          </c:extLst>
        </c:ser>
        <c:ser>
          <c:idx val="212"/>
          <c:order val="211"/>
          <c:tx>
            <c:v>Rotzeigerw12</c:v>
          </c:tx>
          <c:spPr>
            <a:ln>
              <a:solidFill>
                <a:srgbClr val="8064A2">
                  <a:lumMod val="60000"/>
                  <a:lumOff val="40000"/>
                </a:srgbClr>
              </a:solidFill>
              <a:tailEnd type="triangle"/>
            </a:ln>
          </c:spPr>
          <c:marker>
            <c:symbol val="none"/>
          </c:marker>
          <c:xVal>
            <c:numRef>
              <c:f>Symbole!$F$86:$G$86</c:f>
              <c:numCache>
                <c:formatCode>General</c:formatCode>
                <c:ptCount val="2"/>
                <c:pt idx="0">
                  <c:v>0</c:v>
                </c:pt>
                <c:pt idx="1">
                  <c:v>0</c:v>
                </c:pt>
              </c:numCache>
            </c:numRef>
          </c:xVal>
          <c:yVal>
            <c:numRef>
              <c:f>Symbole!$J$86:$K$86</c:f>
              <c:numCache>
                <c:formatCode>General</c:formatCode>
                <c:ptCount val="2"/>
                <c:pt idx="0">
                  <c:v>0</c:v>
                </c:pt>
                <c:pt idx="1">
                  <c:v>0</c:v>
                </c:pt>
              </c:numCache>
            </c:numRef>
          </c:yVal>
          <c:smooth val="0"/>
          <c:extLst>
            <c:ext xmlns:c16="http://schemas.microsoft.com/office/drawing/2014/chart" uri="{C3380CC4-5D6E-409C-BE32-E72D297353CC}">
              <c16:uniqueId val="{000000D3-5592-4E76-8908-496B42FE4A35}"/>
            </c:ext>
          </c:extLst>
        </c:ser>
        <c:ser>
          <c:idx val="213"/>
          <c:order val="212"/>
          <c:tx>
            <c:v>Rotzeigerw13</c:v>
          </c:tx>
          <c:spPr>
            <a:ln>
              <a:solidFill>
                <a:srgbClr val="8064A2">
                  <a:lumMod val="60000"/>
                  <a:lumOff val="40000"/>
                </a:srgbClr>
              </a:solidFill>
              <a:tailEnd type="triangle"/>
            </a:ln>
          </c:spPr>
          <c:marker>
            <c:symbol val="none"/>
          </c:marker>
          <c:xVal>
            <c:numRef>
              <c:f>Symbole!$F$87:$G$87</c:f>
              <c:numCache>
                <c:formatCode>General</c:formatCode>
                <c:ptCount val="2"/>
                <c:pt idx="0">
                  <c:v>0</c:v>
                </c:pt>
                <c:pt idx="1">
                  <c:v>0</c:v>
                </c:pt>
              </c:numCache>
            </c:numRef>
          </c:xVal>
          <c:yVal>
            <c:numRef>
              <c:f>Symbole!$J$87:$K$87</c:f>
              <c:numCache>
                <c:formatCode>General</c:formatCode>
                <c:ptCount val="2"/>
                <c:pt idx="0">
                  <c:v>0</c:v>
                </c:pt>
                <c:pt idx="1">
                  <c:v>0</c:v>
                </c:pt>
              </c:numCache>
            </c:numRef>
          </c:yVal>
          <c:smooth val="0"/>
          <c:extLst>
            <c:ext xmlns:c16="http://schemas.microsoft.com/office/drawing/2014/chart" uri="{C3380CC4-5D6E-409C-BE32-E72D297353CC}">
              <c16:uniqueId val="{000000D4-5592-4E76-8908-496B42FE4A35}"/>
            </c:ext>
          </c:extLst>
        </c:ser>
        <c:ser>
          <c:idx val="214"/>
          <c:order val="213"/>
          <c:tx>
            <c:v>Rotzeigerw14</c:v>
          </c:tx>
          <c:spPr>
            <a:ln>
              <a:solidFill>
                <a:srgbClr val="8064A2">
                  <a:lumMod val="60000"/>
                  <a:lumOff val="40000"/>
                </a:srgbClr>
              </a:solidFill>
              <a:tailEnd type="triangle"/>
            </a:ln>
          </c:spPr>
          <c:marker>
            <c:symbol val="none"/>
          </c:marker>
          <c:xVal>
            <c:numRef>
              <c:f>Symbole!$F$88:$G$88</c:f>
              <c:numCache>
                <c:formatCode>General</c:formatCode>
                <c:ptCount val="2"/>
                <c:pt idx="0">
                  <c:v>0</c:v>
                </c:pt>
                <c:pt idx="1">
                  <c:v>0</c:v>
                </c:pt>
              </c:numCache>
            </c:numRef>
          </c:xVal>
          <c:yVal>
            <c:numRef>
              <c:f>Symbole!$J$88:$K$88</c:f>
              <c:numCache>
                <c:formatCode>General</c:formatCode>
                <c:ptCount val="2"/>
                <c:pt idx="0">
                  <c:v>0</c:v>
                </c:pt>
                <c:pt idx="1">
                  <c:v>0</c:v>
                </c:pt>
              </c:numCache>
            </c:numRef>
          </c:yVal>
          <c:smooth val="0"/>
          <c:extLst>
            <c:ext xmlns:c16="http://schemas.microsoft.com/office/drawing/2014/chart" uri="{C3380CC4-5D6E-409C-BE32-E72D297353CC}">
              <c16:uniqueId val="{000000D5-5592-4E76-8908-496B42FE4A35}"/>
            </c:ext>
          </c:extLst>
        </c:ser>
        <c:ser>
          <c:idx val="215"/>
          <c:order val="214"/>
          <c:tx>
            <c:v>Rotzeigerw15</c:v>
          </c:tx>
          <c:spPr>
            <a:ln>
              <a:solidFill>
                <a:srgbClr val="8064A2">
                  <a:lumMod val="60000"/>
                  <a:lumOff val="40000"/>
                </a:srgbClr>
              </a:solidFill>
              <a:tailEnd type="triangle"/>
            </a:ln>
          </c:spPr>
          <c:marker>
            <c:symbol val="none"/>
          </c:marker>
          <c:xVal>
            <c:numRef>
              <c:f>Symbole!$F$89:$G$89</c:f>
              <c:numCache>
                <c:formatCode>General</c:formatCode>
                <c:ptCount val="2"/>
                <c:pt idx="0">
                  <c:v>0</c:v>
                </c:pt>
                <c:pt idx="1">
                  <c:v>0</c:v>
                </c:pt>
              </c:numCache>
            </c:numRef>
          </c:xVal>
          <c:yVal>
            <c:numRef>
              <c:f>Symbole!$J$89:$K$89</c:f>
              <c:numCache>
                <c:formatCode>General</c:formatCode>
                <c:ptCount val="2"/>
                <c:pt idx="0">
                  <c:v>0</c:v>
                </c:pt>
                <c:pt idx="1">
                  <c:v>0</c:v>
                </c:pt>
              </c:numCache>
            </c:numRef>
          </c:yVal>
          <c:smooth val="0"/>
          <c:extLst>
            <c:ext xmlns:c16="http://schemas.microsoft.com/office/drawing/2014/chart" uri="{C3380CC4-5D6E-409C-BE32-E72D297353CC}">
              <c16:uniqueId val="{000000D6-5592-4E76-8908-496B42FE4A35}"/>
            </c:ext>
          </c:extLst>
        </c:ser>
        <c:ser>
          <c:idx val="216"/>
          <c:order val="215"/>
          <c:tx>
            <c:v>Rotzeigerw16</c:v>
          </c:tx>
          <c:spPr>
            <a:ln>
              <a:solidFill>
                <a:srgbClr val="8064A2">
                  <a:lumMod val="60000"/>
                  <a:lumOff val="40000"/>
                </a:srgbClr>
              </a:solidFill>
              <a:tailEnd type="triangle"/>
            </a:ln>
          </c:spPr>
          <c:marker>
            <c:symbol val="none"/>
          </c:marker>
          <c:xVal>
            <c:numRef>
              <c:f>Symbole!$F$90:$G$90</c:f>
              <c:numCache>
                <c:formatCode>General</c:formatCode>
                <c:ptCount val="2"/>
                <c:pt idx="0">
                  <c:v>0</c:v>
                </c:pt>
                <c:pt idx="1">
                  <c:v>0</c:v>
                </c:pt>
              </c:numCache>
            </c:numRef>
          </c:xVal>
          <c:yVal>
            <c:numRef>
              <c:f>Symbole!$J$90:$K$90</c:f>
              <c:numCache>
                <c:formatCode>General</c:formatCode>
                <c:ptCount val="2"/>
                <c:pt idx="0">
                  <c:v>0</c:v>
                </c:pt>
                <c:pt idx="1">
                  <c:v>0</c:v>
                </c:pt>
              </c:numCache>
            </c:numRef>
          </c:yVal>
          <c:smooth val="0"/>
          <c:extLst>
            <c:ext xmlns:c16="http://schemas.microsoft.com/office/drawing/2014/chart" uri="{C3380CC4-5D6E-409C-BE32-E72D297353CC}">
              <c16:uniqueId val="{000000D7-5592-4E76-8908-496B42FE4A35}"/>
            </c:ext>
          </c:extLst>
        </c:ser>
        <c:ser>
          <c:idx val="217"/>
          <c:order val="216"/>
          <c:tx>
            <c:v>Rotzeigerw17</c:v>
          </c:tx>
          <c:spPr>
            <a:ln>
              <a:solidFill>
                <a:srgbClr val="8064A2">
                  <a:lumMod val="60000"/>
                  <a:lumOff val="40000"/>
                </a:srgbClr>
              </a:solidFill>
              <a:tailEnd type="triangle"/>
            </a:ln>
          </c:spPr>
          <c:marker>
            <c:symbol val="none"/>
          </c:marker>
          <c:xVal>
            <c:numRef>
              <c:f>Symbole!$F$91:$G$91</c:f>
              <c:numCache>
                <c:formatCode>General</c:formatCode>
                <c:ptCount val="2"/>
                <c:pt idx="0">
                  <c:v>0</c:v>
                </c:pt>
                <c:pt idx="1">
                  <c:v>0</c:v>
                </c:pt>
              </c:numCache>
            </c:numRef>
          </c:xVal>
          <c:yVal>
            <c:numRef>
              <c:f>Symbole!$J$91:$K$91</c:f>
              <c:numCache>
                <c:formatCode>General</c:formatCode>
                <c:ptCount val="2"/>
                <c:pt idx="0">
                  <c:v>0</c:v>
                </c:pt>
                <c:pt idx="1">
                  <c:v>0</c:v>
                </c:pt>
              </c:numCache>
            </c:numRef>
          </c:yVal>
          <c:smooth val="0"/>
          <c:extLst>
            <c:ext xmlns:c16="http://schemas.microsoft.com/office/drawing/2014/chart" uri="{C3380CC4-5D6E-409C-BE32-E72D297353CC}">
              <c16:uniqueId val="{000000D8-5592-4E76-8908-496B42FE4A35}"/>
            </c:ext>
          </c:extLst>
        </c:ser>
        <c:ser>
          <c:idx val="218"/>
          <c:order val="217"/>
          <c:tx>
            <c:v>Rotzeigerw18</c:v>
          </c:tx>
          <c:spPr>
            <a:ln>
              <a:solidFill>
                <a:srgbClr val="8064A2">
                  <a:lumMod val="60000"/>
                  <a:lumOff val="40000"/>
                </a:srgbClr>
              </a:solidFill>
              <a:tailEnd type="triangle"/>
            </a:ln>
          </c:spPr>
          <c:marker>
            <c:symbol val="none"/>
          </c:marker>
          <c:xVal>
            <c:numRef>
              <c:f>Symbole!$F$92:$G$92</c:f>
              <c:numCache>
                <c:formatCode>General</c:formatCode>
                <c:ptCount val="2"/>
                <c:pt idx="0">
                  <c:v>0</c:v>
                </c:pt>
                <c:pt idx="1">
                  <c:v>0</c:v>
                </c:pt>
              </c:numCache>
            </c:numRef>
          </c:xVal>
          <c:yVal>
            <c:numRef>
              <c:f>Symbole!$J$92:$K$92</c:f>
              <c:numCache>
                <c:formatCode>General</c:formatCode>
                <c:ptCount val="2"/>
                <c:pt idx="0">
                  <c:v>0</c:v>
                </c:pt>
                <c:pt idx="1">
                  <c:v>0</c:v>
                </c:pt>
              </c:numCache>
            </c:numRef>
          </c:yVal>
          <c:smooth val="0"/>
          <c:extLst>
            <c:ext xmlns:c16="http://schemas.microsoft.com/office/drawing/2014/chart" uri="{C3380CC4-5D6E-409C-BE32-E72D297353CC}">
              <c16:uniqueId val="{000000D9-5592-4E76-8908-496B42FE4A35}"/>
            </c:ext>
          </c:extLst>
        </c:ser>
        <c:ser>
          <c:idx val="219"/>
          <c:order val="218"/>
          <c:tx>
            <c:v>Rotzeigerw19</c:v>
          </c:tx>
          <c:spPr>
            <a:ln>
              <a:solidFill>
                <a:srgbClr val="8064A2">
                  <a:lumMod val="60000"/>
                  <a:lumOff val="40000"/>
                </a:srgbClr>
              </a:solidFill>
              <a:tailEnd type="triangle"/>
            </a:ln>
          </c:spPr>
          <c:marker>
            <c:symbol val="none"/>
          </c:marker>
          <c:xVal>
            <c:numRef>
              <c:f>Symbole!$F$93:$G$93</c:f>
              <c:numCache>
                <c:formatCode>General</c:formatCode>
                <c:ptCount val="2"/>
                <c:pt idx="0">
                  <c:v>0</c:v>
                </c:pt>
                <c:pt idx="1">
                  <c:v>0</c:v>
                </c:pt>
              </c:numCache>
            </c:numRef>
          </c:xVal>
          <c:yVal>
            <c:numRef>
              <c:f>Symbole!$J$93:$K$93</c:f>
              <c:numCache>
                <c:formatCode>General</c:formatCode>
                <c:ptCount val="2"/>
                <c:pt idx="0">
                  <c:v>0</c:v>
                </c:pt>
                <c:pt idx="1">
                  <c:v>0</c:v>
                </c:pt>
              </c:numCache>
            </c:numRef>
          </c:yVal>
          <c:smooth val="0"/>
          <c:extLst>
            <c:ext xmlns:c16="http://schemas.microsoft.com/office/drawing/2014/chart" uri="{C3380CC4-5D6E-409C-BE32-E72D297353CC}">
              <c16:uniqueId val="{000000DA-5592-4E76-8908-496B42FE4A35}"/>
            </c:ext>
          </c:extLst>
        </c:ser>
        <c:ser>
          <c:idx val="220"/>
          <c:order val="219"/>
          <c:tx>
            <c:v>Rotzeigerw20</c:v>
          </c:tx>
          <c:spPr>
            <a:ln>
              <a:solidFill>
                <a:srgbClr val="8064A2">
                  <a:lumMod val="60000"/>
                  <a:lumOff val="40000"/>
                </a:srgbClr>
              </a:solidFill>
              <a:tailEnd type="triangle"/>
            </a:ln>
          </c:spPr>
          <c:marker>
            <c:symbol val="none"/>
          </c:marker>
          <c:xVal>
            <c:numRef>
              <c:f>Symbole!$F$94:$G$94</c:f>
              <c:numCache>
                <c:formatCode>General</c:formatCode>
                <c:ptCount val="2"/>
                <c:pt idx="0">
                  <c:v>0</c:v>
                </c:pt>
                <c:pt idx="1">
                  <c:v>0</c:v>
                </c:pt>
              </c:numCache>
            </c:numRef>
          </c:xVal>
          <c:yVal>
            <c:numRef>
              <c:f>Symbole!$J$94:$K$94</c:f>
              <c:numCache>
                <c:formatCode>General</c:formatCode>
                <c:ptCount val="2"/>
                <c:pt idx="0">
                  <c:v>0</c:v>
                </c:pt>
                <c:pt idx="1">
                  <c:v>0</c:v>
                </c:pt>
              </c:numCache>
            </c:numRef>
          </c:yVal>
          <c:smooth val="0"/>
          <c:extLst>
            <c:ext xmlns:c16="http://schemas.microsoft.com/office/drawing/2014/chart" uri="{C3380CC4-5D6E-409C-BE32-E72D297353CC}">
              <c16:uniqueId val="{000000DB-5592-4E76-8908-496B42FE4A35}"/>
            </c:ext>
          </c:extLst>
        </c:ser>
        <c:ser>
          <c:idx val="21"/>
          <c:order val="240"/>
          <c:tx>
            <c:v>Vorspannung 1</c:v>
          </c:tx>
          <c:spPr>
            <a:ln w="38100" cap="rnd" cmpd="sng" algn="ctr">
              <a:solidFill>
                <a:srgbClr val="00FE73"/>
              </a:solidFill>
              <a:prstDash val="dash"/>
              <a:round/>
              <a:headEnd type="diamond" w="med" len="med"/>
              <a:tailEnd type="diamond" w="med" len="med"/>
            </a:ln>
          </c:spPr>
          <c:marker>
            <c:symbol val="none"/>
          </c:marker>
          <c:xVal>
            <c:numRef>
              <c:f>ELasten!$J$316:$K$316</c:f>
              <c:numCache>
                <c:formatCode>General</c:formatCode>
                <c:ptCount val="2"/>
                <c:pt idx="0">
                  <c:v>0</c:v>
                </c:pt>
                <c:pt idx="1">
                  <c:v>0</c:v>
                </c:pt>
              </c:numCache>
            </c:numRef>
          </c:xVal>
          <c:yVal>
            <c:numRef>
              <c:f>ELasten!$L$316:$M$316</c:f>
              <c:numCache>
                <c:formatCode>General</c:formatCode>
                <c:ptCount val="2"/>
                <c:pt idx="0">
                  <c:v>0</c:v>
                </c:pt>
                <c:pt idx="1">
                  <c:v>0</c:v>
                </c:pt>
              </c:numCache>
            </c:numRef>
          </c:yVal>
          <c:smooth val="0"/>
          <c:extLst>
            <c:ext xmlns:c16="http://schemas.microsoft.com/office/drawing/2014/chart" uri="{C3380CC4-5D6E-409C-BE32-E72D297353CC}">
              <c16:uniqueId val="{000000DC-5592-4E76-8908-496B42FE4A35}"/>
            </c:ext>
          </c:extLst>
        </c:ser>
        <c:ser>
          <c:idx val="22"/>
          <c:order val="241"/>
          <c:tx>
            <c:v>Vorspannung 2</c:v>
          </c:tx>
          <c:spPr>
            <a:ln w="38100" cap="rnd" cmpd="sng" algn="ctr">
              <a:solidFill>
                <a:srgbClr val="00FE73"/>
              </a:solidFill>
              <a:prstDash val="dash"/>
              <a:round/>
              <a:headEnd type="diamond" w="med" len="med"/>
              <a:tailEnd type="diamond" w="med" len="med"/>
            </a:ln>
          </c:spPr>
          <c:marker>
            <c:symbol val="none"/>
          </c:marker>
          <c:xVal>
            <c:numRef>
              <c:f>ELasten!$J$317:$K$317</c:f>
              <c:numCache>
                <c:formatCode>General</c:formatCode>
                <c:ptCount val="2"/>
                <c:pt idx="0">
                  <c:v>0</c:v>
                </c:pt>
                <c:pt idx="1">
                  <c:v>0</c:v>
                </c:pt>
              </c:numCache>
            </c:numRef>
          </c:xVal>
          <c:yVal>
            <c:numRef>
              <c:f>ELasten!$L$317:$M$317</c:f>
              <c:numCache>
                <c:formatCode>General</c:formatCode>
                <c:ptCount val="2"/>
                <c:pt idx="0">
                  <c:v>0</c:v>
                </c:pt>
                <c:pt idx="1">
                  <c:v>0</c:v>
                </c:pt>
              </c:numCache>
            </c:numRef>
          </c:yVal>
          <c:smooth val="0"/>
          <c:extLst>
            <c:ext xmlns:c16="http://schemas.microsoft.com/office/drawing/2014/chart" uri="{C3380CC4-5D6E-409C-BE32-E72D297353CC}">
              <c16:uniqueId val="{000000DD-5592-4E76-8908-496B42FE4A35}"/>
            </c:ext>
          </c:extLst>
        </c:ser>
        <c:ser>
          <c:idx val="171"/>
          <c:order val="242"/>
          <c:tx>
            <c:v>hor. Feder 7</c:v>
          </c:tx>
          <c:spPr>
            <a:ln w="25400" cap="rnd" cmpd="sng" algn="ctr">
              <a:solidFill>
                <a:srgbClr val="00B050"/>
              </a:solidFill>
              <a:prstDash val="solid"/>
              <a:round/>
              <a:headEnd type="none" w="med" len="med"/>
              <a:tailEnd type="none" w="med" len="med"/>
            </a:ln>
          </c:spPr>
          <c:marker>
            <c:symbol val="none"/>
          </c:marker>
          <c:xVal>
            <c:numRef>
              <c:f>Symbole!$C$129:$O$129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Symbole!$P$129:$AB$129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E-5592-4E76-8908-496B42FE4A35}"/>
            </c:ext>
          </c:extLst>
        </c:ser>
        <c:ser>
          <c:idx val="222"/>
          <c:order val="243"/>
          <c:tx>
            <c:v>vert. Feder 7</c:v>
          </c:tx>
          <c:spPr>
            <a:ln w="25400" cap="rnd" cmpd="sng" algn="ctr">
              <a:solidFill>
                <a:srgbClr val="00B050"/>
              </a:solidFill>
              <a:prstDash val="solid"/>
              <a:round/>
              <a:headEnd type="none" w="med" len="med"/>
              <a:tailEnd type="none" w="med" len="med"/>
            </a:ln>
          </c:spPr>
          <c:marker>
            <c:symbol val="none"/>
          </c:marker>
          <c:xVal>
            <c:numRef>
              <c:f>Symbole!$C$105:$O$105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Symbole!$P$105:$AB$105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F-5592-4E76-8908-496B42FE4A35}"/>
            </c:ext>
          </c:extLst>
        </c:ser>
        <c:ser>
          <c:idx val="240"/>
          <c:order val="244"/>
          <c:tx>
            <c:v>Drehfeder 7</c:v>
          </c:tx>
          <c:spPr>
            <a:ln w="25400" cap="rnd" cmpd="sng" algn="ctr">
              <a:solidFill>
                <a:srgbClr val="00B050"/>
              </a:solidFill>
              <a:prstDash val="solid"/>
              <a:round/>
              <a:headEnd type="none" w="med" len="med"/>
              <a:tailEnd type="none" w="med" len="med"/>
            </a:ln>
          </c:spPr>
          <c:marker>
            <c:symbol val="none"/>
          </c:marker>
          <c:xVal>
            <c:numRef>
              <c:f>Symbole!$C$153:$AH$153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Symbole!$C$177:$AH$177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E0-5592-4E76-8908-496B42FE4A35}"/>
            </c:ext>
          </c:extLst>
        </c:ser>
        <c:dLbls>
          <c:showLegendKey val="0"/>
          <c:showVal val="0"/>
          <c:showCatName val="0"/>
          <c:showSerName val="0"/>
          <c:showPercent val="0"/>
          <c:showBubbleSize val="0"/>
        </c:dLbls>
        <c:axId val="519127120"/>
        <c:axId val="519121240"/>
      </c:scatterChart>
      <c:scatterChart>
        <c:scatterStyle val="smoothMarker"/>
        <c:varyColors val="0"/>
        <c:ser>
          <c:idx val="221"/>
          <c:order val="220"/>
          <c:tx>
            <c:v>Knotenlast H 1</c:v>
          </c:tx>
          <c:spPr>
            <a:ln w="12700">
              <a:solidFill>
                <a:schemeClr val="bg1">
                  <a:lumMod val="50000"/>
                </a:schemeClr>
              </a:solidFill>
            </a:ln>
          </c:spPr>
          <c:marker>
            <c:symbol val="none"/>
          </c:marker>
          <c:xVal>
            <c:numRef>
              <c:f>KLasten!$C$27:$G$27</c:f>
              <c:numCache>
                <c:formatCode>General</c:formatCode>
                <c:ptCount val="5"/>
                <c:pt idx="0">
                  <c:v>-20.729350596345142</c:v>
                </c:pt>
                <c:pt idx="1">
                  <c:v>13.211774900609143</c:v>
                </c:pt>
                <c:pt idx="2">
                  <c:v>1.3323809766751431</c:v>
                </c:pt>
                <c:pt idx="3">
                  <c:v>1.3323809766751431</c:v>
                </c:pt>
                <c:pt idx="4">
                  <c:v>13.211774900609143</c:v>
                </c:pt>
              </c:numCache>
            </c:numRef>
          </c:xVal>
          <c:yVal>
            <c:numRef>
              <c:f>KLasten!$H$27:$L$27</c:f>
              <c:numCache>
                <c:formatCode>General</c:formatCode>
                <c:ptCount val="5"/>
                <c:pt idx="0">
                  <c:v>-40</c:v>
                </c:pt>
                <c:pt idx="1">
                  <c:v>-40</c:v>
                </c:pt>
                <c:pt idx="2">
                  <c:v>-43.394112549695429</c:v>
                </c:pt>
                <c:pt idx="3">
                  <c:v>-36.605887450304571</c:v>
                </c:pt>
                <c:pt idx="4">
                  <c:v>-40</c:v>
                </c:pt>
              </c:numCache>
            </c:numRef>
          </c:yVal>
          <c:smooth val="0"/>
          <c:extLst>
            <c:ext xmlns:c16="http://schemas.microsoft.com/office/drawing/2014/chart" uri="{C3380CC4-5D6E-409C-BE32-E72D297353CC}">
              <c16:uniqueId val="{000000E1-5592-4E76-8908-496B42FE4A35}"/>
            </c:ext>
          </c:extLst>
        </c:ser>
        <c:ser>
          <c:idx val="223"/>
          <c:order val="221"/>
          <c:tx>
            <c:v>Knotenlast H 2</c:v>
          </c:tx>
          <c:spPr>
            <a:ln w="12700">
              <a:solidFill>
                <a:schemeClr val="bg1">
                  <a:lumMod val="50000"/>
                </a:schemeClr>
              </a:solidFill>
            </a:ln>
          </c:spPr>
          <c:marker>
            <c:symbol val="none"/>
          </c:marker>
          <c:xVal>
            <c:numRef>
              <c:f>KLasten!$C$28:$G$28</c:f>
              <c:numCache>
                <c:formatCode>General</c:formatCode>
                <c:ptCount val="5"/>
                <c:pt idx="0">
                  <c:v>100</c:v>
                </c:pt>
                <c:pt idx="1">
                  <c:v>100</c:v>
                </c:pt>
                <c:pt idx="2">
                  <c:v>100</c:v>
                </c:pt>
                <c:pt idx="3">
                  <c:v>100</c:v>
                </c:pt>
                <c:pt idx="4">
                  <c:v>100</c:v>
                </c:pt>
              </c:numCache>
            </c:numRef>
          </c:xVal>
          <c:yVal>
            <c:numRef>
              <c:f>KLasten!$H$28:$L$28</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E2-5592-4E76-8908-496B42FE4A35}"/>
            </c:ext>
          </c:extLst>
        </c:ser>
        <c:ser>
          <c:idx val="224"/>
          <c:order val="222"/>
          <c:tx>
            <c:v>Knotenlast H 3</c:v>
          </c:tx>
          <c:spPr>
            <a:ln w="12700">
              <a:solidFill>
                <a:schemeClr val="bg1">
                  <a:lumMod val="50000"/>
                </a:schemeClr>
              </a:solidFill>
            </a:ln>
          </c:spPr>
          <c:marker>
            <c:symbol val="none"/>
          </c:marker>
          <c:xVal>
            <c:numRef>
              <c:f>KLasten!$C$29:$G$29</c:f>
              <c:numCache>
                <c:formatCode>General</c:formatCode>
                <c:ptCount val="5"/>
                <c:pt idx="0">
                  <c:v>20</c:v>
                </c:pt>
                <c:pt idx="1">
                  <c:v>20</c:v>
                </c:pt>
                <c:pt idx="2">
                  <c:v>20</c:v>
                </c:pt>
                <c:pt idx="3">
                  <c:v>20</c:v>
                </c:pt>
                <c:pt idx="4">
                  <c:v>20</c:v>
                </c:pt>
              </c:numCache>
            </c:numRef>
          </c:xVal>
          <c:yVal>
            <c:numRef>
              <c:f>KLasten!$H$29:$L$29</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E3-5592-4E76-8908-496B42FE4A35}"/>
            </c:ext>
          </c:extLst>
        </c:ser>
        <c:ser>
          <c:idx val="225"/>
          <c:order val="223"/>
          <c:tx>
            <c:v>Knotenlast H 4</c:v>
          </c:tx>
          <c:spPr>
            <a:ln w="12700">
              <a:solidFill>
                <a:schemeClr val="bg1">
                  <a:lumMod val="50000"/>
                </a:schemeClr>
              </a:solidFill>
            </a:ln>
          </c:spPr>
          <c:marker>
            <c:symbol val="none"/>
          </c:marker>
          <c:xVal>
            <c:numRef>
              <c:f>KLasten!$C$30:$G$30</c:f>
              <c:numCache>
                <c:formatCode>General</c:formatCode>
                <c:ptCount val="5"/>
                <c:pt idx="0">
                  <c:v>60</c:v>
                </c:pt>
                <c:pt idx="1">
                  <c:v>60</c:v>
                </c:pt>
                <c:pt idx="2">
                  <c:v>60</c:v>
                </c:pt>
                <c:pt idx="3">
                  <c:v>60</c:v>
                </c:pt>
                <c:pt idx="4">
                  <c:v>60</c:v>
                </c:pt>
              </c:numCache>
            </c:numRef>
          </c:xVal>
          <c:yVal>
            <c:numRef>
              <c:f>KLasten!$H$30:$L$30</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E4-5592-4E76-8908-496B42FE4A35}"/>
            </c:ext>
          </c:extLst>
        </c:ser>
        <c:ser>
          <c:idx val="226"/>
          <c:order val="224"/>
          <c:tx>
            <c:v>Knotenlast H 5</c:v>
          </c:tx>
          <c:spPr>
            <a:ln w="12700">
              <a:solidFill>
                <a:schemeClr val="bg1">
                  <a:lumMod val="50000"/>
                </a:schemeClr>
              </a:solidFill>
            </a:ln>
          </c:spPr>
          <c:marker>
            <c:symbol val="none"/>
          </c:marker>
          <c:xVal>
            <c:numRef>
              <c:f>KLasten!$C$31:$G$31</c:f>
              <c:numCache>
                <c:formatCode>General</c:formatCode>
                <c:ptCount val="5"/>
                <c:pt idx="0">
                  <c:v>-50</c:v>
                </c:pt>
                <c:pt idx="1">
                  <c:v>-50</c:v>
                </c:pt>
                <c:pt idx="2">
                  <c:v>-50</c:v>
                </c:pt>
                <c:pt idx="3">
                  <c:v>-50</c:v>
                </c:pt>
                <c:pt idx="4">
                  <c:v>-50</c:v>
                </c:pt>
              </c:numCache>
            </c:numRef>
          </c:xVal>
          <c:yVal>
            <c:numRef>
              <c:f>KLasten!$H$31:$L$31</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E5-5592-4E76-8908-496B42FE4A35}"/>
            </c:ext>
          </c:extLst>
        </c:ser>
        <c:ser>
          <c:idx val="227"/>
          <c:order val="225"/>
          <c:tx>
            <c:v>Knotenlast H 6</c:v>
          </c:tx>
          <c:spPr>
            <a:ln w="12700">
              <a:solidFill>
                <a:schemeClr val="bg1">
                  <a:lumMod val="50000"/>
                </a:schemeClr>
              </a:solidFill>
            </a:ln>
          </c:spPr>
          <c:marker>
            <c:symbol val="none"/>
          </c:marker>
          <c:xVal>
            <c:numRef>
              <c:f>KLasten!$C$32:$G$32</c:f>
              <c:numCache>
                <c:formatCode>General</c:formatCode>
                <c:ptCount val="5"/>
                <c:pt idx="0">
                  <c:v>-100</c:v>
                </c:pt>
                <c:pt idx="1">
                  <c:v>-100</c:v>
                </c:pt>
                <c:pt idx="2">
                  <c:v>-100</c:v>
                </c:pt>
                <c:pt idx="3">
                  <c:v>-100</c:v>
                </c:pt>
                <c:pt idx="4">
                  <c:v>-100</c:v>
                </c:pt>
              </c:numCache>
            </c:numRef>
          </c:xVal>
          <c:yVal>
            <c:numRef>
              <c:f>KLasten!$H$32:$L$32</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E6-5592-4E76-8908-496B42FE4A35}"/>
            </c:ext>
          </c:extLst>
        </c:ser>
        <c:ser>
          <c:idx val="228"/>
          <c:order val="226"/>
          <c:tx>
            <c:v>Knotenlast H 7</c:v>
          </c:tx>
          <c:spPr>
            <a:ln w="12700">
              <a:solidFill>
                <a:schemeClr val="bg1">
                  <a:lumMod val="50000"/>
                </a:schemeClr>
              </a:solidFill>
            </a:ln>
          </c:spPr>
          <c:marker>
            <c:symbol val="none"/>
          </c:marker>
          <c:xVal>
            <c:numRef>
              <c:f>KLasten!$C$33:$G$33</c:f>
              <c:numCache>
                <c:formatCode>General</c:formatCode>
                <c:ptCount val="5"/>
                <c:pt idx="0">
                  <c:v>0</c:v>
                </c:pt>
                <c:pt idx="1">
                  <c:v>0</c:v>
                </c:pt>
                <c:pt idx="2">
                  <c:v>0</c:v>
                </c:pt>
                <c:pt idx="3">
                  <c:v>0</c:v>
                </c:pt>
                <c:pt idx="4">
                  <c:v>0</c:v>
                </c:pt>
              </c:numCache>
            </c:numRef>
          </c:xVal>
          <c:yVal>
            <c:numRef>
              <c:f>KLasten!$H$33:$L$33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7-5592-4E76-8908-496B42FE4A35}"/>
            </c:ext>
          </c:extLst>
        </c:ser>
        <c:ser>
          <c:idx val="229"/>
          <c:order val="227"/>
          <c:tx>
            <c:v>Knotenlast H 8</c:v>
          </c:tx>
          <c:spPr>
            <a:ln w="12700">
              <a:solidFill>
                <a:schemeClr val="bg1">
                  <a:lumMod val="50000"/>
                </a:schemeClr>
              </a:solidFill>
            </a:ln>
          </c:spPr>
          <c:marker>
            <c:symbol val="none"/>
          </c:marker>
          <c:xVal>
            <c:numRef>
              <c:f>KLasten!$C$34:$G$34</c:f>
              <c:numCache>
                <c:formatCode>General</c:formatCode>
                <c:ptCount val="5"/>
                <c:pt idx="0">
                  <c:v>0</c:v>
                </c:pt>
                <c:pt idx="1">
                  <c:v>0</c:v>
                </c:pt>
                <c:pt idx="2">
                  <c:v>0</c:v>
                </c:pt>
                <c:pt idx="3">
                  <c:v>0</c:v>
                </c:pt>
                <c:pt idx="4">
                  <c:v>0</c:v>
                </c:pt>
              </c:numCache>
            </c:numRef>
          </c:xVal>
          <c:yVal>
            <c:numRef>
              <c:f>KLasten!$H$34:$L$34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8-5592-4E76-8908-496B42FE4A35}"/>
            </c:ext>
          </c:extLst>
        </c:ser>
        <c:ser>
          <c:idx val="230"/>
          <c:order val="228"/>
          <c:tx>
            <c:v>Knotenlast H 9</c:v>
          </c:tx>
          <c:spPr>
            <a:ln w="12700">
              <a:solidFill>
                <a:schemeClr val="bg1">
                  <a:lumMod val="50000"/>
                </a:schemeClr>
              </a:solidFill>
            </a:ln>
          </c:spPr>
          <c:marker>
            <c:symbol val="none"/>
          </c:marker>
          <c:xVal>
            <c:numRef>
              <c:f>KLasten!$C$35:$G$35</c:f>
              <c:numCache>
                <c:formatCode>General</c:formatCode>
                <c:ptCount val="5"/>
                <c:pt idx="0">
                  <c:v>0</c:v>
                </c:pt>
                <c:pt idx="1">
                  <c:v>0</c:v>
                </c:pt>
                <c:pt idx="2">
                  <c:v>0</c:v>
                </c:pt>
                <c:pt idx="3">
                  <c:v>0</c:v>
                </c:pt>
                <c:pt idx="4">
                  <c:v>0</c:v>
                </c:pt>
              </c:numCache>
            </c:numRef>
          </c:xVal>
          <c:yVal>
            <c:numRef>
              <c:f>KLasten!$H$35:$L$35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9-5592-4E76-8908-496B42FE4A35}"/>
            </c:ext>
          </c:extLst>
        </c:ser>
        <c:ser>
          <c:idx val="231"/>
          <c:order val="229"/>
          <c:tx>
            <c:v>Knotenlast H 10</c:v>
          </c:tx>
          <c:spPr>
            <a:ln w="12700">
              <a:solidFill>
                <a:schemeClr val="bg1">
                  <a:lumMod val="50000"/>
                </a:schemeClr>
              </a:solidFill>
            </a:ln>
          </c:spPr>
          <c:marker>
            <c:symbol val="none"/>
          </c:marker>
          <c:xVal>
            <c:numRef>
              <c:f>KLasten!$C$36:$G$36</c:f>
              <c:numCache>
                <c:formatCode>General</c:formatCode>
                <c:ptCount val="5"/>
                <c:pt idx="0">
                  <c:v>0</c:v>
                </c:pt>
                <c:pt idx="1">
                  <c:v>0</c:v>
                </c:pt>
                <c:pt idx="2">
                  <c:v>0</c:v>
                </c:pt>
                <c:pt idx="3">
                  <c:v>0</c:v>
                </c:pt>
                <c:pt idx="4">
                  <c:v>0</c:v>
                </c:pt>
              </c:numCache>
            </c:numRef>
          </c:xVal>
          <c:yVal>
            <c:numRef>
              <c:f>KLasten!$H$36:$L$36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A-5592-4E76-8908-496B42FE4A35}"/>
            </c:ext>
          </c:extLst>
        </c:ser>
        <c:ser>
          <c:idx val="232"/>
          <c:order val="230"/>
          <c:tx>
            <c:v>Knotenlast H 11</c:v>
          </c:tx>
          <c:spPr>
            <a:ln w="12700">
              <a:solidFill>
                <a:schemeClr val="bg1">
                  <a:lumMod val="50000"/>
                </a:schemeClr>
              </a:solidFill>
            </a:ln>
          </c:spPr>
          <c:marker>
            <c:symbol val="none"/>
          </c:marker>
          <c:xVal>
            <c:numRef>
              <c:f>KLasten!$C$37:$G$37</c:f>
              <c:numCache>
                <c:formatCode>General</c:formatCode>
                <c:ptCount val="5"/>
                <c:pt idx="0">
                  <c:v>0</c:v>
                </c:pt>
                <c:pt idx="1">
                  <c:v>0</c:v>
                </c:pt>
                <c:pt idx="2">
                  <c:v>0</c:v>
                </c:pt>
                <c:pt idx="3">
                  <c:v>0</c:v>
                </c:pt>
                <c:pt idx="4">
                  <c:v>0</c:v>
                </c:pt>
              </c:numCache>
            </c:numRef>
          </c:xVal>
          <c:yVal>
            <c:numRef>
              <c:f>KLasten!$H$37:$L$37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B-5592-4E76-8908-496B42FE4A35}"/>
            </c:ext>
          </c:extLst>
        </c:ser>
        <c:ser>
          <c:idx val="233"/>
          <c:order val="231"/>
          <c:tx>
            <c:v>Knotenlast H 12</c:v>
          </c:tx>
          <c:spPr>
            <a:ln w="12700">
              <a:solidFill>
                <a:schemeClr val="bg1">
                  <a:lumMod val="50000"/>
                </a:schemeClr>
              </a:solidFill>
            </a:ln>
          </c:spPr>
          <c:marker>
            <c:symbol val="none"/>
          </c:marker>
          <c:xVal>
            <c:numRef>
              <c:f>KLasten!$C$38:$G$38</c:f>
              <c:numCache>
                <c:formatCode>General</c:formatCode>
                <c:ptCount val="5"/>
                <c:pt idx="0">
                  <c:v>0</c:v>
                </c:pt>
                <c:pt idx="1">
                  <c:v>0</c:v>
                </c:pt>
                <c:pt idx="2">
                  <c:v>0</c:v>
                </c:pt>
                <c:pt idx="3">
                  <c:v>0</c:v>
                </c:pt>
                <c:pt idx="4">
                  <c:v>0</c:v>
                </c:pt>
              </c:numCache>
            </c:numRef>
          </c:xVal>
          <c:yVal>
            <c:numRef>
              <c:f>KLasten!$H$38:$L$38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C-5592-4E76-8908-496B42FE4A35}"/>
            </c:ext>
          </c:extLst>
        </c:ser>
        <c:ser>
          <c:idx val="234"/>
          <c:order val="232"/>
          <c:tx>
            <c:v>Knotenlast H 13</c:v>
          </c:tx>
          <c:spPr>
            <a:ln w="12700">
              <a:solidFill>
                <a:schemeClr val="bg1">
                  <a:lumMod val="50000"/>
                </a:schemeClr>
              </a:solidFill>
            </a:ln>
          </c:spPr>
          <c:marker>
            <c:symbol val="none"/>
          </c:marker>
          <c:xVal>
            <c:numRef>
              <c:f>KLasten!$C$39:$G$39</c:f>
              <c:numCache>
                <c:formatCode>General</c:formatCode>
                <c:ptCount val="5"/>
                <c:pt idx="0">
                  <c:v>0</c:v>
                </c:pt>
                <c:pt idx="1">
                  <c:v>0</c:v>
                </c:pt>
                <c:pt idx="2">
                  <c:v>0</c:v>
                </c:pt>
                <c:pt idx="3">
                  <c:v>0</c:v>
                </c:pt>
                <c:pt idx="4">
                  <c:v>0</c:v>
                </c:pt>
              </c:numCache>
            </c:numRef>
          </c:xVal>
          <c:yVal>
            <c:numRef>
              <c:f>KLasten!$H$39:$L$39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D-5592-4E76-8908-496B42FE4A35}"/>
            </c:ext>
          </c:extLst>
        </c:ser>
        <c:ser>
          <c:idx val="235"/>
          <c:order val="233"/>
          <c:tx>
            <c:v>Knotenlast H 14</c:v>
          </c:tx>
          <c:spPr>
            <a:ln w="12700">
              <a:solidFill>
                <a:schemeClr val="bg1">
                  <a:lumMod val="50000"/>
                </a:schemeClr>
              </a:solidFill>
            </a:ln>
          </c:spPr>
          <c:marker>
            <c:symbol val="none"/>
          </c:marker>
          <c:xVal>
            <c:numRef>
              <c:f>KLasten!$C$40:$G$40</c:f>
              <c:numCache>
                <c:formatCode>General</c:formatCode>
                <c:ptCount val="5"/>
                <c:pt idx="0">
                  <c:v>0</c:v>
                </c:pt>
                <c:pt idx="1">
                  <c:v>0</c:v>
                </c:pt>
                <c:pt idx="2">
                  <c:v>0</c:v>
                </c:pt>
                <c:pt idx="3">
                  <c:v>0</c:v>
                </c:pt>
                <c:pt idx="4">
                  <c:v>0</c:v>
                </c:pt>
              </c:numCache>
            </c:numRef>
          </c:xVal>
          <c:yVal>
            <c:numRef>
              <c:f>KLasten!$H$40:$L$40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E-5592-4E76-8908-496B42FE4A35}"/>
            </c:ext>
          </c:extLst>
        </c:ser>
        <c:ser>
          <c:idx val="236"/>
          <c:order val="234"/>
          <c:tx>
            <c:v>Knotenlast H 15</c:v>
          </c:tx>
          <c:spPr>
            <a:ln w="12700">
              <a:solidFill>
                <a:schemeClr val="bg1">
                  <a:lumMod val="50000"/>
                </a:schemeClr>
              </a:solidFill>
            </a:ln>
          </c:spPr>
          <c:marker>
            <c:symbol val="none"/>
          </c:marker>
          <c:xVal>
            <c:numRef>
              <c:f>KLasten!$C$41:$G$41</c:f>
              <c:numCache>
                <c:formatCode>General</c:formatCode>
                <c:ptCount val="5"/>
                <c:pt idx="0">
                  <c:v>0</c:v>
                </c:pt>
                <c:pt idx="1">
                  <c:v>0</c:v>
                </c:pt>
                <c:pt idx="2">
                  <c:v>0</c:v>
                </c:pt>
                <c:pt idx="3">
                  <c:v>0</c:v>
                </c:pt>
                <c:pt idx="4">
                  <c:v>0</c:v>
                </c:pt>
              </c:numCache>
            </c:numRef>
          </c:xVal>
          <c:yVal>
            <c:numRef>
              <c:f>KLasten!$H$41:$L$41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F-5592-4E76-8908-496B42FE4A35}"/>
            </c:ext>
          </c:extLst>
        </c:ser>
        <c:ser>
          <c:idx val="237"/>
          <c:order val="235"/>
          <c:tx>
            <c:v>Knotenlast H 16</c:v>
          </c:tx>
          <c:spPr>
            <a:ln w="12700">
              <a:solidFill>
                <a:schemeClr val="bg1">
                  <a:lumMod val="50000"/>
                </a:schemeClr>
              </a:solidFill>
            </a:ln>
          </c:spPr>
          <c:marker>
            <c:symbol val="none"/>
          </c:marker>
          <c:xVal>
            <c:numRef>
              <c:f>KLasten!$C$42:$G$42</c:f>
              <c:numCache>
                <c:formatCode>General</c:formatCode>
                <c:ptCount val="5"/>
                <c:pt idx="0">
                  <c:v>0</c:v>
                </c:pt>
                <c:pt idx="1">
                  <c:v>0</c:v>
                </c:pt>
                <c:pt idx="2">
                  <c:v>0</c:v>
                </c:pt>
                <c:pt idx="3">
                  <c:v>0</c:v>
                </c:pt>
                <c:pt idx="4">
                  <c:v>0</c:v>
                </c:pt>
              </c:numCache>
            </c:numRef>
          </c:xVal>
          <c:yVal>
            <c:numRef>
              <c:f>KLasten!$H$42:$L$42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0-5592-4E76-8908-496B42FE4A35}"/>
            </c:ext>
          </c:extLst>
        </c:ser>
        <c:ser>
          <c:idx val="238"/>
          <c:order val="236"/>
          <c:tx>
            <c:v>Knotenlast H 17</c:v>
          </c:tx>
          <c:spPr>
            <a:ln w="12700">
              <a:solidFill>
                <a:schemeClr val="bg1">
                  <a:lumMod val="50000"/>
                </a:schemeClr>
              </a:solidFill>
            </a:ln>
          </c:spPr>
          <c:marker>
            <c:symbol val="none"/>
          </c:marker>
          <c:xVal>
            <c:numRef>
              <c:f>KLasten!$C$43:$G$43</c:f>
              <c:numCache>
                <c:formatCode>General</c:formatCode>
                <c:ptCount val="5"/>
                <c:pt idx="0">
                  <c:v>0</c:v>
                </c:pt>
                <c:pt idx="1">
                  <c:v>0</c:v>
                </c:pt>
                <c:pt idx="2">
                  <c:v>0</c:v>
                </c:pt>
                <c:pt idx="3">
                  <c:v>0</c:v>
                </c:pt>
                <c:pt idx="4">
                  <c:v>0</c:v>
                </c:pt>
              </c:numCache>
            </c:numRef>
          </c:xVal>
          <c:yVal>
            <c:numRef>
              <c:f>KLasten!$H$43:$L$43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1-5592-4E76-8908-496B42FE4A35}"/>
            </c:ext>
          </c:extLst>
        </c:ser>
        <c:ser>
          <c:idx val="239"/>
          <c:order val="237"/>
          <c:tx>
            <c:v>Knotenlast H 19</c:v>
          </c:tx>
          <c:spPr>
            <a:ln w="12700">
              <a:solidFill>
                <a:schemeClr val="bg1">
                  <a:lumMod val="50000"/>
                </a:schemeClr>
              </a:solidFill>
            </a:ln>
          </c:spPr>
          <c:marker>
            <c:symbol val="none"/>
          </c:marker>
          <c:xVal>
            <c:numRef>
              <c:f>KLasten!$C$45:$G$45</c:f>
              <c:numCache>
                <c:formatCode>General</c:formatCode>
                <c:ptCount val="5"/>
                <c:pt idx="0">
                  <c:v>0</c:v>
                </c:pt>
                <c:pt idx="1">
                  <c:v>0</c:v>
                </c:pt>
                <c:pt idx="2">
                  <c:v>0</c:v>
                </c:pt>
                <c:pt idx="3">
                  <c:v>0</c:v>
                </c:pt>
                <c:pt idx="4">
                  <c:v>0</c:v>
                </c:pt>
              </c:numCache>
            </c:numRef>
          </c:xVal>
          <c:yVal>
            <c:numRef>
              <c:f>KLasten!$H$45:$L$45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2-5592-4E76-8908-496B42FE4A35}"/>
            </c:ext>
          </c:extLst>
        </c:ser>
        <c:ser>
          <c:idx val="242"/>
          <c:order val="238"/>
          <c:tx>
            <c:v>Knotenlast H 20</c:v>
          </c:tx>
          <c:spPr>
            <a:ln w="12700" cmpd="sng">
              <a:solidFill>
                <a:schemeClr val="bg1">
                  <a:lumMod val="50000"/>
                </a:schemeClr>
              </a:solidFill>
              <a:prstDash val="dash"/>
            </a:ln>
          </c:spPr>
          <c:marker>
            <c:symbol val="none"/>
          </c:marker>
          <c:xVal>
            <c:numRef>
              <c:f>KLasten!$C$46:$G$46</c:f>
              <c:numCache>
                <c:formatCode>General</c:formatCode>
                <c:ptCount val="5"/>
                <c:pt idx="0">
                  <c:v>0</c:v>
                </c:pt>
                <c:pt idx="1">
                  <c:v>0</c:v>
                </c:pt>
                <c:pt idx="2">
                  <c:v>0</c:v>
                </c:pt>
                <c:pt idx="3">
                  <c:v>0</c:v>
                </c:pt>
                <c:pt idx="4">
                  <c:v>0</c:v>
                </c:pt>
              </c:numCache>
            </c:numRef>
          </c:xVal>
          <c:yVal>
            <c:numRef>
              <c:f>KLasten!$H$46:$L$46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3-5592-4E76-8908-496B42FE4A35}"/>
            </c:ext>
          </c:extLst>
        </c:ser>
        <c:ser>
          <c:idx val="20"/>
          <c:order val="239"/>
          <c:tx>
            <c:v>Knotenlast H 18</c:v>
          </c:tx>
          <c:spPr>
            <a:ln w="12700">
              <a:solidFill>
                <a:schemeClr val="bg1">
                  <a:lumMod val="50000"/>
                </a:schemeClr>
              </a:solidFill>
            </a:ln>
          </c:spPr>
          <c:marker>
            <c:symbol val="none"/>
          </c:marker>
          <c:xVal>
            <c:numRef>
              <c:f>KLasten!$C$44:$G$44</c:f>
              <c:numCache>
                <c:formatCode>General</c:formatCode>
                <c:ptCount val="5"/>
                <c:pt idx="0">
                  <c:v>0</c:v>
                </c:pt>
                <c:pt idx="1">
                  <c:v>0</c:v>
                </c:pt>
                <c:pt idx="2">
                  <c:v>0</c:v>
                </c:pt>
                <c:pt idx="3">
                  <c:v>0</c:v>
                </c:pt>
                <c:pt idx="4">
                  <c:v>0</c:v>
                </c:pt>
              </c:numCache>
            </c:numRef>
          </c:xVal>
          <c:yVal>
            <c:numRef>
              <c:f>KLasten!$H$44:$L$44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4-5592-4E76-8908-496B42FE4A35}"/>
            </c:ext>
          </c:extLst>
        </c:ser>
        <c:dLbls>
          <c:showLegendKey val="0"/>
          <c:showVal val="0"/>
          <c:showCatName val="0"/>
          <c:showSerName val="0"/>
          <c:showPercent val="0"/>
          <c:showBubbleSize val="0"/>
        </c:dLbls>
        <c:axId val="519127120"/>
        <c:axId val="519121240"/>
      </c:scatterChart>
      <c:valAx>
        <c:axId val="519127120"/>
        <c:scaling>
          <c:orientation val="minMax"/>
        </c:scaling>
        <c:delete val="1"/>
        <c:axPos val="t"/>
        <c:numFmt formatCode="General" sourceLinked="1"/>
        <c:majorTickMark val="out"/>
        <c:minorTickMark val="none"/>
        <c:tickLblPos val="none"/>
        <c:crossAx val="519121240"/>
        <c:crosses val="autoZero"/>
        <c:crossBetween val="midCat"/>
        <c:majorUnit val="1.0000000000000004E-6"/>
      </c:valAx>
      <c:valAx>
        <c:axId val="519121240"/>
        <c:scaling>
          <c:orientation val="maxMin"/>
        </c:scaling>
        <c:delete val="1"/>
        <c:axPos val="l"/>
        <c:numFmt formatCode="General" sourceLinked="1"/>
        <c:majorTickMark val="out"/>
        <c:minorTickMark val="none"/>
        <c:tickLblPos val="none"/>
        <c:crossAx val="519127120"/>
        <c:crosses val="autoZero"/>
        <c:crossBetween val="midCat"/>
        <c:majorUnit val="1.0000000000000004E-6"/>
      </c:valAx>
      <c:spPr>
        <a:solidFill>
          <a:srgbClr val="C0C0C0"/>
        </a:solidFill>
        <a:ln w="1905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DE"/>
    </a:p>
  </c:txPr>
  <c:printSettings>
    <c:headerFooter alignWithMargins="0"/>
    <c:pageMargins b="0.98425196899999956" l="0.78740157499999996" r="0.78740157499999996" t="0.98425196899999956" header="0.49212598450000206" footer="0.4921259845000020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1.7272521736333615E-2"/>
          <c:y val="1.4816671121599109E-2"/>
          <c:w val="0.97146838381573752"/>
          <c:h val="0.95727250326986657"/>
        </c:manualLayout>
      </c:layout>
      <c:scatterChart>
        <c:scatterStyle val="lineMarker"/>
        <c:varyColors val="0"/>
        <c:ser>
          <c:idx val="201"/>
          <c:order val="0"/>
          <c:tx>
            <c:v>BoundingBox21</c:v>
          </c:tx>
          <c:spPr>
            <a:ln w="12700">
              <a:solidFill>
                <a:srgbClr val="C0C0C0"/>
              </a:solidFill>
              <a:prstDash val="solid"/>
            </a:ln>
          </c:spPr>
          <c:marker>
            <c:symbol val="none"/>
          </c:marker>
          <c:xVal>
            <c:numRef>
              <c:f>PlotData!$CF$7:$CF$10</c:f>
              <c:numCache>
                <c:formatCode>General</c:formatCode>
                <c:ptCount val="4"/>
                <c:pt idx="0">
                  <c:v>-169.70562748477141</c:v>
                </c:pt>
                <c:pt idx="1">
                  <c:v>169.70562748477141</c:v>
                </c:pt>
                <c:pt idx="2">
                  <c:v>169.70562748477141</c:v>
                </c:pt>
                <c:pt idx="3">
                  <c:v>-169.70562748477141</c:v>
                </c:pt>
              </c:numCache>
            </c:numRef>
          </c:xVal>
          <c:yVal>
            <c:numRef>
              <c:f>PlotData!$CG$7:$CG$10</c:f>
              <c:numCache>
                <c:formatCode>General</c:formatCode>
                <c:ptCount val="4"/>
                <c:pt idx="0">
                  <c:v>169.70562748477141</c:v>
                </c:pt>
                <c:pt idx="1">
                  <c:v>169.70562748477141</c:v>
                </c:pt>
                <c:pt idx="2">
                  <c:v>-169.70562748477141</c:v>
                </c:pt>
                <c:pt idx="3">
                  <c:v>-169.70562748477141</c:v>
                </c:pt>
              </c:numCache>
            </c:numRef>
          </c:yVal>
          <c:smooth val="0"/>
          <c:extLst>
            <c:ext xmlns:c16="http://schemas.microsoft.com/office/drawing/2014/chart" uri="{C3380CC4-5D6E-409C-BE32-E72D297353CC}">
              <c16:uniqueId val="{00000000-5E8C-4715-B1DF-1E828197FF17}"/>
            </c:ext>
          </c:extLst>
        </c:ser>
        <c:ser>
          <c:idx val="202"/>
          <c:order val="1"/>
          <c:tx>
            <c:v>LagerV1</c:v>
          </c:tx>
          <c:spPr>
            <a:ln w="12700">
              <a:solidFill>
                <a:srgbClr val="808080"/>
              </a:solidFill>
              <a:prstDash val="solid"/>
            </a:ln>
          </c:spPr>
          <c:marker>
            <c:symbol val="none"/>
          </c:marker>
          <c:xVal>
            <c:numRef>
              <c:f>Symbole!$P$6:$S$6</c:f>
              <c:numCache>
                <c:formatCode>General</c:formatCode>
                <c:ptCount val="4"/>
                <c:pt idx="0">
                  <c:v>23.626678459402886</c:v>
                </c:pt>
                <c:pt idx="1">
                  <c:v>23.626678459402886</c:v>
                </c:pt>
                <c:pt idx="2">
                  <c:v>23.626678459402886</c:v>
                </c:pt>
                <c:pt idx="3">
                  <c:v>23.626678459402886</c:v>
                </c:pt>
              </c:numCache>
            </c:numRef>
          </c:xVal>
          <c:yVal>
            <c:numRef>
              <c:f>Symbole!$T$6:$W$6</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01-5E8C-4715-B1DF-1E828197FF17}"/>
            </c:ext>
          </c:extLst>
        </c:ser>
        <c:ser>
          <c:idx val="203"/>
          <c:order val="2"/>
          <c:tx>
            <c:v>LagerV2</c:v>
          </c:tx>
          <c:spPr>
            <a:ln w="12700">
              <a:solidFill>
                <a:srgbClr val="808080"/>
              </a:solidFill>
              <a:prstDash val="solid"/>
            </a:ln>
          </c:spPr>
          <c:marker>
            <c:symbol val="none"/>
          </c:marker>
          <c:xVal>
            <c:numRef>
              <c:f>Symbole!$P$7:$S$7</c:f>
              <c:numCache>
                <c:formatCode>General</c:formatCode>
                <c:ptCount val="4"/>
                <c:pt idx="0">
                  <c:v>100</c:v>
                </c:pt>
                <c:pt idx="1">
                  <c:v>108.48528137423857</c:v>
                </c:pt>
                <c:pt idx="2">
                  <c:v>91.514718625761432</c:v>
                </c:pt>
                <c:pt idx="3">
                  <c:v>100</c:v>
                </c:pt>
              </c:numCache>
            </c:numRef>
          </c:xVal>
          <c:yVal>
            <c:numRef>
              <c:f>Symbole!$T$7:$W$7</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2-5E8C-4715-B1DF-1E828197FF17}"/>
            </c:ext>
          </c:extLst>
        </c:ser>
        <c:ser>
          <c:idx val="204"/>
          <c:order val="3"/>
          <c:tx>
            <c:v>LagerV3</c:v>
          </c:tx>
          <c:spPr>
            <a:ln w="12700">
              <a:solidFill>
                <a:srgbClr val="808080"/>
              </a:solidFill>
              <a:prstDash val="solid"/>
            </a:ln>
          </c:spPr>
          <c:marker>
            <c:symbol val="none"/>
          </c:marker>
          <c:xVal>
            <c:numRef>
              <c:f>Symbole!$P$8:$S$8</c:f>
              <c:numCache>
                <c:formatCode>General</c:formatCode>
                <c:ptCount val="4"/>
                <c:pt idx="0">
                  <c:v>20</c:v>
                </c:pt>
                <c:pt idx="1">
                  <c:v>28.485281374238571</c:v>
                </c:pt>
                <c:pt idx="2">
                  <c:v>11.514718625761429</c:v>
                </c:pt>
                <c:pt idx="3">
                  <c:v>20</c:v>
                </c:pt>
              </c:numCache>
            </c:numRef>
          </c:xVal>
          <c:yVal>
            <c:numRef>
              <c:f>Symbole!$T$8:$W$8</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3-5E8C-4715-B1DF-1E828197FF17}"/>
            </c:ext>
          </c:extLst>
        </c:ser>
        <c:ser>
          <c:idx val="205"/>
          <c:order val="4"/>
          <c:tx>
            <c:v>LagerV4</c:v>
          </c:tx>
          <c:spPr>
            <a:ln w="12700">
              <a:solidFill>
                <a:srgbClr val="808080"/>
              </a:solidFill>
              <a:prstDash val="solid"/>
            </a:ln>
          </c:spPr>
          <c:marker>
            <c:symbol val="none"/>
          </c:marker>
          <c:xVal>
            <c:numRef>
              <c:f>Symbole!$P$9:$S$9</c:f>
              <c:numCache>
                <c:formatCode>General</c:formatCode>
                <c:ptCount val="4"/>
                <c:pt idx="0">
                  <c:v>60</c:v>
                </c:pt>
                <c:pt idx="1">
                  <c:v>68.485281374238568</c:v>
                </c:pt>
                <c:pt idx="2">
                  <c:v>51.514718625761432</c:v>
                </c:pt>
                <c:pt idx="3">
                  <c:v>60</c:v>
                </c:pt>
              </c:numCache>
            </c:numRef>
          </c:xVal>
          <c:yVal>
            <c:numRef>
              <c:f>Symbole!$T$9:$W$9</c:f>
              <c:numCache>
                <c:formatCode>General</c:formatCode>
                <c:ptCount val="4"/>
                <c:pt idx="0">
                  <c:v>-100</c:v>
                </c:pt>
                <c:pt idx="1">
                  <c:v>-85.303492659818801</c:v>
                </c:pt>
                <c:pt idx="2">
                  <c:v>-85.303492659818801</c:v>
                </c:pt>
                <c:pt idx="3">
                  <c:v>-100</c:v>
                </c:pt>
              </c:numCache>
            </c:numRef>
          </c:yVal>
          <c:smooth val="0"/>
          <c:extLst>
            <c:ext xmlns:c16="http://schemas.microsoft.com/office/drawing/2014/chart" uri="{C3380CC4-5D6E-409C-BE32-E72D297353CC}">
              <c16:uniqueId val="{00000004-5E8C-4715-B1DF-1E828197FF17}"/>
            </c:ext>
          </c:extLst>
        </c:ser>
        <c:ser>
          <c:idx val="206"/>
          <c:order val="5"/>
          <c:tx>
            <c:v>LagerV5</c:v>
          </c:tx>
          <c:spPr>
            <a:ln w="12700">
              <a:solidFill>
                <a:srgbClr val="808080"/>
              </a:solidFill>
              <a:prstDash val="solid"/>
            </a:ln>
          </c:spPr>
          <c:marker>
            <c:symbol val="none"/>
          </c:marker>
          <c:xVal>
            <c:numRef>
              <c:f>Symbole!$P$10:$S$10</c:f>
              <c:numCache>
                <c:formatCode>General</c:formatCode>
                <c:ptCount val="4"/>
                <c:pt idx="0">
                  <c:v>-50</c:v>
                </c:pt>
                <c:pt idx="1">
                  <c:v>-41.514718625761432</c:v>
                </c:pt>
                <c:pt idx="2">
                  <c:v>-58.485281374238568</c:v>
                </c:pt>
                <c:pt idx="3">
                  <c:v>-50</c:v>
                </c:pt>
              </c:numCache>
            </c:numRef>
          </c:xVal>
          <c:yVal>
            <c:numRef>
              <c:f>Symbole!$T$10:$W$10</c:f>
              <c:numCache>
                <c:formatCode>General</c:formatCode>
                <c:ptCount val="4"/>
                <c:pt idx="0">
                  <c:v>-70</c:v>
                </c:pt>
                <c:pt idx="1">
                  <c:v>-55.303492659818794</c:v>
                </c:pt>
                <c:pt idx="2">
                  <c:v>-55.303492659818794</c:v>
                </c:pt>
                <c:pt idx="3">
                  <c:v>-70</c:v>
                </c:pt>
              </c:numCache>
            </c:numRef>
          </c:yVal>
          <c:smooth val="0"/>
          <c:extLst>
            <c:ext xmlns:c16="http://schemas.microsoft.com/office/drawing/2014/chart" uri="{C3380CC4-5D6E-409C-BE32-E72D297353CC}">
              <c16:uniqueId val="{00000005-5E8C-4715-B1DF-1E828197FF17}"/>
            </c:ext>
          </c:extLst>
        </c:ser>
        <c:ser>
          <c:idx val="207"/>
          <c:order val="6"/>
          <c:tx>
            <c:v>LagerV6</c:v>
          </c:tx>
          <c:spPr>
            <a:ln w="12700">
              <a:solidFill>
                <a:srgbClr val="808080"/>
              </a:solidFill>
              <a:prstDash val="solid"/>
            </a:ln>
          </c:spPr>
          <c:marker>
            <c:symbol val="none"/>
          </c:marker>
          <c:xVal>
            <c:numRef>
              <c:f>Symbole!$P$11:$S$11</c:f>
              <c:numCache>
                <c:formatCode>General</c:formatCode>
                <c:ptCount val="4"/>
                <c:pt idx="0">
                  <c:v>-100</c:v>
                </c:pt>
                <c:pt idx="1">
                  <c:v>-91.514718625761432</c:v>
                </c:pt>
                <c:pt idx="2">
                  <c:v>-108.48528137423857</c:v>
                </c:pt>
                <c:pt idx="3">
                  <c:v>-100</c:v>
                </c:pt>
              </c:numCache>
            </c:numRef>
          </c:xVal>
          <c:yVal>
            <c:numRef>
              <c:f>Symbole!$T$11:$W$11</c:f>
              <c:numCache>
                <c:formatCode>General</c:formatCode>
                <c:ptCount val="4"/>
                <c:pt idx="0">
                  <c:v>100</c:v>
                </c:pt>
                <c:pt idx="1">
                  <c:v>114.6965073401812</c:v>
                </c:pt>
                <c:pt idx="2">
                  <c:v>114.6965073401812</c:v>
                </c:pt>
                <c:pt idx="3">
                  <c:v>100</c:v>
                </c:pt>
              </c:numCache>
            </c:numRef>
          </c:yVal>
          <c:smooth val="0"/>
          <c:extLst>
            <c:ext xmlns:c16="http://schemas.microsoft.com/office/drawing/2014/chart" uri="{C3380CC4-5D6E-409C-BE32-E72D297353CC}">
              <c16:uniqueId val="{00000006-5E8C-4715-B1DF-1E828197FF17}"/>
            </c:ext>
          </c:extLst>
        </c:ser>
        <c:ser>
          <c:idx val="208"/>
          <c:order val="7"/>
          <c:tx>
            <c:v>LagerV7</c:v>
          </c:tx>
          <c:spPr>
            <a:ln w="12700">
              <a:solidFill>
                <a:srgbClr val="808080"/>
              </a:solidFill>
              <a:prstDash val="solid"/>
            </a:ln>
          </c:spPr>
          <c:marker>
            <c:symbol val="none"/>
          </c:marker>
          <c:xVal>
            <c:numRef>
              <c:f>Symbole!$P$12:$S$12</c:f>
              <c:numCache>
                <c:formatCode>General</c:formatCode>
                <c:ptCount val="4"/>
                <c:pt idx="0">
                  <c:v>0</c:v>
                </c:pt>
                <c:pt idx="1">
                  <c:v>0</c:v>
                </c:pt>
                <c:pt idx="2">
                  <c:v>0</c:v>
                </c:pt>
                <c:pt idx="3">
                  <c:v>0</c:v>
                </c:pt>
              </c:numCache>
            </c:numRef>
          </c:xVal>
          <c:yVal>
            <c:numRef>
              <c:f>Symbole!$T$12:$W$12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7-5E8C-4715-B1DF-1E828197FF17}"/>
            </c:ext>
          </c:extLst>
        </c:ser>
        <c:ser>
          <c:idx val="209"/>
          <c:order val="8"/>
          <c:tx>
            <c:v>LagerV8</c:v>
          </c:tx>
          <c:spPr>
            <a:ln w="12700">
              <a:solidFill>
                <a:srgbClr val="808080"/>
              </a:solidFill>
              <a:prstDash val="solid"/>
            </a:ln>
          </c:spPr>
          <c:marker>
            <c:symbol val="none"/>
          </c:marker>
          <c:xVal>
            <c:numRef>
              <c:f>Symbole!$P$13:$S$13</c:f>
              <c:numCache>
                <c:formatCode>General</c:formatCode>
                <c:ptCount val="4"/>
                <c:pt idx="0">
                  <c:v>0</c:v>
                </c:pt>
                <c:pt idx="1">
                  <c:v>0</c:v>
                </c:pt>
                <c:pt idx="2">
                  <c:v>0</c:v>
                </c:pt>
                <c:pt idx="3">
                  <c:v>0</c:v>
                </c:pt>
              </c:numCache>
            </c:numRef>
          </c:xVal>
          <c:yVal>
            <c:numRef>
              <c:f>Symbole!$T$13:$W$13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8-5E8C-4715-B1DF-1E828197FF17}"/>
            </c:ext>
          </c:extLst>
        </c:ser>
        <c:ser>
          <c:idx val="210"/>
          <c:order val="9"/>
          <c:tx>
            <c:v>LagerV9</c:v>
          </c:tx>
          <c:spPr>
            <a:ln w="12700">
              <a:solidFill>
                <a:srgbClr val="808080"/>
              </a:solidFill>
              <a:prstDash val="solid"/>
            </a:ln>
          </c:spPr>
          <c:marker>
            <c:symbol val="none"/>
          </c:marker>
          <c:xVal>
            <c:numRef>
              <c:f>Symbole!$P$14:$S$14</c:f>
              <c:numCache>
                <c:formatCode>General</c:formatCode>
                <c:ptCount val="4"/>
                <c:pt idx="0">
                  <c:v>0</c:v>
                </c:pt>
                <c:pt idx="1">
                  <c:v>0</c:v>
                </c:pt>
                <c:pt idx="2">
                  <c:v>0</c:v>
                </c:pt>
                <c:pt idx="3">
                  <c:v>0</c:v>
                </c:pt>
              </c:numCache>
            </c:numRef>
          </c:xVal>
          <c:yVal>
            <c:numRef>
              <c:f>Symbole!$T$14:$W$14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9-5E8C-4715-B1DF-1E828197FF17}"/>
            </c:ext>
          </c:extLst>
        </c:ser>
        <c:ser>
          <c:idx val="211"/>
          <c:order val="10"/>
          <c:tx>
            <c:v>LagerV10</c:v>
          </c:tx>
          <c:spPr>
            <a:ln w="12700">
              <a:solidFill>
                <a:srgbClr val="808080"/>
              </a:solidFill>
              <a:prstDash val="solid"/>
            </a:ln>
          </c:spPr>
          <c:marker>
            <c:symbol val="none"/>
          </c:marker>
          <c:xVal>
            <c:numRef>
              <c:f>Symbole!$P$15:$S$15</c:f>
              <c:numCache>
                <c:formatCode>General</c:formatCode>
                <c:ptCount val="4"/>
                <c:pt idx="0">
                  <c:v>0</c:v>
                </c:pt>
                <c:pt idx="1">
                  <c:v>0</c:v>
                </c:pt>
                <c:pt idx="2">
                  <c:v>0</c:v>
                </c:pt>
                <c:pt idx="3">
                  <c:v>0</c:v>
                </c:pt>
              </c:numCache>
            </c:numRef>
          </c:xVal>
          <c:yVal>
            <c:numRef>
              <c:f>Symbole!$T$15:$W$15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A-5E8C-4715-B1DF-1E828197FF17}"/>
            </c:ext>
          </c:extLst>
        </c:ser>
        <c:ser>
          <c:idx val="212"/>
          <c:order val="11"/>
          <c:tx>
            <c:v>LagerV11</c:v>
          </c:tx>
          <c:spPr>
            <a:ln w="12700">
              <a:solidFill>
                <a:srgbClr val="808080"/>
              </a:solidFill>
              <a:prstDash val="solid"/>
            </a:ln>
          </c:spPr>
          <c:marker>
            <c:symbol val="none"/>
          </c:marker>
          <c:xVal>
            <c:numRef>
              <c:f>Symbole!$P$16:$S$16</c:f>
              <c:numCache>
                <c:formatCode>General</c:formatCode>
                <c:ptCount val="4"/>
                <c:pt idx="0">
                  <c:v>0</c:v>
                </c:pt>
                <c:pt idx="1">
                  <c:v>0</c:v>
                </c:pt>
                <c:pt idx="2">
                  <c:v>0</c:v>
                </c:pt>
                <c:pt idx="3">
                  <c:v>0</c:v>
                </c:pt>
              </c:numCache>
            </c:numRef>
          </c:xVal>
          <c:yVal>
            <c:numRef>
              <c:f>Symbole!$T$16:$W$16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B-5E8C-4715-B1DF-1E828197FF17}"/>
            </c:ext>
          </c:extLst>
        </c:ser>
        <c:ser>
          <c:idx val="213"/>
          <c:order val="12"/>
          <c:tx>
            <c:v>LagerV12</c:v>
          </c:tx>
          <c:spPr>
            <a:ln w="12700">
              <a:solidFill>
                <a:srgbClr val="808080"/>
              </a:solidFill>
              <a:prstDash val="solid"/>
            </a:ln>
          </c:spPr>
          <c:marker>
            <c:symbol val="none"/>
          </c:marker>
          <c:xVal>
            <c:numRef>
              <c:f>Symbole!$P$17:$S$17</c:f>
              <c:numCache>
                <c:formatCode>General</c:formatCode>
                <c:ptCount val="4"/>
                <c:pt idx="0">
                  <c:v>0</c:v>
                </c:pt>
                <c:pt idx="1">
                  <c:v>0</c:v>
                </c:pt>
                <c:pt idx="2">
                  <c:v>0</c:v>
                </c:pt>
                <c:pt idx="3">
                  <c:v>0</c:v>
                </c:pt>
              </c:numCache>
            </c:numRef>
          </c:xVal>
          <c:yVal>
            <c:numRef>
              <c:f>Symbole!$T$17:$W$17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C-5E8C-4715-B1DF-1E828197FF17}"/>
            </c:ext>
          </c:extLst>
        </c:ser>
        <c:ser>
          <c:idx val="214"/>
          <c:order val="13"/>
          <c:tx>
            <c:v>LagerV13</c:v>
          </c:tx>
          <c:spPr>
            <a:ln w="12700">
              <a:solidFill>
                <a:srgbClr val="808080"/>
              </a:solidFill>
              <a:prstDash val="solid"/>
            </a:ln>
          </c:spPr>
          <c:marker>
            <c:symbol val="none"/>
          </c:marker>
          <c:xVal>
            <c:numRef>
              <c:f>Symbole!$P$18:$S$18</c:f>
              <c:numCache>
                <c:formatCode>General</c:formatCode>
                <c:ptCount val="4"/>
                <c:pt idx="0">
                  <c:v>0</c:v>
                </c:pt>
                <c:pt idx="1">
                  <c:v>0</c:v>
                </c:pt>
                <c:pt idx="2">
                  <c:v>0</c:v>
                </c:pt>
                <c:pt idx="3">
                  <c:v>0</c:v>
                </c:pt>
              </c:numCache>
            </c:numRef>
          </c:xVal>
          <c:yVal>
            <c:numRef>
              <c:f>Symbole!$T$18:$W$18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D-5E8C-4715-B1DF-1E828197FF17}"/>
            </c:ext>
          </c:extLst>
        </c:ser>
        <c:ser>
          <c:idx val="215"/>
          <c:order val="14"/>
          <c:tx>
            <c:v>LagerV14</c:v>
          </c:tx>
          <c:spPr>
            <a:ln w="12700">
              <a:solidFill>
                <a:srgbClr val="808080"/>
              </a:solidFill>
              <a:prstDash val="solid"/>
            </a:ln>
          </c:spPr>
          <c:marker>
            <c:symbol val="none"/>
          </c:marker>
          <c:xVal>
            <c:numRef>
              <c:f>Symbole!$P$19:$S$19</c:f>
              <c:numCache>
                <c:formatCode>General</c:formatCode>
                <c:ptCount val="4"/>
                <c:pt idx="0">
                  <c:v>0</c:v>
                </c:pt>
                <c:pt idx="1">
                  <c:v>0</c:v>
                </c:pt>
                <c:pt idx="2">
                  <c:v>0</c:v>
                </c:pt>
                <c:pt idx="3">
                  <c:v>0</c:v>
                </c:pt>
              </c:numCache>
            </c:numRef>
          </c:xVal>
          <c:yVal>
            <c:numRef>
              <c:f>Symbole!$T$19:$W$19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E-5E8C-4715-B1DF-1E828197FF17}"/>
            </c:ext>
          </c:extLst>
        </c:ser>
        <c:ser>
          <c:idx val="216"/>
          <c:order val="15"/>
          <c:tx>
            <c:v>LagerV15</c:v>
          </c:tx>
          <c:spPr>
            <a:ln w="12700">
              <a:solidFill>
                <a:srgbClr val="808080"/>
              </a:solidFill>
              <a:prstDash val="solid"/>
            </a:ln>
          </c:spPr>
          <c:marker>
            <c:symbol val="none"/>
          </c:marker>
          <c:xVal>
            <c:numRef>
              <c:f>Symbole!$P$20:$S$20</c:f>
              <c:numCache>
                <c:formatCode>General</c:formatCode>
                <c:ptCount val="4"/>
                <c:pt idx="0">
                  <c:v>0</c:v>
                </c:pt>
                <c:pt idx="1">
                  <c:v>0</c:v>
                </c:pt>
                <c:pt idx="2">
                  <c:v>0</c:v>
                </c:pt>
                <c:pt idx="3">
                  <c:v>0</c:v>
                </c:pt>
              </c:numCache>
            </c:numRef>
          </c:xVal>
          <c:yVal>
            <c:numRef>
              <c:f>Symbole!$T$20:$W$20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F-5E8C-4715-B1DF-1E828197FF17}"/>
            </c:ext>
          </c:extLst>
        </c:ser>
        <c:ser>
          <c:idx val="217"/>
          <c:order val="16"/>
          <c:tx>
            <c:v>LagerV16</c:v>
          </c:tx>
          <c:spPr>
            <a:ln w="12700">
              <a:solidFill>
                <a:srgbClr val="808080"/>
              </a:solidFill>
              <a:prstDash val="solid"/>
            </a:ln>
          </c:spPr>
          <c:marker>
            <c:symbol val="none"/>
          </c:marker>
          <c:xVal>
            <c:numRef>
              <c:f>Symbole!$P$21:$S$21</c:f>
              <c:numCache>
                <c:formatCode>General</c:formatCode>
                <c:ptCount val="4"/>
                <c:pt idx="0">
                  <c:v>0</c:v>
                </c:pt>
                <c:pt idx="1">
                  <c:v>0</c:v>
                </c:pt>
                <c:pt idx="2">
                  <c:v>0</c:v>
                </c:pt>
                <c:pt idx="3">
                  <c:v>0</c:v>
                </c:pt>
              </c:numCache>
            </c:numRef>
          </c:xVal>
          <c:yVal>
            <c:numRef>
              <c:f>Symbole!$T$21:$W$21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0-5E8C-4715-B1DF-1E828197FF17}"/>
            </c:ext>
          </c:extLst>
        </c:ser>
        <c:ser>
          <c:idx val="218"/>
          <c:order val="17"/>
          <c:tx>
            <c:v>LagerV17</c:v>
          </c:tx>
          <c:spPr>
            <a:ln w="12700">
              <a:solidFill>
                <a:srgbClr val="808080"/>
              </a:solidFill>
              <a:prstDash val="solid"/>
            </a:ln>
          </c:spPr>
          <c:marker>
            <c:symbol val="none"/>
          </c:marker>
          <c:xVal>
            <c:numRef>
              <c:f>Symbole!$P$22:$S$22</c:f>
              <c:numCache>
                <c:formatCode>General</c:formatCode>
                <c:ptCount val="4"/>
                <c:pt idx="0">
                  <c:v>0</c:v>
                </c:pt>
                <c:pt idx="1">
                  <c:v>0</c:v>
                </c:pt>
                <c:pt idx="2">
                  <c:v>0</c:v>
                </c:pt>
                <c:pt idx="3">
                  <c:v>0</c:v>
                </c:pt>
              </c:numCache>
            </c:numRef>
          </c:xVal>
          <c:yVal>
            <c:numRef>
              <c:f>Symbole!$T$22:$W$22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1-5E8C-4715-B1DF-1E828197FF17}"/>
            </c:ext>
          </c:extLst>
        </c:ser>
        <c:ser>
          <c:idx val="219"/>
          <c:order val="18"/>
          <c:tx>
            <c:v>LagerV18</c:v>
          </c:tx>
          <c:spPr>
            <a:ln w="12700">
              <a:solidFill>
                <a:srgbClr val="808080"/>
              </a:solidFill>
              <a:prstDash val="solid"/>
            </a:ln>
          </c:spPr>
          <c:marker>
            <c:symbol val="none"/>
          </c:marker>
          <c:xVal>
            <c:numRef>
              <c:f>Symbole!$P$23:$S$23</c:f>
              <c:numCache>
                <c:formatCode>General</c:formatCode>
                <c:ptCount val="4"/>
                <c:pt idx="0">
                  <c:v>0</c:v>
                </c:pt>
                <c:pt idx="1">
                  <c:v>0</c:v>
                </c:pt>
                <c:pt idx="2">
                  <c:v>0</c:v>
                </c:pt>
                <c:pt idx="3">
                  <c:v>0</c:v>
                </c:pt>
              </c:numCache>
            </c:numRef>
          </c:xVal>
          <c:yVal>
            <c:numRef>
              <c:f>Symbole!$T$23:$W$23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2-5E8C-4715-B1DF-1E828197FF17}"/>
            </c:ext>
          </c:extLst>
        </c:ser>
        <c:ser>
          <c:idx val="220"/>
          <c:order val="19"/>
          <c:tx>
            <c:v>LagerV19</c:v>
          </c:tx>
          <c:spPr>
            <a:ln w="12700">
              <a:solidFill>
                <a:srgbClr val="808080"/>
              </a:solidFill>
              <a:prstDash val="solid"/>
            </a:ln>
          </c:spPr>
          <c:marker>
            <c:symbol val="none"/>
          </c:marker>
          <c:xVal>
            <c:numRef>
              <c:f>Symbole!$P$24:$S$24</c:f>
              <c:numCache>
                <c:formatCode>General</c:formatCode>
                <c:ptCount val="4"/>
                <c:pt idx="0">
                  <c:v>0</c:v>
                </c:pt>
                <c:pt idx="1">
                  <c:v>0</c:v>
                </c:pt>
                <c:pt idx="2">
                  <c:v>0</c:v>
                </c:pt>
                <c:pt idx="3">
                  <c:v>0</c:v>
                </c:pt>
              </c:numCache>
            </c:numRef>
          </c:xVal>
          <c:yVal>
            <c:numRef>
              <c:f>Symbole!$T$24:$W$24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3-5E8C-4715-B1DF-1E828197FF17}"/>
            </c:ext>
          </c:extLst>
        </c:ser>
        <c:ser>
          <c:idx val="221"/>
          <c:order val="20"/>
          <c:tx>
            <c:v>LagerV20</c:v>
          </c:tx>
          <c:spPr>
            <a:ln w="12700">
              <a:solidFill>
                <a:srgbClr val="808080"/>
              </a:solidFill>
              <a:prstDash val="solid"/>
            </a:ln>
          </c:spPr>
          <c:marker>
            <c:symbol val="none"/>
          </c:marker>
          <c:xVal>
            <c:numRef>
              <c:f>Symbole!$P$25:$S$25</c:f>
              <c:numCache>
                <c:formatCode>General</c:formatCode>
                <c:ptCount val="4"/>
                <c:pt idx="0">
                  <c:v>0</c:v>
                </c:pt>
                <c:pt idx="1">
                  <c:v>0</c:v>
                </c:pt>
                <c:pt idx="2">
                  <c:v>0</c:v>
                </c:pt>
                <c:pt idx="3">
                  <c:v>0</c:v>
                </c:pt>
              </c:numCache>
            </c:numRef>
          </c:xVal>
          <c:yVal>
            <c:numRef>
              <c:f>Symbole!$T$25:$W$25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4-5E8C-4715-B1DF-1E828197FF17}"/>
            </c:ext>
          </c:extLst>
        </c:ser>
        <c:ser>
          <c:idx val="222"/>
          <c:order val="21"/>
          <c:tx>
            <c:v>LagerH1</c:v>
          </c:tx>
          <c:spPr>
            <a:ln w="12700">
              <a:solidFill>
                <a:srgbClr val="808080"/>
              </a:solidFill>
              <a:prstDash val="solid"/>
            </a:ln>
          </c:spPr>
          <c:marker>
            <c:symbol val="none"/>
          </c:marker>
          <c:xVal>
            <c:numRef>
              <c:f>Symbole!$P$29:$S$29</c:f>
              <c:numCache>
                <c:formatCode>General</c:formatCode>
                <c:ptCount val="4"/>
                <c:pt idx="0">
                  <c:v>23.626678459402886</c:v>
                </c:pt>
                <c:pt idx="1">
                  <c:v>23.626678459402886</c:v>
                </c:pt>
                <c:pt idx="2">
                  <c:v>23.626678459402886</c:v>
                </c:pt>
                <c:pt idx="3">
                  <c:v>23.626678459402886</c:v>
                </c:pt>
              </c:numCache>
            </c:numRef>
          </c:xVal>
          <c:yVal>
            <c:numRef>
              <c:f>Symbole!$T$29:$W$29</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15-5E8C-4715-B1DF-1E828197FF17}"/>
            </c:ext>
          </c:extLst>
        </c:ser>
        <c:ser>
          <c:idx val="223"/>
          <c:order val="22"/>
          <c:tx>
            <c:v>LagerH2</c:v>
          </c:tx>
          <c:spPr>
            <a:ln w="12700">
              <a:solidFill>
                <a:srgbClr val="808080"/>
              </a:solidFill>
              <a:prstDash val="solid"/>
            </a:ln>
          </c:spPr>
          <c:marker>
            <c:symbol val="none"/>
          </c:marker>
          <c:xVal>
            <c:numRef>
              <c:f>Symbole!$P$30:$S$30</c:f>
              <c:numCache>
                <c:formatCode>General</c:formatCode>
                <c:ptCount val="4"/>
                <c:pt idx="0">
                  <c:v>100</c:v>
                </c:pt>
                <c:pt idx="1">
                  <c:v>114.6965073401812</c:v>
                </c:pt>
                <c:pt idx="2">
                  <c:v>114.6965073401812</c:v>
                </c:pt>
                <c:pt idx="3">
                  <c:v>100</c:v>
                </c:pt>
              </c:numCache>
            </c:numRef>
          </c:xVal>
          <c:yVal>
            <c:numRef>
              <c:f>Symbole!$T$30:$W$30</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6-5E8C-4715-B1DF-1E828197FF17}"/>
            </c:ext>
          </c:extLst>
        </c:ser>
        <c:ser>
          <c:idx val="224"/>
          <c:order val="23"/>
          <c:tx>
            <c:v>LagerH3</c:v>
          </c:tx>
          <c:spPr>
            <a:ln w="12700">
              <a:solidFill>
                <a:srgbClr val="808080"/>
              </a:solidFill>
              <a:prstDash val="solid"/>
            </a:ln>
          </c:spPr>
          <c:marker>
            <c:symbol val="none"/>
          </c:marker>
          <c:xVal>
            <c:numRef>
              <c:f>Symbole!$P$31:$S$31</c:f>
              <c:numCache>
                <c:formatCode>General</c:formatCode>
                <c:ptCount val="4"/>
                <c:pt idx="0">
                  <c:v>20</c:v>
                </c:pt>
                <c:pt idx="1">
                  <c:v>34.696507340181206</c:v>
                </c:pt>
                <c:pt idx="2">
                  <c:v>34.696507340181206</c:v>
                </c:pt>
                <c:pt idx="3">
                  <c:v>20</c:v>
                </c:pt>
              </c:numCache>
            </c:numRef>
          </c:xVal>
          <c:yVal>
            <c:numRef>
              <c:f>Symbole!$T$31:$W$31</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7-5E8C-4715-B1DF-1E828197FF17}"/>
            </c:ext>
          </c:extLst>
        </c:ser>
        <c:ser>
          <c:idx val="225"/>
          <c:order val="24"/>
          <c:tx>
            <c:v>LagerH4</c:v>
          </c:tx>
          <c:spPr>
            <a:ln w="12700">
              <a:solidFill>
                <a:srgbClr val="808080"/>
              </a:solidFill>
              <a:prstDash val="solid"/>
            </a:ln>
          </c:spPr>
          <c:marker>
            <c:symbol val="none"/>
          </c:marker>
          <c:xVal>
            <c:numRef>
              <c:f>Symbole!$P$32:$S$32</c:f>
              <c:numCache>
                <c:formatCode>General</c:formatCode>
                <c:ptCount val="4"/>
                <c:pt idx="0">
                  <c:v>60</c:v>
                </c:pt>
                <c:pt idx="1">
                  <c:v>74.696507340181199</c:v>
                </c:pt>
                <c:pt idx="2">
                  <c:v>74.696507340181199</c:v>
                </c:pt>
                <c:pt idx="3">
                  <c:v>60</c:v>
                </c:pt>
              </c:numCache>
            </c:numRef>
          </c:xVal>
          <c:yVal>
            <c:numRef>
              <c:f>Symbole!$T$32:$W$32</c:f>
              <c:numCache>
                <c:formatCode>General</c:formatCode>
                <c:ptCount val="4"/>
                <c:pt idx="0">
                  <c:v>-100</c:v>
                </c:pt>
                <c:pt idx="1">
                  <c:v>-91.514718625761432</c:v>
                </c:pt>
                <c:pt idx="2">
                  <c:v>-108.48528137423857</c:v>
                </c:pt>
                <c:pt idx="3">
                  <c:v>-100</c:v>
                </c:pt>
              </c:numCache>
            </c:numRef>
          </c:yVal>
          <c:smooth val="0"/>
          <c:extLst>
            <c:ext xmlns:c16="http://schemas.microsoft.com/office/drawing/2014/chart" uri="{C3380CC4-5D6E-409C-BE32-E72D297353CC}">
              <c16:uniqueId val="{00000018-5E8C-4715-B1DF-1E828197FF17}"/>
            </c:ext>
          </c:extLst>
        </c:ser>
        <c:ser>
          <c:idx val="226"/>
          <c:order val="25"/>
          <c:tx>
            <c:v>LagerH5</c:v>
          </c:tx>
          <c:spPr>
            <a:ln w="12700">
              <a:solidFill>
                <a:srgbClr val="808080"/>
              </a:solidFill>
              <a:prstDash val="solid"/>
            </a:ln>
          </c:spPr>
          <c:marker>
            <c:symbol val="none"/>
          </c:marker>
          <c:xVal>
            <c:numRef>
              <c:f>Symbole!$P$33:$S$33</c:f>
              <c:numCache>
                <c:formatCode>General</c:formatCode>
                <c:ptCount val="4"/>
                <c:pt idx="0">
                  <c:v>-50</c:v>
                </c:pt>
                <c:pt idx="1">
                  <c:v>-35.303492659818794</c:v>
                </c:pt>
                <c:pt idx="2">
                  <c:v>-35.303492659818794</c:v>
                </c:pt>
                <c:pt idx="3">
                  <c:v>-50</c:v>
                </c:pt>
              </c:numCache>
            </c:numRef>
          </c:xVal>
          <c:yVal>
            <c:numRef>
              <c:f>Symbole!$T$33:$W$33</c:f>
              <c:numCache>
                <c:formatCode>General</c:formatCode>
                <c:ptCount val="4"/>
                <c:pt idx="0">
                  <c:v>-70</c:v>
                </c:pt>
                <c:pt idx="1">
                  <c:v>-61.514718625761432</c:v>
                </c:pt>
                <c:pt idx="2">
                  <c:v>-78.485281374238568</c:v>
                </c:pt>
                <c:pt idx="3">
                  <c:v>-70</c:v>
                </c:pt>
              </c:numCache>
            </c:numRef>
          </c:yVal>
          <c:smooth val="0"/>
          <c:extLst>
            <c:ext xmlns:c16="http://schemas.microsoft.com/office/drawing/2014/chart" uri="{C3380CC4-5D6E-409C-BE32-E72D297353CC}">
              <c16:uniqueId val="{00000019-5E8C-4715-B1DF-1E828197FF17}"/>
            </c:ext>
          </c:extLst>
        </c:ser>
        <c:ser>
          <c:idx val="227"/>
          <c:order val="26"/>
          <c:tx>
            <c:v>LagerH6</c:v>
          </c:tx>
          <c:spPr>
            <a:ln w="12700">
              <a:solidFill>
                <a:srgbClr val="808080"/>
              </a:solidFill>
              <a:prstDash val="solid"/>
            </a:ln>
          </c:spPr>
          <c:marker>
            <c:symbol val="none"/>
          </c:marker>
          <c:xVal>
            <c:numRef>
              <c:f>Symbole!$P$34:$S$34</c:f>
              <c:numCache>
                <c:formatCode>General</c:formatCode>
                <c:ptCount val="4"/>
                <c:pt idx="0">
                  <c:v>-100</c:v>
                </c:pt>
                <c:pt idx="1">
                  <c:v>-85.303492659818801</c:v>
                </c:pt>
                <c:pt idx="2">
                  <c:v>-85.303492659818801</c:v>
                </c:pt>
                <c:pt idx="3">
                  <c:v>-100</c:v>
                </c:pt>
              </c:numCache>
            </c:numRef>
          </c:xVal>
          <c:yVal>
            <c:numRef>
              <c:f>Symbole!$T$34:$W$34</c:f>
              <c:numCache>
                <c:formatCode>General</c:formatCode>
                <c:ptCount val="4"/>
                <c:pt idx="0">
                  <c:v>100</c:v>
                </c:pt>
                <c:pt idx="1">
                  <c:v>108.48528137423857</c:v>
                </c:pt>
                <c:pt idx="2">
                  <c:v>91.514718625761432</c:v>
                </c:pt>
                <c:pt idx="3">
                  <c:v>100</c:v>
                </c:pt>
              </c:numCache>
            </c:numRef>
          </c:yVal>
          <c:smooth val="0"/>
          <c:extLst>
            <c:ext xmlns:c16="http://schemas.microsoft.com/office/drawing/2014/chart" uri="{C3380CC4-5D6E-409C-BE32-E72D297353CC}">
              <c16:uniqueId val="{0000001A-5E8C-4715-B1DF-1E828197FF17}"/>
            </c:ext>
          </c:extLst>
        </c:ser>
        <c:ser>
          <c:idx val="228"/>
          <c:order val="27"/>
          <c:tx>
            <c:v>LagerH7</c:v>
          </c:tx>
          <c:spPr>
            <a:ln w="12700">
              <a:solidFill>
                <a:srgbClr val="808080"/>
              </a:solidFill>
              <a:prstDash val="solid"/>
            </a:ln>
          </c:spPr>
          <c:marker>
            <c:symbol val="none"/>
          </c:marker>
          <c:xVal>
            <c:numRef>
              <c:f>Symbole!$P$35:$S$35</c:f>
              <c:numCache>
                <c:formatCode>General</c:formatCode>
                <c:ptCount val="4"/>
                <c:pt idx="0">
                  <c:v>0</c:v>
                </c:pt>
                <c:pt idx="1">
                  <c:v>0</c:v>
                </c:pt>
                <c:pt idx="2">
                  <c:v>0</c:v>
                </c:pt>
                <c:pt idx="3">
                  <c:v>0</c:v>
                </c:pt>
              </c:numCache>
            </c:numRef>
          </c:xVal>
          <c:yVal>
            <c:numRef>
              <c:f>Symbole!$T$35:$W$35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B-5E8C-4715-B1DF-1E828197FF17}"/>
            </c:ext>
          </c:extLst>
        </c:ser>
        <c:ser>
          <c:idx val="229"/>
          <c:order val="28"/>
          <c:tx>
            <c:v>LagerH8</c:v>
          </c:tx>
          <c:spPr>
            <a:ln w="12700">
              <a:solidFill>
                <a:srgbClr val="808080"/>
              </a:solidFill>
              <a:prstDash val="solid"/>
            </a:ln>
          </c:spPr>
          <c:marker>
            <c:symbol val="none"/>
          </c:marker>
          <c:xVal>
            <c:numRef>
              <c:f>Symbole!$P$36:$S$36</c:f>
              <c:numCache>
                <c:formatCode>General</c:formatCode>
                <c:ptCount val="4"/>
                <c:pt idx="0">
                  <c:v>0</c:v>
                </c:pt>
                <c:pt idx="1">
                  <c:v>0</c:v>
                </c:pt>
                <c:pt idx="2">
                  <c:v>0</c:v>
                </c:pt>
                <c:pt idx="3">
                  <c:v>0</c:v>
                </c:pt>
              </c:numCache>
            </c:numRef>
          </c:xVal>
          <c:yVal>
            <c:numRef>
              <c:f>Symbole!$T$36:$W$36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C-5E8C-4715-B1DF-1E828197FF17}"/>
            </c:ext>
          </c:extLst>
        </c:ser>
        <c:ser>
          <c:idx val="230"/>
          <c:order val="29"/>
          <c:tx>
            <c:v>LagerH9</c:v>
          </c:tx>
          <c:spPr>
            <a:ln w="12700">
              <a:solidFill>
                <a:srgbClr val="808080"/>
              </a:solidFill>
              <a:prstDash val="solid"/>
            </a:ln>
          </c:spPr>
          <c:marker>
            <c:symbol val="none"/>
          </c:marker>
          <c:xVal>
            <c:numRef>
              <c:f>Symbole!$P$37:$S$37</c:f>
              <c:numCache>
                <c:formatCode>General</c:formatCode>
                <c:ptCount val="4"/>
                <c:pt idx="0">
                  <c:v>0</c:v>
                </c:pt>
                <c:pt idx="1">
                  <c:v>0</c:v>
                </c:pt>
                <c:pt idx="2">
                  <c:v>0</c:v>
                </c:pt>
                <c:pt idx="3">
                  <c:v>0</c:v>
                </c:pt>
              </c:numCache>
            </c:numRef>
          </c:xVal>
          <c:yVal>
            <c:numRef>
              <c:f>Symbole!$T$37:$W$37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D-5E8C-4715-B1DF-1E828197FF17}"/>
            </c:ext>
          </c:extLst>
        </c:ser>
        <c:ser>
          <c:idx val="231"/>
          <c:order val="30"/>
          <c:tx>
            <c:v>LagerH10</c:v>
          </c:tx>
          <c:spPr>
            <a:ln w="12700">
              <a:solidFill>
                <a:srgbClr val="808080"/>
              </a:solidFill>
              <a:prstDash val="solid"/>
            </a:ln>
          </c:spPr>
          <c:marker>
            <c:symbol val="none"/>
          </c:marker>
          <c:xVal>
            <c:numRef>
              <c:f>Symbole!$P$38:$S$38</c:f>
              <c:numCache>
                <c:formatCode>General</c:formatCode>
                <c:ptCount val="4"/>
                <c:pt idx="0">
                  <c:v>0</c:v>
                </c:pt>
                <c:pt idx="1">
                  <c:v>0</c:v>
                </c:pt>
                <c:pt idx="2">
                  <c:v>0</c:v>
                </c:pt>
                <c:pt idx="3">
                  <c:v>0</c:v>
                </c:pt>
              </c:numCache>
            </c:numRef>
          </c:xVal>
          <c:yVal>
            <c:numRef>
              <c:f>Symbole!$T$38:$W$38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E-5E8C-4715-B1DF-1E828197FF17}"/>
            </c:ext>
          </c:extLst>
        </c:ser>
        <c:ser>
          <c:idx val="232"/>
          <c:order val="31"/>
          <c:tx>
            <c:v>LagerH11</c:v>
          </c:tx>
          <c:spPr>
            <a:ln w="12700">
              <a:solidFill>
                <a:srgbClr val="808080"/>
              </a:solidFill>
              <a:prstDash val="solid"/>
            </a:ln>
          </c:spPr>
          <c:marker>
            <c:symbol val="none"/>
          </c:marker>
          <c:xVal>
            <c:numRef>
              <c:f>Symbole!$P$39:$S$39</c:f>
              <c:numCache>
                <c:formatCode>General</c:formatCode>
                <c:ptCount val="4"/>
                <c:pt idx="0">
                  <c:v>0</c:v>
                </c:pt>
                <c:pt idx="1">
                  <c:v>0</c:v>
                </c:pt>
                <c:pt idx="2">
                  <c:v>0</c:v>
                </c:pt>
                <c:pt idx="3">
                  <c:v>0</c:v>
                </c:pt>
              </c:numCache>
            </c:numRef>
          </c:xVal>
          <c:yVal>
            <c:numRef>
              <c:f>Symbole!$T$39:$W$39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F-5E8C-4715-B1DF-1E828197FF17}"/>
            </c:ext>
          </c:extLst>
        </c:ser>
        <c:ser>
          <c:idx val="233"/>
          <c:order val="32"/>
          <c:tx>
            <c:v>LagerH12</c:v>
          </c:tx>
          <c:spPr>
            <a:ln w="12700">
              <a:solidFill>
                <a:srgbClr val="808080"/>
              </a:solidFill>
              <a:prstDash val="solid"/>
            </a:ln>
          </c:spPr>
          <c:marker>
            <c:symbol val="none"/>
          </c:marker>
          <c:xVal>
            <c:numRef>
              <c:f>Symbole!$P$40:$S$40</c:f>
              <c:numCache>
                <c:formatCode>General</c:formatCode>
                <c:ptCount val="4"/>
                <c:pt idx="0">
                  <c:v>0</c:v>
                </c:pt>
                <c:pt idx="1">
                  <c:v>0</c:v>
                </c:pt>
                <c:pt idx="2">
                  <c:v>0</c:v>
                </c:pt>
                <c:pt idx="3">
                  <c:v>0</c:v>
                </c:pt>
              </c:numCache>
            </c:numRef>
          </c:xVal>
          <c:yVal>
            <c:numRef>
              <c:f>Symbole!$T$40:$W$40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0-5E8C-4715-B1DF-1E828197FF17}"/>
            </c:ext>
          </c:extLst>
        </c:ser>
        <c:ser>
          <c:idx val="234"/>
          <c:order val="33"/>
          <c:tx>
            <c:v>LagerH13</c:v>
          </c:tx>
          <c:spPr>
            <a:ln w="12700">
              <a:solidFill>
                <a:srgbClr val="808080"/>
              </a:solidFill>
              <a:prstDash val="solid"/>
            </a:ln>
          </c:spPr>
          <c:marker>
            <c:symbol val="none"/>
          </c:marker>
          <c:xVal>
            <c:numRef>
              <c:f>Symbole!$P$41:$S$41</c:f>
              <c:numCache>
                <c:formatCode>General</c:formatCode>
                <c:ptCount val="4"/>
                <c:pt idx="0">
                  <c:v>0</c:v>
                </c:pt>
                <c:pt idx="1">
                  <c:v>0</c:v>
                </c:pt>
                <c:pt idx="2">
                  <c:v>0</c:v>
                </c:pt>
                <c:pt idx="3">
                  <c:v>0</c:v>
                </c:pt>
              </c:numCache>
            </c:numRef>
          </c:xVal>
          <c:yVal>
            <c:numRef>
              <c:f>Symbole!$T$41:$W$41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1-5E8C-4715-B1DF-1E828197FF17}"/>
            </c:ext>
          </c:extLst>
        </c:ser>
        <c:ser>
          <c:idx val="235"/>
          <c:order val="34"/>
          <c:tx>
            <c:v>LagerH14</c:v>
          </c:tx>
          <c:spPr>
            <a:ln w="12700">
              <a:solidFill>
                <a:srgbClr val="808080"/>
              </a:solidFill>
              <a:prstDash val="solid"/>
            </a:ln>
          </c:spPr>
          <c:marker>
            <c:symbol val="none"/>
          </c:marker>
          <c:xVal>
            <c:numRef>
              <c:f>Symbole!$P$42:$S$42</c:f>
              <c:numCache>
                <c:formatCode>General</c:formatCode>
                <c:ptCount val="4"/>
                <c:pt idx="0">
                  <c:v>0</c:v>
                </c:pt>
                <c:pt idx="1">
                  <c:v>0</c:v>
                </c:pt>
                <c:pt idx="2">
                  <c:v>0</c:v>
                </c:pt>
                <c:pt idx="3">
                  <c:v>0</c:v>
                </c:pt>
              </c:numCache>
            </c:numRef>
          </c:xVal>
          <c:yVal>
            <c:numRef>
              <c:f>Symbole!$T$42:$W$42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2-5E8C-4715-B1DF-1E828197FF17}"/>
            </c:ext>
          </c:extLst>
        </c:ser>
        <c:ser>
          <c:idx val="236"/>
          <c:order val="35"/>
          <c:tx>
            <c:v>LagerH15</c:v>
          </c:tx>
          <c:spPr>
            <a:ln w="12700">
              <a:solidFill>
                <a:srgbClr val="808080"/>
              </a:solidFill>
              <a:prstDash val="solid"/>
            </a:ln>
          </c:spPr>
          <c:marker>
            <c:symbol val="none"/>
          </c:marker>
          <c:xVal>
            <c:numRef>
              <c:f>Symbole!$P$43:$S$43</c:f>
              <c:numCache>
                <c:formatCode>General</c:formatCode>
                <c:ptCount val="4"/>
                <c:pt idx="0">
                  <c:v>0</c:v>
                </c:pt>
                <c:pt idx="1">
                  <c:v>0</c:v>
                </c:pt>
                <c:pt idx="2">
                  <c:v>0</c:v>
                </c:pt>
                <c:pt idx="3">
                  <c:v>0</c:v>
                </c:pt>
              </c:numCache>
            </c:numRef>
          </c:xVal>
          <c:yVal>
            <c:numRef>
              <c:f>Symbole!$T$43:$W$43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3-5E8C-4715-B1DF-1E828197FF17}"/>
            </c:ext>
          </c:extLst>
        </c:ser>
        <c:ser>
          <c:idx val="237"/>
          <c:order val="36"/>
          <c:tx>
            <c:v>LagerH16</c:v>
          </c:tx>
          <c:spPr>
            <a:ln w="12700">
              <a:solidFill>
                <a:srgbClr val="808080"/>
              </a:solidFill>
              <a:prstDash val="solid"/>
            </a:ln>
          </c:spPr>
          <c:marker>
            <c:symbol val="none"/>
          </c:marker>
          <c:xVal>
            <c:numRef>
              <c:f>Symbole!$P$44:$S$44</c:f>
              <c:numCache>
                <c:formatCode>General</c:formatCode>
                <c:ptCount val="4"/>
                <c:pt idx="0">
                  <c:v>0</c:v>
                </c:pt>
                <c:pt idx="1">
                  <c:v>0</c:v>
                </c:pt>
                <c:pt idx="2">
                  <c:v>0</c:v>
                </c:pt>
                <c:pt idx="3">
                  <c:v>0</c:v>
                </c:pt>
              </c:numCache>
            </c:numRef>
          </c:xVal>
          <c:yVal>
            <c:numRef>
              <c:f>Symbole!$T$44:$W$44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4-5E8C-4715-B1DF-1E828197FF17}"/>
            </c:ext>
          </c:extLst>
        </c:ser>
        <c:ser>
          <c:idx val="238"/>
          <c:order val="37"/>
          <c:tx>
            <c:v>LagerH17</c:v>
          </c:tx>
          <c:spPr>
            <a:ln w="12700">
              <a:solidFill>
                <a:srgbClr val="808080"/>
              </a:solidFill>
              <a:prstDash val="solid"/>
            </a:ln>
          </c:spPr>
          <c:marker>
            <c:symbol val="none"/>
          </c:marker>
          <c:xVal>
            <c:numRef>
              <c:f>Symbole!$P$45:$S$45</c:f>
              <c:numCache>
                <c:formatCode>General</c:formatCode>
                <c:ptCount val="4"/>
                <c:pt idx="0">
                  <c:v>0</c:v>
                </c:pt>
                <c:pt idx="1">
                  <c:v>0</c:v>
                </c:pt>
                <c:pt idx="2">
                  <c:v>0</c:v>
                </c:pt>
                <c:pt idx="3">
                  <c:v>0</c:v>
                </c:pt>
              </c:numCache>
            </c:numRef>
          </c:xVal>
          <c:yVal>
            <c:numRef>
              <c:f>Symbole!$T$45:$W$45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5-5E8C-4715-B1DF-1E828197FF17}"/>
            </c:ext>
          </c:extLst>
        </c:ser>
        <c:ser>
          <c:idx val="239"/>
          <c:order val="38"/>
          <c:tx>
            <c:v>LagerH18</c:v>
          </c:tx>
          <c:spPr>
            <a:ln w="12700">
              <a:solidFill>
                <a:srgbClr val="808080"/>
              </a:solidFill>
              <a:prstDash val="solid"/>
            </a:ln>
          </c:spPr>
          <c:marker>
            <c:symbol val="none"/>
          </c:marker>
          <c:xVal>
            <c:numRef>
              <c:f>Symbole!$P$46:$S$46</c:f>
              <c:numCache>
                <c:formatCode>General</c:formatCode>
                <c:ptCount val="4"/>
                <c:pt idx="0">
                  <c:v>0</c:v>
                </c:pt>
                <c:pt idx="1">
                  <c:v>0</c:v>
                </c:pt>
                <c:pt idx="2">
                  <c:v>0</c:v>
                </c:pt>
                <c:pt idx="3">
                  <c:v>0</c:v>
                </c:pt>
              </c:numCache>
            </c:numRef>
          </c:xVal>
          <c:yVal>
            <c:numRef>
              <c:f>Symbole!$T$46:$W$46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6-5E8C-4715-B1DF-1E828197FF17}"/>
            </c:ext>
          </c:extLst>
        </c:ser>
        <c:ser>
          <c:idx val="240"/>
          <c:order val="39"/>
          <c:tx>
            <c:v>LagerH19</c:v>
          </c:tx>
          <c:spPr>
            <a:ln w="12700">
              <a:solidFill>
                <a:srgbClr val="808080"/>
              </a:solidFill>
              <a:prstDash val="solid"/>
            </a:ln>
          </c:spPr>
          <c:marker>
            <c:symbol val="none"/>
          </c:marker>
          <c:xVal>
            <c:numRef>
              <c:f>Symbole!$P$47:$S$47</c:f>
              <c:numCache>
                <c:formatCode>General</c:formatCode>
                <c:ptCount val="4"/>
                <c:pt idx="0">
                  <c:v>0</c:v>
                </c:pt>
                <c:pt idx="1">
                  <c:v>0</c:v>
                </c:pt>
                <c:pt idx="2">
                  <c:v>0</c:v>
                </c:pt>
                <c:pt idx="3">
                  <c:v>0</c:v>
                </c:pt>
              </c:numCache>
            </c:numRef>
          </c:xVal>
          <c:yVal>
            <c:numRef>
              <c:f>Symbole!$T$47:$W$47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7-5E8C-4715-B1DF-1E828197FF17}"/>
            </c:ext>
          </c:extLst>
        </c:ser>
        <c:ser>
          <c:idx val="241"/>
          <c:order val="40"/>
          <c:tx>
            <c:v>LagerH20</c:v>
          </c:tx>
          <c:spPr>
            <a:ln w="12700">
              <a:solidFill>
                <a:srgbClr val="808080"/>
              </a:solidFill>
              <a:prstDash val="solid"/>
            </a:ln>
          </c:spPr>
          <c:marker>
            <c:symbol val="none"/>
          </c:marker>
          <c:xVal>
            <c:numRef>
              <c:f>Symbole!$P$48:$S$48</c:f>
              <c:numCache>
                <c:formatCode>General</c:formatCode>
                <c:ptCount val="4"/>
                <c:pt idx="0">
                  <c:v>0</c:v>
                </c:pt>
                <c:pt idx="1">
                  <c:v>0</c:v>
                </c:pt>
                <c:pt idx="2">
                  <c:v>0</c:v>
                </c:pt>
                <c:pt idx="3">
                  <c:v>0</c:v>
                </c:pt>
              </c:numCache>
            </c:numRef>
          </c:xVal>
          <c:yVal>
            <c:numRef>
              <c:f>Symbole!$T$48:$W$48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8-5E8C-4715-B1DF-1E828197FF17}"/>
            </c:ext>
          </c:extLst>
        </c:ser>
        <c:ser>
          <c:idx val="242"/>
          <c:order val="41"/>
          <c:tx>
            <c:v>LagerR1</c:v>
          </c:tx>
          <c:spPr>
            <a:ln w="12700">
              <a:solidFill>
                <a:srgbClr val="808080"/>
              </a:solidFill>
              <a:prstDash val="solid"/>
            </a:ln>
          </c:spPr>
          <c:marker>
            <c:symbol val="none"/>
          </c:marker>
          <c:xVal>
            <c:numRef>
              <c:f>Symbole!$P$52:$T$52</c:f>
              <c:numCache>
                <c:formatCode>General</c:formatCode>
                <c:ptCount val="5"/>
                <c:pt idx="0">
                  <c:v>23.626678459402886</c:v>
                </c:pt>
                <c:pt idx="1">
                  <c:v>23.626678459402886</c:v>
                </c:pt>
                <c:pt idx="2">
                  <c:v>23.626678459402886</c:v>
                </c:pt>
                <c:pt idx="3">
                  <c:v>23.626678459402886</c:v>
                </c:pt>
                <c:pt idx="4">
                  <c:v>23.626678459402886</c:v>
                </c:pt>
              </c:numCache>
            </c:numRef>
          </c:xVal>
          <c:yVal>
            <c:numRef>
              <c:f>Symbole!$U$52:$Y$52</c:f>
              <c:numCache>
                <c:formatCode>General</c:formatCode>
                <c:ptCount val="5"/>
                <c:pt idx="0">
                  <c:v>-46.105451176718191</c:v>
                </c:pt>
                <c:pt idx="1">
                  <c:v>-46.105451176718191</c:v>
                </c:pt>
                <c:pt idx="2">
                  <c:v>-46.105451176718191</c:v>
                </c:pt>
                <c:pt idx="3">
                  <c:v>-46.105451176718191</c:v>
                </c:pt>
                <c:pt idx="4">
                  <c:v>-46.105451176718191</c:v>
                </c:pt>
              </c:numCache>
            </c:numRef>
          </c:yVal>
          <c:smooth val="0"/>
          <c:extLst>
            <c:ext xmlns:c16="http://schemas.microsoft.com/office/drawing/2014/chart" uri="{C3380CC4-5D6E-409C-BE32-E72D297353CC}">
              <c16:uniqueId val="{00000029-5E8C-4715-B1DF-1E828197FF17}"/>
            </c:ext>
          </c:extLst>
        </c:ser>
        <c:ser>
          <c:idx val="243"/>
          <c:order val="42"/>
          <c:tx>
            <c:v>LagerR2</c:v>
          </c:tx>
          <c:spPr>
            <a:ln w="12700">
              <a:solidFill>
                <a:srgbClr val="808080"/>
              </a:solidFill>
              <a:prstDash val="solid"/>
            </a:ln>
          </c:spPr>
          <c:marker>
            <c:symbol val="none"/>
          </c:marker>
          <c:xVal>
            <c:numRef>
              <c:f>Symbole!$P$53:$T$53</c:f>
              <c:numCache>
                <c:formatCode>General</c:formatCode>
                <c:ptCount val="5"/>
                <c:pt idx="0">
                  <c:v>100</c:v>
                </c:pt>
                <c:pt idx="1">
                  <c:v>100</c:v>
                </c:pt>
                <c:pt idx="2">
                  <c:v>100</c:v>
                </c:pt>
                <c:pt idx="3">
                  <c:v>100</c:v>
                </c:pt>
                <c:pt idx="4">
                  <c:v>100</c:v>
                </c:pt>
              </c:numCache>
            </c:numRef>
          </c:xVal>
          <c:yVal>
            <c:numRef>
              <c:f>Symbole!$U$53:$Y$53</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A-5E8C-4715-B1DF-1E828197FF17}"/>
            </c:ext>
          </c:extLst>
        </c:ser>
        <c:ser>
          <c:idx val="244"/>
          <c:order val="43"/>
          <c:tx>
            <c:v>LagerR3</c:v>
          </c:tx>
          <c:spPr>
            <a:ln w="12700">
              <a:solidFill>
                <a:srgbClr val="808080"/>
              </a:solidFill>
              <a:prstDash val="solid"/>
            </a:ln>
          </c:spPr>
          <c:marker>
            <c:symbol val="none"/>
          </c:marker>
          <c:xVal>
            <c:numRef>
              <c:f>Symbole!$P$54:$T$54</c:f>
              <c:numCache>
                <c:formatCode>General</c:formatCode>
                <c:ptCount val="5"/>
                <c:pt idx="0">
                  <c:v>20</c:v>
                </c:pt>
                <c:pt idx="1">
                  <c:v>20</c:v>
                </c:pt>
                <c:pt idx="2">
                  <c:v>20</c:v>
                </c:pt>
                <c:pt idx="3">
                  <c:v>20</c:v>
                </c:pt>
                <c:pt idx="4">
                  <c:v>20</c:v>
                </c:pt>
              </c:numCache>
            </c:numRef>
          </c:xVal>
          <c:yVal>
            <c:numRef>
              <c:f>Symbole!$U$54:$Y$54</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B-5E8C-4715-B1DF-1E828197FF17}"/>
            </c:ext>
          </c:extLst>
        </c:ser>
        <c:ser>
          <c:idx val="245"/>
          <c:order val="44"/>
          <c:tx>
            <c:v>LagerR4</c:v>
          </c:tx>
          <c:spPr>
            <a:ln w="12700">
              <a:solidFill>
                <a:srgbClr val="808080"/>
              </a:solidFill>
              <a:prstDash val="solid"/>
            </a:ln>
          </c:spPr>
          <c:marker>
            <c:symbol val="none"/>
          </c:marker>
          <c:xVal>
            <c:numRef>
              <c:f>Symbole!$P$55:$T$55</c:f>
              <c:numCache>
                <c:formatCode>General</c:formatCode>
                <c:ptCount val="5"/>
                <c:pt idx="0">
                  <c:v>60</c:v>
                </c:pt>
                <c:pt idx="1">
                  <c:v>60</c:v>
                </c:pt>
                <c:pt idx="2">
                  <c:v>60</c:v>
                </c:pt>
                <c:pt idx="3">
                  <c:v>60</c:v>
                </c:pt>
                <c:pt idx="4">
                  <c:v>60</c:v>
                </c:pt>
              </c:numCache>
            </c:numRef>
          </c:xVal>
          <c:yVal>
            <c:numRef>
              <c:f>Symbole!$U$55:$Y$55</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C-5E8C-4715-B1DF-1E828197FF17}"/>
            </c:ext>
          </c:extLst>
        </c:ser>
        <c:ser>
          <c:idx val="246"/>
          <c:order val="45"/>
          <c:tx>
            <c:v>LagerR5</c:v>
          </c:tx>
          <c:spPr>
            <a:ln w="12700">
              <a:solidFill>
                <a:srgbClr val="808080"/>
              </a:solidFill>
              <a:prstDash val="solid"/>
            </a:ln>
          </c:spPr>
          <c:marker>
            <c:symbol val="none"/>
          </c:marker>
          <c:xVal>
            <c:numRef>
              <c:f>Symbole!$P$56:$T$56</c:f>
              <c:numCache>
                <c:formatCode>General</c:formatCode>
                <c:ptCount val="5"/>
                <c:pt idx="0">
                  <c:v>-50</c:v>
                </c:pt>
                <c:pt idx="1">
                  <c:v>-50</c:v>
                </c:pt>
                <c:pt idx="2">
                  <c:v>-50</c:v>
                </c:pt>
                <c:pt idx="3">
                  <c:v>-50</c:v>
                </c:pt>
                <c:pt idx="4">
                  <c:v>-50</c:v>
                </c:pt>
              </c:numCache>
            </c:numRef>
          </c:xVal>
          <c:yVal>
            <c:numRef>
              <c:f>Symbole!$U$56:$Y$56</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2D-5E8C-4715-B1DF-1E828197FF17}"/>
            </c:ext>
          </c:extLst>
        </c:ser>
        <c:ser>
          <c:idx val="247"/>
          <c:order val="46"/>
          <c:tx>
            <c:v>LagerR6</c:v>
          </c:tx>
          <c:spPr>
            <a:ln w="12700">
              <a:solidFill>
                <a:srgbClr val="808080"/>
              </a:solidFill>
              <a:prstDash val="solid"/>
            </a:ln>
          </c:spPr>
          <c:marker>
            <c:symbol val="none"/>
          </c:marker>
          <c:xVal>
            <c:numRef>
              <c:f>Symbole!$P$57:$T$57</c:f>
              <c:numCache>
                <c:formatCode>General</c:formatCode>
                <c:ptCount val="5"/>
                <c:pt idx="0">
                  <c:v>-100</c:v>
                </c:pt>
                <c:pt idx="1">
                  <c:v>-100</c:v>
                </c:pt>
                <c:pt idx="2">
                  <c:v>-100</c:v>
                </c:pt>
                <c:pt idx="3">
                  <c:v>-100</c:v>
                </c:pt>
                <c:pt idx="4">
                  <c:v>-100</c:v>
                </c:pt>
              </c:numCache>
            </c:numRef>
          </c:xVal>
          <c:yVal>
            <c:numRef>
              <c:f>Symbole!$U$57:$Y$57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E-5E8C-4715-B1DF-1E828197FF17}"/>
            </c:ext>
          </c:extLst>
        </c:ser>
        <c:ser>
          <c:idx val="248"/>
          <c:order val="47"/>
          <c:tx>
            <c:v>LagerR7</c:v>
          </c:tx>
          <c:spPr>
            <a:ln w="12700">
              <a:solidFill>
                <a:srgbClr val="808080"/>
              </a:solidFill>
              <a:prstDash val="solid"/>
            </a:ln>
          </c:spPr>
          <c:marker>
            <c:symbol val="none"/>
          </c:marker>
          <c:xVal>
            <c:numRef>
              <c:f>Symbole!$P$58:$T$58</c:f>
              <c:numCache>
                <c:formatCode>General</c:formatCode>
                <c:ptCount val="5"/>
                <c:pt idx="0">
                  <c:v>0</c:v>
                </c:pt>
                <c:pt idx="1">
                  <c:v>0</c:v>
                </c:pt>
                <c:pt idx="2">
                  <c:v>0</c:v>
                </c:pt>
                <c:pt idx="3">
                  <c:v>0</c:v>
                </c:pt>
                <c:pt idx="4">
                  <c:v>0</c:v>
                </c:pt>
              </c:numCache>
            </c:numRef>
          </c:xVal>
          <c:yVal>
            <c:numRef>
              <c:f>Symbole!$U$58:$Y$58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2F-5E8C-4715-B1DF-1E828197FF17}"/>
            </c:ext>
          </c:extLst>
        </c:ser>
        <c:ser>
          <c:idx val="249"/>
          <c:order val="48"/>
          <c:tx>
            <c:v>LagerR8</c:v>
          </c:tx>
          <c:spPr>
            <a:ln w="12700">
              <a:solidFill>
                <a:srgbClr val="808080"/>
              </a:solidFill>
              <a:prstDash val="solid"/>
            </a:ln>
          </c:spPr>
          <c:marker>
            <c:symbol val="none"/>
          </c:marker>
          <c:xVal>
            <c:numRef>
              <c:f>Symbole!$P$59:$T$59</c:f>
              <c:numCache>
                <c:formatCode>General</c:formatCode>
                <c:ptCount val="5"/>
                <c:pt idx="0">
                  <c:v>0</c:v>
                </c:pt>
                <c:pt idx="1">
                  <c:v>0</c:v>
                </c:pt>
                <c:pt idx="2">
                  <c:v>0</c:v>
                </c:pt>
                <c:pt idx="3">
                  <c:v>0</c:v>
                </c:pt>
                <c:pt idx="4">
                  <c:v>0</c:v>
                </c:pt>
              </c:numCache>
            </c:numRef>
          </c:xVal>
          <c:yVal>
            <c:numRef>
              <c:f>Symbole!$U$59:$Y$59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0-5E8C-4715-B1DF-1E828197FF17}"/>
            </c:ext>
          </c:extLst>
        </c:ser>
        <c:ser>
          <c:idx val="250"/>
          <c:order val="49"/>
          <c:tx>
            <c:v>LagerR9</c:v>
          </c:tx>
          <c:spPr>
            <a:ln w="12700">
              <a:solidFill>
                <a:srgbClr val="808080"/>
              </a:solidFill>
              <a:prstDash val="solid"/>
            </a:ln>
          </c:spPr>
          <c:marker>
            <c:symbol val="none"/>
          </c:marker>
          <c:xVal>
            <c:numRef>
              <c:f>Symbole!$P$60:$T$60</c:f>
              <c:numCache>
                <c:formatCode>General</c:formatCode>
                <c:ptCount val="5"/>
                <c:pt idx="0">
                  <c:v>0</c:v>
                </c:pt>
                <c:pt idx="1">
                  <c:v>0</c:v>
                </c:pt>
                <c:pt idx="2">
                  <c:v>0</c:v>
                </c:pt>
                <c:pt idx="3">
                  <c:v>0</c:v>
                </c:pt>
                <c:pt idx="4">
                  <c:v>0</c:v>
                </c:pt>
              </c:numCache>
            </c:numRef>
          </c:xVal>
          <c:yVal>
            <c:numRef>
              <c:f>Symbole!$U$60:$Y$60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1-5E8C-4715-B1DF-1E828197FF17}"/>
            </c:ext>
          </c:extLst>
        </c:ser>
        <c:ser>
          <c:idx val="251"/>
          <c:order val="50"/>
          <c:tx>
            <c:v>LagerR10</c:v>
          </c:tx>
          <c:spPr>
            <a:ln w="12700">
              <a:solidFill>
                <a:srgbClr val="808080"/>
              </a:solidFill>
              <a:prstDash val="solid"/>
            </a:ln>
          </c:spPr>
          <c:marker>
            <c:symbol val="none"/>
          </c:marker>
          <c:xVal>
            <c:numRef>
              <c:f>Symbole!$P$61:$T$61</c:f>
              <c:numCache>
                <c:formatCode>General</c:formatCode>
                <c:ptCount val="5"/>
                <c:pt idx="0">
                  <c:v>0</c:v>
                </c:pt>
                <c:pt idx="1">
                  <c:v>0</c:v>
                </c:pt>
                <c:pt idx="2">
                  <c:v>0</c:v>
                </c:pt>
                <c:pt idx="3">
                  <c:v>0</c:v>
                </c:pt>
                <c:pt idx="4">
                  <c:v>0</c:v>
                </c:pt>
              </c:numCache>
            </c:numRef>
          </c:xVal>
          <c:yVal>
            <c:numRef>
              <c:f>Symbole!$U$61:$Y$61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2-5E8C-4715-B1DF-1E828197FF17}"/>
            </c:ext>
          </c:extLst>
        </c:ser>
        <c:ser>
          <c:idx val="252"/>
          <c:order val="51"/>
          <c:tx>
            <c:v>LagerR11</c:v>
          </c:tx>
          <c:spPr>
            <a:ln w="12700">
              <a:solidFill>
                <a:srgbClr val="808080"/>
              </a:solidFill>
              <a:prstDash val="solid"/>
            </a:ln>
          </c:spPr>
          <c:marker>
            <c:symbol val="none"/>
          </c:marker>
          <c:xVal>
            <c:numRef>
              <c:f>Symbole!$P$62:$T$62</c:f>
              <c:numCache>
                <c:formatCode>General</c:formatCode>
                <c:ptCount val="5"/>
                <c:pt idx="0">
                  <c:v>0</c:v>
                </c:pt>
                <c:pt idx="1">
                  <c:v>0</c:v>
                </c:pt>
                <c:pt idx="2">
                  <c:v>0</c:v>
                </c:pt>
                <c:pt idx="3">
                  <c:v>0</c:v>
                </c:pt>
                <c:pt idx="4">
                  <c:v>0</c:v>
                </c:pt>
              </c:numCache>
            </c:numRef>
          </c:xVal>
          <c:yVal>
            <c:numRef>
              <c:f>Symbole!$U$62:$Y$62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3-5E8C-4715-B1DF-1E828197FF17}"/>
            </c:ext>
          </c:extLst>
        </c:ser>
        <c:ser>
          <c:idx val="253"/>
          <c:order val="52"/>
          <c:tx>
            <c:v>LagerR12</c:v>
          </c:tx>
          <c:spPr>
            <a:ln w="12700">
              <a:solidFill>
                <a:srgbClr val="808080"/>
              </a:solidFill>
              <a:prstDash val="solid"/>
            </a:ln>
          </c:spPr>
          <c:marker>
            <c:symbol val="none"/>
          </c:marker>
          <c:xVal>
            <c:numRef>
              <c:f>Symbole!$P$63:$T$63</c:f>
              <c:numCache>
                <c:formatCode>General</c:formatCode>
                <c:ptCount val="5"/>
                <c:pt idx="0">
                  <c:v>0</c:v>
                </c:pt>
                <c:pt idx="1">
                  <c:v>0</c:v>
                </c:pt>
                <c:pt idx="2">
                  <c:v>0</c:v>
                </c:pt>
                <c:pt idx="3">
                  <c:v>0</c:v>
                </c:pt>
                <c:pt idx="4">
                  <c:v>0</c:v>
                </c:pt>
              </c:numCache>
            </c:numRef>
          </c:xVal>
          <c:yVal>
            <c:numRef>
              <c:f>Symbole!$U$63:$Y$63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4-5E8C-4715-B1DF-1E828197FF17}"/>
            </c:ext>
          </c:extLst>
        </c:ser>
        <c:ser>
          <c:idx val="254"/>
          <c:order val="53"/>
          <c:tx>
            <c:v>LagerR13</c:v>
          </c:tx>
          <c:spPr>
            <a:ln w="12700">
              <a:solidFill>
                <a:srgbClr val="808080"/>
              </a:solidFill>
              <a:prstDash val="solid"/>
            </a:ln>
          </c:spPr>
          <c:marker>
            <c:symbol val="none"/>
          </c:marker>
          <c:xVal>
            <c:numRef>
              <c:f>Symbole!$P$64:$T$64</c:f>
              <c:numCache>
                <c:formatCode>General</c:formatCode>
                <c:ptCount val="5"/>
                <c:pt idx="0">
                  <c:v>0</c:v>
                </c:pt>
                <c:pt idx="1">
                  <c:v>0</c:v>
                </c:pt>
                <c:pt idx="2">
                  <c:v>0</c:v>
                </c:pt>
                <c:pt idx="3">
                  <c:v>0</c:v>
                </c:pt>
                <c:pt idx="4">
                  <c:v>0</c:v>
                </c:pt>
              </c:numCache>
            </c:numRef>
          </c:xVal>
          <c:yVal>
            <c:numRef>
              <c:f>Symbole!$U$64:$Y$64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5-5E8C-4715-B1DF-1E828197FF17}"/>
            </c:ext>
          </c:extLst>
        </c:ser>
        <c:ser>
          <c:idx val="20"/>
          <c:order val="54"/>
          <c:tx>
            <c:v>BoundingBox21</c:v>
          </c:tx>
          <c:spPr>
            <a:ln w="12700">
              <a:solidFill>
                <a:srgbClr val="C0C0C0"/>
              </a:solidFill>
              <a:prstDash val="solid"/>
            </a:ln>
          </c:spPr>
          <c:marker>
            <c:symbol val="none"/>
          </c:marker>
          <c:xVal>
            <c:numRef>
              <c:f>PlotData!$CF$7:$CF$10</c:f>
              <c:numCache>
                <c:formatCode>General</c:formatCode>
                <c:ptCount val="4"/>
                <c:pt idx="0">
                  <c:v>-169.70562748477141</c:v>
                </c:pt>
                <c:pt idx="1">
                  <c:v>169.70562748477141</c:v>
                </c:pt>
                <c:pt idx="2">
                  <c:v>169.70562748477141</c:v>
                </c:pt>
                <c:pt idx="3">
                  <c:v>-169.70562748477141</c:v>
                </c:pt>
              </c:numCache>
            </c:numRef>
          </c:xVal>
          <c:yVal>
            <c:numRef>
              <c:f>PlotData!$CG$7:$CG$10</c:f>
              <c:numCache>
                <c:formatCode>General</c:formatCode>
                <c:ptCount val="4"/>
                <c:pt idx="0">
                  <c:v>169.70562748477141</c:v>
                </c:pt>
                <c:pt idx="1">
                  <c:v>169.70562748477141</c:v>
                </c:pt>
                <c:pt idx="2">
                  <c:v>-169.70562748477141</c:v>
                </c:pt>
                <c:pt idx="3">
                  <c:v>-169.70562748477141</c:v>
                </c:pt>
              </c:numCache>
            </c:numRef>
          </c:yVal>
          <c:smooth val="0"/>
          <c:extLst>
            <c:ext xmlns:c16="http://schemas.microsoft.com/office/drawing/2014/chart" uri="{C3380CC4-5D6E-409C-BE32-E72D297353CC}">
              <c16:uniqueId val="{00000036-5E8C-4715-B1DF-1E828197FF17}"/>
            </c:ext>
          </c:extLst>
        </c:ser>
        <c:ser>
          <c:idx val="21"/>
          <c:order val="55"/>
          <c:tx>
            <c:v>LagerV1</c:v>
          </c:tx>
          <c:spPr>
            <a:ln w="12700">
              <a:solidFill>
                <a:srgbClr val="808080"/>
              </a:solidFill>
              <a:prstDash val="solid"/>
            </a:ln>
          </c:spPr>
          <c:marker>
            <c:symbol val="none"/>
          </c:marker>
          <c:xVal>
            <c:numRef>
              <c:f>Symbole!$P$6:$S$6</c:f>
              <c:numCache>
                <c:formatCode>General</c:formatCode>
                <c:ptCount val="4"/>
                <c:pt idx="0">
                  <c:v>23.626678459402886</c:v>
                </c:pt>
                <c:pt idx="1">
                  <c:v>23.626678459402886</c:v>
                </c:pt>
                <c:pt idx="2">
                  <c:v>23.626678459402886</c:v>
                </c:pt>
                <c:pt idx="3">
                  <c:v>23.626678459402886</c:v>
                </c:pt>
              </c:numCache>
            </c:numRef>
          </c:xVal>
          <c:yVal>
            <c:numRef>
              <c:f>Symbole!$T$6:$W$6</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37-5E8C-4715-B1DF-1E828197FF17}"/>
            </c:ext>
          </c:extLst>
        </c:ser>
        <c:ser>
          <c:idx val="22"/>
          <c:order val="56"/>
          <c:tx>
            <c:v>LagerV2</c:v>
          </c:tx>
          <c:spPr>
            <a:ln w="12700">
              <a:solidFill>
                <a:srgbClr val="808080"/>
              </a:solidFill>
              <a:prstDash val="solid"/>
            </a:ln>
          </c:spPr>
          <c:marker>
            <c:symbol val="none"/>
          </c:marker>
          <c:xVal>
            <c:numRef>
              <c:f>Symbole!$P$7:$S$7</c:f>
              <c:numCache>
                <c:formatCode>General</c:formatCode>
                <c:ptCount val="4"/>
                <c:pt idx="0">
                  <c:v>100</c:v>
                </c:pt>
                <c:pt idx="1">
                  <c:v>108.48528137423857</c:v>
                </c:pt>
                <c:pt idx="2">
                  <c:v>91.514718625761432</c:v>
                </c:pt>
                <c:pt idx="3">
                  <c:v>100</c:v>
                </c:pt>
              </c:numCache>
            </c:numRef>
          </c:xVal>
          <c:yVal>
            <c:numRef>
              <c:f>Symbole!$T$7:$W$7</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38-5E8C-4715-B1DF-1E828197FF17}"/>
            </c:ext>
          </c:extLst>
        </c:ser>
        <c:ser>
          <c:idx val="23"/>
          <c:order val="57"/>
          <c:tx>
            <c:v>LagerV3</c:v>
          </c:tx>
          <c:spPr>
            <a:ln w="12700">
              <a:solidFill>
                <a:srgbClr val="808080"/>
              </a:solidFill>
              <a:prstDash val="solid"/>
            </a:ln>
          </c:spPr>
          <c:marker>
            <c:symbol val="none"/>
          </c:marker>
          <c:xVal>
            <c:numRef>
              <c:f>Symbole!$P$8:$S$8</c:f>
              <c:numCache>
                <c:formatCode>General</c:formatCode>
                <c:ptCount val="4"/>
                <c:pt idx="0">
                  <c:v>20</c:v>
                </c:pt>
                <c:pt idx="1">
                  <c:v>28.485281374238571</c:v>
                </c:pt>
                <c:pt idx="2">
                  <c:v>11.514718625761429</c:v>
                </c:pt>
                <c:pt idx="3">
                  <c:v>20</c:v>
                </c:pt>
              </c:numCache>
            </c:numRef>
          </c:xVal>
          <c:yVal>
            <c:numRef>
              <c:f>Symbole!$T$8:$W$8</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39-5E8C-4715-B1DF-1E828197FF17}"/>
            </c:ext>
          </c:extLst>
        </c:ser>
        <c:ser>
          <c:idx val="24"/>
          <c:order val="58"/>
          <c:tx>
            <c:v>LagerV4</c:v>
          </c:tx>
          <c:spPr>
            <a:ln w="12700">
              <a:solidFill>
                <a:srgbClr val="808080"/>
              </a:solidFill>
              <a:prstDash val="solid"/>
            </a:ln>
          </c:spPr>
          <c:marker>
            <c:symbol val="none"/>
          </c:marker>
          <c:xVal>
            <c:numRef>
              <c:f>Symbole!$P$9:$S$9</c:f>
              <c:numCache>
                <c:formatCode>General</c:formatCode>
                <c:ptCount val="4"/>
                <c:pt idx="0">
                  <c:v>60</c:v>
                </c:pt>
                <c:pt idx="1">
                  <c:v>68.485281374238568</c:v>
                </c:pt>
                <c:pt idx="2">
                  <c:v>51.514718625761432</c:v>
                </c:pt>
                <c:pt idx="3">
                  <c:v>60</c:v>
                </c:pt>
              </c:numCache>
            </c:numRef>
          </c:xVal>
          <c:yVal>
            <c:numRef>
              <c:f>Symbole!$T$9:$W$9</c:f>
              <c:numCache>
                <c:formatCode>General</c:formatCode>
                <c:ptCount val="4"/>
                <c:pt idx="0">
                  <c:v>-100</c:v>
                </c:pt>
                <c:pt idx="1">
                  <c:v>-85.303492659818801</c:v>
                </c:pt>
                <c:pt idx="2">
                  <c:v>-85.303492659818801</c:v>
                </c:pt>
                <c:pt idx="3">
                  <c:v>-100</c:v>
                </c:pt>
              </c:numCache>
            </c:numRef>
          </c:yVal>
          <c:smooth val="0"/>
          <c:extLst>
            <c:ext xmlns:c16="http://schemas.microsoft.com/office/drawing/2014/chart" uri="{C3380CC4-5D6E-409C-BE32-E72D297353CC}">
              <c16:uniqueId val="{0000003A-5E8C-4715-B1DF-1E828197FF17}"/>
            </c:ext>
          </c:extLst>
        </c:ser>
        <c:ser>
          <c:idx val="25"/>
          <c:order val="59"/>
          <c:tx>
            <c:v>LagerV5</c:v>
          </c:tx>
          <c:spPr>
            <a:ln w="12700">
              <a:solidFill>
                <a:srgbClr val="808080"/>
              </a:solidFill>
              <a:prstDash val="solid"/>
            </a:ln>
          </c:spPr>
          <c:marker>
            <c:symbol val="none"/>
          </c:marker>
          <c:xVal>
            <c:numRef>
              <c:f>Symbole!$P$10:$S$10</c:f>
              <c:numCache>
                <c:formatCode>General</c:formatCode>
                <c:ptCount val="4"/>
                <c:pt idx="0">
                  <c:v>-50</c:v>
                </c:pt>
                <c:pt idx="1">
                  <c:v>-41.514718625761432</c:v>
                </c:pt>
                <c:pt idx="2">
                  <c:v>-58.485281374238568</c:v>
                </c:pt>
                <c:pt idx="3">
                  <c:v>-50</c:v>
                </c:pt>
              </c:numCache>
            </c:numRef>
          </c:xVal>
          <c:yVal>
            <c:numRef>
              <c:f>Symbole!$T$10:$W$10</c:f>
              <c:numCache>
                <c:formatCode>General</c:formatCode>
                <c:ptCount val="4"/>
                <c:pt idx="0">
                  <c:v>-70</c:v>
                </c:pt>
                <c:pt idx="1">
                  <c:v>-55.303492659818794</c:v>
                </c:pt>
                <c:pt idx="2">
                  <c:v>-55.303492659818794</c:v>
                </c:pt>
                <c:pt idx="3">
                  <c:v>-70</c:v>
                </c:pt>
              </c:numCache>
            </c:numRef>
          </c:yVal>
          <c:smooth val="0"/>
          <c:extLst>
            <c:ext xmlns:c16="http://schemas.microsoft.com/office/drawing/2014/chart" uri="{C3380CC4-5D6E-409C-BE32-E72D297353CC}">
              <c16:uniqueId val="{0000003B-5E8C-4715-B1DF-1E828197FF17}"/>
            </c:ext>
          </c:extLst>
        </c:ser>
        <c:ser>
          <c:idx val="26"/>
          <c:order val="60"/>
          <c:tx>
            <c:v>LagerV6</c:v>
          </c:tx>
          <c:spPr>
            <a:ln w="12700">
              <a:solidFill>
                <a:srgbClr val="808080"/>
              </a:solidFill>
              <a:prstDash val="solid"/>
            </a:ln>
          </c:spPr>
          <c:marker>
            <c:symbol val="none"/>
          </c:marker>
          <c:xVal>
            <c:numRef>
              <c:f>Symbole!$P$11:$S$11</c:f>
              <c:numCache>
                <c:formatCode>General</c:formatCode>
                <c:ptCount val="4"/>
                <c:pt idx="0">
                  <c:v>-100</c:v>
                </c:pt>
                <c:pt idx="1">
                  <c:v>-91.514718625761432</c:v>
                </c:pt>
                <c:pt idx="2">
                  <c:v>-108.48528137423857</c:v>
                </c:pt>
                <c:pt idx="3">
                  <c:v>-100</c:v>
                </c:pt>
              </c:numCache>
            </c:numRef>
          </c:xVal>
          <c:yVal>
            <c:numRef>
              <c:f>Symbole!$T$11:$W$11</c:f>
              <c:numCache>
                <c:formatCode>General</c:formatCode>
                <c:ptCount val="4"/>
                <c:pt idx="0">
                  <c:v>100</c:v>
                </c:pt>
                <c:pt idx="1">
                  <c:v>114.6965073401812</c:v>
                </c:pt>
                <c:pt idx="2">
                  <c:v>114.6965073401812</c:v>
                </c:pt>
                <c:pt idx="3">
                  <c:v>100</c:v>
                </c:pt>
              </c:numCache>
            </c:numRef>
          </c:yVal>
          <c:smooth val="0"/>
          <c:extLst>
            <c:ext xmlns:c16="http://schemas.microsoft.com/office/drawing/2014/chart" uri="{C3380CC4-5D6E-409C-BE32-E72D297353CC}">
              <c16:uniqueId val="{0000003C-5E8C-4715-B1DF-1E828197FF17}"/>
            </c:ext>
          </c:extLst>
        </c:ser>
        <c:ser>
          <c:idx val="27"/>
          <c:order val="61"/>
          <c:tx>
            <c:v>LagerV7</c:v>
          </c:tx>
          <c:spPr>
            <a:ln w="12700">
              <a:solidFill>
                <a:srgbClr val="808080"/>
              </a:solidFill>
              <a:prstDash val="solid"/>
            </a:ln>
          </c:spPr>
          <c:marker>
            <c:symbol val="none"/>
          </c:marker>
          <c:xVal>
            <c:numRef>
              <c:f>Symbole!$P$12:$S$12</c:f>
              <c:numCache>
                <c:formatCode>General</c:formatCode>
                <c:ptCount val="4"/>
                <c:pt idx="0">
                  <c:v>0</c:v>
                </c:pt>
                <c:pt idx="1">
                  <c:v>0</c:v>
                </c:pt>
                <c:pt idx="2">
                  <c:v>0</c:v>
                </c:pt>
                <c:pt idx="3">
                  <c:v>0</c:v>
                </c:pt>
              </c:numCache>
            </c:numRef>
          </c:xVal>
          <c:yVal>
            <c:numRef>
              <c:f>Symbole!$T$12:$W$12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3D-5E8C-4715-B1DF-1E828197FF17}"/>
            </c:ext>
          </c:extLst>
        </c:ser>
        <c:ser>
          <c:idx val="28"/>
          <c:order val="62"/>
          <c:tx>
            <c:v>LagerV8</c:v>
          </c:tx>
          <c:spPr>
            <a:ln w="12700">
              <a:solidFill>
                <a:srgbClr val="808080"/>
              </a:solidFill>
              <a:prstDash val="solid"/>
            </a:ln>
          </c:spPr>
          <c:marker>
            <c:symbol val="none"/>
          </c:marker>
          <c:xVal>
            <c:numRef>
              <c:f>Symbole!$P$13:$S$13</c:f>
              <c:numCache>
                <c:formatCode>General</c:formatCode>
                <c:ptCount val="4"/>
                <c:pt idx="0">
                  <c:v>0</c:v>
                </c:pt>
                <c:pt idx="1">
                  <c:v>0</c:v>
                </c:pt>
                <c:pt idx="2">
                  <c:v>0</c:v>
                </c:pt>
                <c:pt idx="3">
                  <c:v>0</c:v>
                </c:pt>
              </c:numCache>
            </c:numRef>
          </c:xVal>
          <c:yVal>
            <c:numRef>
              <c:f>Symbole!$T$13:$W$13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3E-5E8C-4715-B1DF-1E828197FF17}"/>
            </c:ext>
          </c:extLst>
        </c:ser>
        <c:ser>
          <c:idx val="29"/>
          <c:order val="63"/>
          <c:tx>
            <c:v>LagerV9</c:v>
          </c:tx>
          <c:spPr>
            <a:ln w="12700">
              <a:solidFill>
                <a:srgbClr val="808080"/>
              </a:solidFill>
              <a:prstDash val="solid"/>
            </a:ln>
          </c:spPr>
          <c:marker>
            <c:symbol val="none"/>
          </c:marker>
          <c:xVal>
            <c:numRef>
              <c:f>Symbole!$P$14:$S$14</c:f>
              <c:numCache>
                <c:formatCode>General</c:formatCode>
                <c:ptCount val="4"/>
                <c:pt idx="0">
                  <c:v>0</c:v>
                </c:pt>
                <c:pt idx="1">
                  <c:v>0</c:v>
                </c:pt>
                <c:pt idx="2">
                  <c:v>0</c:v>
                </c:pt>
                <c:pt idx="3">
                  <c:v>0</c:v>
                </c:pt>
              </c:numCache>
            </c:numRef>
          </c:xVal>
          <c:yVal>
            <c:numRef>
              <c:f>Symbole!$T$14:$W$14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3F-5E8C-4715-B1DF-1E828197FF17}"/>
            </c:ext>
          </c:extLst>
        </c:ser>
        <c:ser>
          <c:idx val="30"/>
          <c:order val="64"/>
          <c:tx>
            <c:v>LagerV10</c:v>
          </c:tx>
          <c:spPr>
            <a:ln w="12700">
              <a:solidFill>
                <a:srgbClr val="808080"/>
              </a:solidFill>
              <a:prstDash val="solid"/>
            </a:ln>
          </c:spPr>
          <c:marker>
            <c:symbol val="none"/>
          </c:marker>
          <c:xVal>
            <c:numRef>
              <c:f>Symbole!$P$15:$S$15</c:f>
              <c:numCache>
                <c:formatCode>General</c:formatCode>
                <c:ptCount val="4"/>
                <c:pt idx="0">
                  <c:v>0</c:v>
                </c:pt>
                <c:pt idx="1">
                  <c:v>0</c:v>
                </c:pt>
                <c:pt idx="2">
                  <c:v>0</c:v>
                </c:pt>
                <c:pt idx="3">
                  <c:v>0</c:v>
                </c:pt>
              </c:numCache>
            </c:numRef>
          </c:xVal>
          <c:yVal>
            <c:numRef>
              <c:f>Symbole!$T$15:$W$15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0-5E8C-4715-B1DF-1E828197FF17}"/>
            </c:ext>
          </c:extLst>
        </c:ser>
        <c:ser>
          <c:idx val="31"/>
          <c:order val="65"/>
          <c:tx>
            <c:v>LagerV11</c:v>
          </c:tx>
          <c:spPr>
            <a:ln w="12700">
              <a:solidFill>
                <a:srgbClr val="808080"/>
              </a:solidFill>
              <a:prstDash val="solid"/>
            </a:ln>
          </c:spPr>
          <c:marker>
            <c:symbol val="none"/>
          </c:marker>
          <c:xVal>
            <c:numRef>
              <c:f>Symbole!$P$16:$S$16</c:f>
              <c:numCache>
                <c:formatCode>General</c:formatCode>
                <c:ptCount val="4"/>
                <c:pt idx="0">
                  <c:v>0</c:v>
                </c:pt>
                <c:pt idx="1">
                  <c:v>0</c:v>
                </c:pt>
                <c:pt idx="2">
                  <c:v>0</c:v>
                </c:pt>
                <c:pt idx="3">
                  <c:v>0</c:v>
                </c:pt>
              </c:numCache>
            </c:numRef>
          </c:xVal>
          <c:yVal>
            <c:numRef>
              <c:f>Symbole!$T$16:$W$16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1-5E8C-4715-B1DF-1E828197FF17}"/>
            </c:ext>
          </c:extLst>
        </c:ser>
        <c:ser>
          <c:idx val="32"/>
          <c:order val="66"/>
          <c:tx>
            <c:v>LagerV12</c:v>
          </c:tx>
          <c:spPr>
            <a:ln w="12700">
              <a:solidFill>
                <a:srgbClr val="808080"/>
              </a:solidFill>
              <a:prstDash val="solid"/>
            </a:ln>
          </c:spPr>
          <c:marker>
            <c:symbol val="none"/>
          </c:marker>
          <c:xVal>
            <c:numRef>
              <c:f>Symbole!$P$17:$S$17</c:f>
              <c:numCache>
                <c:formatCode>General</c:formatCode>
                <c:ptCount val="4"/>
                <c:pt idx="0">
                  <c:v>0</c:v>
                </c:pt>
                <c:pt idx="1">
                  <c:v>0</c:v>
                </c:pt>
                <c:pt idx="2">
                  <c:v>0</c:v>
                </c:pt>
                <c:pt idx="3">
                  <c:v>0</c:v>
                </c:pt>
              </c:numCache>
            </c:numRef>
          </c:xVal>
          <c:yVal>
            <c:numRef>
              <c:f>Symbole!$T$17:$W$17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2-5E8C-4715-B1DF-1E828197FF17}"/>
            </c:ext>
          </c:extLst>
        </c:ser>
        <c:ser>
          <c:idx val="33"/>
          <c:order val="67"/>
          <c:tx>
            <c:v>LagerV13</c:v>
          </c:tx>
          <c:spPr>
            <a:ln w="12700">
              <a:solidFill>
                <a:srgbClr val="808080"/>
              </a:solidFill>
              <a:prstDash val="solid"/>
            </a:ln>
          </c:spPr>
          <c:marker>
            <c:symbol val="none"/>
          </c:marker>
          <c:xVal>
            <c:numRef>
              <c:f>Symbole!$P$18:$S$18</c:f>
              <c:numCache>
                <c:formatCode>General</c:formatCode>
                <c:ptCount val="4"/>
                <c:pt idx="0">
                  <c:v>0</c:v>
                </c:pt>
                <c:pt idx="1">
                  <c:v>0</c:v>
                </c:pt>
                <c:pt idx="2">
                  <c:v>0</c:v>
                </c:pt>
                <c:pt idx="3">
                  <c:v>0</c:v>
                </c:pt>
              </c:numCache>
            </c:numRef>
          </c:xVal>
          <c:yVal>
            <c:numRef>
              <c:f>Symbole!$T$18:$W$18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3-5E8C-4715-B1DF-1E828197FF17}"/>
            </c:ext>
          </c:extLst>
        </c:ser>
        <c:ser>
          <c:idx val="34"/>
          <c:order val="68"/>
          <c:tx>
            <c:v>LagerV14</c:v>
          </c:tx>
          <c:spPr>
            <a:ln w="12700">
              <a:solidFill>
                <a:srgbClr val="808080"/>
              </a:solidFill>
              <a:prstDash val="solid"/>
            </a:ln>
          </c:spPr>
          <c:marker>
            <c:symbol val="none"/>
          </c:marker>
          <c:xVal>
            <c:numRef>
              <c:f>Symbole!$P$19:$S$19</c:f>
              <c:numCache>
                <c:formatCode>General</c:formatCode>
                <c:ptCount val="4"/>
                <c:pt idx="0">
                  <c:v>0</c:v>
                </c:pt>
                <c:pt idx="1">
                  <c:v>0</c:v>
                </c:pt>
                <c:pt idx="2">
                  <c:v>0</c:v>
                </c:pt>
                <c:pt idx="3">
                  <c:v>0</c:v>
                </c:pt>
              </c:numCache>
            </c:numRef>
          </c:xVal>
          <c:yVal>
            <c:numRef>
              <c:f>Symbole!$T$19:$W$19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4-5E8C-4715-B1DF-1E828197FF17}"/>
            </c:ext>
          </c:extLst>
        </c:ser>
        <c:ser>
          <c:idx val="35"/>
          <c:order val="69"/>
          <c:tx>
            <c:v>LagerV15</c:v>
          </c:tx>
          <c:spPr>
            <a:ln w="12700">
              <a:solidFill>
                <a:srgbClr val="808080"/>
              </a:solidFill>
              <a:prstDash val="solid"/>
            </a:ln>
          </c:spPr>
          <c:marker>
            <c:symbol val="none"/>
          </c:marker>
          <c:xVal>
            <c:numRef>
              <c:f>Symbole!$P$20:$S$20</c:f>
              <c:numCache>
                <c:formatCode>General</c:formatCode>
                <c:ptCount val="4"/>
                <c:pt idx="0">
                  <c:v>0</c:v>
                </c:pt>
                <c:pt idx="1">
                  <c:v>0</c:v>
                </c:pt>
                <c:pt idx="2">
                  <c:v>0</c:v>
                </c:pt>
                <c:pt idx="3">
                  <c:v>0</c:v>
                </c:pt>
              </c:numCache>
            </c:numRef>
          </c:xVal>
          <c:yVal>
            <c:numRef>
              <c:f>Symbole!$T$20:$W$20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5-5E8C-4715-B1DF-1E828197FF17}"/>
            </c:ext>
          </c:extLst>
        </c:ser>
        <c:ser>
          <c:idx val="36"/>
          <c:order val="70"/>
          <c:tx>
            <c:v>LagerV16</c:v>
          </c:tx>
          <c:spPr>
            <a:ln w="12700">
              <a:solidFill>
                <a:srgbClr val="808080"/>
              </a:solidFill>
              <a:prstDash val="solid"/>
            </a:ln>
          </c:spPr>
          <c:marker>
            <c:symbol val="none"/>
          </c:marker>
          <c:xVal>
            <c:numRef>
              <c:f>Symbole!$P$21:$S$21</c:f>
              <c:numCache>
                <c:formatCode>General</c:formatCode>
                <c:ptCount val="4"/>
                <c:pt idx="0">
                  <c:v>0</c:v>
                </c:pt>
                <c:pt idx="1">
                  <c:v>0</c:v>
                </c:pt>
                <c:pt idx="2">
                  <c:v>0</c:v>
                </c:pt>
                <c:pt idx="3">
                  <c:v>0</c:v>
                </c:pt>
              </c:numCache>
            </c:numRef>
          </c:xVal>
          <c:yVal>
            <c:numRef>
              <c:f>Symbole!$T$21:$W$21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6-5E8C-4715-B1DF-1E828197FF17}"/>
            </c:ext>
          </c:extLst>
        </c:ser>
        <c:ser>
          <c:idx val="37"/>
          <c:order val="71"/>
          <c:tx>
            <c:v>LagerV17</c:v>
          </c:tx>
          <c:spPr>
            <a:ln w="12700">
              <a:solidFill>
                <a:srgbClr val="808080"/>
              </a:solidFill>
              <a:prstDash val="solid"/>
            </a:ln>
          </c:spPr>
          <c:marker>
            <c:symbol val="none"/>
          </c:marker>
          <c:xVal>
            <c:numRef>
              <c:f>Symbole!$P$22:$S$22</c:f>
              <c:numCache>
                <c:formatCode>General</c:formatCode>
                <c:ptCount val="4"/>
                <c:pt idx="0">
                  <c:v>0</c:v>
                </c:pt>
                <c:pt idx="1">
                  <c:v>0</c:v>
                </c:pt>
                <c:pt idx="2">
                  <c:v>0</c:v>
                </c:pt>
                <c:pt idx="3">
                  <c:v>0</c:v>
                </c:pt>
              </c:numCache>
            </c:numRef>
          </c:xVal>
          <c:yVal>
            <c:numRef>
              <c:f>Symbole!$T$22:$W$22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7-5E8C-4715-B1DF-1E828197FF17}"/>
            </c:ext>
          </c:extLst>
        </c:ser>
        <c:ser>
          <c:idx val="38"/>
          <c:order val="72"/>
          <c:tx>
            <c:v>LagerV18</c:v>
          </c:tx>
          <c:spPr>
            <a:ln w="12700">
              <a:solidFill>
                <a:srgbClr val="808080"/>
              </a:solidFill>
              <a:prstDash val="solid"/>
            </a:ln>
          </c:spPr>
          <c:marker>
            <c:symbol val="none"/>
          </c:marker>
          <c:xVal>
            <c:numRef>
              <c:f>Symbole!$P$23:$S$23</c:f>
              <c:numCache>
                <c:formatCode>General</c:formatCode>
                <c:ptCount val="4"/>
                <c:pt idx="0">
                  <c:v>0</c:v>
                </c:pt>
                <c:pt idx="1">
                  <c:v>0</c:v>
                </c:pt>
                <c:pt idx="2">
                  <c:v>0</c:v>
                </c:pt>
                <c:pt idx="3">
                  <c:v>0</c:v>
                </c:pt>
              </c:numCache>
            </c:numRef>
          </c:xVal>
          <c:yVal>
            <c:numRef>
              <c:f>Symbole!$T$23:$W$23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8-5E8C-4715-B1DF-1E828197FF17}"/>
            </c:ext>
          </c:extLst>
        </c:ser>
        <c:ser>
          <c:idx val="39"/>
          <c:order val="73"/>
          <c:tx>
            <c:v>LagerV19</c:v>
          </c:tx>
          <c:spPr>
            <a:ln w="12700">
              <a:solidFill>
                <a:srgbClr val="808080"/>
              </a:solidFill>
              <a:prstDash val="solid"/>
            </a:ln>
          </c:spPr>
          <c:marker>
            <c:symbol val="none"/>
          </c:marker>
          <c:xVal>
            <c:numRef>
              <c:f>Symbole!$P$24:$S$24</c:f>
              <c:numCache>
                <c:formatCode>General</c:formatCode>
                <c:ptCount val="4"/>
                <c:pt idx="0">
                  <c:v>0</c:v>
                </c:pt>
                <c:pt idx="1">
                  <c:v>0</c:v>
                </c:pt>
                <c:pt idx="2">
                  <c:v>0</c:v>
                </c:pt>
                <c:pt idx="3">
                  <c:v>0</c:v>
                </c:pt>
              </c:numCache>
            </c:numRef>
          </c:xVal>
          <c:yVal>
            <c:numRef>
              <c:f>Symbole!$T$24:$W$24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9-5E8C-4715-B1DF-1E828197FF17}"/>
            </c:ext>
          </c:extLst>
        </c:ser>
        <c:ser>
          <c:idx val="40"/>
          <c:order val="74"/>
          <c:tx>
            <c:v>LagerV20</c:v>
          </c:tx>
          <c:spPr>
            <a:ln w="12700">
              <a:solidFill>
                <a:srgbClr val="808080"/>
              </a:solidFill>
              <a:prstDash val="solid"/>
            </a:ln>
          </c:spPr>
          <c:marker>
            <c:symbol val="none"/>
          </c:marker>
          <c:xVal>
            <c:numRef>
              <c:f>Symbole!$P$25:$S$25</c:f>
              <c:numCache>
                <c:formatCode>General</c:formatCode>
                <c:ptCount val="4"/>
                <c:pt idx="0">
                  <c:v>0</c:v>
                </c:pt>
                <c:pt idx="1">
                  <c:v>0</c:v>
                </c:pt>
                <c:pt idx="2">
                  <c:v>0</c:v>
                </c:pt>
                <c:pt idx="3">
                  <c:v>0</c:v>
                </c:pt>
              </c:numCache>
            </c:numRef>
          </c:xVal>
          <c:yVal>
            <c:numRef>
              <c:f>Symbole!$T$25:$W$25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A-5E8C-4715-B1DF-1E828197FF17}"/>
            </c:ext>
          </c:extLst>
        </c:ser>
        <c:ser>
          <c:idx val="41"/>
          <c:order val="75"/>
          <c:tx>
            <c:v>LagerH1</c:v>
          </c:tx>
          <c:spPr>
            <a:ln w="12700">
              <a:solidFill>
                <a:srgbClr val="808080"/>
              </a:solidFill>
              <a:prstDash val="solid"/>
            </a:ln>
          </c:spPr>
          <c:marker>
            <c:symbol val="none"/>
          </c:marker>
          <c:xVal>
            <c:numRef>
              <c:f>Symbole!$P$29:$S$29</c:f>
              <c:numCache>
                <c:formatCode>General</c:formatCode>
                <c:ptCount val="4"/>
                <c:pt idx="0">
                  <c:v>23.626678459402886</c:v>
                </c:pt>
                <c:pt idx="1">
                  <c:v>23.626678459402886</c:v>
                </c:pt>
                <c:pt idx="2">
                  <c:v>23.626678459402886</c:v>
                </c:pt>
                <c:pt idx="3">
                  <c:v>23.626678459402886</c:v>
                </c:pt>
              </c:numCache>
            </c:numRef>
          </c:xVal>
          <c:yVal>
            <c:numRef>
              <c:f>Symbole!$T$29:$W$29</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4B-5E8C-4715-B1DF-1E828197FF17}"/>
            </c:ext>
          </c:extLst>
        </c:ser>
        <c:ser>
          <c:idx val="42"/>
          <c:order val="76"/>
          <c:tx>
            <c:v>LagerH2</c:v>
          </c:tx>
          <c:spPr>
            <a:ln w="12700">
              <a:solidFill>
                <a:srgbClr val="808080"/>
              </a:solidFill>
              <a:prstDash val="solid"/>
            </a:ln>
          </c:spPr>
          <c:marker>
            <c:symbol val="none"/>
          </c:marker>
          <c:xVal>
            <c:numRef>
              <c:f>Symbole!$P$30:$S$30</c:f>
              <c:numCache>
                <c:formatCode>General</c:formatCode>
                <c:ptCount val="4"/>
                <c:pt idx="0">
                  <c:v>100</c:v>
                </c:pt>
                <c:pt idx="1">
                  <c:v>114.6965073401812</c:v>
                </c:pt>
                <c:pt idx="2">
                  <c:v>114.6965073401812</c:v>
                </c:pt>
                <c:pt idx="3">
                  <c:v>100</c:v>
                </c:pt>
              </c:numCache>
            </c:numRef>
          </c:xVal>
          <c:yVal>
            <c:numRef>
              <c:f>Symbole!$T$30:$W$30</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4C-5E8C-4715-B1DF-1E828197FF17}"/>
            </c:ext>
          </c:extLst>
        </c:ser>
        <c:ser>
          <c:idx val="43"/>
          <c:order val="77"/>
          <c:tx>
            <c:v>LagerH3</c:v>
          </c:tx>
          <c:spPr>
            <a:ln w="12700">
              <a:solidFill>
                <a:srgbClr val="808080"/>
              </a:solidFill>
              <a:prstDash val="solid"/>
            </a:ln>
          </c:spPr>
          <c:marker>
            <c:symbol val="none"/>
          </c:marker>
          <c:xVal>
            <c:numRef>
              <c:f>Symbole!$P$31:$S$31</c:f>
              <c:numCache>
                <c:formatCode>General</c:formatCode>
                <c:ptCount val="4"/>
                <c:pt idx="0">
                  <c:v>20</c:v>
                </c:pt>
                <c:pt idx="1">
                  <c:v>34.696507340181206</c:v>
                </c:pt>
                <c:pt idx="2">
                  <c:v>34.696507340181206</c:v>
                </c:pt>
                <c:pt idx="3">
                  <c:v>20</c:v>
                </c:pt>
              </c:numCache>
            </c:numRef>
          </c:xVal>
          <c:yVal>
            <c:numRef>
              <c:f>Symbole!$T$31:$W$31</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4D-5E8C-4715-B1DF-1E828197FF17}"/>
            </c:ext>
          </c:extLst>
        </c:ser>
        <c:ser>
          <c:idx val="44"/>
          <c:order val="78"/>
          <c:tx>
            <c:v>LagerH4</c:v>
          </c:tx>
          <c:spPr>
            <a:ln w="12700">
              <a:solidFill>
                <a:srgbClr val="808080"/>
              </a:solidFill>
              <a:prstDash val="solid"/>
            </a:ln>
          </c:spPr>
          <c:marker>
            <c:symbol val="none"/>
          </c:marker>
          <c:xVal>
            <c:numRef>
              <c:f>Symbole!$P$32:$S$32</c:f>
              <c:numCache>
                <c:formatCode>General</c:formatCode>
                <c:ptCount val="4"/>
                <c:pt idx="0">
                  <c:v>60</c:v>
                </c:pt>
                <c:pt idx="1">
                  <c:v>74.696507340181199</c:v>
                </c:pt>
                <c:pt idx="2">
                  <c:v>74.696507340181199</c:v>
                </c:pt>
                <c:pt idx="3">
                  <c:v>60</c:v>
                </c:pt>
              </c:numCache>
            </c:numRef>
          </c:xVal>
          <c:yVal>
            <c:numRef>
              <c:f>Symbole!$T$32:$W$32</c:f>
              <c:numCache>
                <c:formatCode>General</c:formatCode>
                <c:ptCount val="4"/>
                <c:pt idx="0">
                  <c:v>-100</c:v>
                </c:pt>
                <c:pt idx="1">
                  <c:v>-91.514718625761432</c:v>
                </c:pt>
                <c:pt idx="2">
                  <c:v>-108.48528137423857</c:v>
                </c:pt>
                <c:pt idx="3">
                  <c:v>-100</c:v>
                </c:pt>
              </c:numCache>
            </c:numRef>
          </c:yVal>
          <c:smooth val="0"/>
          <c:extLst>
            <c:ext xmlns:c16="http://schemas.microsoft.com/office/drawing/2014/chart" uri="{C3380CC4-5D6E-409C-BE32-E72D297353CC}">
              <c16:uniqueId val="{0000004E-5E8C-4715-B1DF-1E828197FF17}"/>
            </c:ext>
          </c:extLst>
        </c:ser>
        <c:ser>
          <c:idx val="45"/>
          <c:order val="79"/>
          <c:tx>
            <c:v>LagerH5</c:v>
          </c:tx>
          <c:spPr>
            <a:ln w="12700">
              <a:solidFill>
                <a:srgbClr val="808080"/>
              </a:solidFill>
              <a:prstDash val="solid"/>
            </a:ln>
          </c:spPr>
          <c:marker>
            <c:symbol val="none"/>
          </c:marker>
          <c:xVal>
            <c:numRef>
              <c:f>Symbole!$P$33:$S$33</c:f>
              <c:numCache>
                <c:formatCode>General</c:formatCode>
                <c:ptCount val="4"/>
                <c:pt idx="0">
                  <c:v>-50</c:v>
                </c:pt>
                <c:pt idx="1">
                  <c:v>-35.303492659818794</c:v>
                </c:pt>
                <c:pt idx="2">
                  <c:v>-35.303492659818794</c:v>
                </c:pt>
                <c:pt idx="3">
                  <c:v>-50</c:v>
                </c:pt>
              </c:numCache>
            </c:numRef>
          </c:xVal>
          <c:yVal>
            <c:numRef>
              <c:f>Symbole!$T$33:$W$33</c:f>
              <c:numCache>
                <c:formatCode>General</c:formatCode>
                <c:ptCount val="4"/>
                <c:pt idx="0">
                  <c:v>-70</c:v>
                </c:pt>
                <c:pt idx="1">
                  <c:v>-61.514718625761432</c:v>
                </c:pt>
                <c:pt idx="2">
                  <c:v>-78.485281374238568</c:v>
                </c:pt>
                <c:pt idx="3">
                  <c:v>-70</c:v>
                </c:pt>
              </c:numCache>
            </c:numRef>
          </c:yVal>
          <c:smooth val="0"/>
          <c:extLst>
            <c:ext xmlns:c16="http://schemas.microsoft.com/office/drawing/2014/chart" uri="{C3380CC4-5D6E-409C-BE32-E72D297353CC}">
              <c16:uniqueId val="{0000004F-5E8C-4715-B1DF-1E828197FF17}"/>
            </c:ext>
          </c:extLst>
        </c:ser>
        <c:ser>
          <c:idx val="46"/>
          <c:order val="80"/>
          <c:tx>
            <c:v>LagerH6</c:v>
          </c:tx>
          <c:spPr>
            <a:ln w="12700">
              <a:solidFill>
                <a:srgbClr val="808080"/>
              </a:solidFill>
              <a:prstDash val="solid"/>
            </a:ln>
          </c:spPr>
          <c:marker>
            <c:symbol val="none"/>
          </c:marker>
          <c:xVal>
            <c:numRef>
              <c:f>Symbole!$P$34:$S$34</c:f>
              <c:numCache>
                <c:formatCode>General</c:formatCode>
                <c:ptCount val="4"/>
                <c:pt idx="0">
                  <c:v>-100</c:v>
                </c:pt>
                <c:pt idx="1">
                  <c:v>-85.303492659818801</c:v>
                </c:pt>
                <c:pt idx="2">
                  <c:v>-85.303492659818801</c:v>
                </c:pt>
                <c:pt idx="3">
                  <c:v>-100</c:v>
                </c:pt>
              </c:numCache>
            </c:numRef>
          </c:xVal>
          <c:yVal>
            <c:numRef>
              <c:f>Symbole!$T$34:$W$34</c:f>
              <c:numCache>
                <c:formatCode>General</c:formatCode>
                <c:ptCount val="4"/>
                <c:pt idx="0">
                  <c:v>100</c:v>
                </c:pt>
                <c:pt idx="1">
                  <c:v>108.48528137423857</c:v>
                </c:pt>
                <c:pt idx="2">
                  <c:v>91.514718625761432</c:v>
                </c:pt>
                <c:pt idx="3">
                  <c:v>100</c:v>
                </c:pt>
              </c:numCache>
            </c:numRef>
          </c:yVal>
          <c:smooth val="0"/>
          <c:extLst>
            <c:ext xmlns:c16="http://schemas.microsoft.com/office/drawing/2014/chart" uri="{C3380CC4-5D6E-409C-BE32-E72D297353CC}">
              <c16:uniqueId val="{00000050-5E8C-4715-B1DF-1E828197FF17}"/>
            </c:ext>
          </c:extLst>
        </c:ser>
        <c:ser>
          <c:idx val="47"/>
          <c:order val="81"/>
          <c:tx>
            <c:v>LagerH7</c:v>
          </c:tx>
          <c:spPr>
            <a:ln w="12700">
              <a:solidFill>
                <a:srgbClr val="808080"/>
              </a:solidFill>
              <a:prstDash val="solid"/>
            </a:ln>
          </c:spPr>
          <c:marker>
            <c:symbol val="none"/>
          </c:marker>
          <c:xVal>
            <c:numRef>
              <c:f>Symbole!$P$35:$S$35</c:f>
              <c:numCache>
                <c:formatCode>General</c:formatCode>
                <c:ptCount val="4"/>
                <c:pt idx="0">
                  <c:v>0</c:v>
                </c:pt>
                <c:pt idx="1">
                  <c:v>0</c:v>
                </c:pt>
                <c:pt idx="2">
                  <c:v>0</c:v>
                </c:pt>
                <c:pt idx="3">
                  <c:v>0</c:v>
                </c:pt>
              </c:numCache>
            </c:numRef>
          </c:xVal>
          <c:yVal>
            <c:numRef>
              <c:f>Symbole!$T$35:$W$35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1-5E8C-4715-B1DF-1E828197FF17}"/>
            </c:ext>
          </c:extLst>
        </c:ser>
        <c:ser>
          <c:idx val="48"/>
          <c:order val="82"/>
          <c:tx>
            <c:v>LagerH8</c:v>
          </c:tx>
          <c:spPr>
            <a:ln w="12700">
              <a:solidFill>
                <a:srgbClr val="808080"/>
              </a:solidFill>
              <a:prstDash val="solid"/>
            </a:ln>
          </c:spPr>
          <c:marker>
            <c:symbol val="none"/>
          </c:marker>
          <c:xVal>
            <c:numRef>
              <c:f>Symbole!$P$36:$S$36</c:f>
              <c:numCache>
                <c:formatCode>General</c:formatCode>
                <c:ptCount val="4"/>
                <c:pt idx="0">
                  <c:v>0</c:v>
                </c:pt>
                <c:pt idx="1">
                  <c:v>0</c:v>
                </c:pt>
                <c:pt idx="2">
                  <c:v>0</c:v>
                </c:pt>
                <c:pt idx="3">
                  <c:v>0</c:v>
                </c:pt>
              </c:numCache>
            </c:numRef>
          </c:xVal>
          <c:yVal>
            <c:numRef>
              <c:f>Symbole!$T$36:$W$36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2-5E8C-4715-B1DF-1E828197FF17}"/>
            </c:ext>
          </c:extLst>
        </c:ser>
        <c:ser>
          <c:idx val="49"/>
          <c:order val="83"/>
          <c:tx>
            <c:v>LagerH9</c:v>
          </c:tx>
          <c:spPr>
            <a:ln w="12700">
              <a:solidFill>
                <a:srgbClr val="808080"/>
              </a:solidFill>
              <a:prstDash val="solid"/>
            </a:ln>
          </c:spPr>
          <c:marker>
            <c:symbol val="none"/>
          </c:marker>
          <c:xVal>
            <c:numRef>
              <c:f>Symbole!$P$37:$S$37</c:f>
              <c:numCache>
                <c:formatCode>General</c:formatCode>
                <c:ptCount val="4"/>
                <c:pt idx="0">
                  <c:v>0</c:v>
                </c:pt>
                <c:pt idx="1">
                  <c:v>0</c:v>
                </c:pt>
                <c:pt idx="2">
                  <c:v>0</c:v>
                </c:pt>
                <c:pt idx="3">
                  <c:v>0</c:v>
                </c:pt>
              </c:numCache>
            </c:numRef>
          </c:xVal>
          <c:yVal>
            <c:numRef>
              <c:f>Symbole!$T$37:$W$37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3-5E8C-4715-B1DF-1E828197FF17}"/>
            </c:ext>
          </c:extLst>
        </c:ser>
        <c:ser>
          <c:idx val="50"/>
          <c:order val="84"/>
          <c:tx>
            <c:v>LagerH10</c:v>
          </c:tx>
          <c:spPr>
            <a:ln w="12700">
              <a:solidFill>
                <a:srgbClr val="808080"/>
              </a:solidFill>
              <a:prstDash val="solid"/>
            </a:ln>
          </c:spPr>
          <c:marker>
            <c:symbol val="none"/>
          </c:marker>
          <c:xVal>
            <c:numRef>
              <c:f>Symbole!$P$38:$S$38</c:f>
              <c:numCache>
                <c:formatCode>General</c:formatCode>
                <c:ptCount val="4"/>
                <c:pt idx="0">
                  <c:v>0</c:v>
                </c:pt>
                <c:pt idx="1">
                  <c:v>0</c:v>
                </c:pt>
                <c:pt idx="2">
                  <c:v>0</c:v>
                </c:pt>
                <c:pt idx="3">
                  <c:v>0</c:v>
                </c:pt>
              </c:numCache>
            </c:numRef>
          </c:xVal>
          <c:yVal>
            <c:numRef>
              <c:f>Symbole!$T$38:$W$38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4-5E8C-4715-B1DF-1E828197FF17}"/>
            </c:ext>
          </c:extLst>
        </c:ser>
        <c:ser>
          <c:idx val="51"/>
          <c:order val="85"/>
          <c:tx>
            <c:v>LagerH11</c:v>
          </c:tx>
          <c:spPr>
            <a:ln w="12700">
              <a:solidFill>
                <a:srgbClr val="808080"/>
              </a:solidFill>
              <a:prstDash val="solid"/>
            </a:ln>
          </c:spPr>
          <c:marker>
            <c:symbol val="none"/>
          </c:marker>
          <c:xVal>
            <c:numRef>
              <c:f>Symbole!$P$39:$S$39</c:f>
              <c:numCache>
                <c:formatCode>General</c:formatCode>
                <c:ptCount val="4"/>
                <c:pt idx="0">
                  <c:v>0</c:v>
                </c:pt>
                <c:pt idx="1">
                  <c:v>0</c:v>
                </c:pt>
                <c:pt idx="2">
                  <c:v>0</c:v>
                </c:pt>
                <c:pt idx="3">
                  <c:v>0</c:v>
                </c:pt>
              </c:numCache>
            </c:numRef>
          </c:xVal>
          <c:yVal>
            <c:numRef>
              <c:f>Symbole!$T$39:$W$39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5-5E8C-4715-B1DF-1E828197FF17}"/>
            </c:ext>
          </c:extLst>
        </c:ser>
        <c:ser>
          <c:idx val="52"/>
          <c:order val="86"/>
          <c:tx>
            <c:v>LagerH12</c:v>
          </c:tx>
          <c:spPr>
            <a:ln w="12700">
              <a:solidFill>
                <a:srgbClr val="808080"/>
              </a:solidFill>
              <a:prstDash val="solid"/>
            </a:ln>
          </c:spPr>
          <c:marker>
            <c:symbol val="none"/>
          </c:marker>
          <c:xVal>
            <c:numRef>
              <c:f>Symbole!$P$40:$S$40</c:f>
              <c:numCache>
                <c:formatCode>General</c:formatCode>
                <c:ptCount val="4"/>
                <c:pt idx="0">
                  <c:v>0</c:v>
                </c:pt>
                <c:pt idx="1">
                  <c:v>0</c:v>
                </c:pt>
                <c:pt idx="2">
                  <c:v>0</c:v>
                </c:pt>
                <c:pt idx="3">
                  <c:v>0</c:v>
                </c:pt>
              </c:numCache>
            </c:numRef>
          </c:xVal>
          <c:yVal>
            <c:numRef>
              <c:f>Symbole!$T$40:$W$40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6-5E8C-4715-B1DF-1E828197FF17}"/>
            </c:ext>
          </c:extLst>
        </c:ser>
        <c:ser>
          <c:idx val="53"/>
          <c:order val="87"/>
          <c:tx>
            <c:v>LagerH13</c:v>
          </c:tx>
          <c:spPr>
            <a:ln w="12700">
              <a:solidFill>
                <a:srgbClr val="808080"/>
              </a:solidFill>
              <a:prstDash val="solid"/>
            </a:ln>
          </c:spPr>
          <c:marker>
            <c:symbol val="none"/>
          </c:marker>
          <c:xVal>
            <c:numRef>
              <c:f>Symbole!$P$41:$S$41</c:f>
              <c:numCache>
                <c:formatCode>General</c:formatCode>
                <c:ptCount val="4"/>
                <c:pt idx="0">
                  <c:v>0</c:v>
                </c:pt>
                <c:pt idx="1">
                  <c:v>0</c:v>
                </c:pt>
                <c:pt idx="2">
                  <c:v>0</c:v>
                </c:pt>
                <c:pt idx="3">
                  <c:v>0</c:v>
                </c:pt>
              </c:numCache>
            </c:numRef>
          </c:xVal>
          <c:yVal>
            <c:numRef>
              <c:f>Symbole!$T$41:$W$41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7-5E8C-4715-B1DF-1E828197FF17}"/>
            </c:ext>
          </c:extLst>
        </c:ser>
        <c:ser>
          <c:idx val="54"/>
          <c:order val="88"/>
          <c:tx>
            <c:v>LagerH14</c:v>
          </c:tx>
          <c:spPr>
            <a:ln w="12700">
              <a:solidFill>
                <a:srgbClr val="808080"/>
              </a:solidFill>
              <a:prstDash val="solid"/>
            </a:ln>
          </c:spPr>
          <c:marker>
            <c:symbol val="none"/>
          </c:marker>
          <c:xVal>
            <c:numRef>
              <c:f>Symbole!$P$42:$S$42</c:f>
              <c:numCache>
                <c:formatCode>General</c:formatCode>
                <c:ptCount val="4"/>
                <c:pt idx="0">
                  <c:v>0</c:v>
                </c:pt>
                <c:pt idx="1">
                  <c:v>0</c:v>
                </c:pt>
                <c:pt idx="2">
                  <c:v>0</c:v>
                </c:pt>
                <c:pt idx="3">
                  <c:v>0</c:v>
                </c:pt>
              </c:numCache>
            </c:numRef>
          </c:xVal>
          <c:yVal>
            <c:numRef>
              <c:f>Symbole!$T$42:$W$42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8-5E8C-4715-B1DF-1E828197FF17}"/>
            </c:ext>
          </c:extLst>
        </c:ser>
        <c:ser>
          <c:idx val="55"/>
          <c:order val="89"/>
          <c:tx>
            <c:v>LagerH15</c:v>
          </c:tx>
          <c:spPr>
            <a:ln w="12700">
              <a:solidFill>
                <a:srgbClr val="808080"/>
              </a:solidFill>
              <a:prstDash val="solid"/>
            </a:ln>
          </c:spPr>
          <c:marker>
            <c:symbol val="none"/>
          </c:marker>
          <c:xVal>
            <c:numRef>
              <c:f>Symbole!$P$43:$S$43</c:f>
              <c:numCache>
                <c:formatCode>General</c:formatCode>
                <c:ptCount val="4"/>
                <c:pt idx="0">
                  <c:v>0</c:v>
                </c:pt>
                <c:pt idx="1">
                  <c:v>0</c:v>
                </c:pt>
                <c:pt idx="2">
                  <c:v>0</c:v>
                </c:pt>
                <c:pt idx="3">
                  <c:v>0</c:v>
                </c:pt>
              </c:numCache>
            </c:numRef>
          </c:xVal>
          <c:yVal>
            <c:numRef>
              <c:f>Symbole!$T$43:$W$43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9-5E8C-4715-B1DF-1E828197FF17}"/>
            </c:ext>
          </c:extLst>
        </c:ser>
        <c:ser>
          <c:idx val="56"/>
          <c:order val="90"/>
          <c:tx>
            <c:v>LagerH16</c:v>
          </c:tx>
          <c:spPr>
            <a:ln w="12700">
              <a:solidFill>
                <a:srgbClr val="808080"/>
              </a:solidFill>
              <a:prstDash val="solid"/>
            </a:ln>
          </c:spPr>
          <c:marker>
            <c:symbol val="none"/>
          </c:marker>
          <c:xVal>
            <c:numRef>
              <c:f>Symbole!$P$44:$S$44</c:f>
              <c:numCache>
                <c:formatCode>General</c:formatCode>
                <c:ptCount val="4"/>
                <c:pt idx="0">
                  <c:v>0</c:v>
                </c:pt>
                <c:pt idx="1">
                  <c:v>0</c:v>
                </c:pt>
                <c:pt idx="2">
                  <c:v>0</c:v>
                </c:pt>
                <c:pt idx="3">
                  <c:v>0</c:v>
                </c:pt>
              </c:numCache>
            </c:numRef>
          </c:xVal>
          <c:yVal>
            <c:numRef>
              <c:f>Symbole!$T$44:$W$44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A-5E8C-4715-B1DF-1E828197FF17}"/>
            </c:ext>
          </c:extLst>
        </c:ser>
        <c:ser>
          <c:idx val="57"/>
          <c:order val="91"/>
          <c:tx>
            <c:v>LagerH17</c:v>
          </c:tx>
          <c:spPr>
            <a:ln w="12700">
              <a:solidFill>
                <a:srgbClr val="808080"/>
              </a:solidFill>
              <a:prstDash val="solid"/>
            </a:ln>
          </c:spPr>
          <c:marker>
            <c:symbol val="none"/>
          </c:marker>
          <c:xVal>
            <c:numRef>
              <c:f>Symbole!$P$45:$S$45</c:f>
              <c:numCache>
                <c:formatCode>General</c:formatCode>
                <c:ptCount val="4"/>
                <c:pt idx="0">
                  <c:v>0</c:v>
                </c:pt>
                <c:pt idx="1">
                  <c:v>0</c:v>
                </c:pt>
                <c:pt idx="2">
                  <c:v>0</c:v>
                </c:pt>
                <c:pt idx="3">
                  <c:v>0</c:v>
                </c:pt>
              </c:numCache>
            </c:numRef>
          </c:xVal>
          <c:yVal>
            <c:numRef>
              <c:f>Symbole!$T$45:$W$45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B-5E8C-4715-B1DF-1E828197FF17}"/>
            </c:ext>
          </c:extLst>
        </c:ser>
        <c:ser>
          <c:idx val="58"/>
          <c:order val="92"/>
          <c:tx>
            <c:v>LagerH18</c:v>
          </c:tx>
          <c:spPr>
            <a:ln w="12700">
              <a:solidFill>
                <a:srgbClr val="808080"/>
              </a:solidFill>
              <a:prstDash val="solid"/>
            </a:ln>
          </c:spPr>
          <c:marker>
            <c:symbol val="none"/>
          </c:marker>
          <c:xVal>
            <c:numRef>
              <c:f>Symbole!$P$46:$S$46</c:f>
              <c:numCache>
                <c:formatCode>General</c:formatCode>
                <c:ptCount val="4"/>
                <c:pt idx="0">
                  <c:v>0</c:v>
                </c:pt>
                <c:pt idx="1">
                  <c:v>0</c:v>
                </c:pt>
                <c:pt idx="2">
                  <c:v>0</c:v>
                </c:pt>
                <c:pt idx="3">
                  <c:v>0</c:v>
                </c:pt>
              </c:numCache>
            </c:numRef>
          </c:xVal>
          <c:yVal>
            <c:numRef>
              <c:f>Symbole!$T$46:$W$46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C-5E8C-4715-B1DF-1E828197FF17}"/>
            </c:ext>
          </c:extLst>
        </c:ser>
        <c:ser>
          <c:idx val="59"/>
          <c:order val="93"/>
          <c:tx>
            <c:v>LagerH19</c:v>
          </c:tx>
          <c:spPr>
            <a:ln w="12700">
              <a:solidFill>
                <a:srgbClr val="808080"/>
              </a:solidFill>
              <a:prstDash val="solid"/>
            </a:ln>
          </c:spPr>
          <c:marker>
            <c:symbol val="none"/>
          </c:marker>
          <c:xVal>
            <c:numRef>
              <c:f>Symbole!$P$47:$S$47</c:f>
              <c:numCache>
                <c:formatCode>General</c:formatCode>
                <c:ptCount val="4"/>
                <c:pt idx="0">
                  <c:v>0</c:v>
                </c:pt>
                <c:pt idx="1">
                  <c:v>0</c:v>
                </c:pt>
                <c:pt idx="2">
                  <c:v>0</c:v>
                </c:pt>
                <c:pt idx="3">
                  <c:v>0</c:v>
                </c:pt>
              </c:numCache>
            </c:numRef>
          </c:xVal>
          <c:yVal>
            <c:numRef>
              <c:f>Symbole!$T$47:$W$47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D-5E8C-4715-B1DF-1E828197FF17}"/>
            </c:ext>
          </c:extLst>
        </c:ser>
        <c:ser>
          <c:idx val="60"/>
          <c:order val="94"/>
          <c:tx>
            <c:v>LagerH20</c:v>
          </c:tx>
          <c:spPr>
            <a:ln w="12700">
              <a:solidFill>
                <a:srgbClr val="808080"/>
              </a:solidFill>
              <a:prstDash val="solid"/>
            </a:ln>
          </c:spPr>
          <c:marker>
            <c:symbol val="none"/>
          </c:marker>
          <c:xVal>
            <c:numRef>
              <c:f>Symbole!$P$48:$S$48</c:f>
              <c:numCache>
                <c:formatCode>General</c:formatCode>
                <c:ptCount val="4"/>
                <c:pt idx="0">
                  <c:v>0</c:v>
                </c:pt>
                <c:pt idx="1">
                  <c:v>0</c:v>
                </c:pt>
                <c:pt idx="2">
                  <c:v>0</c:v>
                </c:pt>
                <c:pt idx="3">
                  <c:v>0</c:v>
                </c:pt>
              </c:numCache>
            </c:numRef>
          </c:xVal>
          <c:yVal>
            <c:numRef>
              <c:f>Symbole!$T$48:$W$48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E-5E8C-4715-B1DF-1E828197FF17}"/>
            </c:ext>
          </c:extLst>
        </c:ser>
        <c:ser>
          <c:idx val="61"/>
          <c:order val="95"/>
          <c:tx>
            <c:v>LagerR1</c:v>
          </c:tx>
          <c:spPr>
            <a:ln w="12700">
              <a:solidFill>
                <a:srgbClr val="808080"/>
              </a:solidFill>
              <a:prstDash val="solid"/>
            </a:ln>
          </c:spPr>
          <c:marker>
            <c:symbol val="none"/>
          </c:marker>
          <c:xVal>
            <c:numRef>
              <c:f>Symbole!$P$52:$T$52</c:f>
              <c:numCache>
                <c:formatCode>General</c:formatCode>
                <c:ptCount val="5"/>
                <c:pt idx="0">
                  <c:v>23.626678459402886</c:v>
                </c:pt>
                <c:pt idx="1">
                  <c:v>23.626678459402886</c:v>
                </c:pt>
                <c:pt idx="2">
                  <c:v>23.626678459402886</c:v>
                </c:pt>
                <c:pt idx="3">
                  <c:v>23.626678459402886</c:v>
                </c:pt>
                <c:pt idx="4">
                  <c:v>23.626678459402886</c:v>
                </c:pt>
              </c:numCache>
            </c:numRef>
          </c:xVal>
          <c:yVal>
            <c:numRef>
              <c:f>Symbole!$U$52:$Y$52</c:f>
              <c:numCache>
                <c:formatCode>General</c:formatCode>
                <c:ptCount val="5"/>
                <c:pt idx="0">
                  <c:v>-46.105451176718191</c:v>
                </c:pt>
                <c:pt idx="1">
                  <c:v>-46.105451176718191</c:v>
                </c:pt>
                <c:pt idx="2">
                  <c:v>-46.105451176718191</c:v>
                </c:pt>
                <c:pt idx="3">
                  <c:v>-46.105451176718191</c:v>
                </c:pt>
                <c:pt idx="4">
                  <c:v>-46.105451176718191</c:v>
                </c:pt>
              </c:numCache>
            </c:numRef>
          </c:yVal>
          <c:smooth val="0"/>
          <c:extLst>
            <c:ext xmlns:c16="http://schemas.microsoft.com/office/drawing/2014/chart" uri="{C3380CC4-5D6E-409C-BE32-E72D297353CC}">
              <c16:uniqueId val="{0000005F-5E8C-4715-B1DF-1E828197FF17}"/>
            </c:ext>
          </c:extLst>
        </c:ser>
        <c:ser>
          <c:idx val="62"/>
          <c:order val="96"/>
          <c:tx>
            <c:v>LagerR2</c:v>
          </c:tx>
          <c:spPr>
            <a:ln w="12700">
              <a:solidFill>
                <a:srgbClr val="808080"/>
              </a:solidFill>
              <a:prstDash val="solid"/>
            </a:ln>
          </c:spPr>
          <c:marker>
            <c:symbol val="none"/>
          </c:marker>
          <c:xVal>
            <c:numRef>
              <c:f>Symbole!$P$53:$T$53</c:f>
              <c:numCache>
                <c:formatCode>General</c:formatCode>
                <c:ptCount val="5"/>
                <c:pt idx="0">
                  <c:v>100</c:v>
                </c:pt>
                <c:pt idx="1">
                  <c:v>100</c:v>
                </c:pt>
                <c:pt idx="2">
                  <c:v>100</c:v>
                </c:pt>
                <c:pt idx="3">
                  <c:v>100</c:v>
                </c:pt>
                <c:pt idx="4">
                  <c:v>100</c:v>
                </c:pt>
              </c:numCache>
            </c:numRef>
          </c:xVal>
          <c:yVal>
            <c:numRef>
              <c:f>Symbole!$U$53:$Y$53</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60-5E8C-4715-B1DF-1E828197FF17}"/>
            </c:ext>
          </c:extLst>
        </c:ser>
        <c:ser>
          <c:idx val="63"/>
          <c:order val="97"/>
          <c:tx>
            <c:v>LagerR3</c:v>
          </c:tx>
          <c:spPr>
            <a:ln w="12700">
              <a:solidFill>
                <a:srgbClr val="808080"/>
              </a:solidFill>
              <a:prstDash val="solid"/>
            </a:ln>
          </c:spPr>
          <c:marker>
            <c:symbol val="none"/>
          </c:marker>
          <c:xVal>
            <c:numRef>
              <c:f>Symbole!$P$54:$T$54</c:f>
              <c:numCache>
                <c:formatCode>General</c:formatCode>
                <c:ptCount val="5"/>
                <c:pt idx="0">
                  <c:v>20</c:v>
                </c:pt>
                <c:pt idx="1">
                  <c:v>20</c:v>
                </c:pt>
                <c:pt idx="2">
                  <c:v>20</c:v>
                </c:pt>
                <c:pt idx="3">
                  <c:v>20</c:v>
                </c:pt>
                <c:pt idx="4">
                  <c:v>20</c:v>
                </c:pt>
              </c:numCache>
            </c:numRef>
          </c:xVal>
          <c:yVal>
            <c:numRef>
              <c:f>Symbole!$U$54:$Y$54</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61-5E8C-4715-B1DF-1E828197FF17}"/>
            </c:ext>
          </c:extLst>
        </c:ser>
        <c:ser>
          <c:idx val="64"/>
          <c:order val="98"/>
          <c:tx>
            <c:v>LagerR4</c:v>
          </c:tx>
          <c:spPr>
            <a:ln w="12700">
              <a:solidFill>
                <a:srgbClr val="808080"/>
              </a:solidFill>
              <a:prstDash val="solid"/>
            </a:ln>
          </c:spPr>
          <c:marker>
            <c:symbol val="none"/>
          </c:marker>
          <c:xVal>
            <c:numRef>
              <c:f>Symbole!$P$55:$T$55</c:f>
              <c:numCache>
                <c:formatCode>General</c:formatCode>
                <c:ptCount val="5"/>
                <c:pt idx="0">
                  <c:v>60</c:v>
                </c:pt>
                <c:pt idx="1">
                  <c:v>60</c:v>
                </c:pt>
                <c:pt idx="2">
                  <c:v>60</c:v>
                </c:pt>
                <c:pt idx="3">
                  <c:v>60</c:v>
                </c:pt>
                <c:pt idx="4">
                  <c:v>60</c:v>
                </c:pt>
              </c:numCache>
            </c:numRef>
          </c:xVal>
          <c:yVal>
            <c:numRef>
              <c:f>Symbole!$U$55:$Y$55</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62-5E8C-4715-B1DF-1E828197FF17}"/>
            </c:ext>
          </c:extLst>
        </c:ser>
        <c:ser>
          <c:idx val="65"/>
          <c:order val="99"/>
          <c:tx>
            <c:v>LagerR5</c:v>
          </c:tx>
          <c:spPr>
            <a:ln w="12700">
              <a:solidFill>
                <a:srgbClr val="808080"/>
              </a:solidFill>
              <a:prstDash val="solid"/>
            </a:ln>
          </c:spPr>
          <c:marker>
            <c:symbol val="none"/>
          </c:marker>
          <c:xVal>
            <c:numRef>
              <c:f>Symbole!$P$56:$T$56</c:f>
              <c:numCache>
                <c:formatCode>General</c:formatCode>
                <c:ptCount val="5"/>
                <c:pt idx="0">
                  <c:v>-50</c:v>
                </c:pt>
                <c:pt idx="1">
                  <c:v>-50</c:v>
                </c:pt>
                <c:pt idx="2">
                  <c:v>-50</c:v>
                </c:pt>
                <c:pt idx="3">
                  <c:v>-50</c:v>
                </c:pt>
                <c:pt idx="4">
                  <c:v>-50</c:v>
                </c:pt>
              </c:numCache>
            </c:numRef>
          </c:xVal>
          <c:yVal>
            <c:numRef>
              <c:f>Symbole!$U$56:$Y$56</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63-5E8C-4715-B1DF-1E828197FF17}"/>
            </c:ext>
          </c:extLst>
        </c:ser>
        <c:ser>
          <c:idx val="66"/>
          <c:order val="100"/>
          <c:tx>
            <c:v>LagerR6</c:v>
          </c:tx>
          <c:spPr>
            <a:ln w="12700">
              <a:solidFill>
                <a:srgbClr val="808080"/>
              </a:solidFill>
              <a:prstDash val="solid"/>
            </a:ln>
          </c:spPr>
          <c:marker>
            <c:symbol val="none"/>
          </c:marker>
          <c:xVal>
            <c:numRef>
              <c:f>Symbole!$P$57:$T$57</c:f>
              <c:numCache>
                <c:formatCode>General</c:formatCode>
                <c:ptCount val="5"/>
                <c:pt idx="0">
                  <c:v>-100</c:v>
                </c:pt>
                <c:pt idx="1">
                  <c:v>-100</c:v>
                </c:pt>
                <c:pt idx="2">
                  <c:v>-100</c:v>
                </c:pt>
                <c:pt idx="3">
                  <c:v>-100</c:v>
                </c:pt>
                <c:pt idx="4">
                  <c:v>-100</c:v>
                </c:pt>
              </c:numCache>
            </c:numRef>
          </c:xVal>
          <c:yVal>
            <c:numRef>
              <c:f>Symbole!$U$57:$Y$57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64-5E8C-4715-B1DF-1E828197FF17}"/>
            </c:ext>
          </c:extLst>
        </c:ser>
        <c:ser>
          <c:idx val="67"/>
          <c:order val="101"/>
          <c:tx>
            <c:v>LagerR7</c:v>
          </c:tx>
          <c:spPr>
            <a:ln w="12700">
              <a:solidFill>
                <a:srgbClr val="808080"/>
              </a:solidFill>
              <a:prstDash val="solid"/>
            </a:ln>
          </c:spPr>
          <c:marker>
            <c:symbol val="none"/>
          </c:marker>
          <c:xVal>
            <c:numRef>
              <c:f>Symbole!$P$58:$T$58</c:f>
              <c:numCache>
                <c:formatCode>General</c:formatCode>
                <c:ptCount val="5"/>
                <c:pt idx="0">
                  <c:v>0</c:v>
                </c:pt>
                <c:pt idx="1">
                  <c:v>0</c:v>
                </c:pt>
                <c:pt idx="2">
                  <c:v>0</c:v>
                </c:pt>
                <c:pt idx="3">
                  <c:v>0</c:v>
                </c:pt>
                <c:pt idx="4">
                  <c:v>0</c:v>
                </c:pt>
              </c:numCache>
            </c:numRef>
          </c:xVal>
          <c:yVal>
            <c:numRef>
              <c:f>Symbole!$U$58:$Y$58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5-5E8C-4715-B1DF-1E828197FF17}"/>
            </c:ext>
          </c:extLst>
        </c:ser>
        <c:ser>
          <c:idx val="68"/>
          <c:order val="102"/>
          <c:tx>
            <c:v>LagerR8</c:v>
          </c:tx>
          <c:spPr>
            <a:ln w="12700">
              <a:solidFill>
                <a:srgbClr val="808080"/>
              </a:solidFill>
              <a:prstDash val="solid"/>
            </a:ln>
          </c:spPr>
          <c:marker>
            <c:symbol val="none"/>
          </c:marker>
          <c:xVal>
            <c:numRef>
              <c:f>Symbole!$P$59:$T$59</c:f>
              <c:numCache>
                <c:formatCode>General</c:formatCode>
                <c:ptCount val="5"/>
                <c:pt idx="0">
                  <c:v>0</c:v>
                </c:pt>
                <c:pt idx="1">
                  <c:v>0</c:v>
                </c:pt>
                <c:pt idx="2">
                  <c:v>0</c:v>
                </c:pt>
                <c:pt idx="3">
                  <c:v>0</c:v>
                </c:pt>
                <c:pt idx="4">
                  <c:v>0</c:v>
                </c:pt>
              </c:numCache>
            </c:numRef>
          </c:xVal>
          <c:yVal>
            <c:numRef>
              <c:f>Symbole!$U$59:$Y$59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6-5E8C-4715-B1DF-1E828197FF17}"/>
            </c:ext>
          </c:extLst>
        </c:ser>
        <c:ser>
          <c:idx val="69"/>
          <c:order val="103"/>
          <c:tx>
            <c:v>LagerR9</c:v>
          </c:tx>
          <c:spPr>
            <a:ln w="12700">
              <a:solidFill>
                <a:srgbClr val="808080"/>
              </a:solidFill>
              <a:prstDash val="solid"/>
            </a:ln>
          </c:spPr>
          <c:marker>
            <c:symbol val="none"/>
          </c:marker>
          <c:xVal>
            <c:numRef>
              <c:f>Symbole!$P$60:$T$60</c:f>
              <c:numCache>
                <c:formatCode>General</c:formatCode>
                <c:ptCount val="5"/>
                <c:pt idx="0">
                  <c:v>0</c:v>
                </c:pt>
                <c:pt idx="1">
                  <c:v>0</c:v>
                </c:pt>
                <c:pt idx="2">
                  <c:v>0</c:v>
                </c:pt>
                <c:pt idx="3">
                  <c:v>0</c:v>
                </c:pt>
                <c:pt idx="4">
                  <c:v>0</c:v>
                </c:pt>
              </c:numCache>
            </c:numRef>
          </c:xVal>
          <c:yVal>
            <c:numRef>
              <c:f>Symbole!$U$60:$Y$60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7-5E8C-4715-B1DF-1E828197FF17}"/>
            </c:ext>
          </c:extLst>
        </c:ser>
        <c:ser>
          <c:idx val="70"/>
          <c:order val="104"/>
          <c:tx>
            <c:v>LagerR10</c:v>
          </c:tx>
          <c:spPr>
            <a:ln w="12700">
              <a:solidFill>
                <a:srgbClr val="808080"/>
              </a:solidFill>
              <a:prstDash val="solid"/>
            </a:ln>
          </c:spPr>
          <c:marker>
            <c:symbol val="none"/>
          </c:marker>
          <c:xVal>
            <c:numRef>
              <c:f>Symbole!$P$61:$T$61</c:f>
              <c:numCache>
                <c:formatCode>General</c:formatCode>
                <c:ptCount val="5"/>
                <c:pt idx="0">
                  <c:v>0</c:v>
                </c:pt>
                <c:pt idx="1">
                  <c:v>0</c:v>
                </c:pt>
                <c:pt idx="2">
                  <c:v>0</c:v>
                </c:pt>
                <c:pt idx="3">
                  <c:v>0</c:v>
                </c:pt>
                <c:pt idx="4">
                  <c:v>0</c:v>
                </c:pt>
              </c:numCache>
            </c:numRef>
          </c:xVal>
          <c:yVal>
            <c:numRef>
              <c:f>Symbole!$U$61:$Y$61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8-5E8C-4715-B1DF-1E828197FF17}"/>
            </c:ext>
          </c:extLst>
        </c:ser>
        <c:ser>
          <c:idx val="71"/>
          <c:order val="105"/>
          <c:tx>
            <c:v>LagerR11</c:v>
          </c:tx>
          <c:spPr>
            <a:ln w="12700">
              <a:solidFill>
                <a:srgbClr val="808080"/>
              </a:solidFill>
              <a:prstDash val="solid"/>
            </a:ln>
          </c:spPr>
          <c:marker>
            <c:symbol val="none"/>
          </c:marker>
          <c:xVal>
            <c:numRef>
              <c:f>Symbole!$P$62:$T$62</c:f>
              <c:numCache>
                <c:formatCode>General</c:formatCode>
                <c:ptCount val="5"/>
                <c:pt idx="0">
                  <c:v>0</c:v>
                </c:pt>
                <c:pt idx="1">
                  <c:v>0</c:v>
                </c:pt>
                <c:pt idx="2">
                  <c:v>0</c:v>
                </c:pt>
                <c:pt idx="3">
                  <c:v>0</c:v>
                </c:pt>
                <c:pt idx="4">
                  <c:v>0</c:v>
                </c:pt>
              </c:numCache>
            </c:numRef>
          </c:xVal>
          <c:yVal>
            <c:numRef>
              <c:f>Symbole!$U$62:$Y$62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9-5E8C-4715-B1DF-1E828197FF17}"/>
            </c:ext>
          </c:extLst>
        </c:ser>
        <c:ser>
          <c:idx val="72"/>
          <c:order val="106"/>
          <c:tx>
            <c:v>LagerR12</c:v>
          </c:tx>
          <c:spPr>
            <a:ln w="12700">
              <a:solidFill>
                <a:srgbClr val="808080"/>
              </a:solidFill>
              <a:prstDash val="solid"/>
            </a:ln>
          </c:spPr>
          <c:marker>
            <c:symbol val="none"/>
          </c:marker>
          <c:xVal>
            <c:numRef>
              <c:f>Symbole!$P$63:$T$63</c:f>
              <c:numCache>
                <c:formatCode>General</c:formatCode>
                <c:ptCount val="5"/>
                <c:pt idx="0">
                  <c:v>0</c:v>
                </c:pt>
                <c:pt idx="1">
                  <c:v>0</c:v>
                </c:pt>
                <c:pt idx="2">
                  <c:v>0</c:v>
                </c:pt>
                <c:pt idx="3">
                  <c:v>0</c:v>
                </c:pt>
                <c:pt idx="4">
                  <c:v>0</c:v>
                </c:pt>
              </c:numCache>
            </c:numRef>
          </c:xVal>
          <c:yVal>
            <c:numRef>
              <c:f>Symbole!$U$63:$Y$63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A-5E8C-4715-B1DF-1E828197FF17}"/>
            </c:ext>
          </c:extLst>
        </c:ser>
        <c:ser>
          <c:idx val="73"/>
          <c:order val="107"/>
          <c:tx>
            <c:v>LagerR13</c:v>
          </c:tx>
          <c:spPr>
            <a:ln w="12700">
              <a:solidFill>
                <a:srgbClr val="808080"/>
              </a:solidFill>
              <a:prstDash val="solid"/>
            </a:ln>
          </c:spPr>
          <c:marker>
            <c:symbol val="none"/>
          </c:marker>
          <c:xVal>
            <c:numRef>
              <c:f>Symbole!$P$64:$T$64</c:f>
              <c:numCache>
                <c:formatCode>General</c:formatCode>
                <c:ptCount val="5"/>
                <c:pt idx="0">
                  <c:v>0</c:v>
                </c:pt>
                <c:pt idx="1">
                  <c:v>0</c:v>
                </c:pt>
                <c:pt idx="2">
                  <c:v>0</c:v>
                </c:pt>
                <c:pt idx="3">
                  <c:v>0</c:v>
                </c:pt>
                <c:pt idx="4">
                  <c:v>0</c:v>
                </c:pt>
              </c:numCache>
            </c:numRef>
          </c:xVal>
          <c:yVal>
            <c:numRef>
              <c:f>Symbole!$U$64:$Y$64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B-5E8C-4715-B1DF-1E828197FF17}"/>
            </c:ext>
          </c:extLst>
        </c:ser>
        <c:ser>
          <c:idx val="74"/>
          <c:order val="108"/>
          <c:tx>
            <c:v>LagerR14</c:v>
          </c:tx>
          <c:spPr>
            <a:ln w="12700">
              <a:solidFill>
                <a:srgbClr val="808080"/>
              </a:solidFill>
              <a:prstDash val="solid"/>
            </a:ln>
          </c:spPr>
          <c:marker>
            <c:symbol val="none"/>
          </c:marker>
          <c:xVal>
            <c:numRef>
              <c:f>Symbole!$P$65:$T$65</c:f>
              <c:numCache>
                <c:formatCode>General</c:formatCode>
                <c:ptCount val="5"/>
                <c:pt idx="0">
                  <c:v>0</c:v>
                </c:pt>
                <c:pt idx="1">
                  <c:v>0</c:v>
                </c:pt>
                <c:pt idx="2">
                  <c:v>0</c:v>
                </c:pt>
                <c:pt idx="3">
                  <c:v>0</c:v>
                </c:pt>
                <c:pt idx="4">
                  <c:v>0</c:v>
                </c:pt>
              </c:numCache>
            </c:numRef>
          </c:xVal>
          <c:yVal>
            <c:numRef>
              <c:f>Symbole!$U$65:$Y$65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C-5E8C-4715-B1DF-1E828197FF17}"/>
            </c:ext>
          </c:extLst>
        </c:ser>
        <c:ser>
          <c:idx val="75"/>
          <c:order val="109"/>
          <c:tx>
            <c:v>LagerR15</c:v>
          </c:tx>
          <c:spPr>
            <a:ln w="12700">
              <a:solidFill>
                <a:srgbClr val="808080"/>
              </a:solidFill>
              <a:prstDash val="solid"/>
            </a:ln>
          </c:spPr>
          <c:marker>
            <c:symbol val="none"/>
          </c:marker>
          <c:xVal>
            <c:numRef>
              <c:f>Symbole!$P$66:$T$66</c:f>
              <c:numCache>
                <c:formatCode>General</c:formatCode>
                <c:ptCount val="5"/>
                <c:pt idx="0">
                  <c:v>0</c:v>
                </c:pt>
                <c:pt idx="1">
                  <c:v>0</c:v>
                </c:pt>
                <c:pt idx="2">
                  <c:v>0</c:v>
                </c:pt>
                <c:pt idx="3">
                  <c:v>0</c:v>
                </c:pt>
                <c:pt idx="4">
                  <c:v>0</c:v>
                </c:pt>
              </c:numCache>
            </c:numRef>
          </c:xVal>
          <c:yVal>
            <c:numRef>
              <c:f>Symbole!$U$66:$Y$66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D-5E8C-4715-B1DF-1E828197FF17}"/>
            </c:ext>
          </c:extLst>
        </c:ser>
        <c:ser>
          <c:idx val="76"/>
          <c:order val="110"/>
          <c:tx>
            <c:v>LagerR16</c:v>
          </c:tx>
          <c:spPr>
            <a:ln w="12700">
              <a:solidFill>
                <a:srgbClr val="808080"/>
              </a:solidFill>
              <a:prstDash val="solid"/>
            </a:ln>
          </c:spPr>
          <c:marker>
            <c:symbol val="none"/>
          </c:marker>
          <c:xVal>
            <c:numRef>
              <c:f>Symbole!$P$67:$T$67</c:f>
              <c:numCache>
                <c:formatCode>General</c:formatCode>
                <c:ptCount val="5"/>
                <c:pt idx="0">
                  <c:v>0</c:v>
                </c:pt>
                <c:pt idx="1">
                  <c:v>0</c:v>
                </c:pt>
                <c:pt idx="2">
                  <c:v>0</c:v>
                </c:pt>
                <c:pt idx="3">
                  <c:v>0</c:v>
                </c:pt>
                <c:pt idx="4">
                  <c:v>0</c:v>
                </c:pt>
              </c:numCache>
            </c:numRef>
          </c:xVal>
          <c:yVal>
            <c:numRef>
              <c:f>Symbole!$U$67:$Y$67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E-5E8C-4715-B1DF-1E828197FF17}"/>
            </c:ext>
          </c:extLst>
        </c:ser>
        <c:ser>
          <c:idx val="77"/>
          <c:order val="111"/>
          <c:tx>
            <c:v>LagerR17</c:v>
          </c:tx>
          <c:spPr>
            <a:ln w="12700">
              <a:solidFill>
                <a:srgbClr val="808080"/>
              </a:solidFill>
              <a:prstDash val="solid"/>
            </a:ln>
          </c:spPr>
          <c:marker>
            <c:symbol val="none"/>
          </c:marker>
          <c:xVal>
            <c:numRef>
              <c:f>Symbole!$P$68:$T$68</c:f>
              <c:numCache>
                <c:formatCode>General</c:formatCode>
                <c:ptCount val="5"/>
                <c:pt idx="0">
                  <c:v>0</c:v>
                </c:pt>
                <c:pt idx="1">
                  <c:v>0</c:v>
                </c:pt>
                <c:pt idx="2">
                  <c:v>0</c:v>
                </c:pt>
                <c:pt idx="3">
                  <c:v>0</c:v>
                </c:pt>
                <c:pt idx="4">
                  <c:v>0</c:v>
                </c:pt>
              </c:numCache>
            </c:numRef>
          </c:xVal>
          <c:yVal>
            <c:numRef>
              <c:f>Symbole!$U$68:$Y$68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F-5E8C-4715-B1DF-1E828197FF17}"/>
            </c:ext>
          </c:extLst>
        </c:ser>
        <c:ser>
          <c:idx val="78"/>
          <c:order val="112"/>
          <c:tx>
            <c:v>LagerR18</c:v>
          </c:tx>
          <c:spPr>
            <a:ln w="12700">
              <a:solidFill>
                <a:srgbClr val="808080"/>
              </a:solidFill>
              <a:prstDash val="solid"/>
            </a:ln>
          </c:spPr>
          <c:marker>
            <c:symbol val="none"/>
          </c:marker>
          <c:xVal>
            <c:numRef>
              <c:f>Symbole!$P$69:$T$69</c:f>
              <c:numCache>
                <c:formatCode>General</c:formatCode>
                <c:ptCount val="5"/>
                <c:pt idx="0">
                  <c:v>0</c:v>
                </c:pt>
                <c:pt idx="1">
                  <c:v>0</c:v>
                </c:pt>
                <c:pt idx="2">
                  <c:v>0</c:v>
                </c:pt>
                <c:pt idx="3">
                  <c:v>0</c:v>
                </c:pt>
                <c:pt idx="4">
                  <c:v>0</c:v>
                </c:pt>
              </c:numCache>
            </c:numRef>
          </c:xVal>
          <c:yVal>
            <c:numRef>
              <c:f>Symbole!$U$69:$Y$69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70-5E8C-4715-B1DF-1E828197FF17}"/>
            </c:ext>
          </c:extLst>
        </c:ser>
        <c:ser>
          <c:idx val="79"/>
          <c:order val="113"/>
          <c:tx>
            <c:v>LagerR19</c:v>
          </c:tx>
          <c:spPr>
            <a:ln w="12700">
              <a:solidFill>
                <a:srgbClr val="808080"/>
              </a:solidFill>
              <a:prstDash val="solid"/>
            </a:ln>
          </c:spPr>
          <c:marker>
            <c:symbol val="none"/>
          </c:marker>
          <c:xVal>
            <c:numRef>
              <c:f>Symbole!$P$70:$T$70</c:f>
              <c:numCache>
                <c:formatCode>General</c:formatCode>
                <c:ptCount val="5"/>
                <c:pt idx="0">
                  <c:v>0</c:v>
                </c:pt>
                <c:pt idx="1">
                  <c:v>0</c:v>
                </c:pt>
                <c:pt idx="2">
                  <c:v>0</c:v>
                </c:pt>
                <c:pt idx="3">
                  <c:v>0</c:v>
                </c:pt>
                <c:pt idx="4">
                  <c:v>0</c:v>
                </c:pt>
              </c:numCache>
            </c:numRef>
          </c:xVal>
          <c:yVal>
            <c:numRef>
              <c:f>Symbole!$U$70:$Y$70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71-5E8C-4715-B1DF-1E828197FF17}"/>
            </c:ext>
          </c:extLst>
        </c:ser>
        <c:ser>
          <c:idx val="80"/>
          <c:order val="114"/>
          <c:tx>
            <c:v>LagerR20</c:v>
          </c:tx>
          <c:spPr>
            <a:ln w="12700">
              <a:solidFill>
                <a:srgbClr val="808080"/>
              </a:solidFill>
              <a:prstDash val="solid"/>
            </a:ln>
          </c:spPr>
          <c:marker>
            <c:symbol val="none"/>
          </c:marker>
          <c:xVal>
            <c:numRef>
              <c:f>Symbole!$P$71:$T$71</c:f>
              <c:numCache>
                <c:formatCode>General</c:formatCode>
                <c:ptCount val="5"/>
                <c:pt idx="0">
                  <c:v>0</c:v>
                </c:pt>
                <c:pt idx="1">
                  <c:v>0</c:v>
                </c:pt>
                <c:pt idx="2">
                  <c:v>0</c:v>
                </c:pt>
                <c:pt idx="3">
                  <c:v>0</c:v>
                </c:pt>
                <c:pt idx="4">
                  <c:v>0</c:v>
                </c:pt>
              </c:numCache>
            </c:numRef>
          </c:xVal>
          <c:yVal>
            <c:numRef>
              <c:f>Symbole!$U$71:$Y$71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72-5E8C-4715-B1DF-1E828197FF17}"/>
            </c:ext>
          </c:extLst>
        </c:ser>
        <c:ser>
          <c:idx val="0"/>
          <c:order val="115"/>
          <c:tx>
            <c:v>Verformt:1</c:v>
          </c:tx>
          <c:spPr>
            <a:ln w="25400">
              <a:solidFill>
                <a:srgbClr val="000080"/>
              </a:solidFill>
              <a:prstDash val="solid"/>
            </a:ln>
          </c:spPr>
          <c:marker>
            <c:symbol val="none"/>
          </c:marker>
          <c:xVal>
            <c:numRef>
              <c:f>PlotData!$BB$4:$BL$4</c:f>
              <c:numCache>
                <c:formatCode>General</c:formatCode>
                <c:ptCount val="11"/>
                <c:pt idx="0">
                  <c:v>23.626678459402886</c:v>
                </c:pt>
                <c:pt idx="1">
                  <c:v>37.722459951630356</c:v>
                </c:pt>
                <c:pt idx="2">
                  <c:v>49.778731126541693</c:v>
                </c:pt>
                <c:pt idx="3">
                  <c:v>60.022104241616468</c:v>
                </c:pt>
                <c:pt idx="4">
                  <c:v>68.679191554334238</c:v>
                </c:pt>
                <c:pt idx="5">
                  <c:v>75.976605322174606</c:v>
                </c:pt>
                <c:pt idx="6">
                  <c:v>82.140957802617109</c:v>
                </c:pt>
                <c:pt idx="7">
                  <c:v>87.39886125314132</c:v>
                </c:pt>
                <c:pt idx="8">
                  <c:v>91.97692793122684</c:v>
                </c:pt>
                <c:pt idx="9">
                  <c:v>96.101770094353199</c:v>
                </c:pt>
                <c:pt idx="10">
                  <c:v>100</c:v>
                </c:pt>
              </c:numCache>
            </c:numRef>
          </c:xVal>
          <c:yVal>
            <c:numRef>
              <c:f>PlotData!$BO$4:$BY$4</c:f>
              <c:numCache>
                <c:formatCode>General</c:formatCode>
                <c:ptCount val="11"/>
                <c:pt idx="0">
                  <c:v>-46.105451176718191</c:v>
                </c:pt>
                <c:pt idx="1">
                  <c:v>-48.106171843270054</c:v>
                </c:pt>
                <c:pt idx="2">
                  <c:v>-47.38754542006707</c:v>
                </c:pt>
                <c:pt idx="3">
                  <c:v>-44.251721583748669</c:v>
                </c:pt>
                <c:pt idx="4">
                  <c:v>-39.000850010954267</c:v>
                </c:pt>
                <c:pt idx="5">
                  <c:v>-31.937080378323309</c:v>
                </c:pt>
                <c:pt idx="6">
                  <c:v>-23.362562362495211</c:v>
                </c:pt>
                <c:pt idx="7">
                  <c:v>-13.579445640109405</c:v>
                </c:pt>
                <c:pt idx="8">
                  <c:v>-2.8898798878053196</c:v>
                </c:pt>
                <c:pt idx="9">
                  <c:v>8.403985217777624</c:v>
                </c:pt>
                <c:pt idx="10">
                  <c:v>19.999999999999993</c:v>
                </c:pt>
              </c:numCache>
            </c:numRef>
          </c:yVal>
          <c:smooth val="0"/>
          <c:extLst>
            <c:ext xmlns:c16="http://schemas.microsoft.com/office/drawing/2014/chart" uri="{C3380CC4-5D6E-409C-BE32-E72D297353CC}">
              <c16:uniqueId val="{00000073-5E8C-4715-B1DF-1E828197FF17}"/>
            </c:ext>
          </c:extLst>
        </c:ser>
        <c:ser>
          <c:idx val="1"/>
          <c:order val="116"/>
          <c:tx>
            <c:v>Verformt:2</c:v>
          </c:tx>
          <c:spPr>
            <a:ln w="25400">
              <a:solidFill>
                <a:srgbClr val="000080"/>
              </a:solidFill>
              <a:prstDash val="solid"/>
            </a:ln>
          </c:spPr>
          <c:marker>
            <c:symbol val="none"/>
          </c:marker>
          <c:xVal>
            <c:numRef>
              <c:f>PlotData!$BB$5:$BL$5</c:f>
              <c:numCache>
                <c:formatCode>General</c:formatCode>
                <c:ptCount val="11"/>
                <c:pt idx="0">
                  <c:v>23.626678459402886</c:v>
                </c:pt>
                <c:pt idx="1">
                  <c:v>29.670344080636369</c:v>
                </c:pt>
                <c:pt idx="2">
                  <c:v>33.690957028025501</c:v>
                </c:pt>
                <c:pt idx="3">
                  <c:v>35.913300931997441</c:v>
                </c:pt>
                <c:pt idx="4">
                  <c:v>36.56215942297932</c:v>
                </c:pt>
                <c:pt idx="5">
                  <c:v>35.862316131398309</c:v>
                </c:pt>
                <c:pt idx="6">
                  <c:v>34.038554687681547</c:v>
                </c:pt>
                <c:pt idx="7">
                  <c:v>31.315658722256185</c:v>
                </c:pt>
                <c:pt idx="8">
                  <c:v>27.918411865549373</c:v>
                </c:pt>
                <c:pt idx="9">
                  <c:v>24.071597747988264</c:v>
                </c:pt>
                <c:pt idx="10">
                  <c:v>20.000000000000004</c:v>
                </c:pt>
              </c:numCache>
            </c:numRef>
          </c:xVal>
          <c:yVal>
            <c:numRef>
              <c:f>PlotData!$BO$5:$BY$5</c:f>
              <c:numCache>
                <c:formatCode>General</c:formatCode>
                <c:ptCount val="11"/>
                <c:pt idx="0">
                  <c:v>-46.105451176718191</c:v>
                </c:pt>
                <c:pt idx="1">
                  <c:v>-39.494906059046372</c:v>
                </c:pt>
                <c:pt idx="2">
                  <c:v>-32.884360941374553</c:v>
                </c:pt>
                <c:pt idx="3">
                  <c:v>-26.273815823702733</c:v>
                </c:pt>
                <c:pt idx="4">
                  <c:v>-19.663270706030914</c:v>
                </c:pt>
                <c:pt idx="5">
                  <c:v>-13.052725588359095</c:v>
                </c:pt>
                <c:pt idx="6">
                  <c:v>-6.4421804706872763</c:v>
                </c:pt>
                <c:pt idx="7">
                  <c:v>0.16836464698454257</c:v>
                </c:pt>
                <c:pt idx="8">
                  <c:v>6.7789097646563619</c:v>
                </c:pt>
                <c:pt idx="9">
                  <c:v>13.389454882328181</c:v>
                </c:pt>
                <c:pt idx="10">
                  <c:v>20</c:v>
                </c:pt>
              </c:numCache>
            </c:numRef>
          </c:yVal>
          <c:smooth val="0"/>
          <c:extLst>
            <c:ext xmlns:c16="http://schemas.microsoft.com/office/drawing/2014/chart" uri="{C3380CC4-5D6E-409C-BE32-E72D297353CC}">
              <c16:uniqueId val="{00000074-5E8C-4715-B1DF-1E828197FF17}"/>
            </c:ext>
          </c:extLst>
        </c:ser>
        <c:ser>
          <c:idx val="2"/>
          <c:order val="117"/>
          <c:tx>
            <c:v>Verformt:3</c:v>
          </c:tx>
          <c:spPr>
            <a:ln w="25400">
              <a:solidFill>
                <a:srgbClr val="000080"/>
              </a:solidFill>
              <a:prstDash val="solid"/>
            </a:ln>
          </c:spPr>
          <c:marker>
            <c:symbol val="none"/>
          </c:marker>
          <c:xVal>
            <c:numRef>
              <c:f>PlotData!$BB$6:$BL$6</c:f>
              <c:numCache>
                <c:formatCode>General</c:formatCode>
                <c:ptCount val="11"/>
                <c:pt idx="0">
                  <c:v>23.626678459402886</c:v>
                </c:pt>
                <c:pt idx="1">
                  <c:v>21.141499125402699</c:v>
                </c:pt>
                <c:pt idx="2">
                  <c:v>20.589744471842486</c:v>
                </c:pt>
                <c:pt idx="3">
                  <c:v>21.756589534228901</c:v>
                </c:pt>
                <c:pt idx="4">
                  <c:v>24.427209348068637</c:v>
                </c:pt>
                <c:pt idx="5">
                  <c:v>28.38677894886834</c:v>
                </c:pt>
                <c:pt idx="6">
                  <c:v>33.420473372134694</c:v>
                </c:pt>
                <c:pt idx="7">
                  <c:v>39.313467653374367</c:v>
                </c:pt>
                <c:pt idx="8">
                  <c:v>45.850936828094028</c:v>
                </c:pt>
                <c:pt idx="9">
                  <c:v>52.818055931800345</c:v>
                </c:pt>
                <c:pt idx="10">
                  <c:v>59.999999999999993</c:v>
                </c:pt>
              </c:numCache>
            </c:numRef>
          </c:xVal>
          <c:yVal>
            <c:numRef>
              <c:f>PlotData!$BO$6:$BY$6</c:f>
              <c:numCache>
                <c:formatCode>General</c:formatCode>
                <c:ptCount val="11"/>
                <c:pt idx="0">
                  <c:v>-46.105451176718191</c:v>
                </c:pt>
                <c:pt idx="1">
                  <c:v>-55.576580384419636</c:v>
                </c:pt>
                <c:pt idx="2">
                  <c:v>-63.758759805161105</c:v>
                </c:pt>
                <c:pt idx="3">
                  <c:v>-70.795206081938147</c:v>
                </c:pt>
                <c:pt idx="4">
                  <c:v>-76.829135857746309</c:v>
                </c:pt>
                <c:pt idx="5">
                  <c:v>-82.003765775581172</c:v>
                </c:pt>
                <c:pt idx="6">
                  <c:v>-86.46231247843825</c:v>
                </c:pt>
                <c:pt idx="7">
                  <c:v>-90.347992609313124</c:v>
                </c:pt>
                <c:pt idx="8">
                  <c:v>-93.804022811201335</c:v>
                </c:pt>
                <c:pt idx="9">
                  <c:v>-96.973619727098452</c:v>
                </c:pt>
                <c:pt idx="10">
                  <c:v>-100</c:v>
                </c:pt>
              </c:numCache>
            </c:numRef>
          </c:yVal>
          <c:smooth val="0"/>
          <c:extLst>
            <c:ext xmlns:c16="http://schemas.microsoft.com/office/drawing/2014/chart" uri="{C3380CC4-5D6E-409C-BE32-E72D297353CC}">
              <c16:uniqueId val="{00000075-5E8C-4715-B1DF-1E828197FF17}"/>
            </c:ext>
          </c:extLst>
        </c:ser>
        <c:ser>
          <c:idx val="3"/>
          <c:order val="118"/>
          <c:tx>
            <c:v>Verformt:4</c:v>
          </c:tx>
          <c:spPr>
            <a:ln w="25400">
              <a:solidFill>
                <a:srgbClr val="000080"/>
              </a:solidFill>
              <a:prstDash val="solid"/>
            </a:ln>
          </c:spPr>
          <c:marker>
            <c:symbol val="none"/>
          </c:marker>
          <c:xVal>
            <c:numRef>
              <c:f>PlotData!$BB$7:$BL$7</c:f>
              <c:numCache>
                <c:formatCode>General</c:formatCode>
                <c:ptCount val="11"/>
                <c:pt idx="0">
                  <c:v>23.626678459402882</c:v>
                </c:pt>
                <c:pt idx="1">
                  <c:v>13.453006223020493</c:v>
                </c:pt>
                <c:pt idx="2">
                  <c:v>4.1670195836198207</c:v>
                </c:pt>
                <c:pt idx="3">
                  <c:v>-4.3299131917971074</c:v>
                </c:pt>
                <c:pt idx="4">
                  <c:v>-12.13642383622825</c:v>
                </c:pt>
                <c:pt idx="5">
                  <c:v>-19.351144082671588</c:v>
                </c:pt>
                <c:pt idx="6">
                  <c:v>-26.072705664125081</c:v>
                </c:pt>
                <c:pt idx="7">
                  <c:v>-32.399740313586705</c:v>
                </c:pt>
                <c:pt idx="8">
                  <c:v>-38.430879764054417</c:v>
                </c:pt>
                <c:pt idx="9">
                  <c:v>-44.264755748526191</c:v>
                </c:pt>
                <c:pt idx="10">
                  <c:v>-50</c:v>
                </c:pt>
              </c:numCache>
            </c:numRef>
          </c:xVal>
          <c:yVal>
            <c:numRef>
              <c:f>PlotData!$BO$7:$BY$7</c:f>
              <c:numCache>
                <c:formatCode>General</c:formatCode>
                <c:ptCount val="11"/>
                <c:pt idx="0">
                  <c:v>-46.105451176718191</c:v>
                </c:pt>
                <c:pt idx="1">
                  <c:v>-41.935895814681466</c:v>
                </c:pt>
                <c:pt idx="2">
                  <c:v>-39.837606845602082</c:v>
                </c:pt>
                <c:pt idx="3">
                  <c:v>-39.580443559151441</c:v>
                </c:pt>
                <c:pt idx="4">
                  <c:v>-40.934265245000958</c:v>
                </c:pt>
                <c:pt idx="5">
                  <c:v>-43.668931192822029</c:v>
                </c:pt>
                <c:pt idx="6">
                  <c:v>-47.554300692286063</c:v>
                </c:pt>
                <c:pt idx="7">
                  <c:v>-52.360233033064468</c:v>
                </c:pt>
                <c:pt idx="8">
                  <c:v>-57.85658750482866</c:v>
                </c:pt>
                <c:pt idx="9">
                  <c:v>-63.813223397250027</c:v>
                </c:pt>
                <c:pt idx="10">
                  <c:v>-70</c:v>
                </c:pt>
              </c:numCache>
            </c:numRef>
          </c:yVal>
          <c:smooth val="0"/>
          <c:extLst>
            <c:ext xmlns:c16="http://schemas.microsoft.com/office/drawing/2014/chart" uri="{C3380CC4-5D6E-409C-BE32-E72D297353CC}">
              <c16:uniqueId val="{00000076-5E8C-4715-B1DF-1E828197FF17}"/>
            </c:ext>
          </c:extLst>
        </c:ser>
        <c:ser>
          <c:idx val="4"/>
          <c:order val="119"/>
          <c:tx>
            <c:v>Verformt:5</c:v>
          </c:tx>
          <c:spPr>
            <a:ln w="25400">
              <a:solidFill>
                <a:srgbClr val="000080"/>
              </a:solidFill>
              <a:prstDash val="solid"/>
            </a:ln>
          </c:spPr>
          <c:marker>
            <c:symbol val="none"/>
          </c:marker>
          <c:xVal>
            <c:numRef>
              <c:f>PlotData!$BB$8:$BL$8</c:f>
              <c:numCache>
                <c:formatCode>General</c:formatCode>
                <c:ptCount val="11"/>
                <c:pt idx="0">
                  <c:v>23.626678459402882</c:v>
                </c:pt>
                <c:pt idx="1">
                  <c:v>25.409414910453346</c:v>
                </c:pt>
                <c:pt idx="2">
                  <c:v>22.725181583506732</c:v>
                </c:pt>
                <c:pt idx="3">
                  <c:v>16.07030845389604</c:v>
                </c:pt>
                <c:pt idx="4">
                  <c:v>5.9411254969542853</c:v>
                </c:pt>
                <c:pt idx="5">
                  <c:v>-7.1660373119855123</c:v>
                </c:pt>
                <c:pt idx="6">
                  <c:v>-22.754849997590355</c:v>
                </c:pt>
                <c:pt idx="7">
                  <c:v>-40.328982584527232</c:v>
                </c:pt>
                <c:pt idx="8">
                  <c:v>-59.392105097463137</c:v>
                </c:pt>
                <c:pt idx="9">
                  <c:v>-79.447887561065059</c:v>
                </c:pt>
                <c:pt idx="10">
                  <c:v>-99.999999999999986</c:v>
                </c:pt>
              </c:numCache>
            </c:numRef>
          </c:xVal>
          <c:yVal>
            <c:numRef>
              <c:f>PlotData!$BO$8:$BY$8</c:f>
              <c:numCache>
                <c:formatCode>General</c:formatCode>
                <c:ptCount val="11"/>
                <c:pt idx="0">
                  <c:v>-46.105451176718191</c:v>
                </c:pt>
                <c:pt idx="1">
                  <c:v>-19.370273804482871</c:v>
                </c:pt>
                <c:pt idx="2">
                  <c:v>3.5360723294692367</c:v>
                </c:pt>
                <c:pt idx="3">
                  <c:v>23.039012918280715</c:v>
                </c:pt>
                <c:pt idx="4">
                  <c:v>39.563973655094131</c:v>
                </c:pt>
                <c:pt idx="5">
                  <c:v>53.536380233052085</c:v>
                </c:pt>
                <c:pt idx="6">
                  <c:v>65.381658345297154</c:v>
                </c:pt>
                <c:pt idx="7">
                  <c:v>75.52523368497188</c:v>
                </c:pt>
                <c:pt idx="8">
                  <c:v>84.392531945218892</c:v>
                </c:pt>
                <c:pt idx="9">
                  <c:v>92.408978819180732</c:v>
                </c:pt>
                <c:pt idx="10">
                  <c:v>100.00000000000001</c:v>
                </c:pt>
              </c:numCache>
            </c:numRef>
          </c:yVal>
          <c:smooth val="0"/>
          <c:extLst>
            <c:ext xmlns:c16="http://schemas.microsoft.com/office/drawing/2014/chart" uri="{C3380CC4-5D6E-409C-BE32-E72D297353CC}">
              <c16:uniqueId val="{00000077-5E8C-4715-B1DF-1E828197FF17}"/>
            </c:ext>
          </c:extLst>
        </c:ser>
        <c:ser>
          <c:idx val="5"/>
          <c:order val="120"/>
          <c:tx>
            <c:v>Verformt:6</c:v>
          </c:tx>
          <c:spPr>
            <a:ln w="25400">
              <a:solidFill>
                <a:srgbClr val="000080"/>
              </a:solidFill>
              <a:prstDash val="solid"/>
            </a:ln>
          </c:spPr>
          <c:marker>
            <c:symbol val="none"/>
          </c:marker>
          <c:xVal>
            <c:numRef>
              <c:f>PlotData!$BB$9:$BL$9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PlotData!$BO$9:$BY$9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8-5E8C-4715-B1DF-1E828197FF17}"/>
            </c:ext>
          </c:extLst>
        </c:ser>
        <c:ser>
          <c:idx val="6"/>
          <c:order val="121"/>
          <c:tx>
            <c:v>Verformt:7</c:v>
          </c:tx>
          <c:spPr>
            <a:ln w="25400">
              <a:solidFill>
                <a:srgbClr val="000080"/>
              </a:solidFill>
              <a:prstDash val="solid"/>
            </a:ln>
          </c:spPr>
          <c:marker>
            <c:symbol val="none"/>
          </c:marker>
          <c:xVal>
            <c:numRef>
              <c:f>PlotData!$BB$10:$BL$10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PlotData!$BO$10:$BY$10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9-5E8C-4715-B1DF-1E828197FF17}"/>
            </c:ext>
          </c:extLst>
        </c:ser>
        <c:ser>
          <c:idx val="7"/>
          <c:order val="122"/>
          <c:tx>
            <c:v>Verformt:8</c:v>
          </c:tx>
          <c:spPr>
            <a:ln w="25400">
              <a:solidFill>
                <a:srgbClr val="000080"/>
              </a:solidFill>
              <a:prstDash val="solid"/>
            </a:ln>
          </c:spPr>
          <c:marker>
            <c:symbol val="none"/>
          </c:marker>
          <c:xVal>
            <c:numRef>
              <c:f>PlotData!$BB$11:$BL$11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PlotData!$BO$11:$BY$11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A-5E8C-4715-B1DF-1E828197FF17}"/>
            </c:ext>
          </c:extLst>
        </c:ser>
        <c:ser>
          <c:idx val="8"/>
          <c:order val="123"/>
          <c:tx>
            <c:v>Verformt:9</c:v>
          </c:tx>
          <c:spPr>
            <a:ln w="25400">
              <a:solidFill>
                <a:srgbClr val="000080"/>
              </a:solidFill>
              <a:prstDash val="solid"/>
            </a:ln>
          </c:spPr>
          <c:marker>
            <c:symbol val="none"/>
          </c:marker>
          <c:xVal>
            <c:numRef>
              <c:f>PlotData!$BB$12:$BL$12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PlotData!$BO$12:$BY$12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B-5E8C-4715-B1DF-1E828197FF17}"/>
            </c:ext>
          </c:extLst>
        </c:ser>
        <c:ser>
          <c:idx val="9"/>
          <c:order val="124"/>
          <c:tx>
            <c:v>Verformt:10</c:v>
          </c:tx>
          <c:spPr>
            <a:ln w="25400">
              <a:solidFill>
                <a:srgbClr val="000080"/>
              </a:solidFill>
              <a:prstDash val="solid"/>
            </a:ln>
          </c:spPr>
          <c:marker>
            <c:symbol val="none"/>
          </c:marker>
          <c:xVal>
            <c:numRef>
              <c:f>PlotData!$BB$13:$BL$13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PlotData!$BO$13:$BY$13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C-5E8C-4715-B1DF-1E828197FF17}"/>
            </c:ext>
          </c:extLst>
        </c:ser>
        <c:ser>
          <c:idx val="10"/>
          <c:order val="125"/>
          <c:tx>
            <c:v>Verformt:11</c:v>
          </c:tx>
          <c:spPr>
            <a:ln w="25400">
              <a:solidFill>
                <a:srgbClr val="000080"/>
              </a:solidFill>
              <a:prstDash val="solid"/>
            </a:ln>
          </c:spPr>
          <c:marker>
            <c:symbol val="none"/>
          </c:marker>
          <c:xVal>
            <c:numRef>
              <c:f>PlotData!$BB$14:$BL$14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PlotData!$BO$14:$BY$14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D-5E8C-4715-B1DF-1E828197FF17}"/>
            </c:ext>
          </c:extLst>
        </c:ser>
        <c:ser>
          <c:idx val="11"/>
          <c:order val="126"/>
          <c:tx>
            <c:v>Verformt:12</c:v>
          </c:tx>
          <c:spPr>
            <a:ln w="25400">
              <a:solidFill>
                <a:srgbClr val="000080"/>
              </a:solidFill>
              <a:prstDash val="solid"/>
            </a:ln>
          </c:spPr>
          <c:marker>
            <c:symbol val="none"/>
          </c:marker>
          <c:xVal>
            <c:numRef>
              <c:f>PlotData!$BB$15:$BL$15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PlotData!$BO$15:$BY$15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E-5E8C-4715-B1DF-1E828197FF17}"/>
            </c:ext>
          </c:extLst>
        </c:ser>
        <c:ser>
          <c:idx val="12"/>
          <c:order val="127"/>
          <c:tx>
            <c:v>Verformt:13</c:v>
          </c:tx>
          <c:spPr>
            <a:ln w="25400">
              <a:solidFill>
                <a:srgbClr val="000080"/>
              </a:solidFill>
              <a:prstDash val="solid"/>
            </a:ln>
          </c:spPr>
          <c:marker>
            <c:symbol val="none"/>
          </c:marker>
          <c:xVal>
            <c:numRef>
              <c:f>PlotData!$BB$16:$BL$16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PlotData!$BO$16:$BY$16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F-5E8C-4715-B1DF-1E828197FF17}"/>
            </c:ext>
          </c:extLst>
        </c:ser>
        <c:ser>
          <c:idx val="13"/>
          <c:order val="128"/>
          <c:tx>
            <c:v>Verformt:14</c:v>
          </c:tx>
          <c:spPr>
            <a:ln w="25400">
              <a:solidFill>
                <a:srgbClr val="000080"/>
              </a:solidFill>
              <a:prstDash val="solid"/>
            </a:ln>
          </c:spPr>
          <c:marker>
            <c:symbol val="none"/>
          </c:marker>
          <c:xVal>
            <c:numRef>
              <c:f>PlotData!$BB$17:$BL$17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PlotData!$BO$17:$BY$17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0-5E8C-4715-B1DF-1E828197FF17}"/>
            </c:ext>
          </c:extLst>
        </c:ser>
        <c:ser>
          <c:idx val="14"/>
          <c:order val="129"/>
          <c:tx>
            <c:v>Verformt:15</c:v>
          </c:tx>
          <c:spPr>
            <a:ln w="25400">
              <a:solidFill>
                <a:srgbClr val="000080"/>
              </a:solidFill>
              <a:prstDash val="solid"/>
            </a:ln>
          </c:spPr>
          <c:marker>
            <c:symbol val="none"/>
          </c:marker>
          <c:xVal>
            <c:numRef>
              <c:f>PlotData!$BB$18:$BL$18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PlotData!$BO$18:$BY$18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1-5E8C-4715-B1DF-1E828197FF17}"/>
            </c:ext>
          </c:extLst>
        </c:ser>
        <c:ser>
          <c:idx val="15"/>
          <c:order val="130"/>
          <c:tx>
            <c:v>Verformt:16</c:v>
          </c:tx>
          <c:spPr>
            <a:ln w="25400">
              <a:solidFill>
                <a:srgbClr val="000080"/>
              </a:solidFill>
              <a:prstDash val="solid"/>
            </a:ln>
          </c:spPr>
          <c:marker>
            <c:symbol val="none"/>
          </c:marker>
          <c:xVal>
            <c:numRef>
              <c:f>PlotData!$BB$19:$BL$19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PlotData!$BO$19:$BY$19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2-5E8C-4715-B1DF-1E828197FF17}"/>
            </c:ext>
          </c:extLst>
        </c:ser>
        <c:ser>
          <c:idx val="16"/>
          <c:order val="131"/>
          <c:tx>
            <c:v>Verformt:17</c:v>
          </c:tx>
          <c:spPr>
            <a:ln w="25400">
              <a:solidFill>
                <a:srgbClr val="000080"/>
              </a:solidFill>
              <a:prstDash val="solid"/>
            </a:ln>
          </c:spPr>
          <c:marker>
            <c:symbol val="none"/>
          </c:marker>
          <c:xVal>
            <c:numRef>
              <c:f>PlotData!$BB$20:$BL$20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PlotData!$BO$20:$BY$20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3-5E8C-4715-B1DF-1E828197FF17}"/>
            </c:ext>
          </c:extLst>
        </c:ser>
        <c:ser>
          <c:idx val="17"/>
          <c:order val="132"/>
          <c:tx>
            <c:v>Verformt:18</c:v>
          </c:tx>
          <c:spPr>
            <a:ln w="25400">
              <a:solidFill>
                <a:srgbClr val="000080"/>
              </a:solidFill>
              <a:prstDash val="solid"/>
            </a:ln>
          </c:spPr>
          <c:marker>
            <c:symbol val="none"/>
          </c:marker>
          <c:xVal>
            <c:numRef>
              <c:f>PlotData!$BB$21:$BL$21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PlotData!$BO$21:$BY$21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4-5E8C-4715-B1DF-1E828197FF17}"/>
            </c:ext>
          </c:extLst>
        </c:ser>
        <c:ser>
          <c:idx val="18"/>
          <c:order val="133"/>
          <c:tx>
            <c:v>Verformt:19</c:v>
          </c:tx>
          <c:spPr>
            <a:ln w="25400">
              <a:solidFill>
                <a:srgbClr val="000080"/>
              </a:solidFill>
              <a:prstDash val="solid"/>
            </a:ln>
          </c:spPr>
          <c:marker>
            <c:symbol val="none"/>
          </c:marker>
          <c:xVal>
            <c:numRef>
              <c:f>PlotData!$BB$22:$BL$22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PlotData!$BO$22:$BY$22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5-5E8C-4715-B1DF-1E828197FF17}"/>
            </c:ext>
          </c:extLst>
        </c:ser>
        <c:ser>
          <c:idx val="19"/>
          <c:order val="134"/>
          <c:tx>
            <c:v>Verformt:20</c:v>
          </c:tx>
          <c:spPr>
            <a:ln w="25400">
              <a:solidFill>
                <a:srgbClr val="000080"/>
              </a:solidFill>
              <a:prstDash val="solid"/>
            </a:ln>
          </c:spPr>
          <c:marker>
            <c:symbol val="none"/>
          </c:marker>
          <c:xVal>
            <c:numRef>
              <c:f>PlotData!$BB$23:$BL$23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PlotData!$BO$23:$BY$23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6-5E8C-4715-B1DF-1E828197FF17}"/>
            </c:ext>
          </c:extLst>
        </c:ser>
        <c:ser>
          <c:idx val="81"/>
          <c:order val="135"/>
          <c:tx>
            <c:v>Verformt:21</c:v>
          </c:tx>
          <c:spPr>
            <a:ln w="25400">
              <a:solidFill>
                <a:srgbClr val="000080"/>
              </a:solidFill>
              <a:prstDash val="solid"/>
            </a:ln>
          </c:spPr>
          <c:marker>
            <c:symbol val="none"/>
          </c:marker>
          <c:xVal>
            <c:numRef>
              <c:f>PlotData!$BB$24:$BL$24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PlotData!$BO$24:$BY$24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7-5E8C-4715-B1DF-1E828197FF17}"/>
            </c:ext>
          </c:extLst>
        </c:ser>
        <c:ser>
          <c:idx val="82"/>
          <c:order val="136"/>
          <c:tx>
            <c:v>Verformt:22</c:v>
          </c:tx>
          <c:spPr>
            <a:ln w="25400">
              <a:solidFill>
                <a:srgbClr val="000080"/>
              </a:solidFill>
              <a:prstDash val="solid"/>
            </a:ln>
          </c:spPr>
          <c:marker>
            <c:symbol val="none"/>
          </c:marker>
          <c:xVal>
            <c:numRef>
              <c:f>PlotData!$BB$25:$BL$25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PlotData!$BO$25:$BY$25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8-5E8C-4715-B1DF-1E828197FF17}"/>
            </c:ext>
          </c:extLst>
        </c:ser>
        <c:ser>
          <c:idx val="83"/>
          <c:order val="137"/>
          <c:tx>
            <c:v>Verformt:23</c:v>
          </c:tx>
          <c:spPr>
            <a:ln w="25400">
              <a:solidFill>
                <a:srgbClr val="000080"/>
              </a:solidFill>
              <a:prstDash val="solid"/>
            </a:ln>
          </c:spPr>
          <c:marker>
            <c:symbol val="none"/>
          </c:marker>
          <c:xVal>
            <c:numRef>
              <c:f>PlotData!$BB$26:$BL$26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PlotData!$BO$26:$BY$26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9-5E8C-4715-B1DF-1E828197FF17}"/>
            </c:ext>
          </c:extLst>
        </c:ser>
        <c:ser>
          <c:idx val="84"/>
          <c:order val="138"/>
          <c:tx>
            <c:v>Verformt:24</c:v>
          </c:tx>
          <c:spPr>
            <a:ln w="25400">
              <a:solidFill>
                <a:srgbClr val="000080"/>
              </a:solidFill>
              <a:prstDash val="solid"/>
            </a:ln>
          </c:spPr>
          <c:marker>
            <c:symbol val="none"/>
          </c:marker>
          <c:xVal>
            <c:numRef>
              <c:f>PlotData!$BB$27:$BL$27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PlotData!$BO$27:$BY$27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A-5E8C-4715-B1DF-1E828197FF17}"/>
            </c:ext>
          </c:extLst>
        </c:ser>
        <c:ser>
          <c:idx val="85"/>
          <c:order val="139"/>
          <c:tx>
            <c:v>Verformt:25</c:v>
          </c:tx>
          <c:spPr>
            <a:ln w="25400">
              <a:solidFill>
                <a:srgbClr val="000080"/>
              </a:solidFill>
              <a:prstDash val="solid"/>
            </a:ln>
          </c:spPr>
          <c:marker>
            <c:symbol val="none"/>
          </c:marker>
          <c:xVal>
            <c:numRef>
              <c:f>PlotData!$BB$28:$BL$28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PlotData!$BO$28:$BY$28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B-5E8C-4715-B1DF-1E828197FF17}"/>
            </c:ext>
          </c:extLst>
        </c:ser>
        <c:ser>
          <c:idx val="86"/>
          <c:order val="140"/>
          <c:tx>
            <c:v>Verformt:26</c:v>
          </c:tx>
          <c:spPr>
            <a:ln w="25400">
              <a:solidFill>
                <a:srgbClr val="000080"/>
              </a:solidFill>
              <a:prstDash val="solid"/>
            </a:ln>
          </c:spPr>
          <c:marker>
            <c:symbol val="none"/>
          </c:marker>
          <c:xVal>
            <c:numRef>
              <c:f>PlotData!$BB$29:$BL$29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PlotData!$BO$29:$BY$29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C-5E8C-4715-B1DF-1E828197FF17}"/>
            </c:ext>
          </c:extLst>
        </c:ser>
        <c:ser>
          <c:idx val="87"/>
          <c:order val="141"/>
          <c:tx>
            <c:v>Verformt:27</c:v>
          </c:tx>
          <c:spPr>
            <a:ln w="25400">
              <a:solidFill>
                <a:srgbClr val="000080"/>
              </a:solidFill>
              <a:prstDash val="solid"/>
            </a:ln>
          </c:spPr>
          <c:marker>
            <c:symbol val="none"/>
          </c:marker>
          <c:xVal>
            <c:numRef>
              <c:f>PlotData!$BB$30:$BL$30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PlotData!$BO$30:$BY$30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D-5E8C-4715-B1DF-1E828197FF17}"/>
            </c:ext>
          </c:extLst>
        </c:ser>
        <c:ser>
          <c:idx val="88"/>
          <c:order val="142"/>
          <c:tx>
            <c:v>Verformt:28</c:v>
          </c:tx>
          <c:spPr>
            <a:ln w="25400">
              <a:solidFill>
                <a:srgbClr val="000080"/>
              </a:solidFill>
              <a:prstDash val="solid"/>
            </a:ln>
          </c:spPr>
          <c:marker>
            <c:symbol val="none"/>
          </c:marker>
          <c:xVal>
            <c:numRef>
              <c:f>PlotData!$BB$31:$BL$31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PlotData!$BO$31:$BY$31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E-5E8C-4715-B1DF-1E828197FF17}"/>
            </c:ext>
          </c:extLst>
        </c:ser>
        <c:ser>
          <c:idx val="89"/>
          <c:order val="143"/>
          <c:tx>
            <c:v>Verformt:29</c:v>
          </c:tx>
          <c:spPr>
            <a:ln w="25400">
              <a:solidFill>
                <a:srgbClr val="000080"/>
              </a:solidFill>
              <a:prstDash val="solid"/>
            </a:ln>
          </c:spPr>
          <c:marker>
            <c:symbol val="none"/>
          </c:marker>
          <c:xVal>
            <c:numRef>
              <c:f>PlotData!$BB$32:$BL$32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PlotData!$BO$32:$BY$32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F-5E8C-4715-B1DF-1E828197FF17}"/>
            </c:ext>
          </c:extLst>
        </c:ser>
        <c:ser>
          <c:idx val="90"/>
          <c:order val="144"/>
          <c:tx>
            <c:v>Verformt:30</c:v>
          </c:tx>
          <c:spPr>
            <a:ln w="25400">
              <a:solidFill>
                <a:srgbClr val="000080"/>
              </a:solidFill>
              <a:prstDash val="solid"/>
            </a:ln>
          </c:spPr>
          <c:marker>
            <c:symbol val="none"/>
          </c:marker>
          <c:xVal>
            <c:numRef>
              <c:f>PlotData!$BB$33:$BL$33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PlotData!$BO$33:$BY$33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0-5E8C-4715-B1DF-1E828197FF17}"/>
            </c:ext>
          </c:extLst>
        </c:ser>
        <c:ser>
          <c:idx val="91"/>
          <c:order val="145"/>
          <c:tx>
            <c:v>Verformt:31</c:v>
          </c:tx>
          <c:spPr>
            <a:ln w="25400">
              <a:solidFill>
                <a:srgbClr val="000080"/>
              </a:solidFill>
              <a:prstDash val="solid"/>
            </a:ln>
          </c:spPr>
          <c:marker>
            <c:symbol val="none"/>
          </c:marker>
          <c:xVal>
            <c:numRef>
              <c:f>PlotData!$BB$34:$BL$34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PlotData!$BO$34:$BY$34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1-5E8C-4715-B1DF-1E828197FF17}"/>
            </c:ext>
          </c:extLst>
        </c:ser>
        <c:ser>
          <c:idx val="92"/>
          <c:order val="146"/>
          <c:tx>
            <c:v>Verformt:32</c:v>
          </c:tx>
          <c:spPr>
            <a:ln w="25400">
              <a:solidFill>
                <a:srgbClr val="000080"/>
              </a:solidFill>
              <a:prstDash val="solid"/>
            </a:ln>
          </c:spPr>
          <c:marker>
            <c:symbol val="none"/>
          </c:marker>
          <c:xVal>
            <c:numRef>
              <c:f>PlotData!$BB$35:$BL$35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PlotData!$BO$35:$BY$35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2-5E8C-4715-B1DF-1E828197FF17}"/>
            </c:ext>
          </c:extLst>
        </c:ser>
        <c:ser>
          <c:idx val="93"/>
          <c:order val="147"/>
          <c:tx>
            <c:v>Verformt:33</c:v>
          </c:tx>
          <c:spPr>
            <a:ln w="25400">
              <a:solidFill>
                <a:srgbClr val="000080"/>
              </a:solidFill>
              <a:prstDash val="solid"/>
            </a:ln>
          </c:spPr>
          <c:marker>
            <c:symbol val="none"/>
          </c:marker>
          <c:xVal>
            <c:numRef>
              <c:f>PlotData!$BB$36:$BL$36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PlotData!$BO$36:$BY$36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3-5E8C-4715-B1DF-1E828197FF17}"/>
            </c:ext>
          </c:extLst>
        </c:ser>
        <c:ser>
          <c:idx val="94"/>
          <c:order val="148"/>
          <c:tx>
            <c:v>Verformt:34</c:v>
          </c:tx>
          <c:spPr>
            <a:ln w="25400">
              <a:solidFill>
                <a:srgbClr val="000080"/>
              </a:solidFill>
              <a:prstDash val="solid"/>
            </a:ln>
          </c:spPr>
          <c:marker>
            <c:symbol val="none"/>
          </c:marker>
          <c:xVal>
            <c:numRef>
              <c:f>PlotData!$BB$37:$BL$37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PlotData!$BO$37:$BY$37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4-5E8C-4715-B1DF-1E828197FF17}"/>
            </c:ext>
          </c:extLst>
        </c:ser>
        <c:ser>
          <c:idx val="95"/>
          <c:order val="149"/>
          <c:tx>
            <c:v>Verformt:35</c:v>
          </c:tx>
          <c:spPr>
            <a:ln w="25400">
              <a:solidFill>
                <a:srgbClr val="000080"/>
              </a:solidFill>
              <a:prstDash val="solid"/>
            </a:ln>
          </c:spPr>
          <c:marker>
            <c:symbol val="none"/>
          </c:marker>
          <c:xVal>
            <c:numRef>
              <c:f>PlotData!$BB$38:$BL$38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PlotData!$BO$38:$BY$38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5-5E8C-4715-B1DF-1E828197FF17}"/>
            </c:ext>
          </c:extLst>
        </c:ser>
        <c:ser>
          <c:idx val="96"/>
          <c:order val="150"/>
          <c:tx>
            <c:v>Verformt:36</c:v>
          </c:tx>
          <c:spPr>
            <a:ln w="25400">
              <a:solidFill>
                <a:srgbClr val="000080"/>
              </a:solidFill>
              <a:prstDash val="solid"/>
            </a:ln>
          </c:spPr>
          <c:marker>
            <c:symbol val="none"/>
          </c:marker>
          <c:xVal>
            <c:numRef>
              <c:f>PlotData!$BB$39:$BL$39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PlotData!$BO$39:$BY$39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6-5E8C-4715-B1DF-1E828197FF17}"/>
            </c:ext>
          </c:extLst>
        </c:ser>
        <c:ser>
          <c:idx val="97"/>
          <c:order val="151"/>
          <c:tx>
            <c:v>Verformt:37</c:v>
          </c:tx>
          <c:spPr>
            <a:ln w="25400">
              <a:solidFill>
                <a:srgbClr val="000080"/>
              </a:solidFill>
              <a:prstDash val="solid"/>
            </a:ln>
          </c:spPr>
          <c:marker>
            <c:symbol val="none"/>
          </c:marker>
          <c:xVal>
            <c:numRef>
              <c:f>PlotData!$BB$40:$BL$40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PlotData!$BO$40:$BY$40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7-5E8C-4715-B1DF-1E828197FF17}"/>
            </c:ext>
          </c:extLst>
        </c:ser>
        <c:ser>
          <c:idx val="98"/>
          <c:order val="152"/>
          <c:tx>
            <c:v>Verformt:38</c:v>
          </c:tx>
          <c:spPr>
            <a:ln w="25400">
              <a:solidFill>
                <a:srgbClr val="000080"/>
              </a:solidFill>
              <a:prstDash val="solid"/>
            </a:ln>
          </c:spPr>
          <c:marker>
            <c:symbol val="none"/>
          </c:marker>
          <c:xVal>
            <c:numRef>
              <c:f>PlotData!$BB$41:$BL$41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PlotData!$BO$41:$BY$41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8-5E8C-4715-B1DF-1E828197FF17}"/>
            </c:ext>
          </c:extLst>
        </c:ser>
        <c:ser>
          <c:idx val="99"/>
          <c:order val="153"/>
          <c:tx>
            <c:v>Verformt:39</c:v>
          </c:tx>
          <c:spPr>
            <a:ln w="25400">
              <a:solidFill>
                <a:srgbClr val="000080"/>
              </a:solidFill>
              <a:prstDash val="solid"/>
            </a:ln>
          </c:spPr>
          <c:marker>
            <c:symbol val="none"/>
          </c:marker>
          <c:xVal>
            <c:numRef>
              <c:f>PlotData!$BB$42:$BL$42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PlotData!$BO$42:$BY$42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9-5E8C-4715-B1DF-1E828197FF17}"/>
            </c:ext>
          </c:extLst>
        </c:ser>
        <c:ser>
          <c:idx val="100"/>
          <c:order val="154"/>
          <c:tx>
            <c:v>Verformt:40</c:v>
          </c:tx>
          <c:spPr>
            <a:ln w="25400">
              <a:solidFill>
                <a:srgbClr val="000080"/>
              </a:solidFill>
              <a:prstDash val="solid"/>
            </a:ln>
          </c:spPr>
          <c:marker>
            <c:symbol val="none"/>
          </c:marker>
          <c:xVal>
            <c:numRef>
              <c:f>PlotData!$BB$43:$BL$43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PlotData!$BO$43:$BY$43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A-5E8C-4715-B1DF-1E828197FF17}"/>
            </c:ext>
          </c:extLst>
        </c:ser>
        <c:ser>
          <c:idx val="101"/>
          <c:order val="155"/>
          <c:tx>
            <c:v>Rotzeigeru1</c:v>
          </c:tx>
          <c:spPr>
            <a:ln>
              <a:solidFill>
                <a:srgbClr val="8064A2">
                  <a:lumMod val="60000"/>
                  <a:lumOff val="40000"/>
                </a:srgbClr>
              </a:solidFill>
              <a:tailEnd type="triangle"/>
            </a:ln>
          </c:spPr>
          <c:marker>
            <c:symbol val="none"/>
          </c:marker>
          <c:xVal>
            <c:numRef>
              <c:f>Symbole!$Q$75:$R$75</c:f>
              <c:numCache>
                <c:formatCode>General</c:formatCode>
                <c:ptCount val="2"/>
                <c:pt idx="0">
                  <c:v>23.626678459402886</c:v>
                </c:pt>
                <c:pt idx="1">
                  <c:v>23.626678459402886</c:v>
                </c:pt>
              </c:numCache>
            </c:numRef>
          </c:xVal>
          <c:yVal>
            <c:numRef>
              <c:f>Symbole!$U$75:$V$75</c:f>
              <c:numCache>
                <c:formatCode>General</c:formatCode>
                <c:ptCount val="2"/>
                <c:pt idx="0">
                  <c:v>-46.105451176718191</c:v>
                </c:pt>
                <c:pt idx="1">
                  <c:v>-46.105451176718191</c:v>
                </c:pt>
              </c:numCache>
            </c:numRef>
          </c:yVal>
          <c:smooth val="0"/>
          <c:extLst>
            <c:ext xmlns:c16="http://schemas.microsoft.com/office/drawing/2014/chart" uri="{C3380CC4-5D6E-409C-BE32-E72D297353CC}">
              <c16:uniqueId val="{0000009B-5E8C-4715-B1DF-1E828197FF17}"/>
            </c:ext>
          </c:extLst>
        </c:ser>
        <c:ser>
          <c:idx val="102"/>
          <c:order val="156"/>
          <c:tx>
            <c:v>Rotzeigeru2</c:v>
          </c:tx>
          <c:spPr>
            <a:ln>
              <a:solidFill>
                <a:srgbClr val="8064A2">
                  <a:lumMod val="60000"/>
                  <a:lumOff val="40000"/>
                </a:srgbClr>
              </a:solidFill>
              <a:tailEnd type="triangle"/>
            </a:ln>
          </c:spPr>
          <c:marker>
            <c:symbol val="none"/>
          </c:marker>
          <c:xVal>
            <c:numRef>
              <c:f>Symbole!$Q$76:$R$76</c:f>
              <c:numCache>
                <c:formatCode>General</c:formatCode>
                <c:ptCount val="2"/>
                <c:pt idx="0">
                  <c:v>100</c:v>
                </c:pt>
                <c:pt idx="1">
                  <c:v>100</c:v>
                </c:pt>
              </c:numCache>
            </c:numRef>
          </c:xVal>
          <c:yVal>
            <c:numRef>
              <c:f>Symbole!$U$76:$V$76</c:f>
              <c:numCache>
                <c:formatCode>General</c:formatCode>
                <c:ptCount val="2"/>
                <c:pt idx="0">
                  <c:v>20</c:v>
                </c:pt>
                <c:pt idx="1">
                  <c:v>20</c:v>
                </c:pt>
              </c:numCache>
            </c:numRef>
          </c:yVal>
          <c:smooth val="0"/>
          <c:extLst>
            <c:ext xmlns:c16="http://schemas.microsoft.com/office/drawing/2014/chart" uri="{C3380CC4-5D6E-409C-BE32-E72D297353CC}">
              <c16:uniqueId val="{0000009C-5E8C-4715-B1DF-1E828197FF17}"/>
            </c:ext>
          </c:extLst>
        </c:ser>
        <c:ser>
          <c:idx val="103"/>
          <c:order val="157"/>
          <c:tx>
            <c:v>Rotzeigeru3</c:v>
          </c:tx>
          <c:spPr>
            <a:ln>
              <a:solidFill>
                <a:srgbClr val="8064A2">
                  <a:lumMod val="60000"/>
                  <a:lumOff val="40000"/>
                </a:srgbClr>
              </a:solidFill>
              <a:tailEnd type="triangle"/>
            </a:ln>
          </c:spPr>
          <c:marker>
            <c:symbol val="none"/>
          </c:marker>
          <c:xVal>
            <c:numRef>
              <c:f>Symbole!$Q$77:$R$77</c:f>
              <c:numCache>
                <c:formatCode>General</c:formatCode>
                <c:ptCount val="2"/>
                <c:pt idx="0">
                  <c:v>20</c:v>
                </c:pt>
                <c:pt idx="1">
                  <c:v>20</c:v>
                </c:pt>
              </c:numCache>
            </c:numRef>
          </c:xVal>
          <c:yVal>
            <c:numRef>
              <c:f>Symbole!$U$77:$V$77</c:f>
              <c:numCache>
                <c:formatCode>General</c:formatCode>
                <c:ptCount val="2"/>
                <c:pt idx="0">
                  <c:v>20</c:v>
                </c:pt>
                <c:pt idx="1">
                  <c:v>20</c:v>
                </c:pt>
              </c:numCache>
            </c:numRef>
          </c:yVal>
          <c:smooth val="0"/>
          <c:extLst>
            <c:ext xmlns:c16="http://schemas.microsoft.com/office/drawing/2014/chart" uri="{C3380CC4-5D6E-409C-BE32-E72D297353CC}">
              <c16:uniqueId val="{0000009D-5E8C-4715-B1DF-1E828197FF17}"/>
            </c:ext>
          </c:extLst>
        </c:ser>
        <c:ser>
          <c:idx val="104"/>
          <c:order val="158"/>
          <c:tx>
            <c:v>Rotzeigeru4</c:v>
          </c:tx>
          <c:spPr>
            <a:ln>
              <a:solidFill>
                <a:srgbClr val="8064A2">
                  <a:lumMod val="60000"/>
                  <a:lumOff val="40000"/>
                </a:srgbClr>
              </a:solidFill>
              <a:tailEnd type="triangle"/>
            </a:ln>
          </c:spPr>
          <c:marker>
            <c:symbol val="none"/>
          </c:marker>
          <c:xVal>
            <c:numRef>
              <c:f>Symbole!$Q$78:$R$78</c:f>
              <c:numCache>
                <c:formatCode>General</c:formatCode>
                <c:ptCount val="2"/>
                <c:pt idx="0">
                  <c:v>60</c:v>
                </c:pt>
                <c:pt idx="1">
                  <c:v>60</c:v>
                </c:pt>
              </c:numCache>
            </c:numRef>
          </c:xVal>
          <c:yVal>
            <c:numRef>
              <c:f>Symbole!$U$78:$V$78</c:f>
              <c:numCache>
                <c:formatCode>General</c:formatCode>
                <c:ptCount val="2"/>
                <c:pt idx="0">
                  <c:v>-100</c:v>
                </c:pt>
                <c:pt idx="1">
                  <c:v>-100</c:v>
                </c:pt>
              </c:numCache>
            </c:numRef>
          </c:yVal>
          <c:smooth val="0"/>
          <c:extLst>
            <c:ext xmlns:c16="http://schemas.microsoft.com/office/drawing/2014/chart" uri="{C3380CC4-5D6E-409C-BE32-E72D297353CC}">
              <c16:uniqueId val="{0000009E-5E8C-4715-B1DF-1E828197FF17}"/>
            </c:ext>
          </c:extLst>
        </c:ser>
        <c:ser>
          <c:idx val="105"/>
          <c:order val="159"/>
          <c:tx>
            <c:v>Rotzeigeru5</c:v>
          </c:tx>
          <c:spPr>
            <a:ln>
              <a:solidFill>
                <a:srgbClr val="8064A2">
                  <a:lumMod val="60000"/>
                  <a:lumOff val="40000"/>
                </a:srgbClr>
              </a:solidFill>
              <a:tailEnd type="triangle"/>
            </a:ln>
          </c:spPr>
          <c:marker>
            <c:symbol val="none"/>
          </c:marker>
          <c:xVal>
            <c:numRef>
              <c:f>Symbole!$Q$79:$R$79</c:f>
              <c:numCache>
                <c:formatCode>General</c:formatCode>
                <c:ptCount val="2"/>
                <c:pt idx="0">
                  <c:v>-50</c:v>
                </c:pt>
                <c:pt idx="1">
                  <c:v>-50</c:v>
                </c:pt>
              </c:numCache>
            </c:numRef>
          </c:xVal>
          <c:yVal>
            <c:numRef>
              <c:f>Symbole!$U$79:$V$79</c:f>
              <c:numCache>
                <c:formatCode>General</c:formatCode>
                <c:ptCount val="2"/>
                <c:pt idx="0">
                  <c:v>-70</c:v>
                </c:pt>
                <c:pt idx="1">
                  <c:v>-70</c:v>
                </c:pt>
              </c:numCache>
            </c:numRef>
          </c:yVal>
          <c:smooth val="0"/>
          <c:extLst>
            <c:ext xmlns:c16="http://schemas.microsoft.com/office/drawing/2014/chart" uri="{C3380CC4-5D6E-409C-BE32-E72D297353CC}">
              <c16:uniqueId val="{0000009F-5E8C-4715-B1DF-1E828197FF17}"/>
            </c:ext>
          </c:extLst>
        </c:ser>
        <c:ser>
          <c:idx val="106"/>
          <c:order val="160"/>
          <c:tx>
            <c:v>Rotzeigeru6</c:v>
          </c:tx>
          <c:spPr>
            <a:ln>
              <a:solidFill>
                <a:srgbClr val="8064A2">
                  <a:lumMod val="60000"/>
                  <a:lumOff val="40000"/>
                </a:srgbClr>
              </a:solidFill>
              <a:tailEnd type="triangle"/>
            </a:ln>
          </c:spPr>
          <c:marker>
            <c:symbol val="none"/>
          </c:marker>
          <c:xVal>
            <c:numRef>
              <c:f>Symbole!$Q$80:$R$80</c:f>
              <c:numCache>
                <c:formatCode>General</c:formatCode>
                <c:ptCount val="2"/>
                <c:pt idx="0">
                  <c:v>-100</c:v>
                </c:pt>
                <c:pt idx="1">
                  <c:v>-100</c:v>
                </c:pt>
              </c:numCache>
            </c:numRef>
          </c:xVal>
          <c:yVal>
            <c:numRef>
              <c:f>Symbole!$U$80:$V$80</c:f>
              <c:numCache>
                <c:formatCode>General</c:formatCode>
                <c:ptCount val="2"/>
                <c:pt idx="0">
                  <c:v>100</c:v>
                </c:pt>
                <c:pt idx="1">
                  <c:v>100</c:v>
                </c:pt>
              </c:numCache>
            </c:numRef>
          </c:yVal>
          <c:smooth val="0"/>
          <c:extLst>
            <c:ext xmlns:c16="http://schemas.microsoft.com/office/drawing/2014/chart" uri="{C3380CC4-5D6E-409C-BE32-E72D297353CC}">
              <c16:uniqueId val="{000000A0-5E8C-4715-B1DF-1E828197FF17}"/>
            </c:ext>
          </c:extLst>
        </c:ser>
        <c:ser>
          <c:idx val="107"/>
          <c:order val="161"/>
          <c:tx>
            <c:v>Rotzeigeru7</c:v>
          </c:tx>
          <c:spPr>
            <a:ln>
              <a:solidFill>
                <a:srgbClr val="8064A2">
                  <a:lumMod val="60000"/>
                  <a:lumOff val="40000"/>
                </a:srgbClr>
              </a:solidFill>
              <a:tailEnd type="triangle"/>
            </a:ln>
          </c:spPr>
          <c:marker>
            <c:symbol val="none"/>
          </c:marker>
          <c:xVal>
            <c:numRef>
              <c:f>Symbole!$Q$81:$R$81</c:f>
              <c:numCache>
                <c:formatCode>General</c:formatCode>
                <c:ptCount val="2"/>
                <c:pt idx="0">
                  <c:v>0</c:v>
                </c:pt>
                <c:pt idx="1">
                  <c:v>0</c:v>
                </c:pt>
              </c:numCache>
            </c:numRef>
          </c:xVal>
          <c:yVal>
            <c:numRef>
              <c:f>Symbole!$U$81:$V$81</c:f>
              <c:numCache>
                <c:formatCode>General</c:formatCode>
                <c:ptCount val="2"/>
                <c:pt idx="0">
                  <c:v>0</c:v>
                </c:pt>
                <c:pt idx="1">
                  <c:v>0</c:v>
                </c:pt>
              </c:numCache>
            </c:numRef>
          </c:yVal>
          <c:smooth val="0"/>
          <c:extLst>
            <c:ext xmlns:c16="http://schemas.microsoft.com/office/drawing/2014/chart" uri="{C3380CC4-5D6E-409C-BE32-E72D297353CC}">
              <c16:uniqueId val="{000000A1-5E8C-4715-B1DF-1E828197FF17}"/>
            </c:ext>
          </c:extLst>
        </c:ser>
        <c:ser>
          <c:idx val="108"/>
          <c:order val="162"/>
          <c:tx>
            <c:v>Rotzeigeru8</c:v>
          </c:tx>
          <c:spPr>
            <a:ln>
              <a:solidFill>
                <a:srgbClr val="8064A2">
                  <a:lumMod val="60000"/>
                  <a:lumOff val="40000"/>
                </a:srgbClr>
              </a:solidFill>
              <a:tailEnd type="triangle"/>
            </a:ln>
          </c:spPr>
          <c:marker>
            <c:symbol val="none"/>
          </c:marker>
          <c:xVal>
            <c:numRef>
              <c:f>Symbole!$Q$82:$R$82</c:f>
              <c:numCache>
                <c:formatCode>General</c:formatCode>
                <c:ptCount val="2"/>
                <c:pt idx="0">
                  <c:v>0</c:v>
                </c:pt>
                <c:pt idx="1">
                  <c:v>0</c:v>
                </c:pt>
              </c:numCache>
            </c:numRef>
          </c:xVal>
          <c:yVal>
            <c:numRef>
              <c:f>Symbole!$U$82:$V$82</c:f>
              <c:numCache>
                <c:formatCode>General</c:formatCode>
                <c:ptCount val="2"/>
                <c:pt idx="0">
                  <c:v>0</c:v>
                </c:pt>
                <c:pt idx="1">
                  <c:v>0</c:v>
                </c:pt>
              </c:numCache>
            </c:numRef>
          </c:yVal>
          <c:smooth val="0"/>
          <c:extLst>
            <c:ext xmlns:c16="http://schemas.microsoft.com/office/drawing/2014/chart" uri="{C3380CC4-5D6E-409C-BE32-E72D297353CC}">
              <c16:uniqueId val="{000000A2-5E8C-4715-B1DF-1E828197FF17}"/>
            </c:ext>
          </c:extLst>
        </c:ser>
        <c:ser>
          <c:idx val="109"/>
          <c:order val="163"/>
          <c:tx>
            <c:v>Rotzeigeru9</c:v>
          </c:tx>
          <c:spPr>
            <a:ln>
              <a:solidFill>
                <a:srgbClr val="8064A2">
                  <a:lumMod val="60000"/>
                  <a:lumOff val="40000"/>
                </a:srgbClr>
              </a:solidFill>
              <a:tailEnd type="triangle"/>
            </a:ln>
          </c:spPr>
          <c:marker>
            <c:symbol val="none"/>
          </c:marker>
          <c:xVal>
            <c:numRef>
              <c:f>Symbole!$Q$83:$R$83</c:f>
              <c:numCache>
                <c:formatCode>General</c:formatCode>
                <c:ptCount val="2"/>
                <c:pt idx="0">
                  <c:v>0</c:v>
                </c:pt>
                <c:pt idx="1">
                  <c:v>0</c:v>
                </c:pt>
              </c:numCache>
            </c:numRef>
          </c:xVal>
          <c:yVal>
            <c:numRef>
              <c:f>Symbole!$U$83:$V$83</c:f>
              <c:numCache>
                <c:formatCode>General</c:formatCode>
                <c:ptCount val="2"/>
                <c:pt idx="0">
                  <c:v>0</c:v>
                </c:pt>
                <c:pt idx="1">
                  <c:v>0</c:v>
                </c:pt>
              </c:numCache>
            </c:numRef>
          </c:yVal>
          <c:smooth val="0"/>
          <c:extLst>
            <c:ext xmlns:c16="http://schemas.microsoft.com/office/drawing/2014/chart" uri="{C3380CC4-5D6E-409C-BE32-E72D297353CC}">
              <c16:uniqueId val="{000000A3-5E8C-4715-B1DF-1E828197FF17}"/>
            </c:ext>
          </c:extLst>
        </c:ser>
        <c:ser>
          <c:idx val="110"/>
          <c:order val="164"/>
          <c:tx>
            <c:v>Rotzeigeru10</c:v>
          </c:tx>
          <c:spPr>
            <a:ln>
              <a:solidFill>
                <a:srgbClr val="8064A2">
                  <a:lumMod val="60000"/>
                  <a:lumOff val="40000"/>
                </a:srgbClr>
              </a:solidFill>
              <a:tailEnd type="triangle"/>
            </a:ln>
          </c:spPr>
          <c:marker>
            <c:symbol val="none"/>
          </c:marker>
          <c:xVal>
            <c:numRef>
              <c:f>Symbole!$Q$84:$R$84</c:f>
              <c:numCache>
                <c:formatCode>General</c:formatCode>
                <c:ptCount val="2"/>
                <c:pt idx="0">
                  <c:v>0</c:v>
                </c:pt>
                <c:pt idx="1">
                  <c:v>0</c:v>
                </c:pt>
              </c:numCache>
            </c:numRef>
          </c:xVal>
          <c:yVal>
            <c:numRef>
              <c:f>Symbole!$U$84:$V$84</c:f>
              <c:numCache>
                <c:formatCode>General</c:formatCode>
                <c:ptCount val="2"/>
                <c:pt idx="0">
                  <c:v>0</c:v>
                </c:pt>
                <c:pt idx="1">
                  <c:v>0</c:v>
                </c:pt>
              </c:numCache>
            </c:numRef>
          </c:yVal>
          <c:smooth val="0"/>
          <c:extLst>
            <c:ext xmlns:c16="http://schemas.microsoft.com/office/drawing/2014/chart" uri="{C3380CC4-5D6E-409C-BE32-E72D297353CC}">
              <c16:uniqueId val="{000000A4-5E8C-4715-B1DF-1E828197FF17}"/>
            </c:ext>
          </c:extLst>
        </c:ser>
        <c:ser>
          <c:idx val="111"/>
          <c:order val="165"/>
          <c:tx>
            <c:v>Rotzeigeru11</c:v>
          </c:tx>
          <c:spPr>
            <a:ln>
              <a:solidFill>
                <a:srgbClr val="8064A2">
                  <a:lumMod val="60000"/>
                  <a:lumOff val="40000"/>
                </a:srgbClr>
              </a:solidFill>
              <a:tailEnd type="triangle"/>
            </a:ln>
          </c:spPr>
          <c:marker>
            <c:symbol val="none"/>
          </c:marker>
          <c:xVal>
            <c:numRef>
              <c:f>Symbole!$Q$85:$R$85</c:f>
              <c:numCache>
                <c:formatCode>General</c:formatCode>
                <c:ptCount val="2"/>
                <c:pt idx="0">
                  <c:v>0</c:v>
                </c:pt>
                <c:pt idx="1">
                  <c:v>0</c:v>
                </c:pt>
              </c:numCache>
            </c:numRef>
          </c:xVal>
          <c:yVal>
            <c:numRef>
              <c:f>Symbole!$U$85:$V$85</c:f>
              <c:numCache>
                <c:formatCode>General</c:formatCode>
                <c:ptCount val="2"/>
                <c:pt idx="0">
                  <c:v>0</c:v>
                </c:pt>
                <c:pt idx="1">
                  <c:v>0</c:v>
                </c:pt>
              </c:numCache>
            </c:numRef>
          </c:yVal>
          <c:smooth val="0"/>
          <c:extLst>
            <c:ext xmlns:c16="http://schemas.microsoft.com/office/drawing/2014/chart" uri="{C3380CC4-5D6E-409C-BE32-E72D297353CC}">
              <c16:uniqueId val="{000000A5-5E8C-4715-B1DF-1E828197FF17}"/>
            </c:ext>
          </c:extLst>
        </c:ser>
        <c:ser>
          <c:idx val="113"/>
          <c:order val="166"/>
          <c:tx>
            <c:v>Rotzeigeru12</c:v>
          </c:tx>
          <c:spPr>
            <a:ln>
              <a:solidFill>
                <a:srgbClr val="8064A2">
                  <a:lumMod val="60000"/>
                  <a:lumOff val="40000"/>
                </a:srgbClr>
              </a:solidFill>
              <a:tailEnd type="triangle"/>
            </a:ln>
          </c:spPr>
          <c:marker>
            <c:symbol val="none"/>
          </c:marker>
          <c:xVal>
            <c:numRef>
              <c:f>Symbole!$Q$86:$R$86</c:f>
              <c:numCache>
                <c:formatCode>General</c:formatCode>
                <c:ptCount val="2"/>
                <c:pt idx="0">
                  <c:v>0</c:v>
                </c:pt>
                <c:pt idx="1">
                  <c:v>0</c:v>
                </c:pt>
              </c:numCache>
            </c:numRef>
          </c:xVal>
          <c:yVal>
            <c:numRef>
              <c:f>Symbole!$U$86:$V$86</c:f>
              <c:numCache>
                <c:formatCode>General</c:formatCode>
                <c:ptCount val="2"/>
                <c:pt idx="0">
                  <c:v>0</c:v>
                </c:pt>
                <c:pt idx="1">
                  <c:v>0</c:v>
                </c:pt>
              </c:numCache>
            </c:numRef>
          </c:yVal>
          <c:smooth val="0"/>
          <c:extLst>
            <c:ext xmlns:c16="http://schemas.microsoft.com/office/drawing/2014/chart" uri="{C3380CC4-5D6E-409C-BE32-E72D297353CC}">
              <c16:uniqueId val="{000000A6-5E8C-4715-B1DF-1E828197FF17}"/>
            </c:ext>
          </c:extLst>
        </c:ser>
        <c:ser>
          <c:idx val="112"/>
          <c:order val="167"/>
          <c:tx>
            <c:v>Rotzeigeru13</c:v>
          </c:tx>
          <c:spPr>
            <a:ln>
              <a:solidFill>
                <a:srgbClr val="8064A2">
                  <a:lumMod val="60000"/>
                  <a:lumOff val="40000"/>
                </a:srgbClr>
              </a:solidFill>
              <a:tailEnd type="triangle"/>
            </a:ln>
          </c:spPr>
          <c:marker>
            <c:symbol val="none"/>
          </c:marker>
          <c:xVal>
            <c:numRef>
              <c:f>Symbole!$Q$87:$R$87</c:f>
              <c:numCache>
                <c:formatCode>General</c:formatCode>
                <c:ptCount val="2"/>
                <c:pt idx="0">
                  <c:v>0</c:v>
                </c:pt>
                <c:pt idx="1">
                  <c:v>0</c:v>
                </c:pt>
              </c:numCache>
            </c:numRef>
          </c:xVal>
          <c:yVal>
            <c:numRef>
              <c:f>Symbole!$U$87:$V$87</c:f>
              <c:numCache>
                <c:formatCode>General</c:formatCode>
                <c:ptCount val="2"/>
                <c:pt idx="0">
                  <c:v>0</c:v>
                </c:pt>
                <c:pt idx="1">
                  <c:v>0</c:v>
                </c:pt>
              </c:numCache>
            </c:numRef>
          </c:yVal>
          <c:smooth val="0"/>
          <c:extLst>
            <c:ext xmlns:c16="http://schemas.microsoft.com/office/drawing/2014/chart" uri="{C3380CC4-5D6E-409C-BE32-E72D297353CC}">
              <c16:uniqueId val="{000000A7-5E8C-4715-B1DF-1E828197FF17}"/>
            </c:ext>
          </c:extLst>
        </c:ser>
        <c:ser>
          <c:idx val="114"/>
          <c:order val="168"/>
          <c:tx>
            <c:v>Rotzeigeru14</c:v>
          </c:tx>
          <c:spPr>
            <a:ln>
              <a:solidFill>
                <a:srgbClr val="8064A2">
                  <a:lumMod val="60000"/>
                  <a:lumOff val="40000"/>
                </a:srgbClr>
              </a:solidFill>
              <a:tailEnd type="triangle"/>
            </a:ln>
          </c:spPr>
          <c:marker>
            <c:symbol val="none"/>
          </c:marker>
          <c:xVal>
            <c:numRef>
              <c:f>Symbole!$Q$88:$R$88</c:f>
              <c:numCache>
                <c:formatCode>General</c:formatCode>
                <c:ptCount val="2"/>
                <c:pt idx="0">
                  <c:v>0</c:v>
                </c:pt>
                <c:pt idx="1">
                  <c:v>0</c:v>
                </c:pt>
              </c:numCache>
            </c:numRef>
          </c:xVal>
          <c:yVal>
            <c:numRef>
              <c:f>Symbole!$U$88:$V$88</c:f>
              <c:numCache>
                <c:formatCode>General</c:formatCode>
                <c:ptCount val="2"/>
                <c:pt idx="0">
                  <c:v>0</c:v>
                </c:pt>
                <c:pt idx="1">
                  <c:v>0</c:v>
                </c:pt>
              </c:numCache>
            </c:numRef>
          </c:yVal>
          <c:smooth val="0"/>
          <c:extLst>
            <c:ext xmlns:c16="http://schemas.microsoft.com/office/drawing/2014/chart" uri="{C3380CC4-5D6E-409C-BE32-E72D297353CC}">
              <c16:uniqueId val="{000000A8-5E8C-4715-B1DF-1E828197FF17}"/>
            </c:ext>
          </c:extLst>
        </c:ser>
        <c:ser>
          <c:idx val="115"/>
          <c:order val="169"/>
          <c:tx>
            <c:v>Rotzeigeru15</c:v>
          </c:tx>
          <c:spPr>
            <a:ln>
              <a:solidFill>
                <a:srgbClr val="8064A2">
                  <a:lumMod val="60000"/>
                  <a:lumOff val="40000"/>
                </a:srgbClr>
              </a:solidFill>
              <a:tailEnd type="triangle"/>
            </a:ln>
          </c:spPr>
          <c:marker>
            <c:symbol val="none"/>
          </c:marker>
          <c:xVal>
            <c:numRef>
              <c:f>Symbole!$Q$89:$R$89</c:f>
              <c:numCache>
                <c:formatCode>General</c:formatCode>
                <c:ptCount val="2"/>
                <c:pt idx="0">
                  <c:v>0</c:v>
                </c:pt>
                <c:pt idx="1">
                  <c:v>0</c:v>
                </c:pt>
              </c:numCache>
            </c:numRef>
          </c:xVal>
          <c:yVal>
            <c:numRef>
              <c:f>Symbole!$U$89:$V$89</c:f>
              <c:numCache>
                <c:formatCode>General</c:formatCode>
                <c:ptCount val="2"/>
                <c:pt idx="0">
                  <c:v>0</c:v>
                </c:pt>
                <c:pt idx="1">
                  <c:v>0</c:v>
                </c:pt>
              </c:numCache>
            </c:numRef>
          </c:yVal>
          <c:smooth val="0"/>
          <c:extLst>
            <c:ext xmlns:c16="http://schemas.microsoft.com/office/drawing/2014/chart" uri="{C3380CC4-5D6E-409C-BE32-E72D297353CC}">
              <c16:uniqueId val="{000000A9-5E8C-4715-B1DF-1E828197FF17}"/>
            </c:ext>
          </c:extLst>
        </c:ser>
        <c:ser>
          <c:idx val="116"/>
          <c:order val="170"/>
          <c:tx>
            <c:v>Rotzeigeru16</c:v>
          </c:tx>
          <c:spPr>
            <a:ln>
              <a:solidFill>
                <a:srgbClr val="8064A2">
                  <a:lumMod val="60000"/>
                  <a:lumOff val="40000"/>
                </a:srgbClr>
              </a:solidFill>
              <a:tailEnd type="triangle"/>
            </a:ln>
          </c:spPr>
          <c:marker>
            <c:symbol val="none"/>
          </c:marker>
          <c:xVal>
            <c:numRef>
              <c:f>Symbole!$Q$90:$R$90</c:f>
              <c:numCache>
                <c:formatCode>General</c:formatCode>
                <c:ptCount val="2"/>
                <c:pt idx="0">
                  <c:v>0</c:v>
                </c:pt>
                <c:pt idx="1">
                  <c:v>0</c:v>
                </c:pt>
              </c:numCache>
            </c:numRef>
          </c:xVal>
          <c:yVal>
            <c:numRef>
              <c:f>Symbole!$U$90:$V$90</c:f>
              <c:numCache>
                <c:formatCode>General</c:formatCode>
                <c:ptCount val="2"/>
                <c:pt idx="0">
                  <c:v>0</c:v>
                </c:pt>
                <c:pt idx="1">
                  <c:v>0</c:v>
                </c:pt>
              </c:numCache>
            </c:numRef>
          </c:yVal>
          <c:smooth val="0"/>
          <c:extLst>
            <c:ext xmlns:c16="http://schemas.microsoft.com/office/drawing/2014/chart" uri="{C3380CC4-5D6E-409C-BE32-E72D297353CC}">
              <c16:uniqueId val="{000000AA-5E8C-4715-B1DF-1E828197FF17}"/>
            </c:ext>
          </c:extLst>
        </c:ser>
        <c:ser>
          <c:idx val="117"/>
          <c:order val="171"/>
          <c:tx>
            <c:v>Rotzeigeru17</c:v>
          </c:tx>
          <c:spPr>
            <a:ln>
              <a:solidFill>
                <a:srgbClr val="8064A2">
                  <a:lumMod val="60000"/>
                  <a:lumOff val="40000"/>
                </a:srgbClr>
              </a:solidFill>
              <a:tailEnd type="triangle"/>
            </a:ln>
          </c:spPr>
          <c:marker>
            <c:symbol val="none"/>
          </c:marker>
          <c:xVal>
            <c:numRef>
              <c:f>Symbole!$Q$91:$R$91</c:f>
              <c:numCache>
                <c:formatCode>General</c:formatCode>
                <c:ptCount val="2"/>
                <c:pt idx="0">
                  <c:v>0</c:v>
                </c:pt>
                <c:pt idx="1">
                  <c:v>0</c:v>
                </c:pt>
              </c:numCache>
            </c:numRef>
          </c:xVal>
          <c:yVal>
            <c:numRef>
              <c:f>Symbole!$U$91:$V$91</c:f>
              <c:numCache>
                <c:formatCode>General</c:formatCode>
                <c:ptCount val="2"/>
                <c:pt idx="0">
                  <c:v>0</c:v>
                </c:pt>
                <c:pt idx="1">
                  <c:v>0</c:v>
                </c:pt>
              </c:numCache>
            </c:numRef>
          </c:yVal>
          <c:smooth val="0"/>
          <c:extLst>
            <c:ext xmlns:c16="http://schemas.microsoft.com/office/drawing/2014/chart" uri="{C3380CC4-5D6E-409C-BE32-E72D297353CC}">
              <c16:uniqueId val="{000000AB-5E8C-4715-B1DF-1E828197FF17}"/>
            </c:ext>
          </c:extLst>
        </c:ser>
        <c:ser>
          <c:idx val="118"/>
          <c:order val="172"/>
          <c:tx>
            <c:v>Rotzeigeru18</c:v>
          </c:tx>
          <c:spPr>
            <a:ln>
              <a:solidFill>
                <a:srgbClr val="8064A2">
                  <a:lumMod val="60000"/>
                  <a:lumOff val="40000"/>
                </a:srgbClr>
              </a:solidFill>
              <a:tailEnd type="triangle"/>
            </a:ln>
          </c:spPr>
          <c:marker>
            <c:symbol val="none"/>
          </c:marker>
          <c:xVal>
            <c:numRef>
              <c:f>Symbole!$Q$92:$R$92</c:f>
              <c:numCache>
                <c:formatCode>General</c:formatCode>
                <c:ptCount val="2"/>
                <c:pt idx="0">
                  <c:v>0</c:v>
                </c:pt>
                <c:pt idx="1">
                  <c:v>0</c:v>
                </c:pt>
              </c:numCache>
            </c:numRef>
          </c:xVal>
          <c:yVal>
            <c:numRef>
              <c:f>Symbole!$U$92:$V$92</c:f>
              <c:numCache>
                <c:formatCode>General</c:formatCode>
                <c:ptCount val="2"/>
                <c:pt idx="0">
                  <c:v>0</c:v>
                </c:pt>
                <c:pt idx="1">
                  <c:v>0</c:v>
                </c:pt>
              </c:numCache>
            </c:numRef>
          </c:yVal>
          <c:smooth val="0"/>
          <c:extLst>
            <c:ext xmlns:c16="http://schemas.microsoft.com/office/drawing/2014/chart" uri="{C3380CC4-5D6E-409C-BE32-E72D297353CC}">
              <c16:uniqueId val="{000000AC-5E8C-4715-B1DF-1E828197FF17}"/>
            </c:ext>
          </c:extLst>
        </c:ser>
        <c:ser>
          <c:idx val="119"/>
          <c:order val="173"/>
          <c:tx>
            <c:v>Rotzeigeru19</c:v>
          </c:tx>
          <c:spPr>
            <a:ln>
              <a:solidFill>
                <a:srgbClr val="8064A2">
                  <a:lumMod val="60000"/>
                  <a:lumOff val="40000"/>
                </a:srgbClr>
              </a:solidFill>
              <a:tailEnd type="triangle"/>
            </a:ln>
          </c:spPr>
          <c:marker>
            <c:symbol val="none"/>
          </c:marker>
          <c:xVal>
            <c:numRef>
              <c:f>Symbole!$Q$93:$R$93</c:f>
              <c:numCache>
                <c:formatCode>General</c:formatCode>
                <c:ptCount val="2"/>
                <c:pt idx="0">
                  <c:v>0</c:v>
                </c:pt>
                <c:pt idx="1">
                  <c:v>0</c:v>
                </c:pt>
              </c:numCache>
            </c:numRef>
          </c:xVal>
          <c:yVal>
            <c:numRef>
              <c:f>Symbole!$U$93:$V$93</c:f>
              <c:numCache>
                <c:formatCode>General</c:formatCode>
                <c:ptCount val="2"/>
                <c:pt idx="0">
                  <c:v>0</c:v>
                </c:pt>
                <c:pt idx="1">
                  <c:v>0</c:v>
                </c:pt>
              </c:numCache>
            </c:numRef>
          </c:yVal>
          <c:smooth val="0"/>
          <c:extLst>
            <c:ext xmlns:c16="http://schemas.microsoft.com/office/drawing/2014/chart" uri="{C3380CC4-5D6E-409C-BE32-E72D297353CC}">
              <c16:uniqueId val="{000000AD-5E8C-4715-B1DF-1E828197FF17}"/>
            </c:ext>
          </c:extLst>
        </c:ser>
        <c:ser>
          <c:idx val="120"/>
          <c:order val="174"/>
          <c:tx>
            <c:v>Rotzeigeru20</c:v>
          </c:tx>
          <c:spPr>
            <a:ln>
              <a:solidFill>
                <a:srgbClr val="8064A2">
                  <a:lumMod val="60000"/>
                  <a:lumOff val="40000"/>
                </a:srgbClr>
              </a:solidFill>
              <a:tailEnd type="triangle"/>
            </a:ln>
          </c:spPr>
          <c:marker>
            <c:symbol val="none"/>
          </c:marker>
          <c:xVal>
            <c:numRef>
              <c:f>Symbole!$Q$94:$R$94</c:f>
              <c:numCache>
                <c:formatCode>General</c:formatCode>
                <c:ptCount val="2"/>
                <c:pt idx="0">
                  <c:v>0</c:v>
                </c:pt>
                <c:pt idx="1">
                  <c:v>0</c:v>
                </c:pt>
              </c:numCache>
            </c:numRef>
          </c:xVal>
          <c:yVal>
            <c:numRef>
              <c:f>Symbole!$U$94:$V$94</c:f>
              <c:numCache>
                <c:formatCode>General</c:formatCode>
                <c:ptCount val="2"/>
                <c:pt idx="0">
                  <c:v>0</c:v>
                </c:pt>
                <c:pt idx="1">
                  <c:v>0</c:v>
                </c:pt>
              </c:numCache>
            </c:numRef>
          </c:yVal>
          <c:smooth val="0"/>
          <c:extLst>
            <c:ext xmlns:c16="http://schemas.microsoft.com/office/drawing/2014/chart" uri="{C3380CC4-5D6E-409C-BE32-E72D297353CC}">
              <c16:uniqueId val="{000000AE-5E8C-4715-B1DF-1E828197FF17}"/>
            </c:ext>
          </c:extLst>
        </c:ser>
        <c:ser>
          <c:idx val="121"/>
          <c:order val="175"/>
          <c:tx>
            <c:v>Rotzeigerw1</c:v>
          </c:tx>
          <c:spPr>
            <a:ln>
              <a:solidFill>
                <a:srgbClr val="8064A2">
                  <a:lumMod val="60000"/>
                  <a:lumOff val="40000"/>
                </a:srgbClr>
              </a:solidFill>
              <a:tailEnd type="triangle"/>
            </a:ln>
          </c:spPr>
          <c:marker>
            <c:symbol val="none"/>
          </c:marker>
          <c:xVal>
            <c:numRef>
              <c:f>Symbole!$S$75:$T$75</c:f>
              <c:numCache>
                <c:formatCode>General</c:formatCode>
                <c:ptCount val="2"/>
                <c:pt idx="0">
                  <c:v>23.626678459402886</c:v>
                </c:pt>
                <c:pt idx="1">
                  <c:v>23.626678459402886</c:v>
                </c:pt>
              </c:numCache>
            </c:numRef>
          </c:xVal>
          <c:yVal>
            <c:numRef>
              <c:f>Symbole!$W$75:$X$75</c:f>
              <c:numCache>
                <c:formatCode>General</c:formatCode>
                <c:ptCount val="2"/>
                <c:pt idx="0">
                  <c:v>-46.105451176718191</c:v>
                </c:pt>
                <c:pt idx="1">
                  <c:v>-46.105451176718191</c:v>
                </c:pt>
              </c:numCache>
            </c:numRef>
          </c:yVal>
          <c:smooth val="0"/>
          <c:extLst>
            <c:ext xmlns:c16="http://schemas.microsoft.com/office/drawing/2014/chart" uri="{C3380CC4-5D6E-409C-BE32-E72D297353CC}">
              <c16:uniqueId val="{000000AF-5E8C-4715-B1DF-1E828197FF17}"/>
            </c:ext>
          </c:extLst>
        </c:ser>
        <c:ser>
          <c:idx val="122"/>
          <c:order val="176"/>
          <c:tx>
            <c:v>Rotzeigerw2</c:v>
          </c:tx>
          <c:spPr>
            <a:ln>
              <a:solidFill>
                <a:srgbClr val="8064A2">
                  <a:lumMod val="60000"/>
                  <a:lumOff val="40000"/>
                </a:srgbClr>
              </a:solidFill>
              <a:tailEnd type="triangle"/>
            </a:ln>
          </c:spPr>
          <c:marker>
            <c:symbol val="none"/>
          </c:marker>
          <c:xVal>
            <c:numRef>
              <c:f>Symbole!$S$76:$T$76</c:f>
              <c:numCache>
                <c:formatCode>General</c:formatCode>
                <c:ptCount val="2"/>
                <c:pt idx="0">
                  <c:v>100</c:v>
                </c:pt>
                <c:pt idx="1">
                  <c:v>100</c:v>
                </c:pt>
              </c:numCache>
            </c:numRef>
          </c:xVal>
          <c:yVal>
            <c:numRef>
              <c:f>Symbole!$W$76:$X$76</c:f>
              <c:numCache>
                <c:formatCode>General</c:formatCode>
                <c:ptCount val="2"/>
                <c:pt idx="0">
                  <c:v>20</c:v>
                </c:pt>
                <c:pt idx="1">
                  <c:v>20</c:v>
                </c:pt>
              </c:numCache>
            </c:numRef>
          </c:yVal>
          <c:smooth val="0"/>
          <c:extLst>
            <c:ext xmlns:c16="http://schemas.microsoft.com/office/drawing/2014/chart" uri="{C3380CC4-5D6E-409C-BE32-E72D297353CC}">
              <c16:uniqueId val="{000000B0-5E8C-4715-B1DF-1E828197FF17}"/>
            </c:ext>
          </c:extLst>
        </c:ser>
        <c:ser>
          <c:idx val="123"/>
          <c:order val="177"/>
          <c:tx>
            <c:v>Rotzeigerw3</c:v>
          </c:tx>
          <c:spPr>
            <a:ln>
              <a:solidFill>
                <a:srgbClr val="8064A2">
                  <a:lumMod val="60000"/>
                  <a:lumOff val="40000"/>
                </a:srgbClr>
              </a:solidFill>
              <a:tailEnd type="triangle"/>
            </a:ln>
          </c:spPr>
          <c:marker>
            <c:symbol val="none"/>
          </c:marker>
          <c:xVal>
            <c:numRef>
              <c:f>Symbole!$S$77:$T$77</c:f>
              <c:numCache>
                <c:formatCode>General</c:formatCode>
                <c:ptCount val="2"/>
                <c:pt idx="0">
                  <c:v>20</c:v>
                </c:pt>
                <c:pt idx="1">
                  <c:v>20</c:v>
                </c:pt>
              </c:numCache>
            </c:numRef>
          </c:xVal>
          <c:yVal>
            <c:numRef>
              <c:f>Symbole!$W$77:$X$77</c:f>
              <c:numCache>
                <c:formatCode>General</c:formatCode>
                <c:ptCount val="2"/>
                <c:pt idx="0">
                  <c:v>20</c:v>
                </c:pt>
                <c:pt idx="1">
                  <c:v>20</c:v>
                </c:pt>
              </c:numCache>
            </c:numRef>
          </c:yVal>
          <c:smooth val="0"/>
          <c:extLst>
            <c:ext xmlns:c16="http://schemas.microsoft.com/office/drawing/2014/chart" uri="{C3380CC4-5D6E-409C-BE32-E72D297353CC}">
              <c16:uniqueId val="{000000B1-5E8C-4715-B1DF-1E828197FF17}"/>
            </c:ext>
          </c:extLst>
        </c:ser>
        <c:ser>
          <c:idx val="124"/>
          <c:order val="178"/>
          <c:tx>
            <c:v>Rotzeigerw4</c:v>
          </c:tx>
          <c:spPr>
            <a:ln>
              <a:solidFill>
                <a:srgbClr val="8064A2">
                  <a:lumMod val="60000"/>
                  <a:lumOff val="40000"/>
                </a:srgbClr>
              </a:solidFill>
              <a:tailEnd type="triangle"/>
            </a:ln>
          </c:spPr>
          <c:marker>
            <c:symbol val="none"/>
          </c:marker>
          <c:xVal>
            <c:numRef>
              <c:f>Symbole!$S$78:$T$78</c:f>
              <c:numCache>
                <c:formatCode>General</c:formatCode>
                <c:ptCount val="2"/>
                <c:pt idx="0">
                  <c:v>60</c:v>
                </c:pt>
                <c:pt idx="1">
                  <c:v>60</c:v>
                </c:pt>
              </c:numCache>
            </c:numRef>
          </c:xVal>
          <c:yVal>
            <c:numRef>
              <c:f>Symbole!$W$78:$X$78</c:f>
              <c:numCache>
                <c:formatCode>General</c:formatCode>
                <c:ptCount val="2"/>
                <c:pt idx="0">
                  <c:v>-100</c:v>
                </c:pt>
                <c:pt idx="1">
                  <c:v>-100</c:v>
                </c:pt>
              </c:numCache>
            </c:numRef>
          </c:yVal>
          <c:smooth val="0"/>
          <c:extLst>
            <c:ext xmlns:c16="http://schemas.microsoft.com/office/drawing/2014/chart" uri="{C3380CC4-5D6E-409C-BE32-E72D297353CC}">
              <c16:uniqueId val="{000000B2-5E8C-4715-B1DF-1E828197FF17}"/>
            </c:ext>
          </c:extLst>
        </c:ser>
        <c:ser>
          <c:idx val="125"/>
          <c:order val="179"/>
          <c:tx>
            <c:v>Rotzeigerw5</c:v>
          </c:tx>
          <c:spPr>
            <a:ln>
              <a:solidFill>
                <a:srgbClr val="8064A2">
                  <a:lumMod val="60000"/>
                  <a:lumOff val="40000"/>
                </a:srgbClr>
              </a:solidFill>
              <a:tailEnd type="triangle"/>
            </a:ln>
          </c:spPr>
          <c:marker>
            <c:symbol val="none"/>
          </c:marker>
          <c:xVal>
            <c:numRef>
              <c:f>Symbole!$S$79:$T$79</c:f>
              <c:numCache>
                <c:formatCode>General</c:formatCode>
                <c:ptCount val="2"/>
                <c:pt idx="0">
                  <c:v>-50</c:v>
                </c:pt>
                <c:pt idx="1">
                  <c:v>-50</c:v>
                </c:pt>
              </c:numCache>
            </c:numRef>
          </c:xVal>
          <c:yVal>
            <c:numRef>
              <c:f>Symbole!$W$79:$X$79</c:f>
              <c:numCache>
                <c:formatCode>General</c:formatCode>
                <c:ptCount val="2"/>
                <c:pt idx="0">
                  <c:v>-70</c:v>
                </c:pt>
                <c:pt idx="1">
                  <c:v>-70</c:v>
                </c:pt>
              </c:numCache>
            </c:numRef>
          </c:yVal>
          <c:smooth val="0"/>
          <c:extLst>
            <c:ext xmlns:c16="http://schemas.microsoft.com/office/drawing/2014/chart" uri="{C3380CC4-5D6E-409C-BE32-E72D297353CC}">
              <c16:uniqueId val="{000000B3-5E8C-4715-B1DF-1E828197FF17}"/>
            </c:ext>
          </c:extLst>
        </c:ser>
        <c:ser>
          <c:idx val="126"/>
          <c:order val="180"/>
          <c:tx>
            <c:v>Rotzeigerw6</c:v>
          </c:tx>
          <c:spPr>
            <a:ln>
              <a:solidFill>
                <a:srgbClr val="8064A2">
                  <a:lumMod val="60000"/>
                  <a:lumOff val="40000"/>
                </a:srgbClr>
              </a:solidFill>
              <a:tailEnd type="triangle"/>
            </a:ln>
          </c:spPr>
          <c:marker>
            <c:symbol val="none"/>
          </c:marker>
          <c:xVal>
            <c:numRef>
              <c:f>Symbole!$S$80:$T$80</c:f>
              <c:numCache>
                <c:formatCode>General</c:formatCode>
                <c:ptCount val="2"/>
                <c:pt idx="0">
                  <c:v>-100</c:v>
                </c:pt>
                <c:pt idx="1">
                  <c:v>-100</c:v>
                </c:pt>
              </c:numCache>
            </c:numRef>
          </c:xVal>
          <c:yVal>
            <c:numRef>
              <c:f>Symbole!$W$80:$X$80</c:f>
              <c:numCache>
                <c:formatCode>General</c:formatCode>
                <c:ptCount val="2"/>
                <c:pt idx="0">
                  <c:v>100</c:v>
                </c:pt>
                <c:pt idx="1">
                  <c:v>100</c:v>
                </c:pt>
              </c:numCache>
            </c:numRef>
          </c:yVal>
          <c:smooth val="0"/>
          <c:extLst>
            <c:ext xmlns:c16="http://schemas.microsoft.com/office/drawing/2014/chart" uri="{C3380CC4-5D6E-409C-BE32-E72D297353CC}">
              <c16:uniqueId val="{000000B4-5E8C-4715-B1DF-1E828197FF17}"/>
            </c:ext>
          </c:extLst>
        </c:ser>
        <c:ser>
          <c:idx val="127"/>
          <c:order val="181"/>
          <c:tx>
            <c:v>Rotzeigerw7</c:v>
          </c:tx>
          <c:spPr>
            <a:ln>
              <a:solidFill>
                <a:srgbClr val="8064A2">
                  <a:lumMod val="60000"/>
                  <a:lumOff val="40000"/>
                </a:srgbClr>
              </a:solidFill>
              <a:tailEnd type="triangle"/>
            </a:ln>
          </c:spPr>
          <c:marker>
            <c:symbol val="none"/>
          </c:marker>
          <c:xVal>
            <c:numRef>
              <c:f>Symbole!$S$81:$T$81</c:f>
              <c:numCache>
                <c:formatCode>General</c:formatCode>
                <c:ptCount val="2"/>
                <c:pt idx="0">
                  <c:v>0</c:v>
                </c:pt>
                <c:pt idx="1">
                  <c:v>0</c:v>
                </c:pt>
              </c:numCache>
            </c:numRef>
          </c:xVal>
          <c:yVal>
            <c:numRef>
              <c:f>Symbole!$W$81:$X$81</c:f>
              <c:numCache>
                <c:formatCode>General</c:formatCode>
                <c:ptCount val="2"/>
                <c:pt idx="0">
                  <c:v>0</c:v>
                </c:pt>
                <c:pt idx="1">
                  <c:v>0</c:v>
                </c:pt>
              </c:numCache>
            </c:numRef>
          </c:yVal>
          <c:smooth val="0"/>
          <c:extLst>
            <c:ext xmlns:c16="http://schemas.microsoft.com/office/drawing/2014/chart" uri="{C3380CC4-5D6E-409C-BE32-E72D297353CC}">
              <c16:uniqueId val="{000000B5-5E8C-4715-B1DF-1E828197FF17}"/>
            </c:ext>
          </c:extLst>
        </c:ser>
        <c:ser>
          <c:idx val="128"/>
          <c:order val="182"/>
          <c:tx>
            <c:v>Rotzeigerw8</c:v>
          </c:tx>
          <c:spPr>
            <a:ln>
              <a:solidFill>
                <a:srgbClr val="8064A2">
                  <a:lumMod val="60000"/>
                  <a:lumOff val="40000"/>
                </a:srgbClr>
              </a:solidFill>
              <a:tailEnd type="triangle"/>
            </a:ln>
          </c:spPr>
          <c:marker>
            <c:symbol val="none"/>
          </c:marker>
          <c:xVal>
            <c:numRef>
              <c:f>Symbole!$S$82:$T$82</c:f>
              <c:numCache>
                <c:formatCode>General</c:formatCode>
                <c:ptCount val="2"/>
                <c:pt idx="0">
                  <c:v>0</c:v>
                </c:pt>
                <c:pt idx="1">
                  <c:v>0</c:v>
                </c:pt>
              </c:numCache>
            </c:numRef>
          </c:xVal>
          <c:yVal>
            <c:numRef>
              <c:f>Symbole!$W$82:$X$82</c:f>
              <c:numCache>
                <c:formatCode>General</c:formatCode>
                <c:ptCount val="2"/>
                <c:pt idx="0">
                  <c:v>0</c:v>
                </c:pt>
                <c:pt idx="1">
                  <c:v>0</c:v>
                </c:pt>
              </c:numCache>
            </c:numRef>
          </c:yVal>
          <c:smooth val="0"/>
          <c:extLst>
            <c:ext xmlns:c16="http://schemas.microsoft.com/office/drawing/2014/chart" uri="{C3380CC4-5D6E-409C-BE32-E72D297353CC}">
              <c16:uniqueId val="{000000B6-5E8C-4715-B1DF-1E828197FF17}"/>
            </c:ext>
          </c:extLst>
        </c:ser>
        <c:ser>
          <c:idx val="129"/>
          <c:order val="183"/>
          <c:tx>
            <c:v>Rotzeigerw9</c:v>
          </c:tx>
          <c:spPr>
            <a:ln>
              <a:solidFill>
                <a:srgbClr val="8064A2">
                  <a:lumMod val="60000"/>
                  <a:lumOff val="40000"/>
                </a:srgbClr>
              </a:solidFill>
              <a:tailEnd type="triangle"/>
            </a:ln>
          </c:spPr>
          <c:marker>
            <c:symbol val="none"/>
          </c:marker>
          <c:xVal>
            <c:numRef>
              <c:f>Symbole!$S$83:$T$83</c:f>
              <c:numCache>
                <c:formatCode>General</c:formatCode>
                <c:ptCount val="2"/>
                <c:pt idx="0">
                  <c:v>0</c:v>
                </c:pt>
                <c:pt idx="1">
                  <c:v>0</c:v>
                </c:pt>
              </c:numCache>
            </c:numRef>
          </c:xVal>
          <c:yVal>
            <c:numRef>
              <c:f>Symbole!$W$83:$X$83</c:f>
              <c:numCache>
                <c:formatCode>General</c:formatCode>
                <c:ptCount val="2"/>
                <c:pt idx="0">
                  <c:v>0</c:v>
                </c:pt>
                <c:pt idx="1">
                  <c:v>0</c:v>
                </c:pt>
              </c:numCache>
            </c:numRef>
          </c:yVal>
          <c:smooth val="0"/>
          <c:extLst>
            <c:ext xmlns:c16="http://schemas.microsoft.com/office/drawing/2014/chart" uri="{C3380CC4-5D6E-409C-BE32-E72D297353CC}">
              <c16:uniqueId val="{000000B7-5E8C-4715-B1DF-1E828197FF17}"/>
            </c:ext>
          </c:extLst>
        </c:ser>
        <c:ser>
          <c:idx val="130"/>
          <c:order val="184"/>
          <c:tx>
            <c:v>Rotzeigerw10</c:v>
          </c:tx>
          <c:spPr>
            <a:ln>
              <a:solidFill>
                <a:srgbClr val="8064A2">
                  <a:lumMod val="60000"/>
                  <a:lumOff val="40000"/>
                </a:srgbClr>
              </a:solidFill>
              <a:tailEnd type="triangle"/>
            </a:ln>
          </c:spPr>
          <c:marker>
            <c:symbol val="none"/>
          </c:marker>
          <c:xVal>
            <c:numRef>
              <c:f>Symbole!$S$84:$T$84</c:f>
              <c:numCache>
                <c:formatCode>General</c:formatCode>
                <c:ptCount val="2"/>
                <c:pt idx="0">
                  <c:v>0</c:v>
                </c:pt>
                <c:pt idx="1">
                  <c:v>0</c:v>
                </c:pt>
              </c:numCache>
            </c:numRef>
          </c:xVal>
          <c:yVal>
            <c:numRef>
              <c:f>Symbole!$W$84:$X$84</c:f>
              <c:numCache>
                <c:formatCode>General</c:formatCode>
                <c:ptCount val="2"/>
                <c:pt idx="0">
                  <c:v>0</c:v>
                </c:pt>
                <c:pt idx="1">
                  <c:v>0</c:v>
                </c:pt>
              </c:numCache>
            </c:numRef>
          </c:yVal>
          <c:smooth val="0"/>
          <c:extLst>
            <c:ext xmlns:c16="http://schemas.microsoft.com/office/drawing/2014/chart" uri="{C3380CC4-5D6E-409C-BE32-E72D297353CC}">
              <c16:uniqueId val="{000000B8-5E8C-4715-B1DF-1E828197FF17}"/>
            </c:ext>
          </c:extLst>
        </c:ser>
        <c:ser>
          <c:idx val="131"/>
          <c:order val="185"/>
          <c:tx>
            <c:v>Rotzeigerw11</c:v>
          </c:tx>
          <c:spPr>
            <a:ln>
              <a:solidFill>
                <a:srgbClr val="8064A2">
                  <a:lumMod val="60000"/>
                  <a:lumOff val="40000"/>
                </a:srgbClr>
              </a:solidFill>
              <a:tailEnd type="triangle"/>
            </a:ln>
          </c:spPr>
          <c:marker>
            <c:symbol val="none"/>
          </c:marker>
          <c:xVal>
            <c:numRef>
              <c:f>Symbole!$S$85:$T$85</c:f>
              <c:numCache>
                <c:formatCode>General</c:formatCode>
                <c:ptCount val="2"/>
                <c:pt idx="0">
                  <c:v>0</c:v>
                </c:pt>
                <c:pt idx="1">
                  <c:v>0</c:v>
                </c:pt>
              </c:numCache>
            </c:numRef>
          </c:xVal>
          <c:yVal>
            <c:numRef>
              <c:f>Symbole!$W$85:$X$85</c:f>
              <c:numCache>
                <c:formatCode>General</c:formatCode>
                <c:ptCount val="2"/>
                <c:pt idx="0">
                  <c:v>0</c:v>
                </c:pt>
                <c:pt idx="1">
                  <c:v>0</c:v>
                </c:pt>
              </c:numCache>
            </c:numRef>
          </c:yVal>
          <c:smooth val="0"/>
          <c:extLst>
            <c:ext xmlns:c16="http://schemas.microsoft.com/office/drawing/2014/chart" uri="{C3380CC4-5D6E-409C-BE32-E72D297353CC}">
              <c16:uniqueId val="{000000B9-5E8C-4715-B1DF-1E828197FF17}"/>
            </c:ext>
          </c:extLst>
        </c:ser>
        <c:ser>
          <c:idx val="132"/>
          <c:order val="186"/>
          <c:tx>
            <c:v>Rotzeigerw12</c:v>
          </c:tx>
          <c:spPr>
            <a:ln>
              <a:solidFill>
                <a:srgbClr val="8064A2">
                  <a:lumMod val="60000"/>
                  <a:lumOff val="40000"/>
                </a:srgbClr>
              </a:solidFill>
              <a:tailEnd type="triangle"/>
            </a:ln>
          </c:spPr>
          <c:marker>
            <c:symbol val="none"/>
          </c:marker>
          <c:xVal>
            <c:numRef>
              <c:f>Symbole!$S$86:$T$86</c:f>
              <c:numCache>
                <c:formatCode>General</c:formatCode>
                <c:ptCount val="2"/>
                <c:pt idx="0">
                  <c:v>0</c:v>
                </c:pt>
                <c:pt idx="1">
                  <c:v>0</c:v>
                </c:pt>
              </c:numCache>
            </c:numRef>
          </c:xVal>
          <c:yVal>
            <c:numRef>
              <c:f>Symbole!$W$86:$X$86</c:f>
              <c:numCache>
                <c:formatCode>General</c:formatCode>
                <c:ptCount val="2"/>
                <c:pt idx="0">
                  <c:v>0</c:v>
                </c:pt>
                <c:pt idx="1">
                  <c:v>0</c:v>
                </c:pt>
              </c:numCache>
            </c:numRef>
          </c:yVal>
          <c:smooth val="0"/>
          <c:extLst>
            <c:ext xmlns:c16="http://schemas.microsoft.com/office/drawing/2014/chart" uri="{C3380CC4-5D6E-409C-BE32-E72D297353CC}">
              <c16:uniqueId val="{000000BA-5E8C-4715-B1DF-1E828197FF17}"/>
            </c:ext>
          </c:extLst>
        </c:ser>
        <c:ser>
          <c:idx val="133"/>
          <c:order val="187"/>
          <c:tx>
            <c:v>Rotzeigerw13</c:v>
          </c:tx>
          <c:spPr>
            <a:ln>
              <a:solidFill>
                <a:srgbClr val="8064A2">
                  <a:lumMod val="60000"/>
                  <a:lumOff val="40000"/>
                </a:srgbClr>
              </a:solidFill>
              <a:tailEnd type="triangle"/>
            </a:ln>
          </c:spPr>
          <c:marker>
            <c:symbol val="none"/>
          </c:marker>
          <c:xVal>
            <c:numRef>
              <c:f>Symbole!$S$87:$T$87</c:f>
              <c:numCache>
                <c:formatCode>General</c:formatCode>
                <c:ptCount val="2"/>
                <c:pt idx="0">
                  <c:v>0</c:v>
                </c:pt>
                <c:pt idx="1">
                  <c:v>0</c:v>
                </c:pt>
              </c:numCache>
            </c:numRef>
          </c:xVal>
          <c:yVal>
            <c:numRef>
              <c:f>Symbole!$W$87:$X$87</c:f>
              <c:numCache>
                <c:formatCode>General</c:formatCode>
                <c:ptCount val="2"/>
                <c:pt idx="0">
                  <c:v>0</c:v>
                </c:pt>
                <c:pt idx="1">
                  <c:v>0</c:v>
                </c:pt>
              </c:numCache>
            </c:numRef>
          </c:yVal>
          <c:smooth val="0"/>
          <c:extLst>
            <c:ext xmlns:c16="http://schemas.microsoft.com/office/drawing/2014/chart" uri="{C3380CC4-5D6E-409C-BE32-E72D297353CC}">
              <c16:uniqueId val="{000000BB-5E8C-4715-B1DF-1E828197FF17}"/>
            </c:ext>
          </c:extLst>
        </c:ser>
        <c:ser>
          <c:idx val="134"/>
          <c:order val="188"/>
          <c:tx>
            <c:v>Rotzeigerw14</c:v>
          </c:tx>
          <c:spPr>
            <a:ln>
              <a:solidFill>
                <a:srgbClr val="8064A2">
                  <a:lumMod val="60000"/>
                  <a:lumOff val="40000"/>
                </a:srgbClr>
              </a:solidFill>
              <a:tailEnd type="triangle"/>
            </a:ln>
          </c:spPr>
          <c:marker>
            <c:symbol val="none"/>
          </c:marker>
          <c:xVal>
            <c:numRef>
              <c:f>Symbole!$S$88:$T$88</c:f>
              <c:numCache>
                <c:formatCode>General</c:formatCode>
                <c:ptCount val="2"/>
                <c:pt idx="0">
                  <c:v>0</c:v>
                </c:pt>
                <c:pt idx="1">
                  <c:v>0</c:v>
                </c:pt>
              </c:numCache>
            </c:numRef>
          </c:xVal>
          <c:yVal>
            <c:numRef>
              <c:f>Symbole!$W$88:$X$88</c:f>
              <c:numCache>
                <c:formatCode>General</c:formatCode>
                <c:ptCount val="2"/>
                <c:pt idx="0">
                  <c:v>0</c:v>
                </c:pt>
                <c:pt idx="1">
                  <c:v>0</c:v>
                </c:pt>
              </c:numCache>
            </c:numRef>
          </c:yVal>
          <c:smooth val="0"/>
          <c:extLst>
            <c:ext xmlns:c16="http://schemas.microsoft.com/office/drawing/2014/chart" uri="{C3380CC4-5D6E-409C-BE32-E72D297353CC}">
              <c16:uniqueId val="{000000BC-5E8C-4715-B1DF-1E828197FF17}"/>
            </c:ext>
          </c:extLst>
        </c:ser>
        <c:ser>
          <c:idx val="135"/>
          <c:order val="189"/>
          <c:tx>
            <c:v>Rotzeigerw15</c:v>
          </c:tx>
          <c:spPr>
            <a:ln>
              <a:solidFill>
                <a:srgbClr val="8064A2">
                  <a:lumMod val="60000"/>
                  <a:lumOff val="40000"/>
                </a:srgbClr>
              </a:solidFill>
              <a:tailEnd type="triangle"/>
            </a:ln>
          </c:spPr>
          <c:marker>
            <c:symbol val="none"/>
          </c:marker>
          <c:xVal>
            <c:numRef>
              <c:f>Symbole!$S$89:$T$89</c:f>
              <c:numCache>
                <c:formatCode>General</c:formatCode>
                <c:ptCount val="2"/>
                <c:pt idx="0">
                  <c:v>0</c:v>
                </c:pt>
                <c:pt idx="1">
                  <c:v>0</c:v>
                </c:pt>
              </c:numCache>
            </c:numRef>
          </c:xVal>
          <c:yVal>
            <c:numRef>
              <c:f>Symbole!$W$89:$X$89</c:f>
              <c:numCache>
                <c:formatCode>General</c:formatCode>
                <c:ptCount val="2"/>
                <c:pt idx="0">
                  <c:v>0</c:v>
                </c:pt>
                <c:pt idx="1">
                  <c:v>0</c:v>
                </c:pt>
              </c:numCache>
            </c:numRef>
          </c:yVal>
          <c:smooth val="0"/>
          <c:extLst>
            <c:ext xmlns:c16="http://schemas.microsoft.com/office/drawing/2014/chart" uri="{C3380CC4-5D6E-409C-BE32-E72D297353CC}">
              <c16:uniqueId val="{000000BD-5E8C-4715-B1DF-1E828197FF17}"/>
            </c:ext>
          </c:extLst>
        </c:ser>
        <c:ser>
          <c:idx val="136"/>
          <c:order val="190"/>
          <c:tx>
            <c:v>Rotzeigerw16</c:v>
          </c:tx>
          <c:spPr>
            <a:ln>
              <a:solidFill>
                <a:srgbClr val="8064A2">
                  <a:lumMod val="60000"/>
                  <a:lumOff val="40000"/>
                </a:srgbClr>
              </a:solidFill>
              <a:tailEnd type="triangle"/>
            </a:ln>
          </c:spPr>
          <c:marker>
            <c:symbol val="none"/>
          </c:marker>
          <c:xVal>
            <c:numRef>
              <c:f>Symbole!$S$90:$T$90</c:f>
              <c:numCache>
                <c:formatCode>General</c:formatCode>
                <c:ptCount val="2"/>
                <c:pt idx="0">
                  <c:v>0</c:v>
                </c:pt>
                <c:pt idx="1">
                  <c:v>0</c:v>
                </c:pt>
              </c:numCache>
            </c:numRef>
          </c:xVal>
          <c:yVal>
            <c:numRef>
              <c:f>Symbole!$W$90:$X$90</c:f>
              <c:numCache>
                <c:formatCode>General</c:formatCode>
                <c:ptCount val="2"/>
                <c:pt idx="0">
                  <c:v>0</c:v>
                </c:pt>
                <c:pt idx="1">
                  <c:v>0</c:v>
                </c:pt>
              </c:numCache>
            </c:numRef>
          </c:yVal>
          <c:smooth val="0"/>
          <c:extLst>
            <c:ext xmlns:c16="http://schemas.microsoft.com/office/drawing/2014/chart" uri="{C3380CC4-5D6E-409C-BE32-E72D297353CC}">
              <c16:uniqueId val="{000000BE-5E8C-4715-B1DF-1E828197FF17}"/>
            </c:ext>
          </c:extLst>
        </c:ser>
        <c:ser>
          <c:idx val="137"/>
          <c:order val="191"/>
          <c:tx>
            <c:v>Rotzeigerw17</c:v>
          </c:tx>
          <c:spPr>
            <a:ln>
              <a:solidFill>
                <a:srgbClr val="8064A2">
                  <a:lumMod val="60000"/>
                  <a:lumOff val="40000"/>
                </a:srgbClr>
              </a:solidFill>
              <a:tailEnd type="triangle"/>
            </a:ln>
          </c:spPr>
          <c:marker>
            <c:symbol val="none"/>
          </c:marker>
          <c:xVal>
            <c:numRef>
              <c:f>Symbole!$S$91:$T$91</c:f>
              <c:numCache>
                <c:formatCode>General</c:formatCode>
                <c:ptCount val="2"/>
                <c:pt idx="0">
                  <c:v>0</c:v>
                </c:pt>
                <c:pt idx="1">
                  <c:v>0</c:v>
                </c:pt>
              </c:numCache>
            </c:numRef>
          </c:xVal>
          <c:yVal>
            <c:numRef>
              <c:f>Symbole!$W$91:$X$91</c:f>
              <c:numCache>
                <c:formatCode>General</c:formatCode>
                <c:ptCount val="2"/>
                <c:pt idx="0">
                  <c:v>0</c:v>
                </c:pt>
                <c:pt idx="1">
                  <c:v>0</c:v>
                </c:pt>
              </c:numCache>
            </c:numRef>
          </c:yVal>
          <c:smooth val="0"/>
          <c:extLst>
            <c:ext xmlns:c16="http://schemas.microsoft.com/office/drawing/2014/chart" uri="{C3380CC4-5D6E-409C-BE32-E72D297353CC}">
              <c16:uniqueId val="{000000BF-5E8C-4715-B1DF-1E828197FF17}"/>
            </c:ext>
          </c:extLst>
        </c:ser>
        <c:ser>
          <c:idx val="138"/>
          <c:order val="192"/>
          <c:tx>
            <c:v>Rotzeigerw18</c:v>
          </c:tx>
          <c:spPr>
            <a:ln>
              <a:solidFill>
                <a:srgbClr val="8064A2">
                  <a:lumMod val="60000"/>
                  <a:lumOff val="40000"/>
                </a:srgbClr>
              </a:solidFill>
              <a:tailEnd type="triangle"/>
            </a:ln>
          </c:spPr>
          <c:marker>
            <c:symbol val="none"/>
          </c:marker>
          <c:xVal>
            <c:numRef>
              <c:f>Symbole!$S$92:$T$92</c:f>
              <c:numCache>
                <c:formatCode>General</c:formatCode>
                <c:ptCount val="2"/>
                <c:pt idx="0">
                  <c:v>0</c:v>
                </c:pt>
                <c:pt idx="1">
                  <c:v>0</c:v>
                </c:pt>
              </c:numCache>
            </c:numRef>
          </c:xVal>
          <c:yVal>
            <c:numRef>
              <c:f>Symbole!$W$92:$X$92</c:f>
              <c:numCache>
                <c:formatCode>General</c:formatCode>
                <c:ptCount val="2"/>
                <c:pt idx="0">
                  <c:v>0</c:v>
                </c:pt>
                <c:pt idx="1">
                  <c:v>0</c:v>
                </c:pt>
              </c:numCache>
            </c:numRef>
          </c:yVal>
          <c:smooth val="0"/>
          <c:extLst>
            <c:ext xmlns:c16="http://schemas.microsoft.com/office/drawing/2014/chart" uri="{C3380CC4-5D6E-409C-BE32-E72D297353CC}">
              <c16:uniqueId val="{000000C0-5E8C-4715-B1DF-1E828197FF17}"/>
            </c:ext>
          </c:extLst>
        </c:ser>
        <c:ser>
          <c:idx val="139"/>
          <c:order val="193"/>
          <c:tx>
            <c:v>Rotzeigerw19</c:v>
          </c:tx>
          <c:spPr>
            <a:ln>
              <a:solidFill>
                <a:srgbClr val="8064A2">
                  <a:lumMod val="60000"/>
                  <a:lumOff val="40000"/>
                </a:srgbClr>
              </a:solidFill>
              <a:tailEnd type="triangle"/>
            </a:ln>
          </c:spPr>
          <c:marker>
            <c:symbol val="none"/>
          </c:marker>
          <c:xVal>
            <c:numRef>
              <c:f>Symbole!$S$93:$T$93</c:f>
              <c:numCache>
                <c:formatCode>General</c:formatCode>
                <c:ptCount val="2"/>
                <c:pt idx="0">
                  <c:v>0</c:v>
                </c:pt>
                <c:pt idx="1">
                  <c:v>0</c:v>
                </c:pt>
              </c:numCache>
            </c:numRef>
          </c:xVal>
          <c:yVal>
            <c:numRef>
              <c:f>Symbole!$W$93:$X$93</c:f>
              <c:numCache>
                <c:formatCode>General</c:formatCode>
                <c:ptCount val="2"/>
                <c:pt idx="0">
                  <c:v>0</c:v>
                </c:pt>
                <c:pt idx="1">
                  <c:v>0</c:v>
                </c:pt>
              </c:numCache>
            </c:numRef>
          </c:yVal>
          <c:smooth val="0"/>
          <c:extLst>
            <c:ext xmlns:c16="http://schemas.microsoft.com/office/drawing/2014/chart" uri="{C3380CC4-5D6E-409C-BE32-E72D297353CC}">
              <c16:uniqueId val="{000000C1-5E8C-4715-B1DF-1E828197FF17}"/>
            </c:ext>
          </c:extLst>
        </c:ser>
        <c:ser>
          <c:idx val="140"/>
          <c:order val="194"/>
          <c:tx>
            <c:v>Rotzeigerw20</c:v>
          </c:tx>
          <c:spPr>
            <a:ln>
              <a:solidFill>
                <a:srgbClr val="8064A2">
                  <a:lumMod val="60000"/>
                  <a:lumOff val="40000"/>
                </a:srgbClr>
              </a:solidFill>
              <a:tailEnd type="triangle"/>
            </a:ln>
          </c:spPr>
          <c:marker>
            <c:symbol val="none"/>
          </c:marker>
          <c:xVal>
            <c:numRef>
              <c:f>Symbole!$S$94:$T$94</c:f>
              <c:numCache>
                <c:formatCode>General</c:formatCode>
                <c:ptCount val="2"/>
                <c:pt idx="0">
                  <c:v>0</c:v>
                </c:pt>
                <c:pt idx="1">
                  <c:v>0</c:v>
                </c:pt>
              </c:numCache>
            </c:numRef>
          </c:xVal>
          <c:yVal>
            <c:numRef>
              <c:f>Symbole!$W$94:$X$94</c:f>
              <c:numCache>
                <c:formatCode>General</c:formatCode>
                <c:ptCount val="2"/>
                <c:pt idx="0">
                  <c:v>0</c:v>
                </c:pt>
                <c:pt idx="1">
                  <c:v>0</c:v>
                </c:pt>
              </c:numCache>
            </c:numRef>
          </c:yVal>
          <c:smooth val="0"/>
          <c:extLst>
            <c:ext xmlns:c16="http://schemas.microsoft.com/office/drawing/2014/chart" uri="{C3380CC4-5D6E-409C-BE32-E72D297353CC}">
              <c16:uniqueId val="{000000C2-5E8C-4715-B1DF-1E828197FF17}"/>
            </c:ext>
          </c:extLst>
        </c:ser>
        <c:ser>
          <c:idx val="141"/>
          <c:order val="195"/>
          <c:tx>
            <c:v>hor. Feder 1</c:v>
          </c:tx>
          <c:spPr>
            <a:ln w="25400" cap="rnd" cmpd="sng" algn="ctr">
              <a:solidFill>
                <a:srgbClr val="00B050"/>
              </a:solidFill>
              <a:prstDash val="solid"/>
              <a:round/>
              <a:headEnd type="none" w="med" len="med"/>
              <a:tailEnd type="none" w="med" len="med"/>
            </a:ln>
          </c:spPr>
          <c:marker>
            <c:symbol val="none"/>
          </c:marker>
          <c:xVal>
            <c:numRef>
              <c:f>Symbole!$AF$123:$AR$123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Symbole!$AS$123:$BE$123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3-5E8C-4715-B1DF-1E828197FF17}"/>
            </c:ext>
          </c:extLst>
        </c:ser>
        <c:ser>
          <c:idx val="142"/>
          <c:order val="196"/>
          <c:tx>
            <c:v>hor. Feder 2</c:v>
          </c:tx>
          <c:spPr>
            <a:ln w="25400" cap="rnd" cmpd="sng" algn="ctr">
              <a:solidFill>
                <a:srgbClr val="00B050"/>
              </a:solidFill>
              <a:prstDash val="solid"/>
              <a:round/>
              <a:headEnd type="none" w="med" len="med"/>
              <a:tailEnd type="none" w="med" len="med"/>
            </a:ln>
          </c:spPr>
          <c:marker>
            <c:symbol val="none"/>
          </c:marker>
          <c:xVal>
            <c:numRef>
              <c:f>Symbole!$AF$124:$AR$124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Symbole!$AS$124:$BE$124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4-5E8C-4715-B1DF-1E828197FF17}"/>
            </c:ext>
          </c:extLst>
        </c:ser>
        <c:ser>
          <c:idx val="143"/>
          <c:order val="197"/>
          <c:tx>
            <c:v>hor. Feder 3</c:v>
          </c:tx>
          <c:spPr>
            <a:ln w="25400" cap="rnd" cmpd="sng" algn="ctr">
              <a:solidFill>
                <a:srgbClr val="00B050"/>
              </a:solidFill>
              <a:prstDash val="solid"/>
              <a:round/>
              <a:headEnd type="none" w="med" len="med"/>
              <a:tailEnd type="none" w="med" len="med"/>
            </a:ln>
          </c:spPr>
          <c:marker>
            <c:symbol val="none"/>
          </c:marker>
          <c:xVal>
            <c:numRef>
              <c:f>Symbole!$AF$125:$AR$125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Symbole!$AS$125:$BE$125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5-5E8C-4715-B1DF-1E828197FF17}"/>
            </c:ext>
          </c:extLst>
        </c:ser>
        <c:ser>
          <c:idx val="144"/>
          <c:order val="198"/>
          <c:tx>
            <c:v>hor. Feder 4</c:v>
          </c:tx>
          <c:spPr>
            <a:ln w="25400" cap="rnd" cmpd="sng" algn="ctr">
              <a:solidFill>
                <a:srgbClr val="00B050"/>
              </a:solidFill>
              <a:prstDash val="solid"/>
              <a:round/>
              <a:headEnd type="none" w="med" len="med"/>
              <a:tailEnd type="none" w="med" len="med"/>
            </a:ln>
          </c:spPr>
          <c:marker>
            <c:symbol val="none"/>
          </c:marker>
          <c:xVal>
            <c:numRef>
              <c:f>Symbole!$AF$126:$AR$126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Symbole!$AS$126:$BE$126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6-5E8C-4715-B1DF-1E828197FF17}"/>
            </c:ext>
          </c:extLst>
        </c:ser>
        <c:ser>
          <c:idx val="145"/>
          <c:order val="199"/>
          <c:tx>
            <c:v>hor. Feder 5</c:v>
          </c:tx>
          <c:spPr>
            <a:ln w="25400" cap="rnd" cmpd="sng" algn="ctr">
              <a:solidFill>
                <a:srgbClr val="00B050"/>
              </a:solidFill>
              <a:prstDash val="solid"/>
              <a:round/>
              <a:headEnd type="none" w="med" len="med"/>
              <a:tailEnd type="none" w="med" len="med"/>
            </a:ln>
          </c:spPr>
          <c:marker>
            <c:symbol val="none"/>
          </c:marker>
          <c:xVal>
            <c:numRef>
              <c:f>Symbole!$AF$127:$AR$127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Symbole!$AS$127:$BE$127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7-5E8C-4715-B1DF-1E828197FF17}"/>
            </c:ext>
          </c:extLst>
        </c:ser>
        <c:ser>
          <c:idx val="146"/>
          <c:order val="200"/>
          <c:tx>
            <c:v>hor. Feder 6</c:v>
          </c:tx>
          <c:spPr>
            <a:ln w="25400" cap="rnd" cmpd="sng" algn="ctr">
              <a:solidFill>
                <a:srgbClr val="00B050"/>
              </a:solidFill>
              <a:prstDash val="solid"/>
              <a:round/>
              <a:headEnd type="none" w="med" len="med"/>
              <a:tailEnd type="none" w="med" len="med"/>
            </a:ln>
          </c:spPr>
          <c:marker>
            <c:symbol val="none"/>
          </c:marker>
          <c:xVal>
            <c:numRef>
              <c:f>Symbole!$AF$128:$AR$128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Symbole!$AS$128:$BE$128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8-5E8C-4715-B1DF-1E828197FF17}"/>
            </c:ext>
          </c:extLst>
        </c:ser>
        <c:ser>
          <c:idx val="147"/>
          <c:order val="201"/>
          <c:tx>
            <c:v>hor. Feder 7</c:v>
          </c:tx>
          <c:spPr>
            <a:ln w="25400" cap="rnd" cmpd="sng" algn="ctr">
              <a:solidFill>
                <a:srgbClr val="00B050"/>
              </a:solidFill>
              <a:prstDash val="solid"/>
              <a:round/>
              <a:headEnd type="none" w="med" len="med"/>
              <a:tailEnd type="none" w="med" len="med"/>
            </a:ln>
          </c:spPr>
          <c:marker>
            <c:symbol val="none"/>
          </c:marker>
          <c:xVal>
            <c:numRef>
              <c:f>Symbole!$AF$129:$AR$129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Symbole!$AS$129:$BE$129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9-5E8C-4715-B1DF-1E828197FF17}"/>
            </c:ext>
          </c:extLst>
        </c:ser>
        <c:ser>
          <c:idx val="148"/>
          <c:order val="202"/>
          <c:tx>
            <c:v>hor. Feder 8</c:v>
          </c:tx>
          <c:spPr>
            <a:ln w="25400" cap="rnd" cmpd="sng" algn="ctr">
              <a:solidFill>
                <a:srgbClr val="00B050"/>
              </a:solidFill>
              <a:prstDash val="solid"/>
              <a:round/>
              <a:headEnd type="none" w="med" len="med"/>
              <a:tailEnd type="none" w="med" len="med"/>
            </a:ln>
          </c:spPr>
          <c:marker>
            <c:symbol val="none"/>
          </c:marker>
          <c:xVal>
            <c:numRef>
              <c:f>Symbole!$AF$130:$AR$130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Symbole!$AS$130:$BE$130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A-5E8C-4715-B1DF-1E828197FF17}"/>
            </c:ext>
          </c:extLst>
        </c:ser>
        <c:ser>
          <c:idx val="149"/>
          <c:order val="203"/>
          <c:tx>
            <c:v>hor. Feder 9</c:v>
          </c:tx>
          <c:spPr>
            <a:ln w="25400" cap="rnd" cmpd="sng" algn="ctr">
              <a:solidFill>
                <a:srgbClr val="00B050"/>
              </a:solidFill>
              <a:prstDash val="solid"/>
              <a:round/>
              <a:headEnd type="none" w="med" len="med"/>
              <a:tailEnd type="none" w="med" len="med"/>
            </a:ln>
          </c:spPr>
          <c:marker>
            <c:symbol val="none"/>
          </c:marker>
          <c:xVal>
            <c:numRef>
              <c:f>Symbole!$AF$131:$AR$131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Symbole!$AS$131:$BE$131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B-5E8C-4715-B1DF-1E828197FF17}"/>
            </c:ext>
          </c:extLst>
        </c:ser>
        <c:ser>
          <c:idx val="150"/>
          <c:order val="204"/>
          <c:tx>
            <c:v>hor. Feder 10</c:v>
          </c:tx>
          <c:spPr>
            <a:ln w="25400" cap="rnd" cmpd="sng" algn="ctr">
              <a:solidFill>
                <a:srgbClr val="00B050"/>
              </a:solidFill>
              <a:prstDash val="solid"/>
              <a:round/>
              <a:headEnd type="none" w="med" len="med"/>
              <a:tailEnd type="none" w="med" len="med"/>
            </a:ln>
          </c:spPr>
          <c:marker>
            <c:symbol val="none"/>
          </c:marker>
          <c:xVal>
            <c:numRef>
              <c:f>Symbole!$AF$132:$AR$132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Symbole!$AS$132:$BE$132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C-5E8C-4715-B1DF-1E828197FF17}"/>
            </c:ext>
          </c:extLst>
        </c:ser>
        <c:ser>
          <c:idx val="151"/>
          <c:order val="205"/>
          <c:tx>
            <c:v>hor. Feder 11</c:v>
          </c:tx>
          <c:spPr>
            <a:ln w="25400" cap="rnd" cmpd="sng" algn="ctr">
              <a:solidFill>
                <a:srgbClr val="00B050"/>
              </a:solidFill>
              <a:prstDash val="solid"/>
              <a:round/>
              <a:headEnd type="none" w="med" len="med"/>
              <a:tailEnd type="none" w="med" len="med"/>
            </a:ln>
          </c:spPr>
          <c:marker>
            <c:symbol val="none"/>
          </c:marker>
          <c:xVal>
            <c:numRef>
              <c:f>Symbole!$AF$133:$AR$133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Symbole!$AS$133:$BE$133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D-5E8C-4715-B1DF-1E828197FF17}"/>
            </c:ext>
          </c:extLst>
        </c:ser>
        <c:ser>
          <c:idx val="152"/>
          <c:order val="206"/>
          <c:tx>
            <c:v>hor. Feder 12</c:v>
          </c:tx>
          <c:spPr>
            <a:ln w="25400" cap="rnd" cmpd="sng" algn="ctr">
              <a:solidFill>
                <a:srgbClr val="00B050"/>
              </a:solidFill>
              <a:prstDash val="solid"/>
              <a:round/>
              <a:headEnd type="none" w="med" len="med"/>
              <a:tailEnd type="none" w="med" len="med"/>
            </a:ln>
          </c:spPr>
          <c:marker>
            <c:symbol val="none"/>
          </c:marker>
          <c:xVal>
            <c:numRef>
              <c:f>Symbole!$AF$134:$AR$134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Symbole!$AS$134:$BE$134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E-5E8C-4715-B1DF-1E828197FF17}"/>
            </c:ext>
          </c:extLst>
        </c:ser>
        <c:ser>
          <c:idx val="153"/>
          <c:order val="207"/>
          <c:tx>
            <c:v>hor. Feder 13</c:v>
          </c:tx>
          <c:spPr>
            <a:ln w="25400" cap="rnd" cmpd="sng" algn="ctr">
              <a:solidFill>
                <a:srgbClr val="00B050"/>
              </a:solidFill>
              <a:prstDash val="solid"/>
              <a:round/>
              <a:headEnd type="none" w="med" len="med"/>
              <a:tailEnd type="none" w="med" len="med"/>
            </a:ln>
          </c:spPr>
          <c:marker>
            <c:symbol val="none"/>
          </c:marker>
          <c:xVal>
            <c:numRef>
              <c:f>Symbole!$AF$135:$AR$135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Symbole!$AS$135:$BE$135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F-5E8C-4715-B1DF-1E828197FF17}"/>
            </c:ext>
          </c:extLst>
        </c:ser>
        <c:ser>
          <c:idx val="154"/>
          <c:order val="208"/>
          <c:tx>
            <c:v>hor. Feder 14</c:v>
          </c:tx>
          <c:spPr>
            <a:ln w="25400" cap="rnd" cmpd="sng" algn="ctr">
              <a:solidFill>
                <a:srgbClr val="00B050"/>
              </a:solidFill>
              <a:prstDash val="solid"/>
              <a:round/>
              <a:headEnd type="none" w="med" len="med"/>
              <a:tailEnd type="none" w="med" len="med"/>
            </a:ln>
          </c:spPr>
          <c:marker>
            <c:symbol val="none"/>
          </c:marker>
          <c:xVal>
            <c:numRef>
              <c:f>Symbole!$AF$136:$AR$136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Symbole!$AS$136:$BE$136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0-5E8C-4715-B1DF-1E828197FF17}"/>
            </c:ext>
          </c:extLst>
        </c:ser>
        <c:ser>
          <c:idx val="155"/>
          <c:order val="209"/>
          <c:tx>
            <c:v>hor. Feder 15</c:v>
          </c:tx>
          <c:spPr>
            <a:ln w="25400" cap="rnd" cmpd="sng" algn="ctr">
              <a:solidFill>
                <a:srgbClr val="00B050"/>
              </a:solidFill>
              <a:prstDash val="solid"/>
              <a:round/>
              <a:headEnd type="none" w="med" len="med"/>
              <a:tailEnd type="none" w="med" len="med"/>
            </a:ln>
          </c:spPr>
          <c:marker>
            <c:symbol val="none"/>
          </c:marker>
          <c:xVal>
            <c:numRef>
              <c:f>Symbole!$AF$137:$AR$137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Symbole!$AS$137:$BE$137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1-5E8C-4715-B1DF-1E828197FF17}"/>
            </c:ext>
          </c:extLst>
        </c:ser>
        <c:ser>
          <c:idx val="156"/>
          <c:order val="210"/>
          <c:tx>
            <c:v>hor. Feder 16</c:v>
          </c:tx>
          <c:spPr>
            <a:ln w="25400" cap="rnd" cmpd="sng" algn="ctr">
              <a:solidFill>
                <a:srgbClr val="00B050"/>
              </a:solidFill>
              <a:prstDash val="solid"/>
              <a:round/>
              <a:headEnd type="none" w="med" len="med"/>
              <a:tailEnd type="none" w="med" len="med"/>
            </a:ln>
          </c:spPr>
          <c:marker>
            <c:symbol val="none"/>
          </c:marker>
          <c:xVal>
            <c:numRef>
              <c:f>Symbole!$AF$138:$AR$138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Symbole!$AS$138:$BE$138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2-5E8C-4715-B1DF-1E828197FF17}"/>
            </c:ext>
          </c:extLst>
        </c:ser>
        <c:ser>
          <c:idx val="157"/>
          <c:order val="211"/>
          <c:tx>
            <c:v>hor. Feder 17</c:v>
          </c:tx>
          <c:spPr>
            <a:ln w="25400" cap="rnd" cmpd="sng" algn="ctr">
              <a:solidFill>
                <a:srgbClr val="00B050"/>
              </a:solidFill>
              <a:prstDash val="solid"/>
              <a:round/>
              <a:headEnd type="none" w="med" len="med"/>
              <a:tailEnd type="none" w="med" len="med"/>
            </a:ln>
          </c:spPr>
          <c:marker>
            <c:symbol val="none"/>
          </c:marker>
          <c:xVal>
            <c:numRef>
              <c:f>Symbole!$AF$139:$AR$139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Symbole!$AS$139:$BE$139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3-5E8C-4715-B1DF-1E828197FF17}"/>
            </c:ext>
          </c:extLst>
        </c:ser>
        <c:ser>
          <c:idx val="158"/>
          <c:order val="212"/>
          <c:tx>
            <c:v>hor. Feder 18</c:v>
          </c:tx>
          <c:spPr>
            <a:ln w="25400" cap="rnd" cmpd="sng" algn="ctr">
              <a:solidFill>
                <a:srgbClr val="00B050"/>
              </a:solidFill>
              <a:prstDash val="solid"/>
              <a:round/>
              <a:headEnd type="none" w="med" len="med"/>
              <a:tailEnd type="none" w="med" len="med"/>
            </a:ln>
          </c:spPr>
          <c:marker>
            <c:symbol val="none"/>
          </c:marker>
          <c:xVal>
            <c:numRef>
              <c:f>Symbole!$AF$140:$AR$140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Symbole!$AS$140:$BE$140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4-5E8C-4715-B1DF-1E828197FF17}"/>
            </c:ext>
          </c:extLst>
        </c:ser>
        <c:ser>
          <c:idx val="159"/>
          <c:order val="213"/>
          <c:tx>
            <c:v>hor. Feder 19</c:v>
          </c:tx>
          <c:spPr>
            <a:ln w="25400" cap="rnd" cmpd="sng" algn="ctr">
              <a:solidFill>
                <a:srgbClr val="00B050"/>
              </a:solidFill>
              <a:prstDash val="solid"/>
              <a:round/>
              <a:headEnd type="none" w="med" len="med"/>
              <a:tailEnd type="none" w="med" len="med"/>
            </a:ln>
          </c:spPr>
          <c:marker>
            <c:symbol val="none"/>
          </c:marker>
          <c:xVal>
            <c:numRef>
              <c:f>Symbole!$AF$141:$AR$141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Symbole!$AS$141:$BE$141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5-5E8C-4715-B1DF-1E828197FF17}"/>
            </c:ext>
          </c:extLst>
        </c:ser>
        <c:ser>
          <c:idx val="160"/>
          <c:order val="214"/>
          <c:tx>
            <c:v>hor. Feder 20</c:v>
          </c:tx>
          <c:spPr>
            <a:ln w="25400" cap="rnd" cmpd="sng" algn="ctr">
              <a:solidFill>
                <a:srgbClr val="00B050"/>
              </a:solidFill>
              <a:prstDash val="solid"/>
              <a:round/>
              <a:headEnd type="none" w="med" len="med"/>
              <a:tailEnd type="none" w="med" len="med"/>
            </a:ln>
          </c:spPr>
          <c:marker>
            <c:symbol val="none"/>
          </c:marker>
          <c:xVal>
            <c:numRef>
              <c:f>Symbole!$AF$142:$AR$142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Symbole!$AS$142:$BE$142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6-5E8C-4715-B1DF-1E828197FF17}"/>
            </c:ext>
          </c:extLst>
        </c:ser>
        <c:ser>
          <c:idx val="161"/>
          <c:order val="215"/>
          <c:tx>
            <c:v>ver. Feder 1</c:v>
          </c:tx>
          <c:spPr>
            <a:ln w="25400" cap="rnd" cmpd="sng" algn="ctr">
              <a:solidFill>
                <a:srgbClr val="00B050"/>
              </a:solidFill>
              <a:prstDash val="solid"/>
              <a:round/>
              <a:headEnd type="none" w="med" len="med"/>
              <a:tailEnd type="none" w="med" len="med"/>
            </a:ln>
          </c:spPr>
          <c:marker>
            <c:symbol val="none"/>
          </c:marker>
          <c:xVal>
            <c:numRef>
              <c:f>Symbole!$AF$99:$AR$99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Symbole!$AS$99:$BE$99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7-5E8C-4715-B1DF-1E828197FF17}"/>
            </c:ext>
          </c:extLst>
        </c:ser>
        <c:ser>
          <c:idx val="162"/>
          <c:order val="216"/>
          <c:tx>
            <c:v>ver. Feder 2</c:v>
          </c:tx>
          <c:spPr>
            <a:ln w="25400" cap="rnd" cmpd="sng" algn="ctr">
              <a:solidFill>
                <a:srgbClr val="00B050"/>
              </a:solidFill>
              <a:prstDash val="solid"/>
              <a:round/>
              <a:headEnd type="none" w="med" len="med"/>
              <a:tailEnd type="none" w="med" len="med"/>
            </a:ln>
          </c:spPr>
          <c:marker>
            <c:symbol val="none"/>
          </c:marker>
          <c:xVal>
            <c:numRef>
              <c:f>Symbole!$AF$100:$AR$100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Symbole!$AS$100:$BE$100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8-5E8C-4715-B1DF-1E828197FF17}"/>
            </c:ext>
          </c:extLst>
        </c:ser>
        <c:ser>
          <c:idx val="163"/>
          <c:order val="217"/>
          <c:tx>
            <c:v>ver. Feder 3</c:v>
          </c:tx>
          <c:spPr>
            <a:ln w="25400" cap="rnd" cmpd="sng" algn="ctr">
              <a:solidFill>
                <a:srgbClr val="00B050"/>
              </a:solidFill>
              <a:prstDash val="solid"/>
              <a:round/>
              <a:headEnd type="none" w="med" len="med"/>
              <a:tailEnd type="none" w="med" len="med"/>
            </a:ln>
          </c:spPr>
          <c:marker>
            <c:symbol val="none"/>
          </c:marker>
          <c:xVal>
            <c:numRef>
              <c:f>Symbole!$AF$101:$AR$101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Symbole!$AS$101:$BE$101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9-5E8C-4715-B1DF-1E828197FF17}"/>
            </c:ext>
          </c:extLst>
        </c:ser>
        <c:ser>
          <c:idx val="164"/>
          <c:order val="218"/>
          <c:tx>
            <c:v>ver. Feder 4</c:v>
          </c:tx>
          <c:spPr>
            <a:ln w="25400" cap="rnd" cmpd="sng" algn="ctr">
              <a:solidFill>
                <a:srgbClr val="00B050"/>
              </a:solidFill>
              <a:prstDash val="solid"/>
              <a:round/>
              <a:headEnd type="none" w="med" len="med"/>
              <a:tailEnd type="none" w="med" len="med"/>
            </a:ln>
          </c:spPr>
          <c:marker>
            <c:symbol val="none"/>
          </c:marker>
          <c:xVal>
            <c:numRef>
              <c:f>Symbole!$AF$102:$AR$102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Symbole!$AS$102:$BE$102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A-5E8C-4715-B1DF-1E828197FF17}"/>
            </c:ext>
          </c:extLst>
        </c:ser>
        <c:ser>
          <c:idx val="165"/>
          <c:order val="219"/>
          <c:tx>
            <c:v>ver. Feder 5</c:v>
          </c:tx>
          <c:spPr>
            <a:ln w="25400" cap="rnd" cmpd="sng" algn="ctr">
              <a:solidFill>
                <a:srgbClr val="00B050"/>
              </a:solidFill>
              <a:prstDash val="solid"/>
              <a:round/>
              <a:headEnd type="none" w="med" len="med"/>
              <a:tailEnd type="none" w="med" len="med"/>
            </a:ln>
          </c:spPr>
          <c:marker>
            <c:symbol val="none"/>
          </c:marker>
          <c:xVal>
            <c:numRef>
              <c:f>Symbole!$AF$103:$AR$103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Symbole!$AS$103:$BE$103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B-5E8C-4715-B1DF-1E828197FF17}"/>
            </c:ext>
          </c:extLst>
        </c:ser>
        <c:ser>
          <c:idx val="166"/>
          <c:order val="220"/>
          <c:tx>
            <c:v>ver. Feder 6</c:v>
          </c:tx>
          <c:spPr>
            <a:ln w="25400" cap="rnd" cmpd="sng" algn="ctr">
              <a:solidFill>
                <a:srgbClr val="00B050"/>
              </a:solidFill>
              <a:prstDash val="solid"/>
              <a:round/>
              <a:headEnd type="none" w="med" len="med"/>
              <a:tailEnd type="none" w="med" len="med"/>
            </a:ln>
          </c:spPr>
          <c:marker>
            <c:symbol val="none"/>
          </c:marker>
          <c:xVal>
            <c:numRef>
              <c:f>Symbole!$AF$104:$AR$104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Symbole!$AS$104:$BE$104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C-5E8C-4715-B1DF-1E828197FF17}"/>
            </c:ext>
          </c:extLst>
        </c:ser>
        <c:ser>
          <c:idx val="167"/>
          <c:order val="221"/>
          <c:tx>
            <c:v>ver. Feder 7</c:v>
          </c:tx>
          <c:spPr>
            <a:ln w="25400" cap="rnd" cmpd="sng" algn="ctr">
              <a:solidFill>
                <a:srgbClr val="00B050"/>
              </a:solidFill>
              <a:prstDash val="solid"/>
              <a:round/>
              <a:headEnd type="none" w="med" len="med"/>
              <a:tailEnd type="none" w="med" len="med"/>
            </a:ln>
          </c:spPr>
          <c:marker>
            <c:symbol val="none"/>
          </c:marker>
          <c:xVal>
            <c:numRef>
              <c:f>Symbole!$AF$105:$AR$105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Symbole!$AS$105:$BE$105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D-5E8C-4715-B1DF-1E828197FF17}"/>
            </c:ext>
          </c:extLst>
        </c:ser>
        <c:ser>
          <c:idx val="168"/>
          <c:order val="222"/>
          <c:tx>
            <c:v>ver. Feder 8</c:v>
          </c:tx>
          <c:spPr>
            <a:ln w="25400" cap="rnd" cmpd="sng" algn="ctr">
              <a:solidFill>
                <a:srgbClr val="00B050"/>
              </a:solidFill>
              <a:prstDash val="solid"/>
              <a:round/>
              <a:headEnd type="none" w="med" len="med"/>
              <a:tailEnd type="none" w="med" len="med"/>
            </a:ln>
          </c:spPr>
          <c:marker>
            <c:symbol val="none"/>
          </c:marker>
          <c:xVal>
            <c:numRef>
              <c:f>Symbole!$AF$106:$AR$106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Symbole!$AS$106:$BE$106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E-5E8C-4715-B1DF-1E828197FF17}"/>
            </c:ext>
          </c:extLst>
        </c:ser>
        <c:ser>
          <c:idx val="169"/>
          <c:order val="223"/>
          <c:tx>
            <c:v>ver. Feder 9</c:v>
          </c:tx>
          <c:spPr>
            <a:ln w="25400" cap="rnd" cmpd="sng" algn="ctr">
              <a:solidFill>
                <a:srgbClr val="00B050"/>
              </a:solidFill>
              <a:prstDash val="solid"/>
              <a:round/>
              <a:headEnd type="none" w="med" len="med"/>
              <a:tailEnd type="none" w="med" len="med"/>
            </a:ln>
          </c:spPr>
          <c:marker>
            <c:symbol val="none"/>
          </c:marker>
          <c:xVal>
            <c:numRef>
              <c:f>Symbole!$AF$107:$AR$107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Symbole!$AS$107:$BE$107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F-5E8C-4715-B1DF-1E828197FF17}"/>
            </c:ext>
          </c:extLst>
        </c:ser>
        <c:ser>
          <c:idx val="170"/>
          <c:order val="224"/>
          <c:tx>
            <c:v>ver. Feder 10</c:v>
          </c:tx>
          <c:spPr>
            <a:ln w="25400" cap="rnd" cmpd="sng" algn="ctr">
              <a:solidFill>
                <a:srgbClr val="00B050"/>
              </a:solidFill>
              <a:prstDash val="solid"/>
              <a:round/>
              <a:headEnd type="none" w="med" len="med"/>
              <a:tailEnd type="none" w="med" len="med"/>
            </a:ln>
          </c:spPr>
          <c:marker>
            <c:symbol val="none"/>
          </c:marker>
          <c:xVal>
            <c:numRef>
              <c:f>Symbole!$AF$108:$AR$108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Symbole!$AS$108:$BE$108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0-5E8C-4715-B1DF-1E828197FF17}"/>
            </c:ext>
          </c:extLst>
        </c:ser>
        <c:ser>
          <c:idx val="171"/>
          <c:order val="225"/>
          <c:tx>
            <c:v>ver. Feder 11</c:v>
          </c:tx>
          <c:spPr>
            <a:ln w="25400" cap="rnd" cmpd="sng" algn="ctr">
              <a:solidFill>
                <a:srgbClr val="00B050"/>
              </a:solidFill>
              <a:prstDash val="solid"/>
              <a:round/>
              <a:headEnd type="none" w="med" len="med"/>
              <a:tailEnd type="none" w="med" len="med"/>
            </a:ln>
          </c:spPr>
          <c:marker>
            <c:symbol val="none"/>
          </c:marker>
          <c:xVal>
            <c:numRef>
              <c:f>Symbole!$AF$109:$AR$109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Symbole!$AS$109:$BE$109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1-5E8C-4715-B1DF-1E828197FF17}"/>
            </c:ext>
          </c:extLst>
        </c:ser>
        <c:ser>
          <c:idx val="172"/>
          <c:order val="226"/>
          <c:tx>
            <c:v>ver. Feder 12</c:v>
          </c:tx>
          <c:spPr>
            <a:ln w="25400" cap="rnd" cmpd="sng" algn="ctr">
              <a:solidFill>
                <a:srgbClr val="00B050"/>
              </a:solidFill>
              <a:prstDash val="solid"/>
              <a:round/>
              <a:headEnd type="none" w="med" len="med"/>
              <a:tailEnd type="none" w="med" len="med"/>
            </a:ln>
          </c:spPr>
          <c:marker>
            <c:symbol val="none"/>
          </c:marker>
          <c:xVal>
            <c:numRef>
              <c:f>Symbole!$AF$110:$AR$110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Symbole!$AS$110:$BE$110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2-5E8C-4715-B1DF-1E828197FF17}"/>
            </c:ext>
          </c:extLst>
        </c:ser>
        <c:ser>
          <c:idx val="173"/>
          <c:order val="227"/>
          <c:tx>
            <c:v>ver. Feder 13</c:v>
          </c:tx>
          <c:spPr>
            <a:ln w="25400" cap="rnd" cmpd="sng" algn="ctr">
              <a:solidFill>
                <a:srgbClr val="00B050"/>
              </a:solidFill>
              <a:prstDash val="solid"/>
              <a:round/>
              <a:headEnd type="none" w="med" len="med"/>
              <a:tailEnd type="none" w="med" len="med"/>
            </a:ln>
          </c:spPr>
          <c:marker>
            <c:symbol val="none"/>
          </c:marker>
          <c:xVal>
            <c:numRef>
              <c:f>Symbole!$AF$111:$AR$111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Symbole!$AS$111:$BE$111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3-5E8C-4715-B1DF-1E828197FF17}"/>
            </c:ext>
          </c:extLst>
        </c:ser>
        <c:ser>
          <c:idx val="174"/>
          <c:order val="228"/>
          <c:tx>
            <c:v>ver. Feder 14</c:v>
          </c:tx>
          <c:spPr>
            <a:ln w="25400" cap="rnd" cmpd="sng" algn="ctr">
              <a:solidFill>
                <a:srgbClr val="00B050"/>
              </a:solidFill>
              <a:prstDash val="solid"/>
              <a:round/>
              <a:headEnd type="none" w="med" len="med"/>
              <a:tailEnd type="none" w="med" len="med"/>
            </a:ln>
          </c:spPr>
          <c:marker>
            <c:symbol val="none"/>
          </c:marker>
          <c:xVal>
            <c:numRef>
              <c:f>Symbole!$AF$112:$AR$112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Symbole!$AS$112:$BE$112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4-5E8C-4715-B1DF-1E828197FF17}"/>
            </c:ext>
          </c:extLst>
        </c:ser>
        <c:ser>
          <c:idx val="175"/>
          <c:order val="229"/>
          <c:tx>
            <c:v>ver. Feder 15</c:v>
          </c:tx>
          <c:spPr>
            <a:ln w="25400" cap="rnd" cmpd="sng" algn="ctr">
              <a:solidFill>
                <a:srgbClr val="00B050"/>
              </a:solidFill>
              <a:prstDash val="solid"/>
              <a:round/>
              <a:headEnd type="none" w="med" len="med"/>
              <a:tailEnd type="none" w="med" len="med"/>
            </a:ln>
          </c:spPr>
          <c:marker>
            <c:symbol val="none"/>
          </c:marker>
          <c:xVal>
            <c:numRef>
              <c:f>Symbole!$AF$113:$AR$113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Symbole!$AS$113:$BE$113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5-5E8C-4715-B1DF-1E828197FF17}"/>
            </c:ext>
          </c:extLst>
        </c:ser>
        <c:ser>
          <c:idx val="176"/>
          <c:order val="230"/>
          <c:tx>
            <c:v>ver. Feder 16</c:v>
          </c:tx>
          <c:spPr>
            <a:ln w="25400" cap="rnd" cmpd="sng" algn="ctr">
              <a:solidFill>
                <a:srgbClr val="00B050"/>
              </a:solidFill>
              <a:prstDash val="solid"/>
              <a:round/>
              <a:headEnd type="none" w="med" len="med"/>
              <a:tailEnd type="none" w="med" len="med"/>
            </a:ln>
          </c:spPr>
          <c:marker>
            <c:symbol val="none"/>
          </c:marker>
          <c:xVal>
            <c:numRef>
              <c:f>Symbole!$AF$114:$AR$114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Symbole!$AS$114:$BE$114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6-5E8C-4715-B1DF-1E828197FF17}"/>
            </c:ext>
          </c:extLst>
        </c:ser>
        <c:ser>
          <c:idx val="177"/>
          <c:order val="231"/>
          <c:tx>
            <c:v>ver. Feder 17</c:v>
          </c:tx>
          <c:spPr>
            <a:ln w="25400" cap="rnd" cmpd="sng" algn="ctr">
              <a:solidFill>
                <a:srgbClr val="00B050"/>
              </a:solidFill>
              <a:prstDash val="solid"/>
              <a:round/>
              <a:headEnd type="none" w="med" len="med"/>
              <a:tailEnd type="none" w="med" len="med"/>
            </a:ln>
          </c:spPr>
          <c:marker>
            <c:symbol val="none"/>
          </c:marker>
          <c:xVal>
            <c:numRef>
              <c:f>Symbole!$AF$115:$AR$115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Symbole!$AS$115:$BE$115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7-5E8C-4715-B1DF-1E828197FF17}"/>
            </c:ext>
          </c:extLst>
        </c:ser>
        <c:ser>
          <c:idx val="178"/>
          <c:order val="232"/>
          <c:tx>
            <c:v>ver. Feder 18</c:v>
          </c:tx>
          <c:spPr>
            <a:ln w="25400" cap="rnd" cmpd="sng" algn="ctr">
              <a:solidFill>
                <a:srgbClr val="00B050"/>
              </a:solidFill>
              <a:prstDash val="solid"/>
              <a:round/>
              <a:headEnd type="none" w="med" len="med"/>
              <a:tailEnd type="none" w="med" len="med"/>
            </a:ln>
          </c:spPr>
          <c:marker>
            <c:symbol val="none"/>
          </c:marker>
          <c:xVal>
            <c:numRef>
              <c:f>Symbole!$AF$116:$AR$116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Symbole!$AS$116:$BE$116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8-5E8C-4715-B1DF-1E828197FF17}"/>
            </c:ext>
          </c:extLst>
        </c:ser>
        <c:ser>
          <c:idx val="179"/>
          <c:order val="233"/>
          <c:tx>
            <c:v>ver. Feder 19</c:v>
          </c:tx>
          <c:spPr>
            <a:ln w="25400" cap="rnd" cmpd="sng" algn="ctr">
              <a:solidFill>
                <a:srgbClr val="00B050"/>
              </a:solidFill>
              <a:prstDash val="solid"/>
              <a:round/>
              <a:headEnd type="none" w="med" len="med"/>
              <a:tailEnd type="none" w="med" len="med"/>
            </a:ln>
          </c:spPr>
          <c:marker>
            <c:symbol val="none"/>
          </c:marker>
          <c:xVal>
            <c:numRef>
              <c:f>Symbole!$AF$117:$AR$117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Symbole!$AS$117:$BE$117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9-5E8C-4715-B1DF-1E828197FF17}"/>
            </c:ext>
          </c:extLst>
        </c:ser>
        <c:ser>
          <c:idx val="180"/>
          <c:order val="234"/>
          <c:tx>
            <c:v>ver. Feder 20</c:v>
          </c:tx>
          <c:spPr>
            <a:ln w="25400" cap="rnd" cmpd="sng" algn="ctr">
              <a:solidFill>
                <a:srgbClr val="00B050"/>
              </a:solidFill>
              <a:prstDash val="solid"/>
              <a:round/>
              <a:headEnd type="none" w="med" len="med"/>
              <a:tailEnd type="none" w="med" len="med"/>
            </a:ln>
          </c:spPr>
          <c:marker>
            <c:symbol val="none"/>
          </c:marker>
          <c:xVal>
            <c:numRef>
              <c:f>Symbole!$AF$118:$AR$118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Symbole!$AS$118:$BE$118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A-5E8C-4715-B1DF-1E828197FF17}"/>
            </c:ext>
          </c:extLst>
        </c:ser>
        <c:ser>
          <c:idx val="181"/>
          <c:order val="235"/>
          <c:tx>
            <c:v>Drehfeder 1</c:v>
          </c:tx>
          <c:spPr>
            <a:ln w="25400" cap="rnd" cmpd="sng" algn="ctr">
              <a:solidFill>
                <a:srgbClr val="00B050"/>
              </a:solidFill>
              <a:prstDash val="solid"/>
              <a:round/>
              <a:headEnd type="none" w="med" len="med"/>
              <a:tailEnd type="none" w="med" len="med"/>
            </a:ln>
          </c:spPr>
          <c:marker>
            <c:symbol val="none"/>
          </c:marker>
          <c:xVal>
            <c:numRef>
              <c:f>Symbole!$AL$147:$BQ$147</c:f>
              <c:numCache>
                <c:formatCode>General</c:formatCode>
                <c:ptCount val="32"/>
                <c:pt idx="0">
                  <c:v>23.626678459402886</c:v>
                </c:pt>
                <c:pt idx="1">
                  <c:v>23.626678459402886</c:v>
                </c:pt>
                <c:pt idx="2">
                  <c:v>23.626678459402886</c:v>
                </c:pt>
                <c:pt idx="3">
                  <c:v>23.626678459402886</c:v>
                </c:pt>
                <c:pt idx="4">
                  <c:v>23.626678459402886</c:v>
                </c:pt>
                <c:pt idx="5">
                  <c:v>23.626678459402886</c:v>
                </c:pt>
                <c:pt idx="6">
                  <c:v>23.626678459402886</c:v>
                </c:pt>
                <c:pt idx="7">
                  <c:v>23.626678459402886</c:v>
                </c:pt>
                <c:pt idx="8">
                  <c:v>23.626678459402886</c:v>
                </c:pt>
                <c:pt idx="9">
                  <c:v>23.626678459402886</c:v>
                </c:pt>
                <c:pt idx="10">
                  <c:v>23.626678459402886</c:v>
                </c:pt>
                <c:pt idx="11">
                  <c:v>23.626678459402886</c:v>
                </c:pt>
                <c:pt idx="12">
                  <c:v>23.626678459402886</c:v>
                </c:pt>
                <c:pt idx="13">
                  <c:v>23.626678459402886</c:v>
                </c:pt>
                <c:pt idx="14">
                  <c:v>23.626678459402886</c:v>
                </c:pt>
                <c:pt idx="15">
                  <c:v>23.626678459402886</c:v>
                </c:pt>
                <c:pt idx="16">
                  <c:v>23.626678459402886</c:v>
                </c:pt>
                <c:pt idx="17">
                  <c:v>23.626678459402886</c:v>
                </c:pt>
                <c:pt idx="18">
                  <c:v>23.626678459402886</c:v>
                </c:pt>
                <c:pt idx="19">
                  <c:v>23.626678459402886</c:v>
                </c:pt>
                <c:pt idx="20">
                  <c:v>23.626678459402886</c:v>
                </c:pt>
                <c:pt idx="21">
                  <c:v>23.626678459402886</c:v>
                </c:pt>
                <c:pt idx="22">
                  <c:v>23.626678459402886</c:v>
                </c:pt>
                <c:pt idx="23">
                  <c:v>23.626678459402886</c:v>
                </c:pt>
                <c:pt idx="24">
                  <c:v>23.626678459402886</c:v>
                </c:pt>
                <c:pt idx="25">
                  <c:v>23.626678459402886</c:v>
                </c:pt>
                <c:pt idx="26">
                  <c:v>23.626678459402886</c:v>
                </c:pt>
                <c:pt idx="27">
                  <c:v>23.626678459402886</c:v>
                </c:pt>
                <c:pt idx="28">
                  <c:v>23.626678459402886</c:v>
                </c:pt>
                <c:pt idx="29">
                  <c:v>23.626678459402886</c:v>
                </c:pt>
                <c:pt idx="30">
                  <c:v>23.626678459402886</c:v>
                </c:pt>
                <c:pt idx="31">
                  <c:v>23.626678459402886</c:v>
                </c:pt>
              </c:numCache>
            </c:numRef>
          </c:xVal>
          <c:yVal>
            <c:numRef>
              <c:f>Symbole!$AL$171:$BQ$171</c:f>
              <c:numCache>
                <c:formatCode>General</c:formatCode>
                <c:ptCount val="32"/>
                <c:pt idx="0">
                  <c:v>-46.105451176718191</c:v>
                </c:pt>
                <c:pt idx="1">
                  <c:v>-46.105451176718191</c:v>
                </c:pt>
                <c:pt idx="2">
                  <c:v>-46.105451176718191</c:v>
                </c:pt>
                <c:pt idx="3">
                  <c:v>-46.105451176718191</c:v>
                </c:pt>
                <c:pt idx="4">
                  <c:v>-46.105451176718191</c:v>
                </c:pt>
                <c:pt idx="5">
                  <c:v>-46.105451176718191</c:v>
                </c:pt>
                <c:pt idx="6">
                  <c:v>-46.105451176718191</c:v>
                </c:pt>
                <c:pt idx="7">
                  <c:v>-46.105451176718191</c:v>
                </c:pt>
                <c:pt idx="8">
                  <c:v>-46.105451176718191</c:v>
                </c:pt>
                <c:pt idx="9">
                  <c:v>-46.105451176718191</c:v>
                </c:pt>
                <c:pt idx="10">
                  <c:v>-46.105451176718191</c:v>
                </c:pt>
                <c:pt idx="11">
                  <c:v>-46.105451176718191</c:v>
                </c:pt>
                <c:pt idx="12">
                  <c:v>-46.105451176718191</c:v>
                </c:pt>
                <c:pt idx="13">
                  <c:v>-46.105451176718191</c:v>
                </c:pt>
                <c:pt idx="14">
                  <c:v>-46.105451176718191</c:v>
                </c:pt>
                <c:pt idx="15">
                  <c:v>-46.105451176718191</c:v>
                </c:pt>
                <c:pt idx="16">
                  <c:v>-46.105451176718191</c:v>
                </c:pt>
                <c:pt idx="17">
                  <c:v>-46.105451176718191</c:v>
                </c:pt>
                <c:pt idx="18">
                  <c:v>-46.105451176718191</c:v>
                </c:pt>
                <c:pt idx="19">
                  <c:v>-46.105451176718191</c:v>
                </c:pt>
                <c:pt idx="20">
                  <c:v>-46.105451176718191</c:v>
                </c:pt>
                <c:pt idx="21">
                  <c:v>-46.105451176718191</c:v>
                </c:pt>
                <c:pt idx="22">
                  <c:v>-46.105451176718191</c:v>
                </c:pt>
                <c:pt idx="23">
                  <c:v>-46.105451176718191</c:v>
                </c:pt>
                <c:pt idx="24">
                  <c:v>-46.105451176718191</c:v>
                </c:pt>
                <c:pt idx="25">
                  <c:v>-46.105451176718191</c:v>
                </c:pt>
                <c:pt idx="26">
                  <c:v>-46.105451176718191</c:v>
                </c:pt>
                <c:pt idx="27">
                  <c:v>-46.105451176718191</c:v>
                </c:pt>
                <c:pt idx="28">
                  <c:v>-46.105451176718191</c:v>
                </c:pt>
                <c:pt idx="29">
                  <c:v>-46.105451176718191</c:v>
                </c:pt>
                <c:pt idx="30">
                  <c:v>-46.105451176718191</c:v>
                </c:pt>
                <c:pt idx="31">
                  <c:v>-46.105451176718191</c:v>
                </c:pt>
              </c:numCache>
            </c:numRef>
          </c:yVal>
          <c:smooth val="0"/>
          <c:extLst>
            <c:ext xmlns:c16="http://schemas.microsoft.com/office/drawing/2014/chart" uri="{C3380CC4-5D6E-409C-BE32-E72D297353CC}">
              <c16:uniqueId val="{000000EB-5E8C-4715-B1DF-1E828197FF17}"/>
            </c:ext>
          </c:extLst>
        </c:ser>
        <c:ser>
          <c:idx val="182"/>
          <c:order val="236"/>
          <c:tx>
            <c:v>Drehfeder 2</c:v>
          </c:tx>
          <c:spPr>
            <a:ln w="25400" cap="rnd" cmpd="sng" algn="ctr">
              <a:solidFill>
                <a:srgbClr val="00B050"/>
              </a:solidFill>
              <a:prstDash val="solid"/>
              <a:round/>
              <a:headEnd type="none" w="med" len="med"/>
              <a:tailEnd type="none" w="med" len="med"/>
            </a:ln>
          </c:spPr>
          <c:marker>
            <c:symbol val="none"/>
          </c:marker>
          <c:xVal>
            <c:numRef>
              <c:f>Symbole!$AL$148:$BQ$148</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xVal>
          <c:yVal>
            <c:numRef>
              <c:f>Symbole!$AL$172:$BQ$172</c:f>
              <c:numCache>
                <c:formatCode>General</c:formatCode>
                <c:ptCount val="32"/>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numCache>
            </c:numRef>
          </c:yVal>
          <c:smooth val="0"/>
          <c:extLst>
            <c:ext xmlns:c16="http://schemas.microsoft.com/office/drawing/2014/chart" uri="{C3380CC4-5D6E-409C-BE32-E72D297353CC}">
              <c16:uniqueId val="{000000EC-5E8C-4715-B1DF-1E828197FF17}"/>
            </c:ext>
          </c:extLst>
        </c:ser>
        <c:ser>
          <c:idx val="183"/>
          <c:order val="237"/>
          <c:tx>
            <c:v>Drehfeder 3</c:v>
          </c:tx>
          <c:spPr>
            <a:ln w="25400" cap="rnd" cmpd="sng" algn="ctr">
              <a:solidFill>
                <a:srgbClr val="00B050"/>
              </a:solidFill>
              <a:prstDash val="solid"/>
              <a:round/>
              <a:headEnd type="none" w="med" len="med"/>
              <a:tailEnd type="none" w="med" len="med"/>
            </a:ln>
          </c:spPr>
          <c:marker>
            <c:symbol val="none"/>
          </c:marker>
          <c:xVal>
            <c:numRef>
              <c:f>Symbole!$AL$149:$BQ$149</c:f>
              <c:numCache>
                <c:formatCode>General</c:formatCode>
                <c:ptCount val="32"/>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numCache>
            </c:numRef>
          </c:xVal>
          <c:yVal>
            <c:numRef>
              <c:f>Symbole!$AL$173:$BQ$173</c:f>
              <c:numCache>
                <c:formatCode>General</c:formatCode>
                <c:ptCount val="32"/>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numCache>
            </c:numRef>
          </c:yVal>
          <c:smooth val="0"/>
          <c:extLst>
            <c:ext xmlns:c16="http://schemas.microsoft.com/office/drawing/2014/chart" uri="{C3380CC4-5D6E-409C-BE32-E72D297353CC}">
              <c16:uniqueId val="{000000ED-5E8C-4715-B1DF-1E828197FF17}"/>
            </c:ext>
          </c:extLst>
        </c:ser>
        <c:ser>
          <c:idx val="184"/>
          <c:order val="238"/>
          <c:tx>
            <c:v>Drehfeder 4</c:v>
          </c:tx>
          <c:spPr>
            <a:ln w="25400" cap="rnd" cmpd="sng" algn="ctr">
              <a:solidFill>
                <a:srgbClr val="00B050"/>
              </a:solidFill>
              <a:prstDash val="solid"/>
              <a:round/>
              <a:headEnd type="none" w="med" len="med"/>
              <a:tailEnd type="none" w="med" len="med"/>
            </a:ln>
          </c:spPr>
          <c:marker>
            <c:symbol val="none"/>
          </c:marker>
          <c:xVal>
            <c:numRef>
              <c:f>Symbole!$AL$150:$BQ$150</c:f>
              <c:numCache>
                <c:formatCode>General</c:formatCode>
                <c:ptCount val="32"/>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numCache>
            </c:numRef>
          </c:xVal>
          <c:yVal>
            <c:numRef>
              <c:f>Symbole!$AL$174:$BQ$174</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yVal>
          <c:smooth val="0"/>
          <c:extLst>
            <c:ext xmlns:c16="http://schemas.microsoft.com/office/drawing/2014/chart" uri="{C3380CC4-5D6E-409C-BE32-E72D297353CC}">
              <c16:uniqueId val="{000000EE-5E8C-4715-B1DF-1E828197FF17}"/>
            </c:ext>
          </c:extLst>
        </c:ser>
        <c:ser>
          <c:idx val="185"/>
          <c:order val="239"/>
          <c:tx>
            <c:v>Drehfeder 5</c:v>
          </c:tx>
          <c:spPr>
            <a:ln w="25400" cap="rnd" cmpd="sng" algn="ctr">
              <a:solidFill>
                <a:srgbClr val="00B050"/>
              </a:solidFill>
              <a:prstDash val="solid"/>
              <a:round/>
              <a:headEnd type="none" w="med" len="med"/>
              <a:tailEnd type="none" w="med" len="med"/>
            </a:ln>
          </c:spPr>
          <c:marker>
            <c:symbol val="none"/>
          </c:marker>
          <c:xVal>
            <c:numRef>
              <c:f>Symbole!$AL$151:$BQ$151</c:f>
              <c:numCache>
                <c:formatCode>General</c:formatCode>
                <c:ptCount val="32"/>
                <c:pt idx="0">
                  <c:v>-50</c:v>
                </c:pt>
                <c:pt idx="1">
                  <c:v>-50</c:v>
                </c:pt>
                <c:pt idx="2">
                  <c:v>-50</c:v>
                </c:pt>
                <c:pt idx="3">
                  <c:v>-50</c:v>
                </c:pt>
                <c:pt idx="4">
                  <c:v>-50</c:v>
                </c:pt>
                <c:pt idx="5">
                  <c:v>-50</c:v>
                </c:pt>
                <c:pt idx="6">
                  <c:v>-50</c:v>
                </c:pt>
                <c:pt idx="7">
                  <c:v>-50</c:v>
                </c:pt>
                <c:pt idx="8">
                  <c:v>-50</c:v>
                </c:pt>
                <c:pt idx="9">
                  <c:v>-50</c:v>
                </c:pt>
                <c:pt idx="10">
                  <c:v>-50</c:v>
                </c:pt>
                <c:pt idx="11">
                  <c:v>-50</c:v>
                </c:pt>
                <c:pt idx="12">
                  <c:v>-50</c:v>
                </c:pt>
                <c:pt idx="13">
                  <c:v>-50</c:v>
                </c:pt>
                <c:pt idx="14">
                  <c:v>-50</c:v>
                </c:pt>
                <c:pt idx="15">
                  <c:v>-50</c:v>
                </c:pt>
                <c:pt idx="16">
                  <c:v>-50</c:v>
                </c:pt>
                <c:pt idx="17">
                  <c:v>-50</c:v>
                </c:pt>
                <c:pt idx="18">
                  <c:v>-50</c:v>
                </c:pt>
                <c:pt idx="19">
                  <c:v>-50</c:v>
                </c:pt>
                <c:pt idx="20">
                  <c:v>-50</c:v>
                </c:pt>
                <c:pt idx="21">
                  <c:v>-50</c:v>
                </c:pt>
                <c:pt idx="22">
                  <c:v>-50</c:v>
                </c:pt>
                <c:pt idx="23">
                  <c:v>-50</c:v>
                </c:pt>
                <c:pt idx="24">
                  <c:v>-50</c:v>
                </c:pt>
                <c:pt idx="25">
                  <c:v>-50</c:v>
                </c:pt>
                <c:pt idx="26">
                  <c:v>-50</c:v>
                </c:pt>
                <c:pt idx="27">
                  <c:v>-50</c:v>
                </c:pt>
                <c:pt idx="28">
                  <c:v>-50</c:v>
                </c:pt>
                <c:pt idx="29">
                  <c:v>-50</c:v>
                </c:pt>
                <c:pt idx="30">
                  <c:v>-50</c:v>
                </c:pt>
                <c:pt idx="31">
                  <c:v>-50</c:v>
                </c:pt>
              </c:numCache>
            </c:numRef>
          </c:xVal>
          <c:yVal>
            <c:numRef>
              <c:f>Symbole!$AL$175:$BQ$175</c:f>
              <c:numCache>
                <c:formatCode>General</c:formatCode>
                <c:ptCount val="32"/>
                <c:pt idx="0">
                  <c:v>-70</c:v>
                </c:pt>
                <c:pt idx="1">
                  <c:v>-70</c:v>
                </c:pt>
                <c:pt idx="2">
                  <c:v>-70</c:v>
                </c:pt>
                <c:pt idx="3">
                  <c:v>-70</c:v>
                </c:pt>
                <c:pt idx="4">
                  <c:v>-70</c:v>
                </c:pt>
                <c:pt idx="5">
                  <c:v>-70</c:v>
                </c:pt>
                <c:pt idx="6">
                  <c:v>-70</c:v>
                </c:pt>
                <c:pt idx="7">
                  <c:v>-70</c:v>
                </c:pt>
                <c:pt idx="8">
                  <c:v>-70</c:v>
                </c:pt>
                <c:pt idx="9">
                  <c:v>-70</c:v>
                </c:pt>
                <c:pt idx="10">
                  <c:v>-70</c:v>
                </c:pt>
                <c:pt idx="11">
                  <c:v>-70</c:v>
                </c:pt>
                <c:pt idx="12">
                  <c:v>-70</c:v>
                </c:pt>
                <c:pt idx="13">
                  <c:v>-70</c:v>
                </c:pt>
                <c:pt idx="14">
                  <c:v>-70</c:v>
                </c:pt>
                <c:pt idx="15">
                  <c:v>-70</c:v>
                </c:pt>
                <c:pt idx="16">
                  <c:v>-70</c:v>
                </c:pt>
                <c:pt idx="17">
                  <c:v>-70</c:v>
                </c:pt>
                <c:pt idx="18">
                  <c:v>-70</c:v>
                </c:pt>
                <c:pt idx="19">
                  <c:v>-70</c:v>
                </c:pt>
                <c:pt idx="20">
                  <c:v>-70</c:v>
                </c:pt>
                <c:pt idx="21">
                  <c:v>-70</c:v>
                </c:pt>
                <c:pt idx="22">
                  <c:v>-70</c:v>
                </c:pt>
                <c:pt idx="23">
                  <c:v>-70</c:v>
                </c:pt>
                <c:pt idx="24">
                  <c:v>-70</c:v>
                </c:pt>
                <c:pt idx="25">
                  <c:v>-70</c:v>
                </c:pt>
                <c:pt idx="26">
                  <c:v>-70</c:v>
                </c:pt>
                <c:pt idx="27">
                  <c:v>-70</c:v>
                </c:pt>
                <c:pt idx="28">
                  <c:v>-70</c:v>
                </c:pt>
                <c:pt idx="29">
                  <c:v>-70</c:v>
                </c:pt>
                <c:pt idx="30">
                  <c:v>-70</c:v>
                </c:pt>
                <c:pt idx="31">
                  <c:v>-70</c:v>
                </c:pt>
              </c:numCache>
            </c:numRef>
          </c:yVal>
          <c:smooth val="0"/>
          <c:extLst>
            <c:ext xmlns:c16="http://schemas.microsoft.com/office/drawing/2014/chart" uri="{C3380CC4-5D6E-409C-BE32-E72D297353CC}">
              <c16:uniqueId val="{000000EF-5E8C-4715-B1DF-1E828197FF17}"/>
            </c:ext>
          </c:extLst>
        </c:ser>
        <c:ser>
          <c:idx val="186"/>
          <c:order val="240"/>
          <c:tx>
            <c:v>Drehfeder 6</c:v>
          </c:tx>
          <c:spPr>
            <a:ln w="25400" cap="rnd" cmpd="sng" algn="ctr">
              <a:solidFill>
                <a:srgbClr val="00B050"/>
              </a:solidFill>
              <a:prstDash val="solid"/>
              <a:round/>
              <a:headEnd type="none" w="med" len="med"/>
              <a:tailEnd type="none" w="med" len="med"/>
            </a:ln>
          </c:spPr>
          <c:marker>
            <c:symbol val="none"/>
          </c:marker>
          <c:xVal>
            <c:numRef>
              <c:f>Symbole!$AL$152:$BQ$152</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xVal>
          <c:yVal>
            <c:numRef>
              <c:f>Symbole!$AL$176:$BQ$176</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yVal>
          <c:smooth val="0"/>
          <c:extLst>
            <c:ext xmlns:c16="http://schemas.microsoft.com/office/drawing/2014/chart" uri="{C3380CC4-5D6E-409C-BE32-E72D297353CC}">
              <c16:uniqueId val="{000000F0-5E8C-4715-B1DF-1E828197FF17}"/>
            </c:ext>
          </c:extLst>
        </c:ser>
        <c:ser>
          <c:idx val="187"/>
          <c:order val="241"/>
          <c:tx>
            <c:v>Drehfeder 7</c:v>
          </c:tx>
          <c:spPr>
            <a:ln w="25400" cap="rnd" cmpd="sng" algn="ctr">
              <a:solidFill>
                <a:srgbClr val="00B050"/>
              </a:solidFill>
              <a:prstDash val="solid"/>
              <a:round/>
              <a:headEnd type="none" w="med" len="med"/>
              <a:tailEnd type="none" w="med" len="med"/>
            </a:ln>
          </c:spPr>
          <c:marker>
            <c:symbol val="none"/>
          </c:marker>
          <c:xVal>
            <c:numRef>
              <c:f>Symbole!$AL$153:$BQ$153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Symbole!$AL$177:$BQ$177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1-5E8C-4715-B1DF-1E828197FF17}"/>
            </c:ext>
          </c:extLst>
        </c:ser>
        <c:ser>
          <c:idx val="188"/>
          <c:order val="242"/>
          <c:tx>
            <c:v>Drehfeder 8</c:v>
          </c:tx>
          <c:spPr>
            <a:ln w="25400" cap="rnd" cmpd="sng" algn="ctr">
              <a:solidFill>
                <a:srgbClr val="00B050"/>
              </a:solidFill>
              <a:prstDash val="solid"/>
              <a:round/>
              <a:headEnd type="none" w="med" len="med"/>
              <a:tailEnd type="none" w="med" len="med"/>
            </a:ln>
          </c:spPr>
          <c:marker>
            <c:symbol val="none"/>
          </c:marker>
          <c:xVal>
            <c:numRef>
              <c:f>Symbole!$AL$154:$BQ$154</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Symbole!$AL$178:$BQ$178</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2-5E8C-4715-B1DF-1E828197FF17}"/>
            </c:ext>
          </c:extLst>
        </c:ser>
        <c:ser>
          <c:idx val="189"/>
          <c:order val="243"/>
          <c:tx>
            <c:v>Drehfeder 9</c:v>
          </c:tx>
          <c:spPr>
            <a:ln w="25400" cap="rnd" cmpd="sng" algn="ctr">
              <a:solidFill>
                <a:srgbClr val="00B050"/>
              </a:solidFill>
              <a:prstDash val="solid"/>
              <a:round/>
              <a:headEnd type="none" w="med" len="med"/>
              <a:tailEnd type="none" w="med" len="med"/>
            </a:ln>
          </c:spPr>
          <c:marker>
            <c:symbol val="none"/>
          </c:marker>
          <c:xVal>
            <c:numRef>
              <c:f>Symbole!$AL$155:$BQ$155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Symbole!$AL$179:$BQ$179</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3-5E8C-4715-B1DF-1E828197FF17}"/>
            </c:ext>
          </c:extLst>
        </c:ser>
        <c:ser>
          <c:idx val="190"/>
          <c:order val="244"/>
          <c:tx>
            <c:v>Drehfeder 10</c:v>
          </c:tx>
          <c:spPr>
            <a:ln w="25400" cap="rnd" cmpd="sng" algn="ctr">
              <a:solidFill>
                <a:srgbClr val="00B050"/>
              </a:solidFill>
              <a:prstDash val="solid"/>
              <a:round/>
              <a:headEnd type="none" w="med" len="med"/>
              <a:tailEnd type="none" w="med" len="med"/>
            </a:ln>
          </c:spPr>
          <c:marker>
            <c:symbol val="none"/>
          </c:marker>
          <c:xVal>
            <c:numRef>
              <c:f>Symbole!$AL$156:$BQ$156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Symbole!$AL$180:$BQ$180</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4-5E8C-4715-B1DF-1E828197FF17}"/>
            </c:ext>
          </c:extLst>
        </c:ser>
        <c:ser>
          <c:idx val="191"/>
          <c:order val="245"/>
          <c:tx>
            <c:v>Drehfeder 11</c:v>
          </c:tx>
          <c:spPr>
            <a:ln w="25400" cap="rnd" cmpd="sng" algn="ctr">
              <a:solidFill>
                <a:srgbClr val="00B050"/>
              </a:solidFill>
              <a:prstDash val="solid"/>
              <a:round/>
              <a:headEnd type="none" w="med" len="med"/>
              <a:tailEnd type="none" w="med" len="med"/>
            </a:ln>
          </c:spPr>
          <c:marker>
            <c:symbol val="none"/>
          </c:marker>
          <c:xVal>
            <c:numRef>
              <c:f>Symbole!$AL$157:$BQ$157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Symbole!$AL$181:$BQ$181</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5-5E8C-4715-B1DF-1E828197FF17}"/>
            </c:ext>
          </c:extLst>
        </c:ser>
        <c:ser>
          <c:idx val="192"/>
          <c:order val="246"/>
          <c:tx>
            <c:v>Drehfeder 12</c:v>
          </c:tx>
          <c:spPr>
            <a:ln w="25400" cap="rnd" cmpd="sng" algn="ctr">
              <a:solidFill>
                <a:srgbClr val="00B050"/>
              </a:solidFill>
              <a:prstDash val="solid"/>
              <a:round/>
              <a:headEnd type="none" w="med" len="med"/>
              <a:tailEnd type="none" w="med" len="med"/>
            </a:ln>
          </c:spPr>
          <c:marker>
            <c:symbol val="none"/>
          </c:marker>
          <c:xVal>
            <c:numRef>
              <c:f>Symbole!$AL$158:$BQ$158</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Symbole!$AL$182:$BQ$182</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6-5E8C-4715-B1DF-1E828197FF17}"/>
            </c:ext>
          </c:extLst>
        </c:ser>
        <c:ser>
          <c:idx val="193"/>
          <c:order val="247"/>
          <c:tx>
            <c:v>Drehfeder 13</c:v>
          </c:tx>
          <c:spPr>
            <a:ln w="25400" cap="rnd" cmpd="sng" algn="ctr">
              <a:solidFill>
                <a:srgbClr val="00B050"/>
              </a:solidFill>
              <a:prstDash val="solid"/>
              <a:round/>
              <a:headEnd type="none" w="med" len="med"/>
              <a:tailEnd type="none" w="med" len="med"/>
            </a:ln>
          </c:spPr>
          <c:marker>
            <c:symbol val="none"/>
          </c:marker>
          <c:xVal>
            <c:numRef>
              <c:f>Symbole!$AL$159:$BQ$159</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Symbole!$AL$183:$BQ$183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7-5E8C-4715-B1DF-1E828197FF17}"/>
            </c:ext>
          </c:extLst>
        </c:ser>
        <c:ser>
          <c:idx val="194"/>
          <c:order val="248"/>
          <c:tx>
            <c:v>Drehfeder 14</c:v>
          </c:tx>
          <c:spPr>
            <a:ln w="25400" cap="rnd" cmpd="sng" algn="ctr">
              <a:solidFill>
                <a:srgbClr val="00B050"/>
              </a:solidFill>
              <a:prstDash val="solid"/>
              <a:round/>
              <a:headEnd type="none" w="med" len="med"/>
              <a:tailEnd type="none" w="med" len="med"/>
            </a:ln>
          </c:spPr>
          <c:marker>
            <c:symbol val="none"/>
          </c:marker>
          <c:xVal>
            <c:numRef>
              <c:f>Symbole!$AL$160:$BQ$160</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Symbole!$AL$184:$BQ$184</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8-5E8C-4715-B1DF-1E828197FF17}"/>
            </c:ext>
          </c:extLst>
        </c:ser>
        <c:ser>
          <c:idx val="195"/>
          <c:order val="249"/>
          <c:tx>
            <c:v>Drehfeder 15</c:v>
          </c:tx>
          <c:spPr>
            <a:ln w="25400" cap="rnd" cmpd="sng" algn="ctr">
              <a:solidFill>
                <a:srgbClr val="00B050"/>
              </a:solidFill>
              <a:prstDash val="solid"/>
              <a:round/>
              <a:headEnd type="none" w="med" len="med"/>
              <a:tailEnd type="none" w="med" len="med"/>
            </a:ln>
          </c:spPr>
          <c:marker>
            <c:symbol val="none"/>
          </c:marker>
          <c:xVal>
            <c:numRef>
              <c:f>Symbole!$AL$161:$BQ$161</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Symbole!$AL$185:$BQ$185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9-5E8C-4715-B1DF-1E828197FF17}"/>
            </c:ext>
          </c:extLst>
        </c:ser>
        <c:ser>
          <c:idx val="196"/>
          <c:order val="250"/>
          <c:tx>
            <c:v>Drehfeder 16</c:v>
          </c:tx>
          <c:spPr>
            <a:ln w="25400" cap="rnd" cmpd="sng" algn="ctr">
              <a:solidFill>
                <a:srgbClr val="00B050"/>
              </a:solidFill>
              <a:prstDash val="solid"/>
              <a:round/>
              <a:headEnd type="none" w="med" len="med"/>
              <a:tailEnd type="none" w="med" len="med"/>
            </a:ln>
          </c:spPr>
          <c:marker>
            <c:symbol val="none"/>
          </c:marker>
          <c:xVal>
            <c:numRef>
              <c:f>Symbole!$AL$162:$BQ$162</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Symbole!$AL$186:$BQ$186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A-5E8C-4715-B1DF-1E828197FF17}"/>
            </c:ext>
          </c:extLst>
        </c:ser>
        <c:ser>
          <c:idx val="197"/>
          <c:order val="251"/>
          <c:tx>
            <c:v>Drehfeder 17</c:v>
          </c:tx>
          <c:spPr>
            <a:ln w="25400" cap="rnd" cmpd="sng" algn="ctr">
              <a:solidFill>
                <a:srgbClr val="00B050"/>
              </a:solidFill>
              <a:prstDash val="solid"/>
              <a:round/>
              <a:headEnd type="none" w="med" len="med"/>
              <a:tailEnd type="none" w="med" len="med"/>
            </a:ln>
          </c:spPr>
          <c:marker>
            <c:symbol val="none"/>
          </c:marker>
          <c:xVal>
            <c:numRef>
              <c:f>Symbole!$AL$163:$BQ$163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Symbole!$AL$187:$BQ$187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B-5E8C-4715-B1DF-1E828197FF17}"/>
            </c:ext>
          </c:extLst>
        </c:ser>
        <c:ser>
          <c:idx val="198"/>
          <c:order val="252"/>
          <c:tx>
            <c:v>Drehfeder 18</c:v>
          </c:tx>
          <c:spPr>
            <a:ln w="25400" cap="rnd" cmpd="sng" algn="ctr">
              <a:solidFill>
                <a:srgbClr val="00B050"/>
              </a:solidFill>
              <a:prstDash val="solid"/>
              <a:round/>
              <a:headEnd type="none" w="med" len="med"/>
              <a:tailEnd type="none" w="med" len="med"/>
            </a:ln>
          </c:spPr>
          <c:marker>
            <c:symbol val="none"/>
          </c:marker>
          <c:xVal>
            <c:numRef>
              <c:f>Symbole!$AL$164:$BQ$164</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Symbole!$AL$188:$BQ$188</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C-5E8C-4715-B1DF-1E828197FF17}"/>
            </c:ext>
          </c:extLst>
        </c:ser>
        <c:ser>
          <c:idx val="199"/>
          <c:order val="253"/>
          <c:tx>
            <c:v>Drehfeder 19</c:v>
          </c:tx>
          <c:spPr>
            <a:ln w="25400" cap="rnd" cmpd="sng" algn="ctr">
              <a:solidFill>
                <a:srgbClr val="00B050"/>
              </a:solidFill>
              <a:prstDash val="solid"/>
              <a:round/>
              <a:headEnd type="none" w="med" len="med"/>
              <a:tailEnd type="none" w="med" len="med"/>
            </a:ln>
          </c:spPr>
          <c:marker>
            <c:symbol val="none"/>
          </c:marker>
          <c:xVal>
            <c:numRef>
              <c:f>Symbole!$AL$165:$BQ$165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Symbole!$AL$189:$BQ$189</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D-5E8C-4715-B1DF-1E828197FF17}"/>
            </c:ext>
          </c:extLst>
        </c:ser>
        <c:ser>
          <c:idx val="200"/>
          <c:order val="254"/>
          <c:tx>
            <c:v>Drehfeder 20</c:v>
          </c:tx>
          <c:spPr>
            <a:ln w="25400" cap="rnd" cmpd="sng" algn="ctr">
              <a:solidFill>
                <a:srgbClr val="00B050"/>
              </a:solidFill>
              <a:prstDash val="solid"/>
              <a:round/>
              <a:headEnd type="none" w="med" len="med"/>
              <a:tailEnd type="none" w="med" len="med"/>
            </a:ln>
          </c:spPr>
          <c:marker>
            <c:symbol val="none"/>
          </c:marker>
          <c:xVal>
            <c:numRef>
              <c:f>Symbole!$AL$166:$BQ$166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Symbole!$AL$190:$BQ$190</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E-5E8C-4715-B1DF-1E828197FF17}"/>
            </c:ext>
          </c:extLst>
        </c:ser>
        <c:dLbls>
          <c:showLegendKey val="0"/>
          <c:showVal val="0"/>
          <c:showCatName val="0"/>
          <c:showSerName val="0"/>
          <c:showPercent val="0"/>
          <c:showBubbleSize val="0"/>
        </c:dLbls>
        <c:axId val="522713248"/>
        <c:axId val="522718736"/>
      </c:scatterChart>
      <c:valAx>
        <c:axId val="522713248"/>
        <c:scaling>
          <c:orientation val="minMax"/>
        </c:scaling>
        <c:delete val="1"/>
        <c:axPos val="b"/>
        <c:numFmt formatCode="General" sourceLinked="1"/>
        <c:majorTickMark val="none"/>
        <c:minorTickMark val="none"/>
        <c:tickLblPos val="none"/>
        <c:crossAx val="522718736"/>
        <c:crosses val="max"/>
        <c:crossBetween val="midCat"/>
        <c:majorUnit val="1.0000000000000004E-6"/>
      </c:valAx>
      <c:valAx>
        <c:axId val="522718736"/>
        <c:scaling>
          <c:orientation val="maxMin"/>
        </c:scaling>
        <c:delete val="1"/>
        <c:axPos val="r"/>
        <c:numFmt formatCode="General" sourceLinked="1"/>
        <c:majorTickMark val="out"/>
        <c:minorTickMark val="none"/>
        <c:tickLblPos val="nextTo"/>
        <c:crossAx val="522713248"/>
        <c:crosses val="max"/>
        <c:crossBetween val="midCat"/>
        <c:majorUnit val="1.0000000000000004E-6"/>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DE"/>
    </a:p>
  </c:txPr>
  <c:printSettings>
    <c:headerFooter alignWithMargins="0"/>
    <c:pageMargins b="0.98425196899999956" l="0.78740157499999996" r="0.78740157499999996" t="0.98425196899999956" header="0.49212598450000206" footer="0.49212598450000206"/>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8950358500176313E-2"/>
          <c:y val="1.6443420012939549E-2"/>
          <c:w val="0.95137538344606754"/>
          <c:h val="0.95606951802941853"/>
        </c:manualLayout>
      </c:layout>
      <c:scatterChart>
        <c:scatterStyle val="lineMarker"/>
        <c:varyColors val="0"/>
        <c:ser>
          <c:idx val="252"/>
          <c:order val="0"/>
          <c:tx>
            <c:v>BoundingBox</c:v>
          </c:tx>
          <c:spPr>
            <a:ln w="6350">
              <a:solidFill>
                <a:schemeClr val="bg1">
                  <a:lumMod val="75000"/>
                </a:schemeClr>
              </a:solidFill>
            </a:ln>
          </c:spPr>
          <c:marker>
            <c:symbol val="none"/>
          </c:marker>
          <c:xVal>
            <c:numRef>
              <c:f>PlotData!$CB$7:$CB$10</c:f>
              <c:numCache>
                <c:formatCode>General</c:formatCode>
                <c:ptCount val="4"/>
                <c:pt idx="0">
                  <c:v>-169.70562748477141</c:v>
                </c:pt>
                <c:pt idx="1">
                  <c:v>169.70562748477141</c:v>
                </c:pt>
                <c:pt idx="2">
                  <c:v>169.70562748477141</c:v>
                </c:pt>
                <c:pt idx="3">
                  <c:v>-169.70562748477141</c:v>
                </c:pt>
              </c:numCache>
            </c:numRef>
          </c:xVal>
          <c:yVal>
            <c:numRef>
              <c:f>PlotData!$CC$7:$CC$10</c:f>
              <c:numCache>
                <c:formatCode>General</c:formatCode>
                <c:ptCount val="4"/>
                <c:pt idx="0">
                  <c:v>169.70562748477141</c:v>
                </c:pt>
                <c:pt idx="1">
                  <c:v>169.70562748477141</c:v>
                </c:pt>
                <c:pt idx="2">
                  <c:v>-169.70562748477141</c:v>
                </c:pt>
                <c:pt idx="3">
                  <c:v>-169.70562748477141</c:v>
                </c:pt>
              </c:numCache>
            </c:numRef>
          </c:yVal>
          <c:smooth val="0"/>
          <c:extLst>
            <c:ext xmlns:c16="http://schemas.microsoft.com/office/drawing/2014/chart" uri="{C3380CC4-5D6E-409C-BE32-E72D297353CC}">
              <c16:uniqueId val="{00000000-C4E9-4F44-B51D-61A8DD92BE00}"/>
            </c:ext>
          </c:extLst>
        </c:ser>
        <c:ser>
          <c:idx val="253"/>
          <c:order val="1"/>
          <c:tx>
            <c:v>LagerV1</c:v>
          </c:tx>
          <c:spPr>
            <a:ln w="12700">
              <a:solidFill>
                <a:srgbClr val="808080"/>
              </a:solidFill>
              <a:prstDash val="solid"/>
            </a:ln>
          </c:spPr>
          <c:marker>
            <c:symbol val="none"/>
          </c:marker>
          <c:xVal>
            <c:numRef>
              <c:f>Symbole!$C$6:$F$6</c:f>
              <c:numCache>
                <c:formatCode>General</c:formatCode>
                <c:ptCount val="4"/>
                <c:pt idx="0">
                  <c:v>20</c:v>
                </c:pt>
                <c:pt idx="1">
                  <c:v>20</c:v>
                </c:pt>
                <c:pt idx="2">
                  <c:v>20</c:v>
                </c:pt>
                <c:pt idx="3">
                  <c:v>20</c:v>
                </c:pt>
              </c:numCache>
            </c:numRef>
          </c:xVal>
          <c:yVal>
            <c:numRef>
              <c:f>Symbole!$G$6:$J$6</c:f>
              <c:numCache>
                <c:formatCode>General</c:formatCode>
                <c:ptCount val="4"/>
                <c:pt idx="0">
                  <c:v>-40</c:v>
                </c:pt>
                <c:pt idx="1">
                  <c:v>-40</c:v>
                </c:pt>
                <c:pt idx="2">
                  <c:v>-40</c:v>
                </c:pt>
                <c:pt idx="3">
                  <c:v>-40</c:v>
                </c:pt>
              </c:numCache>
            </c:numRef>
          </c:yVal>
          <c:smooth val="0"/>
          <c:extLst>
            <c:ext xmlns:c16="http://schemas.microsoft.com/office/drawing/2014/chart" uri="{C3380CC4-5D6E-409C-BE32-E72D297353CC}">
              <c16:uniqueId val="{00000001-C4E9-4F44-B51D-61A8DD92BE00}"/>
            </c:ext>
          </c:extLst>
        </c:ser>
        <c:ser>
          <c:idx val="254"/>
          <c:order val="2"/>
          <c:tx>
            <c:v>LagerV2</c:v>
          </c:tx>
          <c:spPr>
            <a:ln w="12700">
              <a:solidFill>
                <a:srgbClr val="808080"/>
              </a:solidFill>
              <a:prstDash val="solid"/>
            </a:ln>
          </c:spPr>
          <c:marker>
            <c:symbol val="none"/>
          </c:marker>
          <c:xVal>
            <c:numRef>
              <c:f>Symbole!$C$7:$F$7</c:f>
              <c:numCache>
                <c:formatCode>General</c:formatCode>
                <c:ptCount val="4"/>
                <c:pt idx="0">
                  <c:v>100</c:v>
                </c:pt>
                <c:pt idx="1">
                  <c:v>108.48528137423857</c:v>
                </c:pt>
                <c:pt idx="2">
                  <c:v>91.514718625761432</c:v>
                </c:pt>
                <c:pt idx="3">
                  <c:v>100</c:v>
                </c:pt>
              </c:numCache>
            </c:numRef>
          </c:xVal>
          <c:yVal>
            <c:numRef>
              <c:f>Symbole!$G$7:$J$7</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2-C4E9-4F44-B51D-61A8DD92BE00}"/>
            </c:ext>
          </c:extLst>
        </c:ser>
        <c:ser>
          <c:idx val="23"/>
          <c:order val="3"/>
          <c:tx>
            <c:v>LagerV3</c:v>
          </c:tx>
          <c:spPr>
            <a:ln w="12700">
              <a:solidFill>
                <a:srgbClr val="808080"/>
              </a:solidFill>
              <a:prstDash val="solid"/>
            </a:ln>
          </c:spPr>
          <c:marker>
            <c:symbol val="none"/>
          </c:marker>
          <c:xVal>
            <c:numRef>
              <c:f>Symbole!$C$8:$F$8</c:f>
              <c:numCache>
                <c:formatCode>General</c:formatCode>
                <c:ptCount val="4"/>
                <c:pt idx="0">
                  <c:v>20</c:v>
                </c:pt>
                <c:pt idx="1">
                  <c:v>28.485281374238571</c:v>
                </c:pt>
                <c:pt idx="2">
                  <c:v>11.514718625761429</c:v>
                </c:pt>
                <c:pt idx="3">
                  <c:v>20</c:v>
                </c:pt>
              </c:numCache>
            </c:numRef>
          </c:xVal>
          <c:yVal>
            <c:numRef>
              <c:f>Symbole!$G$8:$J$8</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3-C4E9-4F44-B51D-61A8DD92BE00}"/>
            </c:ext>
          </c:extLst>
        </c:ser>
        <c:ser>
          <c:idx val="24"/>
          <c:order val="4"/>
          <c:tx>
            <c:v>LagerV4</c:v>
          </c:tx>
          <c:spPr>
            <a:ln w="12700">
              <a:solidFill>
                <a:srgbClr val="808080"/>
              </a:solidFill>
              <a:prstDash val="solid"/>
            </a:ln>
          </c:spPr>
          <c:marker>
            <c:symbol val="none"/>
          </c:marker>
          <c:xVal>
            <c:numRef>
              <c:f>Symbole!$C$9:$F$9</c:f>
              <c:numCache>
                <c:formatCode>General</c:formatCode>
                <c:ptCount val="4"/>
                <c:pt idx="0">
                  <c:v>60</c:v>
                </c:pt>
                <c:pt idx="1">
                  <c:v>68.485281374238568</c:v>
                </c:pt>
                <c:pt idx="2">
                  <c:v>51.514718625761432</c:v>
                </c:pt>
                <c:pt idx="3">
                  <c:v>60</c:v>
                </c:pt>
              </c:numCache>
            </c:numRef>
          </c:xVal>
          <c:yVal>
            <c:numRef>
              <c:f>Symbole!$G$9:$J$9</c:f>
              <c:numCache>
                <c:formatCode>General</c:formatCode>
                <c:ptCount val="4"/>
                <c:pt idx="0">
                  <c:v>-100</c:v>
                </c:pt>
                <c:pt idx="1">
                  <c:v>-85.303492659818801</c:v>
                </c:pt>
                <c:pt idx="2">
                  <c:v>-85.303492659818801</c:v>
                </c:pt>
                <c:pt idx="3">
                  <c:v>-100</c:v>
                </c:pt>
              </c:numCache>
            </c:numRef>
          </c:yVal>
          <c:smooth val="0"/>
          <c:extLst>
            <c:ext xmlns:c16="http://schemas.microsoft.com/office/drawing/2014/chart" uri="{C3380CC4-5D6E-409C-BE32-E72D297353CC}">
              <c16:uniqueId val="{00000004-C4E9-4F44-B51D-61A8DD92BE00}"/>
            </c:ext>
          </c:extLst>
        </c:ser>
        <c:ser>
          <c:idx val="25"/>
          <c:order val="5"/>
          <c:tx>
            <c:v>LagerV5</c:v>
          </c:tx>
          <c:spPr>
            <a:ln w="12700">
              <a:solidFill>
                <a:srgbClr val="808080"/>
              </a:solidFill>
              <a:prstDash val="solid"/>
            </a:ln>
          </c:spPr>
          <c:marker>
            <c:symbol val="none"/>
          </c:marker>
          <c:xVal>
            <c:numRef>
              <c:f>Symbole!$C$10:$F$10</c:f>
              <c:numCache>
                <c:formatCode>General</c:formatCode>
                <c:ptCount val="4"/>
                <c:pt idx="0">
                  <c:v>-50</c:v>
                </c:pt>
                <c:pt idx="1">
                  <c:v>-41.514718625761432</c:v>
                </c:pt>
                <c:pt idx="2">
                  <c:v>-58.485281374238568</c:v>
                </c:pt>
                <c:pt idx="3">
                  <c:v>-50</c:v>
                </c:pt>
              </c:numCache>
            </c:numRef>
          </c:xVal>
          <c:yVal>
            <c:numRef>
              <c:f>Symbole!$G$10:$J$10</c:f>
              <c:numCache>
                <c:formatCode>General</c:formatCode>
                <c:ptCount val="4"/>
                <c:pt idx="0">
                  <c:v>-70</c:v>
                </c:pt>
                <c:pt idx="1">
                  <c:v>-55.303492659818794</c:v>
                </c:pt>
                <c:pt idx="2">
                  <c:v>-55.303492659818794</c:v>
                </c:pt>
                <c:pt idx="3">
                  <c:v>-70</c:v>
                </c:pt>
              </c:numCache>
            </c:numRef>
          </c:yVal>
          <c:smooth val="0"/>
          <c:extLst>
            <c:ext xmlns:c16="http://schemas.microsoft.com/office/drawing/2014/chart" uri="{C3380CC4-5D6E-409C-BE32-E72D297353CC}">
              <c16:uniqueId val="{00000005-C4E9-4F44-B51D-61A8DD92BE00}"/>
            </c:ext>
          </c:extLst>
        </c:ser>
        <c:ser>
          <c:idx val="26"/>
          <c:order val="6"/>
          <c:tx>
            <c:v>LagerV6</c:v>
          </c:tx>
          <c:spPr>
            <a:ln w="12700">
              <a:solidFill>
                <a:srgbClr val="808080"/>
              </a:solidFill>
              <a:prstDash val="solid"/>
            </a:ln>
          </c:spPr>
          <c:marker>
            <c:symbol val="none"/>
          </c:marker>
          <c:xVal>
            <c:numRef>
              <c:f>Symbole!$C$11:$F$11</c:f>
              <c:numCache>
                <c:formatCode>General</c:formatCode>
                <c:ptCount val="4"/>
                <c:pt idx="0">
                  <c:v>-100</c:v>
                </c:pt>
                <c:pt idx="1">
                  <c:v>-91.514718625761432</c:v>
                </c:pt>
                <c:pt idx="2">
                  <c:v>-108.48528137423857</c:v>
                </c:pt>
                <c:pt idx="3">
                  <c:v>-100</c:v>
                </c:pt>
              </c:numCache>
            </c:numRef>
          </c:xVal>
          <c:yVal>
            <c:numRef>
              <c:f>Symbole!$G$11:$J$11</c:f>
              <c:numCache>
                <c:formatCode>General</c:formatCode>
                <c:ptCount val="4"/>
                <c:pt idx="0">
                  <c:v>100</c:v>
                </c:pt>
                <c:pt idx="1">
                  <c:v>114.6965073401812</c:v>
                </c:pt>
                <c:pt idx="2">
                  <c:v>114.6965073401812</c:v>
                </c:pt>
                <c:pt idx="3">
                  <c:v>100</c:v>
                </c:pt>
              </c:numCache>
            </c:numRef>
          </c:yVal>
          <c:smooth val="0"/>
          <c:extLst>
            <c:ext xmlns:c16="http://schemas.microsoft.com/office/drawing/2014/chart" uri="{C3380CC4-5D6E-409C-BE32-E72D297353CC}">
              <c16:uniqueId val="{00000006-C4E9-4F44-B51D-61A8DD92BE00}"/>
            </c:ext>
          </c:extLst>
        </c:ser>
        <c:ser>
          <c:idx val="27"/>
          <c:order val="7"/>
          <c:tx>
            <c:v>LagerV7</c:v>
          </c:tx>
          <c:spPr>
            <a:ln w="12700">
              <a:solidFill>
                <a:srgbClr val="808080"/>
              </a:solidFill>
              <a:prstDash val="solid"/>
            </a:ln>
          </c:spPr>
          <c:marker>
            <c:symbol val="none"/>
          </c:marker>
          <c:xVal>
            <c:numRef>
              <c:f>Symbole!$C$12:$F$12</c:f>
              <c:numCache>
                <c:formatCode>General</c:formatCode>
                <c:ptCount val="4"/>
                <c:pt idx="0">
                  <c:v>0</c:v>
                </c:pt>
                <c:pt idx="1">
                  <c:v>0</c:v>
                </c:pt>
                <c:pt idx="2">
                  <c:v>0</c:v>
                </c:pt>
                <c:pt idx="3">
                  <c:v>0</c:v>
                </c:pt>
              </c:numCache>
            </c:numRef>
          </c:xVal>
          <c:yVal>
            <c:numRef>
              <c:f>Symbole!$G$12:$J$12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7-C4E9-4F44-B51D-61A8DD92BE00}"/>
            </c:ext>
          </c:extLst>
        </c:ser>
        <c:ser>
          <c:idx val="28"/>
          <c:order val="8"/>
          <c:tx>
            <c:v>LagerV8</c:v>
          </c:tx>
          <c:spPr>
            <a:ln w="12700">
              <a:solidFill>
                <a:srgbClr val="808080"/>
              </a:solidFill>
              <a:prstDash val="solid"/>
            </a:ln>
          </c:spPr>
          <c:marker>
            <c:symbol val="none"/>
          </c:marker>
          <c:xVal>
            <c:numRef>
              <c:f>Symbole!$C$13:$F$13</c:f>
              <c:numCache>
                <c:formatCode>General</c:formatCode>
                <c:ptCount val="4"/>
                <c:pt idx="0">
                  <c:v>0</c:v>
                </c:pt>
                <c:pt idx="1">
                  <c:v>0</c:v>
                </c:pt>
                <c:pt idx="2">
                  <c:v>0</c:v>
                </c:pt>
                <c:pt idx="3">
                  <c:v>0</c:v>
                </c:pt>
              </c:numCache>
            </c:numRef>
          </c:xVal>
          <c:yVal>
            <c:numRef>
              <c:f>Symbole!$G$13:$J$13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8-C4E9-4F44-B51D-61A8DD92BE00}"/>
            </c:ext>
          </c:extLst>
        </c:ser>
        <c:ser>
          <c:idx val="29"/>
          <c:order val="9"/>
          <c:tx>
            <c:v>LagerV9</c:v>
          </c:tx>
          <c:spPr>
            <a:ln w="12700">
              <a:solidFill>
                <a:srgbClr val="808080"/>
              </a:solidFill>
              <a:prstDash val="solid"/>
            </a:ln>
          </c:spPr>
          <c:marker>
            <c:symbol val="none"/>
          </c:marker>
          <c:xVal>
            <c:numRef>
              <c:f>Symbole!$C$14:$F$14</c:f>
              <c:numCache>
                <c:formatCode>General</c:formatCode>
                <c:ptCount val="4"/>
                <c:pt idx="0">
                  <c:v>0</c:v>
                </c:pt>
                <c:pt idx="1">
                  <c:v>0</c:v>
                </c:pt>
                <c:pt idx="2">
                  <c:v>0</c:v>
                </c:pt>
                <c:pt idx="3">
                  <c:v>0</c:v>
                </c:pt>
              </c:numCache>
            </c:numRef>
          </c:xVal>
          <c:yVal>
            <c:numRef>
              <c:f>Symbole!$G$14:$J$14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9-C4E9-4F44-B51D-61A8DD92BE00}"/>
            </c:ext>
          </c:extLst>
        </c:ser>
        <c:ser>
          <c:idx val="30"/>
          <c:order val="10"/>
          <c:tx>
            <c:v>LagerV10</c:v>
          </c:tx>
          <c:spPr>
            <a:ln w="12700">
              <a:solidFill>
                <a:srgbClr val="808080"/>
              </a:solidFill>
              <a:prstDash val="solid"/>
            </a:ln>
          </c:spPr>
          <c:marker>
            <c:symbol val="none"/>
          </c:marker>
          <c:xVal>
            <c:numRef>
              <c:f>Symbole!$C$15:$F$15</c:f>
              <c:numCache>
                <c:formatCode>General</c:formatCode>
                <c:ptCount val="4"/>
                <c:pt idx="0">
                  <c:v>0</c:v>
                </c:pt>
                <c:pt idx="1">
                  <c:v>0</c:v>
                </c:pt>
                <c:pt idx="2">
                  <c:v>0</c:v>
                </c:pt>
                <c:pt idx="3">
                  <c:v>0</c:v>
                </c:pt>
              </c:numCache>
            </c:numRef>
          </c:xVal>
          <c:yVal>
            <c:numRef>
              <c:f>Symbole!$G$15:$J$15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A-C4E9-4F44-B51D-61A8DD92BE00}"/>
            </c:ext>
          </c:extLst>
        </c:ser>
        <c:ser>
          <c:idx val="31"/>
          <c:order val="11"/>
          <c:tx>
            <c:v>LagerV11</c:v>
          </c:tx>
          <c:spPr>
            <a:ln w="12700">
              <a:solidFill>
                <a:srgbClr val="808080"/>
              </a:solidFill>
              <a:prstDash val="solid"/>
            </a:ln>
          </c:spPr>
          <c:marker>
            <c:symbol val="none"/>
          </c:marker>
          <c:xVal>
            <c:numRef>
              <c:f>Symbole!$C$16:$F$16</c:f>
              <c:numCache>
                <c:formatCode>General</c:formatCode>
                <c:ptCount val="4"/>
                <c:pt idx="0">
                  <c:v>0</c:v>
                </c:pt>
                <c:pt idx="1">
                  <c:v>0</c:v>
                </c:pt>
                <c:pt idx="2">
                  <c:v>0</c:v>
                </c:pt>
                <c:pt idx="3">
                  <c:v>0</c:v>
                </c:pt>
              </c:numCache>
            </c:numRef>
          </c:xVal>
          <c:yVal>
            <c:numRef>
              <c:f>Symbole!$G$16:$J$16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B-C4E9-4F44-B51D-61A8DD92BE00}"/>
            </c:ext>
          </c:extLst>
        </c:ser>
        <c:ser>
          <c:idx val="32"/>
          <c:order val="12"/>
          <c:tx>
            <c:v>LagerV12</c:v>
          </c:tx>
          <c:spPr>
            <a:ln w="12700">
              <a:solidFill>
                <a:srgbClr val="808080"/>
              </a:solidFill>
              <a:prstDash val="solid"/>
            </a:ln>
          </c:spPr>
          <c:marker>
            <c:symbol val="none"/>
          </c:marker>
          <c:xVal>
            <c:numRef>
              <c:f>Symbole!$C$17:$F$17</c:f>
              <c:numCache>
                <c:formatCode>General</c:formatCode>
                <c:ptCount val="4"/>
                <c:pt idx="0">
                  <c:v>0</c:v>
                </c:pt>
                <c:pt idx="1">
                  <c:v>0</c:v>
                </c:pt>
                <c:pt idx="2">
                  <c:v>0</c:v>
                </c:pt>
                <c:pt idx="3">
                  <c:v>0</c:v>
                </c:pt>
              </c:numCache>
            </c:numRef>
          </c:xVal>
          <c:yVal>
            <c:numRef>
              <c:f>Symbole!$G$17:$J$17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C-C4E9-4F44-B51D-61A8DD92BE00}"/>
            </c:ext>
          </c:extLst>
        </c:ser>
        <c:ser>
          <c:idx val="33"/>
          <c:order val="13"/>
          <c:tx>
            <c:v>LagerV13</c:v>
          </c:tx>
          <c:spPr>
            <a:ln w="12700">
              <a:solidFill>
                <a:srgbClr val="808080"/>
              </a:solidFill>
              <a:prstDash val="solid"/>
            </a:ln>
          </c:spPr>
          <c:marker>
            <c:symbol val="none"/>
          </c:marker>
          <c:xVal>
            <c:numRef>
              <c:f>Symbole!$C$18:$F$18</c:f>
              <c:numCache>
                <c:formatCode>General</c:formatCode>
                <c:ptCount val="4"/>
                <c:pt idx="0">
                  <c:v>0</c:v>
                </c:pt>
                <c:pt idx="1">
                  <c:v>0</c:v>
                </c:pt>
                <c:pt idx="2">
                  <c:v>0</c:v>
                </c:pt>
                <c:pt idx="3">
                  <c:v>0</c:v>
                </c:pt>
              </c:numCache>
            </c:numRef>
          </c:xVal>
          <c:yVal>
            <c:numRef>
              <c:f>Symbole!$G$18:$J$18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D-C4E9-4F44-B51D-61A8DD92BE00}"/>
            </c:ext>
          </c:extLst>
        </c:ser>
        <c:ser>
          <c:idx val="34"/>
          <c:order val="14"/>
          <c:tx>
            <c:v>LagerV14</c:v>
          </c:tx>
          <c:spPr>
            <a:ln w="12700">
              <a:solidFill>
                <a:srgbClr val="808080"/>
              </a:solidFill>
              <a:prstDash val="solid"/>
            </a:ln>
          </c:spPr>
          <c:marker>
            <c:symbol val="none"/>
          </c:marker>
          <c:xVal>
            <c:numRef>
              <c:f>Symbole!$C$19:$F$19</c:f>
              <c:numCache>
                <c:formatCode>General</c:formatCode>
                <c:ptCount val="4"/>
                <c:pt idx="0">
                  <c:v>0</c:v>
                </c:pt>
                <c:pt idx="1">
                  <c:v>0</c:v>
                </c:pt>
                <c:pt idx="2">
                  <c:v>0</c:v>
                </c:pt>
                <c:pt idx="3">
                  <c:v>0</c:v>
                </c:pt>
              </c:numCache>
            </c:numRef>
          </c:xVal>
          <c:yVal>
            <c:numRef>
              <c:f>Symbole!$G$19:$J$19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E-C4E9-4F44-B51D-61A8DD92BE00}"/>
            </c:ext>
          </c:extLst>
        </c:ser>
        <c:ser>
          <c:idx val="35"/>
          <c:order val="15"/>
          <c:tx>
            <c:v>LagerV15</c:v>
          </c:tx>
          <c:spPr>
            <a:ln w="12700">
              <a:solidFill>
                <a:srgbClr val="808080"/>
              </a:solidFill>
              <a:prstDash val="solid"/>
            </a:ln>
          </c:spPr>
          <c:marker>
            <c:symbol val="none"/>
          </c:marker>
          <c:xVal>
            <c:numRef>
              <c:f>Symbole!$C$20:$F$20</c:f>
              <c:numCache>
                <c:formatCode>General</c:formatCode>
                <c:ptCount val="4"/>
                <c:pt idx="0">
                  <c:v>0</c:v>
                </c:pt>
                <c:pt idx="1">
                  <c:v>0</c:v>
                </c:pt>
                <c:pt idx="2">
                  <c:v>0</c:v>
                </c:pt>
                <c:pt idx="3">
                  <c:v>0</c:v>
                </c:pt>
              </c:numCache>
            </c:numRef>
          </c:xVal>
          <c:yVal>
            <c:numRef>
              <c:f>Symbole!$G$20:$J$20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F-C4E9-4F44-B51D-61A8DD92BE00}"/>
            </c:ext>
          </c:extLst>
        </c:ser>
        <c:ser>
          <c:idx val="36"/>
          <c:order val="16"/>
          <c:tx>
            <c:v>LagerV16</c:v>
          </c:tx>
          <c:spPr>
            <a:ln w="12700">
              <a:solidFill>
                <a:srgbClr val="808080"/>
              </a:solidFill>
              <a:prstDash val="solid"/>
            </a:ln>
          </c:spPr>
          <c:marker>
            <c:symbol val="none"/>
          </c:marker>
          <c:xVal>
            <c:numRef>
              <c:f>Symbole!$C$21:$F$21</c:f>
              <c:numCache>
                <c:formatCode>General</c:formatCode>
                <c:ptCount val="4"/>
                <c:pt idx="0">
                  <c:v>0</c:v>
                </c:pt>
                <c:pt idx="1">
                  <c:v>0</c:v>
                </c:pt>
                <c:pt idx="2">
                  <c:v>0</c:v>
                </c:pt>
                <c:pt idx="3">
                  <c:v>0</c:v>
                </c:pt>
              </c:numCache>
            </c:numRef>
          </c:xVal>
          <c:yVal>
            <c:numRef>
              <c:f>Symbole!$G$21:$J$21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0-C4E9-4F44-B51D-61A8DD92BE00}"/>
            </c:ext>
          </c:extLst>
        </c:ser>
        <c:ser>
          <c:idx val="37"/>
          <c:order val="17"/>
          <c:tx>
            <c:v>LagerV17</c:v>
          </c:tx>
          <c:spPr>
            <a:ln w="12700">
              <a:solidFill>
                <a:srgbClr val="808080"/>
              </a:solidFill>
              <a:prstDash val="solid"/>
            </a:ln>
          </c:spPr>
          <c:marker>
            <c:symbol val="none"/>
          </c:marker>
          <c:xVal>
            <c:numRef>
              <c:f>Symbole!$C$22:$F$22</c:f>
              <c:numCache>
                <c:formatCode>General</c:formatCode>
                <c:ptCount val="4"/>
                <c:pt idx="0">
                  <c:v>0</c:v>
                </c:pt>
                <c:pt idx="1">
                  <c:v>0</c:v>
                </c:pt>
                <c:pt idx="2">
                  <c:v>0</c:v>
                </c:pt>
                <c:pt idx="3">
                  <c:v>0</c:v>
                </c:pt>
              </c:numCache>
            </c:numRef>
          </c:xVal>
          <c:yVal>
            <c:numRef>
              <c:f>Symbole!$G$22:$J$22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1-C4E9-4F44-B51D-61A8DD92BE00}"/>
            </c:ext>
          </c:extLst>
        </c:ser>
        <c:ser>
          <c:idx val="38"/>
          <c:order val="18"/>
          <c:tx>
            <c:v>LagerV18</c:v>
          </c:tx>
          <c:spPr>
            <a:ln w="12700">
              <a:solidFill>
                <a:srgbClr val="808080"/>
              </a:solidFill>
              <a:prstDash val="solid"/>
            </a:ln>
          </c:spPr>
          <c:marker>
            <c:symbol val="none"/>
          </c:marker>
          <c:xVal>
            <c:numRef>
              <c:f>Symbole!$C$23:$F$23</c:f>
              <c:numCache>
                <c:formatCode>General</c:formatCode>
                <c:ptCount val="4"/>
                <c:pt idx="0">
                  <c:v>0</c:v>
                </c:pt>
                <c:pt idx="1">
                  <c:v>0</c:v>
                </c:pt>
                <c:pt idx="2">
                  <c:v>0</c:v>
                </c:pt>
                <c:pt idx="3">
                  <c:v>0</c:v>
                </c:pt>
              </c:numCache>
            </c:numRef>
          </c:xVal>
          <c:yVal>
            <c:numRef>
              <c:f>Symbole!$G$23:$J$23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2-C4E9-4F44-B51D-61A8DD92BE00}"/>
            </c:ext>
          </c:extLst>
        </c:ser>
        <c:ser>
          <c:idx val="39"/>
          <c:order val="19"/>
          <c:tx>
            <c:v>LagerV19</c:v>
          </c:tx>
          <c:spPr>
            <a:ln w="12700">
              <a:solidFill>
                <a:srgbClr val="808080"/>
              </a:solidFill>
              <a:prstDash val="solid"/>
            </a:ln>
          </c:spPr>
          <c:marker>
            <c:symbol val="none"/>
          </c:marker>
          <c:xVal>
            <c:numRef>
              <c:f>Symbole!$C$24:$F$24</c:f>
              <c:numCache>
                <c:formatCode>General</c:formatCode>
                <c:ptCount val="4"/>
                <c:pt idx="0">
                  <c:v>0</c:v>
                </c:pt>
                <c:pt idx="1">
                  <c:v>0</c:v>
                </c:pt>
                <c:pt idx="2">
                  <c:v>0</c:v>
                </c:pt>
                <c:pt idx="3">
                  <c:v>0</c:v>
                </c:pt>
              </c:numCache>
            </c:numRef>
          </c:xVal>
          <c:yVal>
            <c:numRef>
              <c:f>Symbole!$G$24:$J$24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3-C4E9-4F44-B51D-61A8DD92BE00}"/>
            </c:ext>
          </c:extLst>
        </c:ser>
        <c:ser>
          <c:idx val="40"/>
          <c:order val="20"/>
          <c:tx>
            <c:v>LagerV20</c:v>
          </c:tx>
          <c:spPr>
            <a:ln w="12700">
              <a:solidFill>
                <a:srgbClr val="808080"/>
              </a:solidFill>
              <a:prstDash val="solid"/>
            </a:ln>
          </c:spPr>
          <c:marker>
            <c:symbol val="none"/>
          </c:marker>
          <c:xVal>
            <c:numRef>
              <c:f>Symbole!$C$25:$F$25</c:f>
              <c:numCache>
                <c:formatCode>General</c:formatCode>
                <c:ptCount val="4"/>
                <c:pt idx="0">
                  <c:v>0</c:v>
                </c:pt>
                <c:pt idx="1">
                  <c:v>0</c:v>
                </c:pt>
                <c:pt idx="2">
                  <c:v>0</c:v>
                </c:pt>
                <c:pt idx="3">
                  <c:v>0</c:v>
                </c:pt>
              </c:numCache>
            </c:numRef>
          </c:xVal>
          <c:yVal>
            <c:numRef>
              <c:f>Symbole!$G$25:$J$25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4-C4E9-4F44-B51D-61A8DD92BE00}"/>
            </c:ext>
          </c:extLst>
        </c:ser>
        <c:ser>
          <c:idx val="41"/>
          <c:order val="21"/>
          <c:tx>
            <c:v>LagerH1</c:v>
          </c:tx>
          <c:spPr>
            <a:ln w="12700">
              <a:solidFill>
                <a:srgbClr val="808080"/>
              </a:solidFill>
              <a:prstDash val="solid"/>
            </a:ln>
          </c:spPr>
          <c:marker>
            <c:symbol val="none"/>
          </c:marker>
          <c:xVal>
            <c:numRef>
              <c:f>Symbole!$C$29:$F$29</c:f>
              <c:numCache>
                <c:formatCode>General</c:formatCode>
                <c:ptCount val="4"/>
                <c:pt idx="0">
                  <c:v>20</c:v>
                </c:pt>
                <c:pt idx="1">
                  <c:v>20</c:v>
                </c:pt>
                <c:pt idx="2">
                  <c:v>20</c:v>
                </c:pt>
                <c:pt idx="3">
                  <c:v>20</c:v>
                </c:pt>
              </c:numCache>
            </c:numRef>
          </c:xVal>
          <c:yVal>
            <c:numRef>
              <c:f>Symbole!$G$29:$J$29</c:f>
              <c:numCache>
                <c:formatCode>General</c:formatCode>
                <c:ptCount val="4"/>
                <c:pt idx="0">
                  <c:v>-40</c:v>
                </c:pt>
                <c:pt idx="1">
                  <c:v>-40</c:v>
                </c:pt>
                <c:pt idx="2">
                  <c:v>-40</c:v>
                </c:pt>
                <c:pt idx="3">
                  <c:v>-40</c:v>
                </c:pt>
              </c:numCache>
            </c:numRef>
          </c:yVal>
          <c:smooth val="0"/>
          <c:extLst>
            <c:ext xmlns:c16="http://schemas.microsoft.com/office/drawing/2014/chart" uri="{C3380CC4-5D6E-409C-BE32-E72D297353CC}">
              <c16:uniqueId val="{00000015-C4E9-4F44-B51D-61A8DD92BE00}"/>
            </c:ext>
          </c:extLst>
        </c:ser>
        <c:ser>
          <c:idx val="42"/>
          <c:order val="22"/>
          <c:tx>
            <c:v>LagerH2</c:v>
          </c:tx>
          <c:spPr>
            <a:ln w="12700">
              <a:solidFill>
                <a:srgbClr val="808080"/>
              </a:solidFill>
              <a:prstDash val="solid"/>
            </a:ln>
          </c:spPr>
          <c:marker>
            <c:symbol val="none"/>
          </c:marker>
          <c:xVal>
            <c:numRef>
              <c:f>Symbole!$C$30:$F$30</c:f>
              <c:numCache>
                <c:formatCode>General</c:formatCode>
                <c:ptCount val="4"/>
                <c:pt idx="0">
                  <c:v>100</c:v>
                </c:pt>
                <c:pt idx="1">
                  <c:v>114.6965073401812</c:v>
                </c:pt>
                <c:pt idx="2">
                  <c:v>114.6965073401812</c:v>
                </c:pt>
                <c:pt idx="3">
                  <c:v>100</c:v>
                </c:pt>
              </c:numCache>
            </c:numRef>
          </c:xVal>
          <c:yVal>
            <c:numRef>
              <c:f>Symbole!$G$30:$J$30</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6-C4E9-4F44-B51D-61A8DD92BE00}"/>
            </c:ext>
          </c:extLst>
        </c:ser>
        <c:ser>
          <c:idx val="43"/>
          <c:order val="23"/>
          <c:tx>
            <c:v>LagerH3</c:v>
          </c:tx>
          <c:spPr>
            <a:ln w="12700">
              <a:solidFill>
                <a:srgbClr val="808080"/>
              </a:solidFill>
              <a:prstDash val="solid"/>
            </a:ln>
          </c:spPr>
          <c:marker>
            <c:symbol val="none"/>
          </c:marker>
          <c:xVal>
            <c:numRef>
              <c:f>Symbole!$C$31:$F$31</c:f>
              <c:numCache>
                <c:formatCode>General</c:formatCode>
                <c:ptCount val="4"/>
                <c:pt idx="0">
                  <c:v>20</c:v>
                </c:pt>
                <c:pt idx="1">
                  <c:v>34.696507340181206</c:v>
                </c:pt>
                <c:pt idx="2">
                  <c:v>34.696507340181206</c:v>
                </c:pt>
                <c:pt idx="3">
                  <c:v>20</c:v>
                </c:pt>
              </c:numCache>
            </c:numRef>
          </c:xVal>
          <c:yVal>
            <c:numRef>
              <c:f>Symbole!$G$31:$J$31</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7-C4E9-4F44-B51D-61A8DD92BE00}"/>
            </c:ext>
          </c:extLst>
        </c:ser>
        <c:ser>
          <c:idx val="44"/>
          <c:order val="24"/>
          <c:tx>
            <c:v>LagerH4</c:v>
          </c:tx>
          <c:spPr>
            <a:ln w="12700">
              <a:solidFill>
                <a:srgbClr val="808080"/>
              </a:solidFill>
              <a:prstDash val="solid"/>
            </a:ln>
          </c:spPr>
          <c:marker>
            <c:symbol val="none"/>
          </c:marker>
          <c:xVal>
            <c:numRef>
              <c:f>Symbole!$C$32:$F$32</c:f>
              <c:numCache>
                <c:formatCode>General</c:formatCode>
                <c:ptCount val="4"/>
                <c:pt idx="0">
                  <c:v>60</c:v>
                </c:pt>
                <c:pt idx="1">
                  <c:v>74.696507340181199</c:v>
                </c:pt>
                <c:pt idx="2">
                  <c:v>74.696507340181199</c:v>
                </c:pt>
                <c:pt idx="3">
                  <c:v>60</c:v>
                </c:pt>
              </c:numCache>
            </c:numRef>
          </c:xVal>
          <c:yVal>
            <c:numRef>
              <c:f>Symbole!$G$32:$J$32</c:f>
              <c:numCache>
                <c:formatCode>General</c:formatCode>
                <c:ptCount val="4"/>
                <c:pt idx="0">
                  <c:v>-100</c:v>
                </c:pt>
                <c:pt idx="1">
                  <c:v>-91.514718625761432</c:v>
                </c:pt>
                <c:pt idx="2">
                  <c:v>-108.48528137423857</c:v>
                </c:pt>
                <c:pt idx="3">
                  <c:v>-100</c:v>
                </c:pt>
              </c:numCache>
            </c:numRef>
          </c:yVal>
          <c:smooth val="0"/>
          <c:extLst>
            <c:ext xmlns:c16="http://schemas.microsoft.com/office/drawing/2014/chart" uri="{C3380CC4-5D6E-409C-BE32-E72D297353CC}">
              <c16:uniqueId val="{00000018-C4E9-4F44-B51D-61A8DD92BE00}"/>
            </c:ext>
          </c:extLst>
        </c:ser>
        <c:ser>
          <c:idx val="45"/>
          <c:order val="25"/>
          <c:tx>
            <c:v>LagerH5</c:v>
          </c:tx>
          <c:spPr>
            <a:ln w="12700">
              <a:solidFill>
                <a:srgbClr val="808080"/>
              </a:solidFill>
              <a:prstDash val="solid"/>
            </a:ln>
          </c:spPr>
          <c:marker>
            <c:symbol val="none"/>
          </c:marker>
          <c:xVal>
            <c:numRef>
              <c:f>Symbole!$C$33:$F$33</c:f>
              <c:numCache>
                <c:formatCode>General</c:formatCode>
                <c:ptCount val="4"/>
                <c:pt idx="0">
                  <c:v>-50</c:v>
                </c:pt>
                <c:pt idx="1">
                  <c:v>-35.303492659818794</c:v>
                </c:pt>
                <c:pt idx="2">
                  <c:v>-35.303492659818794</c:v>
                </c:pt>
                <c:pt idx="3">
                  <c:v>-50</c:v>
                </c:pt>
              </c:numCache>
            </c:numRef>
          </c:xVal>
          <c:yVal>
            <c:numRef>
              <c:f>Symbole!$G$33:$J$33</c:f>
              <c:numCache>
                <c:formatCode>General</c:formatCode>
                <c:ptCount val="4"/>
                <c:pt idx="0">
                  <c:v>-70</c:v>
                </c:pt>
                <c:pt idx="1">
                  <c:v>-61.514718625761432</c:v>
                </c:pt>
                <c:pt idx="2">
                  <c:v>-78.485281374238568</c:v>
                </c:pt>
                <c:pt idx="3">
                  <c:v>-70</c:v>
                </c:pt>
              </c:numCache>
            </c:numRef>
          </c:yVal>
          <c:smooth val="0"/>
          <c:extLst>
            <c:ext xmlns:c16="http://schemas.microsoft.com/office/drawing/2014/chart" uri="{C3380CC4-5D6E-409C-BE32-E72D297353CC}">
              <c16:uniqueId val="{00000019-C4E9-4F44-B51D-61A8DD92BE00}"/>
            </c:ext>
          </c:extLst>
        </c:ser>
        <c:ser>
          <c:idx val="46"/>
          <c:order val="26"/>
          <c:tx>
            <c:v>LagerH6</c:v>
          </c:tx>
          <c:spPr>
            <a:ln w="12700">
              <a:solidFill>
                <a:srgbClr val="808080"/>
              </a:solidFill>
              <a:prstDash val="solid"/>
            </a:ln>
          </c:spPr>
          <c:marker>
            <c:symbol val="none"/>
          </c:marker>
          <c:xVal>
            <c:numRef>
              <c:f>Symbole!$C$34:$F$34</c:f>
              <c:numCache>
                <c:formatCode>General</c:formatCode>
                <c:ptCount val="4"/>
                <c:pt idx="0">
                  <c:v>-100</c:v>
                </c:pt>
                <c:pt idx="1">
                  <c:v>-85.303492659818801</c:v>
                </c:pt>
                <c:pt idx="2">
                  <c:v>-85.303492659818801</c:v>
                </c:pt>
                <c:pt idx="3">
                  <c:v>-100</c:v>
                </c:pt>
              </c:numCache>
            </c:numRef>
          </c:xVal>
          <c:yVal>
            <c:numRef>
              <c:f>Symbole!$G$34:$J$34</c:f>
              <c:numCache>
                <c:formatCode>General</c:formatCode>
                <c:ptCount val="4"/>
                <c:pt idx="0">
                  <c:v>100</c:v>
                </c:pt>
                <c:pt idx="1">
                  <c:v>108.48528137423857</c:v>
                </c:pt>
                <c:pt idx="2">
                  <c:v>91.514718625761432</c:v>
                </c:pt>
                <c:pt idx="3">
                  <c:v>100</c:v>
                </c:pt>
              </c:numCache>
            </c:numRef>
          </c:yVal>
          <c:smooth val="0"/>
          <c:extLst>
            <c:ext xmlns:c16="http://schemas.microsoft.com/office/drawing/2014/chart" uri="{C3380CC4-5D6E-409C-BE32-E72D297353CC}">
              <c16:uniqueId val="{0000001A-C4E9-4F44-B51D-61A8DD92BE00}"/>
            </c:ext>
          </c:extLst>
        </c:ser>
        <c:ser>
          <c:idx val="47"/>
          <c:order val="27"/>
          <c:tx>
            <c:v>LagerH7</c:v>
          </c:tx>
          <c:spPr>
            <a:ln w="12700">
              <a:solidFill>
                <a:srgbClr val="808080"/>
              </a:solidFill>
              <a:prstDash val="solid"/>
            </a:ln>
          </c:spPr>
          <c:marker>
            <c:symbol val="none"/>
          </c:marker>
          <c:xVal>
            <c:numRef>
              <c:f>Symbole!$C$35:$F$35</c:f>
              <c:numCache>
                <c:formatCode>General</c:formatCode>
                <c:ptCount val="4"/>
                <c:pt idx="0">
                  <c:v>0</c:v>
                </c:pt>
                <c:pt idx="1">
                  <c:v>0</c:v>
                </c:pt>
                <c:pt idx="2">
                  <c:v>0</c:v>
                </c:pt>
                <c:pt idx="3">
                  <c:v>0</c:v>
                </c:pt>
              </c:numCache>
            </c:numRef>
          </c:xVal>
          <c:yVal>
            <c:numRef>
              <c:f>Symbole!$G$35:$J$35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B-C4E9-4F44-B51D-61A8DD92BE00}"/>
            </c:ext>
          </c:extLst>
        </c:ser>
        <c:ser>
          <c:idx val="48"/>
          <c:order val="28"/>
          <c:tx>
            <c:v>LagerH8</c:v>
          </c:tx>
          <c:spPr>
            <a:ln w="12700">
              <a:solidFill>
                <a:srgbClr val="808080"/>
              </a:solidFill>
              <a:prstDash val="solid"/>
            </a:ln>
          </c:spPr>
          <c:marker>
            <c:symbol val="none"/>
          </c:marker>
          <c:xVal>
            <c:numRef>
              <c:f>Symbole!$C$36:$F$36</c:f>
              <c:numCache>
                <c:formatCode>General</c:formatCode>
                <c:ptCount val="4"/>
                <c:pt idx="0">
                  <c:v>0</c:v>
                </c:pt>
                <c:pt idx="1">
                  <c:v>0</c:v>
                </c:pt>
                <c:pt idx="2">
                  <c:v>0</c:v>
                </c:pt>
                <c:pt idx="3">
                  <c:v>0</c:v>
                </c:pt>
              </c:numCache>
            </c:numRef>
          </c:xVal>
          <c:yVal>
            <c:numRef>
              <c:f>Symbole!$G$36:$J$36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C-C4E9-4F44-B51D-61A8DD92BE00}"/>
            </c:ext>
          </c:extLst>
        </c:ser>
        <c:ser>
          <c:idx val="49"/>
          <c:order val="29"/>
          <c:tx>
            <c:v>LagerH9</c:v>
          </c:tx>
          <c:spPr>
            <a:ln w="12700">
              <a:solidFill>
                <a:srgbClr val="808080"/>
              </a:solidFill>
              <a:prstDash val="solid"/>
            </a:ln>
          </c:spPr>
          <c:marker>
            <c:symbol val="none"/>
          </c:marker>
          <c:xVal>
            <c:numRef>
              <c:f>Symbole!$C$37:$F$37</c:f>
              <c:numCache>
                <c:formatCode>General</c:formatCode>
                <c:ptCount val="4"/>
                <c:pt idx="0">
                  <c:v>0</c:v>
                </c:pt>
                <c:pt idx="1">
                  <c:v>0</c:v>
                </c:pt>
                <c:pt idx="2">
                  <c:v>0</c:v>
                </c:pt>
                <c:pt idx="3">
                  <c:v>0</c:v>
                </c:pt>
              </c:numCache>
            </c:numRef>
          </c:xVal>
          <c:yVal>
            <c:numRef>
              <c:f>Symbole!$G$37:$J$37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D-C4E9-4F44-B51D-61A8DD92BE00}"/>
            </c:ext>
          </c:extLst>
        </c:ser>
        <c:ser>
          <c:idx val="50"/>
          <c:order val="30"/>
          <c:tx>
            <c:v>LagerH10</c:v>
          </c:tx>
          <c:spPr>
            <a:ln w="12700">
              <a:solidFill>
                <a:srgbClr val="808080"/>
              </a:solidFill>
              <a:prstDash val="solid"/>
            </a:ln>
          </c:spPr>
          <c:marker>
            <c:symbol val="none"/>
          </c:marker>
          <c:xVal>
            <c:numRef>
              <c:f>Symbole!$C$38:$F$38</c:f>
              <c:numCache>
                <c:formatCode>General</c:formatCode>
                <c:ptCount val="4"/>
                <c:pt idx="0">
                  <c:v>0</c:v>
                </c:pt>
                <c:pt idx="1">
                  <c:v>0</c:v>
                </c:pt>
                <c:pt idx="2">
                  <c:v>0</c:v>
                </c:pt>
                <c:pt idx="3">
                  <c:v>0</c:v>
                </c:pt>
              </c:numCache>
            </c:numRef>
          </c:xVal>
          <c:yVal>
            <c:numRef>
              <c:f>Symbole!$G$38:$J$38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E-C4E9-4F44-B51D-61A8DD92BE00}"/>
            </c:ext>
          </c:extLst>
        </c:ser>
        <c:ser>
          <c:idx val="51"/>
          <c:order val="31"/>
          <c:tx>
            <c:v>LagerH11</c:v>
          </c:tx>
          <c:spPr>
            <a:ln w="12700">
              <a:solidFill>
                <a:srgbClr val="808080"/>
              </a:solidFill>
              <a:prstDash val="solid"/>
            </a:ln>
          </c:spPr>
          <c:marker>
            <c:symbol val="none"/>
          </c:marker>
          <c:xVal>
            <c:numRef>
              <c:f>Symbole!$C$39:$F$39</c:f>
              <c:numCache>
                <c:formatCode>General</c:formatCode>
                <c:ptCount val="4"/>
                <c:pt idx="0">
                  <c:v>0</c:v>
                </c:pt>
                <c:pt idx="1">
                  <c:v>0</c:v>
                </c:pt>
                <c:pt idx="2">
                  <c:v>0</c:v>
                </c:pt>
                <c:pt idx="3">
                  <c:v>0</c:v>
                </c:pt>
              </c:numCache>
            </c:numRef>
          </c:xVal>
          <c:yVal>
            <c:numRef>
              <c:f>Symbole!$G$39:$J$39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F-C4E9-4F44-B51D-61A8DD92BE00}"/>
            </c:ext>
          </c:extLst>
        </c:ser>
        <c:ser>
          <c:idx val="52"/>
          <c:order val="32"/>
          <c:tx>
            <c:v>LagerH12</c:v>
          </c:tx>
          <c:spPr>
            <a:ln w="12700">
              <a:solidFill>
                <a:srgbClr val="808080"/>
              </a:solidFill>
              <a:prstDash val="solid"/>
            </a:ln>
          </c:spPr>
          <c:marker>
            <c:symbol val="none"/>
          </c:marker>
          <c:xVal>
            <c:numRef>
              <c:f>Symbole!$C$40:$F$40</c:f>
              <c:numCache>
                <c:formatCode>General</c:formatCode>
                <c:ptCount val="4"/>
                <c:pt idx="0">
                  <c:v>0</c:v>
                </c:pt>
                <c:pt idx="1">
                  <c:v>0</c:v>
                </c:pt>
                <c:pt idx="2">
                  <c:v>0</c:v>
                </c:pt>
                <c:pt idx="3">
                  <c:v>0</c:v>
                </c:pt>
              </c:numCache>
            </c:numRef>
          </c:xVal>
          <c:yVal>
            <c:numRef>
              <c:f>Symbole!$G$40:$J$40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0-C4E9-4F44-B51D-61A8DD92BE00}"/>
            </c:ext>
          </c:extLst>
        </c:ser>
        <c:ser>
          <c:idx val="53"/>
          <c:order val="33"/>
          <c:tx>
            <c:v>LagerH13</c:v>
          </c:tx>
          <c:spPr>
            <a:ln w="12700">
              <a:solidFill>
                <a:srgbClr val="808080"/>
              </a:solidFill>
              <a:prstDash val="solid"/>
            </a:ln>
          </c:spPr>
          <c:marker>
            <c:symbol val="none"/>
          </c:marker>
          <c:xVal>
            <c:numRef>
              <c:f>Symbole!$C$41:$F$41</c:f>
              <c:numCache>
                <c:formatCode>General</c:formatCode>
                <c:ptCount val="4"/>
                <c:pt idx="0">
                  <c:v>0</c:v>
                </c:pt>
                <c:pt idx="1">
                  <c:v>0</c:v>
                </c:pt>
                <c:pt idx="2">
                  <c:v>0</c:v>
                </c:pt>
                <c:pt idx="3">
                  <c:v>0</c:v>
                </c:pt>
              </c:numCache>
            </c:numRef>
          </c:xVal>
          <c:yVal>
            <c:numRef>
              <c:f>Symbole!$G$41:$J$41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1-C4E9-4F44-B51D-61A8DD92BE00}"/>
            </c:ext>
          </c:extLst>
        </c:ser>
        <c:ser>
          <c:idx val="54"/>
          <c:order val="34"/>
          <c:tx>
            <c:v>LagerH14</c:v>
          </c:tx>
          <c:spPr>
            <a:ln w="12700">
              <a:solidFill>
                <a:srgbClr val="808080"/>
              </a:solidFill>
              <a:prstDash val="solid"/>
            </a:ln>
          </c:spPr>
          <c:marker>
            <c:symbol val="none"/>
          </c:marker>
          <c:xVal>
            <c:numRef>
              <c:f>Symbole!$C$42:$F$42</c:f>
              <c:numCache>
                <c:formatCode>General</c:formatCode>
                <c:ptCount val="4"/>
                <c:pt idx="0">
                  <c:v>0</c:v>
                </c:pt>
                <c:pt idx="1">
                  <c:v>0</c:v>
                </c:pt>
                <c:pt idx="2">
                  <c:v>0</c:v>
                </c:pt>
                <c:pt idx="3">
                  <c:v>0</c:v>
                </c:pt>
              </c:numCache>
            </c:numRef>
          </c:xVal>
          <c:yVal>
            <c:numRef>
              <c:f>Symbole!$G$42:$J$42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2-C4E9-4F44-B51D-61A8DD92BE00}"/>
            </c:ext>
          </c:extLst>
        </c:ser>
        <c:ser>
          <c:idx val="55"/>
          <c:order val="35"/>
          <c:tx>
            <c:v>LagerH15</c:v>
          </c:tx>
          <c:spPr>
            <a:ln w="12700">
              <a:solidFill>
                <a:srgbClr val="808080"/>
              </a:solidFill>
              <a:prstDash val="solid"/>
            </a:ln>
          </c:spPr>
          <c:marker>
            <c:symbol val="none"/>
          </c:marker>
          <c:xVal>
            <c:numRef>
              <c:f>Symbole!$C$43:$F$43</c:f>
              <c:numCache>
                <c:formatCode>General</c:formatCode>
                <c:ptCount val="4"/>
                <c:pt idx="0">
                  <c:v>0</c:v>
                </c:pt>
                <c:pt idx="1">
                  <c:v>0</c:v>
                </c:pt>
                <c:pt idx="2">
                  <c:v>0</c:v>
                </c:pt>
                <c:pt idx="3">
                  <c:v>0</c:v>
                </c:pt>
              </c:numCache>
            </c:numRef>
          </c:xVal>
          <c:yVal>
            <c:numRef>
              <c:f>Symbole!$G$43:$J$43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3-C4E9-4F44-B51D-61A8DD92BE00}"/>
            </c:ext>
          </c:extLst>
        </c:ser>
        <c:ser>
          <c:idx val="56"/>
          <c:order val="36"/>
          <c:tx>
            <c:v>LagerH16</c:v>
          </c:tx>
          <c:spPr>
            <a:ln w="12700">
              <a:solidFill>
                <a:srgbClr val="808080"/>
              </a:solidFill>
              <a:prstDash val="solid"/>
            </a:ln>
          </c:spPr>
          <c:marker>
            <c:symbol val="none"/>
          </c:marker>
          <c:xVal>
            <c:numRef>
              <c:f>Symbole!$C$44:$F$44</c:f>
              <c:numCache>
                <c:formatCode>General</c:formatCode>
                <c:ptCount val="4"/>
                <c:pt idx="0">
                  <c:v>0</c:v>
                </c:pt>
                <c:pt idx="1">
                  <c:v>0</c:v>
                </c:pt>
                <c:pt idx="2">
                  <c:v>0</c:v>
                </c:pt>
                <c:pt idx="3">
                  <c:v>0</c:v>
                </c:pt>
              </c:numCache>
            </c:numRef>
          </c:xVal>
          <c:yVal>
            <c:numRef>
              <c:f>Symbole!$G$44:$J$44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4-C4E9-4F44-B51D-61A8DD92BE00}"/>
            </c:ext>
          </c:extLst>
        </c:ser>
        <c:ser>
          <c:idx val="57"/>
          <c:order val="37"/>
          <c:tx>
            <c:v>LagerH17</c:v>
          </c:tx>
          <c:spPr>
            <a:ln w="12700">
              <a:solidFill>
                <a:srgbClr val="808080"/>
              </a:solidFill>
              <a:prstDash val="solid"/>
            </a:ln>
          </c:spPr>
          <c:marker>
            <c:symbol val="none"/>
          </c:marker>
          <c:xVal>
            <c:numRef>
              <c:f>Symbole!$C$45:$F$45</c:f>
              <c:numCache>
                <c:formatCode>General</c:formatCode>
                <c:ptCount val="4"/>
                <c:pt idx="0">
                  <c:v>0</c:v>
                </c:pt>
                <c:pt idx="1">
                  <c:v>0</c:v>
                </c:pt>
                <c:pt idx="2">
                  <c:v>0</c:v>
                </c:pt>
                <c:pt idx="3">
                  <c:v>0</c:v>
                </c:pt>
              </c:numCache>
            </c:numRef>
          </c:xVal>
          <c:yVal>
            <c:numRef>
              <c:f>Symbole!$G$45:$J$45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5-C4E9-4F44-B51D-61A8DD92BE00}"/>
            </c:ext>
          </c:extLst>
        </c:ser>
        <c:ser>
          <c:idx val="58"/>
          <c:order val="38"/>
          <c:tx>
            <c:v>LagerH18</c:v>
          </c:tx>
          <c:spPr>
            <a:ln w="12700">
              <a:solidFill>
                <a:srgbClr val="808080"/>
              </a:solidFill>
              <a:prstDash val="solid"/>
            </a:ln>
          </c:spPr>
          <c:marker>
            <c:symbol val="none"/>
          </c:marker>
          <c:xVal>
            <c:numRef>
              <c:f>Symbole!$C$46:$F$46</c:f>
              <c:numCache>
                <c:formatCode>General</c:formatCode>
                <c:ptCount val="4"/>
                <c:pt idx="0">
                  <c:v>0</c:v>
                </c:pt>
                <c:pt idx="1">
                  <c:v>0</c:v>
                </c:pt>
                <c:pt idx="2">
                  <c:v>0</c:v>
                </c:pt>
                <c:pt idx="3">
                  <c:v>0</c:v>
                </c:pt>
              </c:numCache>
            </c:numRef>
          </c:xVal>
          <c:yVal>
            <c:numRef>
              <c:f>Symbole!$G$46:$J$46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6-C4E9-4F44-B51D-61A8DD92BE00}"/>
            </c:ext>
          </c:extLst>
        </c:ser>
        <c:ser>
          <c:idx val="59"/>
          <c:order val="39"/>
          <c:tx>
            <c:v>LagerH19</c:v>
          </c:tx>
          <c:spPr>
            <a:ln w="12700">
              <a:solidFill>
                <a:srgbClr val="808080"/>
              </a:solidFill>
              <a:prstDash val="solid"/>
            </a:ln>
          </c:spPr>
          <c:marker>
            <c:symbol val="none"/>
          </c:marker>
          <c:xVal>
            <c:numRef>
              <c:f>Symbole!$C$47:$F$47</c:f>
              <c:numCache>
                <c:formatCode>General</c:formatCode>
                <c:ptCount val="4"/>
                <c:pt idx="0">
                  <c:v>0</c:v>
                </c:pt>
                <c:pt idx="1">
                  <c:v>0</c:v>
                </c:pt>
                <c:pt idx="2">
                  <c:v>0</c:v>
                </c:pt>
                <c:pt idx="3">
                  <c:v>0</c:v>
                </c:pt>
              </c:numCache>
            </c:numRef>
          </c:xVal>
          <c:yVal>
            <c:numRef>
              <c:f>Symbole!$G$47:$J$47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7-C4E9-4F44-B51D-61A8DD92BE00}"/>
            </c:ext>
          </c:extLst>
        </c:ser>
        <c:ser>
          <c:idx val="60"/>
          <c:order val="40"/>
          <c:tx>
            <c:v>LagerH20</c:v>
          </c:tx>
          <c:spPr>
            <a:ln w="12700">
              <a:solidFill>
                <a:srgbClr val="808080"/>
              </a:solidFill>
              <a:prstDash val="solid"/>
            </a:ln>
          </c:spPr>
          <c:marker>
            <c:symbol val="none"/>
          </c:marker>
          <c:xVal>
            <c:numRef>
              <c:f>Symbole!$C$48:$F$48</c:f>
              <c:numCache>
                <c:formatCode>General</c:formatCode>
                <c:ptCount val="4"/>
                <c:pt idx="0">
                  <c:v>0</c:v>
                </c:pt>
                <c:pt idx="1">
                  <c:v>0</c:v>
                </c:pt>
                <c:pt idx="2">
                  <c:v>0</c:v>
                </c:pt>
                <c:pt idx="3">
                  <c:v>0</c:v>
                </c:pt>
              </c:numCache>
            </c:numRef>
          </c:xVal>
          <c:yVal>
            <c:numRef>
              <c:f>Symbole!$G$48:$J$48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8-C4E9-4F44-B51D-61A8DD92BE00}"/>
            </c:ext>
          </c:extLst>
        </c:ser>
        <c:ser>
          <c:idx val="61"/>
          <c:order val="41"/>
          <c:tx>
            <c:v>LagerR1</c:v>
          </c:tx>
          <c:spPr>
            <a:ln w="12700">
              <a:solidFill>
                <a:srgbClr val="808080"/>
              </a:solidFill>
              <a:prstDash val="solid"/>
            </a:ln>
          </c:spPr>
          <c:marker>
            <c:symbol val="none"/>
          </c:marker>
          <c:xVal>
            <c:numRef>
              <c:f>Symbole!$C$52:$G$52</c:f>
              <c:numCache>
                <c:formatCode>General</c:formatCode>
                <c:ptCount val="5"/>
                <c:pt idx="0">
                  <c:v>20</c:v>
                </c:pt>
                <c:pt idx="1">
                  <c:v>20</c:v>
                </c:pt>
                <c:pt idx="2">
                  <c:v>20</c:v>
                </c:pt>
                <c:pt idx="3">
                  <c:v>20</c:v>
                </c:pt>
                <c:pt idx="4">
                  <c:v>20</c:v>
                </c:pt>
              </c:numCache>
            </c:numRef>
          </c:xVal>
          <c:yVal>
            <c:numRef>
              <c:f>Symbole!$H$52:$L$52</c:f>
              <c:numCache>
                <c:formatCode>General</c:formatCode>
                <c:ptCount val="5"/>
                <c:pt idx="0">
                  <c:v>-40</c:v>
                </c:pt>
                <c:pt idx="1">
                  <c:v>-40</c:v>
                </c:pt>
                <c:pt idx="2">
                  <c:v>-40</c:v>
                </c:pt>
                <c:pt idx="3">
                  <c:v>-40</c:v>
                </c:pt>
                <c:pt idx="4">
                  <c:v>-40</c:v>
                </c:pt>
              </c:numCache>
            </c:numRef>
          </c:yVal>
          <c:smooth val="0"/>
          <c:extLst>
            <c:ext xmlns:c16="http://schemas.microsoft.com/office/drawing/2014/chart" uri="{C3380CC4-5D6E-409C-BE32-E72D297353CC}">
              <c16:uniqueId val="{00000029-C4E9-4F44-B51D-61A8DD92BE00}"/>
            </c:ext>
          </c:extLst>
        </c:ser>
        <c:ser>
          <c:idx val="62"/>
          <c:order val="42"/>
          <c:tx>
            <c:v>LagerR2</c:v>
          </c:tx>
          <c:spPr>
            <a:ln w="12700">
              <a:solidFill>
                <a:srgbClr val="808080"/>
              </a:solidFill>
              <a:prstDash val="solid"/>
            </a:ln>
          </c:spPr>
          <c:marker>
            <c:symbol val="none"/>
          </c:marker>
          <c:xVal>
            <c:numRef>
              <c:f>Symbole!$C$53:$G$53</c:f>
              <c:numCache>
                <c:formatCode>General</c:formatCode>
                <c:ptCount val="5"/>
                <c:pt idx="0">
                  <c:v>100</c:v>
                </c:pt>
                <c:pt idx="1">
                  <c:v>100</c:v>
                </c:pt>
                <c:pt idx="2">
                  <c:v>100</c:v>
                </c:pt>
                <c:pt idx="3">
                  <c:v>100</c:v>
                </c:pt>
                <c:pt idx="4">
                  <c:v>100</c:v>
                </c:pt>
              </c:numCache>
            </c:numRef>
          </c:xVal>
          <c:yVal>
            <c:numRef>
              <c:f>Symbole!$H$53:$L$53</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A-C4E9-4F44-B51D-61A8DD92BE00}"/>
            </c:ext>
          </c:extLst>
        </c:ser>
        <c:ser>
          <c:idx val="63"/>
          <c:order val="43"/>
          <c:tx>
            <c:v>LagerR3</c:v>
          </c:tx>
          <c:spPr>
            <a:ln w="12700">
              <a:solidFill>
                <a:srgbClr val="808080"/>
              </a:solidFill>
              <a:prstDash val="solid"/>
            </a:ln>
          </c:spPr>
          <c:marker>
            <c:symbol val="none"/>
          </c:marker>
          <c:xVal>
            <c:numRef>
              <c:f>Symbole!$C$54:$G$54</c:f>
              <c:numCache>
                <c:formatCode>General</c:formatCode>
                <c:ptCount val="5"/>
                <c:pt idx="0">
                  <c:v>20</c:v>
                </c:pt>
                <c:pt idx="1">
                  <c:v>20</c:v>
                </c:pt>
                <c:pt idx="2">
                  <c:v>20</c:v>
                </c:pt>
                <c:pt idx="3">
                  <c:v>20</c:v>
                </c:pt>
                <c:pt idx="4">
                  <c:v>20</c:v>
                </c:pt>
              </c:numCache>
            </c:numRef>
          </c:xVal>
          <c:yVal>
            <c:numRef>
              <c:f>Symbole!$H$54:$L$54</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B-C4E9-4F44-B51D-61A8DD92BE00}"/>
            </c:ext>
          </c:extLst>
        </c:ser>
        <c:ser>
          <c:idx val="64"/>
          <c:order val="44"/>
          <c:tx>
            <c:v>LagerR4</c:v>
          </c:tx>
          <c:spPr>
            <a:ln w="12700">
              <a:solidFill>
                <a:srgbClr val="808080"/>
              </a:solidFill>
              <a:prstDash val="solid"/>
            </a:ln>
          </c:spPr>
          <c:marker>
            <c:symbol val="none"/>
          </c:marker>
          <c:xVal>
            <c:numRef>
              <c:f>Symbole!$C$55:$G$55</c:f>
              <c:numCache>
                <c:formatCode>General</c:formatCode>
                <c:ptCount val="5"/>
                <c:pt idx="0">
                  <c:v>60</c:v>
                </c:pt>
                <c:pt idx="1">
                  <c:v>60</c:v>
                </c:pt>
                <c:pt idx="2">
                  <c:v>60</c:v>
                </c:pt>
                <c:pt idx="3">
                  <c:v>60</c:v>
                </c:pt>
                <c:pt idx="4">
                  <c:v>60</c:v>
                </c:pt>
              </c:numCache>
            </c:numRef>
          </c:xVal>
          <c:yVal>
            <c:numRef>
              <c:f>Symbole!$H$55:$L$55</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C-C4E9-4F44-B51D-61A8DD92BE00}"/>
            </c:ext>
          </c:extLst>
        </c:ser>
        <c:ser>
          <c:idx val="65"/>
          <c:order val="45"/>
          <c:tx>
            <c:v>LagerR5</c:v>
          </c:tx>
          <c:spPr>
            <a:ln w="12700">
              <a:solidFill>
                <a:srgbClr val="808080"/>
              </a:solidFill>
              <a:prstDash val="solid"/>
            </a:ln>
          </c:spPr>
          <c:marker>
            <c:symbol val="none"/>
          </c:marker>
          <c:xVal>
            <c:numRef>
              <c:f>Symbole!$C$56:$G$56</c:f>
              <c:numCache>
                <c:formatCode>General</c:formatCode>
                <c:ptCount val="5"/>
                <c:pt idx="0">
                  <c:v>-50</c:v>
                </c:pt>
                <c:pt idx="1">
                  <c:v>-50</c:v>
                </c:pt>
                <c:pt idx="2">
                  <c:v>-50</c:v>
                </c:pt>
                <c:pt idx="3">
                  <c:v>-50</c:v>
                </c:pt>
                <c:pt idx="4">
                  <c:v>-50</c:v>
                </c:pt>
              </c:numCache>
            </c:numRef>
          </c:xVal>
          <c:yVal>
            <c:numRef>
              <c:f>Symbole!$H$56:$L$56</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2D-C4E9-4F44-B51D-61A8DD92BE00}"/>
            </c:ext>
          </c:extLst>
        </c:ser>
        <c:ser>
          <c:idx val="66"/>
          <c:order val="46"/>
          <c:tx>
            <c:v>LagerR6</c:v>
          </c:tx>
          <c:spPr>
            <a:ln w="12700">
              <a:solidFill>
                <a:srgbClr val="808080"/>
              </a:solidFill>
              <a:prstDash val="solid"/>
            </a:ln>
          </c:spPr>
          <c:marker>
            <c:symbol val="none"/>
          </c:marker>
          <c:xVal>
            <c:numRef>
              <c:f>Symbole!$C$57:$G$57</c:f>
              <c:numCache>
                <c:formatCode>General</c:formatCode>
                <c:ptCount val="5"/>
                <c:pt idx="0">
                  <c:v>-100</c:v>
                </c:pt>
                <c:pt idx="1">
                  <c:v>-100</c:v>
                </c:pt>
                <c:pt idx="2">
                  <c:v>-100</c:v>
                </c:pt>
                <c:pt idx="3">
                  <c:v>-100</c:v>
                </c:pt>
                <c:pt idx="4">
                  <c:v>-100</c:v>
                </c:pt>
              </c:numCache>
            </c:numRef>
          </c:xVal>
          <c:yVal>
            <c:numRef>
              <c:f>Symbole!$H$57:$L$57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E-C4E9-4F44-B51D-61A8DD92BE00}"/>
            </c:ext>
          </c:extLst>
        </c:ser>
        <c:ser>
          <c:idx val="67"/>
          <c:order val="47"/>
          <c:tx>
            <c:v>LagerR7</c:v>
          </c:tx>
          <c:spPr>
            <a:ln w="12700">
              <a:solidFill>
                <a:srgbClr val="808080"/>
              </a:solidFill>
              <a:prstDash val="solid"/>
            </a:ln>
          </c:spPr>
          <c:marker>
            <c:symbol val="none"/>
          </c:marker>
          <c:xVal>
            <c:numRef>
              <c:f>Symbole!$C$58:$G$58</c:f>
              <c:numCache>
                <c:formatCode>General</c:formatCode>
                <c:ptCount val="5"/>
                <c:pt idx="0">
                  <c:v>0</c:v>
                </c:pt>
                <c:pt idx="1">
                  <c:v>0</c:v>
                </c:pt>
                <c:pt idx="2">
                  <c:v>0</c:v>
                </c:pt>
                <c:pt idx="3">
                  <c:v>0</c:v>
                </c:pt>
                <c:pt idx="4">
                  <c:v>0</c:v>
                </c:pt>
              </c:numCache>
            </c:numRef>
          </c:xVal>
          <c:yVal>
            <c:numRef>
              <c:f>Symbole!$H$58:$L$58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2F-C4E9-4F44-B51D-61A8DD92BE00}"/>
            </c:ext>
          </c:extLst>
        </c:ser>
        <c:ser>
          <c:idx val="68"/>
          <c:order val="48"/>
          <c:tx>
            <c:v>LagerR8</c:v>
          </c:tx>
          <c:spPr>
            <a:ln w="12700">
              <a:solidFill>
                <a:srgbClr val="808080"/>
              </a:solidFill>
              <a:prstDash val="solid"/>
            </a:ln>
          </c:spPr>
          <c:marker>
            <c:symbol val="none"/>
          </c:marker>
          <c:xVal>
            <c:numRef>
              <c:f>Symbole!$C$59:$G$59</c:f>
              <c:numCache>
                <c:formatCode>General</c:formatCode>
                <c:ptCount val="5"/>
                <c:pt idx="0">
                  <c:v>0</c:v>
                </c:pt>
                <c:pt idx="1">
                  <c:v>0</c:v>
                </c:pt>
                <c:pt idx="2">
                  <c:v>0</c:v>
                </c:pt>
                <c:pt idx="3">
                  <c:v>0</c:v>
                </c:pt>
                <c:pt idx="4">
                  <c:v>0</c:v>
                </c:pt>
              </c:numCache>
            </c:numRef>
          </c:xVal>
          <c:yVal>
            <c:numRef>
              <c:f>Symbole!$H$59:$L$59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0-C4E9-4F44-B51D-61A8DD92BE00}"/>
            </c:ext>
          </c:extLst>
        </c:ser>
        <c:ser>
          <c:idx val="69"/>
          <c:order val="49"/>
          <c:tx>
            <c:v>LagerR9</c:v>
          </c:tx>
          <c:spPr>
            <a:ln w="12700">
              <a:solidFill>
                <a:srgbClr val="808080"/>
              </a:solidFill>
              <a:prstDash val="solid"/>
            </a:ln>
          </c:spPr>
          <c:marker>
            <c:symbol val="none"/>
          </c:marker>
          <c:xVal>
            <c:numRef>
              <c:f>Symbole!$C$60:$G$60</c:f>
              <c:numCache>
                <c:formatCode>General</c:formatCode>
                <c:ptCount val="5"/>
                <c:pt idx="0">
                  <c:v>0</c:v>
                </c:pt>
                <c:pt idx="1">
                  <c:v>0</c:v>
                </c:pt>
                <c:pt idx="2">
                  <c:v>0</c:v>
                </c:pt>
                <c:pt idx="3">
                  <c:v>0</c:v>
                </c:pt>
                <c:pt idx="4">
                  <c:v>0</c:v>
                </c:pt>
              </c:numCache>
            </c:numRef>
          </c:xVal>
          <c:yVal>
            <c:numRef>
              <c:f>Symbole!$H$60:$L$60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1-C4E9-4F44-B51D-61A8DD92BE00}"/>
            </c:ext>
          </c:extLst>
        </c:ser>
        <c:ser>
          <c:idx val="70"/>
          <c:order val="50"/>
          <c:tx>
            <c:v>LagerR10</c:v>
          </c:tx>
          <c:spPr>
            <a:ln w="12700">
              <a:solidFill>
                <a:srgbClr val="808080"/>
              </a:solidFill>
              <a:prstDash val="solid"/>
            </a:ln>
          </c:spPr>
          <c:marker>
            <c:symbol val="none"/>
          </c:marker>
          <c:xVal>
            <c:numRef>
              <c:f>Symbole!$C$61:$G$61</c:f>
              <c:numCache>
                <c:formatCode>General</c:formatCode>
                <c:ptCount val="5"/>
                <c:pt idx="0">
                  <c:v>0</c:v>
                </c:pt>
                <c:pt idx="1">
                  <c:v>0</c:v>
                </c:pt>
                <c:pt idx="2">
                  <c:v>0</c:v>
                </c:pt>
                <c:pt idx="3">
                  <c:v>0</c:v>
                </c:pt>
                <c:pt idx="4">
                  <c:v>0</c:v>
                </c:pt>
              </c:numCache>
            </c:numRef>
          </c:xVal>
          <c:yVal>
            <c:numRef>
              <c:f>Symbole!$H$61:$L$61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2-C4E9-4F44-B51D-61A8DD92BE00}"/>
            </c:ext>
          </c:extLst>
        </c:ser>
        <c:ser>
          <c:idx val="71"/>
          <c:order val="51"/>
          <c:tx>
            <c:v>LagerR11</c:v>
          </c:tx>
          <c:spPr>
            <a:ln w="12700">
              <a:solidFill>
                <a:srgbClr val="808080"/>
              </a:solidFill>
              <a:prstDash val="solid"/>
            </a:ln>
          </c:spPr>
          <c:marker>
            <c:symbol val="none"/>
          </c:marker>
          <c:xVal>
            <c:numRef>
              <c:f>Symbole!$C$62:$G$62</c:f>
              <c:numCache>
                <c:formatCode>General</c:formatCode>
                <c:ptCount val="5"/>
                <c:pt idx="0">
                  <c:v>0</c:v>
                </c:pt>
                <c:pt idx="1">
                  <c:v>0</c:v>
                </c:pt>
                <c:pt idx="2">
                  <c:v>0</c:v>
                </c:pt>
                <c:pt idx="3">
                  <c:v>0</c:v>
                </c:pt>
                <c:pt idx="4">
                  <c:v>0</c:v>
                </c:pt>
              </c:numCache>
            </c:numRef>
          </c:xVal>
          <c:yVal>
            <c:numRef>
              <c:f>Symbole!$H$62:$L$62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3-C4E9-4F44-B51D-61A8DD92BE00}"/>
            </c:ext>
          </c:extLst>
        </c:ser>
        <c:ser>
          <c:idx val="72"/>
          <c:order val="52"/>
          <c:tx>
            <c:v>LagerR12</c:v>
          </c:tx>
          <c:spPr>
            <a:ln w="12700">
              <a:solidFill>
                <a:srgbClr val="808080"/>
              </a:solidFill>
              <a:prstDash val="solid"/>
            </a:ln>
          </c:spPr>
          <c:marker>
            <c:symbol val="none"/>
          </c:marker>
          <c:xVal>
            <c:numRef>
              <c:f>Symbole!$C$63:$G$63</c:f>
              <c:numCache>
                <c:formatCode>General</c:formatCode>
                <c:ptCount val="5"/>
                <c:pt idx="0">
                  <c:v>0</c:v>
                </c:pt>
                <c:pt idx="1">
                  <c:v>0</c:v>
                </c:pt>
                <c:pt idx="2">
                  <c:v>0</c:v>
                </c:pt>
                <c:pt idx="3">
                  <c:v>0</c:v>
                </c:pt>
                <c:pt idx="4">
                  <c:v>0</c:v>
                </c:pt>
              </c:numCache>
            </c:numRef>
          </c:xVal>
          <c:yVal>
            <c:numRef>
              <c:f>Symbole!$H$63:$L$63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4-C4E9-4F44-B51D-61A8DD92BE00}"/>
            </c:ext>
          </c:extLst>
        </c:ser>
        <c:ser>
          <c:idx val="73"/>
          <c:order val="53"/>
          <c:tx>
            <c:v>LagerR13</c:v>
          </c:tx>
          <c:spPr>
            <a:ln w="12700">
              <a:solidFill>
                <a:srgbClr val="808080"/>
              </a:solidFill>
              <a:prstDash val="solid"/>
            </a:ln>
          </c:spPr>
          <c:marker>
            <c:symbol val="none"/>
          </c:marker>
          <c:xVal>
            <c:numRef>
              <c:f>Symbole!$C$64:$G$64</c:f>
              <c:numCache>
                <c:formatCode>General</c:formatCode>
                <c:ptCount val="5"/>
                <c:pt idx="0">
                  <c:v>0</c:v>
                </c:pt>
                <c:pt idx="1">
                  <c:v>0</c:v>
                </c:pt>
                <c:pt idx="2">
                  <c:v>0</c:v>
                </c:pt>
                <c:pt idx="3">
                  <c:v>0</c:v>
                </c:pt>
                <c:pt idx="4">
                  <c:v>0</c:v>
                </c:pt>
              </c:numCache>
            </c:numRef>
          </c:xVal>
          <c:yVal>
            <c:numRef>
              <c:f>Symbole!$H$64:$L$64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5-C4E9-4F44-B51D-61A8DD92BE00}"/>
            </c:ext>
          </c:extLst>
        </c:ser>
        <c:ser>
          <c:idx val="74"/>
          <c:order val="54"/>
          <c:tx>
            <c:v>LagerR14</c:v>
          </c:tx>
          <c:spPr>
            <a:ln w="12700">
              <a:solidFill>
                <a:srgbClr val="808080"/>
              </a:solidFill>
              <a:prstDash val="solid"/>
            </a:ln>
          </c:spPr>
          <c:marker>
            <c:symbol val="none"/>
          </c:marker>
          <c:xVal>
            <c:numRef>
              <c:f>Symbole!$C$65:$G$65</c:f>
              <c:numCache>
                <c:formatCode>General</c:formatCode>
                <c:ptCount val="5"/>
                <c:pt idx="0">
                  <c:v>0</c:v>
                </c:pt>
                <c:pt idx="1">
                  <c:v>0</c:v>
                </c:pt>
                <c:pt idx="2">
                  <c:v>0</c:v>
                </c:pt>
                <c:pt idx="3">
                  <c:v>0</c:v>
                </c:pt>
                <c:pt idx="4">
                  <c:v>0</c:v>
                </c:pt>
              </c:numCache>
            </c:numRef>
          </c:xVal>
          <c:yVal>
            <c:numRef>
              <c:f>Symbole!$H$65:$L$65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6-C4E9-4F44-B51D-61A8DD92BE00}"/>
            </c:ext>
          </c:extLst>
        </c:ser>
        <c:ser>
          <c:idx val="75"/>
          <c:order val="55"/>
          <c:tx>
            <c:v>LagerR15</c:v>
          </c:tx>
          <c:spPr>
            <a:ln w="12700">
              <a:solidFill>
                <a:srgbClr val="808080"/>
              </a:solidFill>
              <a:prstDash val="solid"/>
            </a:ln>
          </c:spPr>
          <c:marker>
            <c:symbol val="none"/>
          </c:marker>
          <c:xVal>
            <c:numRef>
              <c:f>Symbole!$C$66:$G$66</c:f>
              <c:numCache>
                <c:formatCode>General</c:formatCode>
                <c:ptCount val="5"/>
                <c:pt idx="0">
                  <c:v>0</c:v>
                </c:pt>
                <c:pt idx="1">
                  <c:v>0</c:v>
                </c:pt>
                <c:pt idx="2">
                  <c:v>0</c:v>
                </c:pt>
                <c:pt idx="3">
                  <c:v>0</c:v>
                </c:pt>
                <c:pt idx="4">
                  <c:v>0</c:v>
                </c:pt>
              </c:numCache>
            </c:numRef>
          </c:xVal>
          <c:yVal>
            <c:numRef>
              <c:f>Symbole!$H$66:$L$66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7-C4E9-4F44-B51D-61A8DD92BE00}"/>
            </c:ext>
          </c:extLst>
        </c:ser>
        <c:ser>
          <c:idx val="76"/>
          <c:order val="56"/>
          <c:tx>
            <c:v>LagerR16</c:v>
          </c:tx>
          <c:spPr>
            <a:ln w="12700">
              <a:solidFill>
                <a:srgbClr val="808080"/>
              </a:solidFill>
              <a:prstDash val="solid"/>
            </a:ln>
          </c:spPr>
          <c:marker>
            <c:symbol val="none"/>
          </c:marker>
          <c:xVal>
            <c:numRef>
              <c:f>Symbole!$C$67:$G$67</c:f>
              <c:numCache>
                <c:formatCode>General</c:formatCode>
                <c:ptCount val="5"/>
                <c:pt idx="0">
                  <c:v>0</c:v>
                </c:pt>
                <c:pt idx="1">
                  <c:v>0</c:v>
                </c:pt>
                <c:pt idx="2">
                  <c:v>0</c:v>
                </c:pt>
                <c:pt idx="3">
                  <c:v>0</c:v>
                </c:pt>
                <c:pt idx="4">
                  <c:v>0</c:v>
                </c:pt>
              </c:numCache>
            </c:numRef>
          </c:xVal>
          <c:yVal>
            <c:numRef>
              <c:f>Symbole!$H$67:$L$67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8-C4E9-4F44-B51D-61A8DD92BE00}"/>
            </c:ext>
          </c:extLst>
        </c:ser>
        <c:ser>
          <c:idx val="77"/>
          <c:order val="57"/>
          <c:tx>
            <c:v>LagerR17</c:v>
          </c:tx>
          <c:spPr>
            <a:ln w="12700">
              <a:solidFill>
                <a:srgbClr val="808080"/>
              </a:solidFill>
              <a:prstDash val="solid"/>
            </a:ln>
          </c:spPr>
          <c:marker>
            <c:symbol val="none"/>
          </c:marker>
          <c:xVal>
            <c:numRef>
              <c:f>Symbole!$C$68:$G$68</c:f>
              <c:numCache>
                <c:formatCode>General</c:formatCode>
                <c:ptCount val="5"/>
                <c:pt idx="0">
                  <c:v>0</c:v>
                </c:pt>
                <c:pt idx="1">
                  <c:v>0</c:v>
                </c:pt>
                <c:pt idx="2">
                  <c:v>0</c:v>
                </c:pt>
                <c:pt idx="3">
                  <c:v>0</c:v>
                </c:pt>
                <c:pt idx="4">
                  <c:v>0</c:v>
                </c:pt>
              </c:numCache>
            </c:numRef>
          </c:xVal>
          <c:yVal>
            <c:numRef>
              <c:f>Symbole!$H$68:$L$68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9-C4E9-4F44-B51D-61A8DD92BE00}"/>
            </c:ext>
          </c:extLst>
        </c:ser>
        <c:ser>
          <c:idx val="78"/>
          <c:order val="58"/>
          <c:tx>
            <c:v>LagerR18</c:v>
          </c:tx>
          <c:spPr>
            <a:ln w="12700">
              <a:solidFill>
                <a:srgbClr val="808080"/>
              </a:solidFill>
              <a:prstDash val="solid"/>
            </a:ln>
          </c:spPr>
          <c:marker>
            <c:symbol val="none"/>
          </c:marker>
          <c:xVal>
            <c:numRef>
              <c:f>Symbole!$C$69:$G$69</c:f>
              <c:numCache>
                <c:formatCode>General</c:formatCode>
                <c:ptCount val="5"/>
                <c:pt idx="0">
                  <c:v>0</c:v>
                </c:pt>
                <c:pt idx="1">
                  <c:v>0</c:v>
                </c:pt>
                <c:pt idx="2">
                  <c:v>0</c:v>
                </c:pt>
                <c:pt idx="3">
                  <c:v>0</c:v>
                </c:pt>
                <c:pt idx="4">
                  <c:v>0</c:v>
                </c:pt>
              </c:numCache>
            </c:numRef>
          </c:xVal>
          <c:yVal>
            <c:numRef>
              <c:f>Symbole!$H$69:$L$69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A-C4E9-4F44-B51D-61A8DD92BE00}"/>
            </c:ext>
          </c:extLst>
        </c:ser>
        <c:ser>
          <c:idx val="79"/>
          <c:order val="59"/>
          <c:tx>
            <c:v>LagerR19</c:v>
          </c:tx>
          <c:spPr>
            <a:ln w="12700">
              <a:solidFill>
                <a:srgbClr val="808080"/>
              </a:solidFill>
              <a:prstDash val="solid"/>
            </a:ln>
          </c:spPr>
          <c:marker>
            <c:symbol val="none"/>
          </c:marker>
          <c:xVal>
            <c:numRef>
              <c:f>Symbole!$C$70:$G$70</c:f>
              <c:numCache>
                <c:formatCode>General</c:formatCode>
                <c:ptCount val="5"/>
                <c:pt idx="0">
                  <c:v>0</c:v>
                </c:pt>
                <c:pt idx="1">
                  <c:v>0</c:v>
                </c:pt>
                <c:pt idx="2">
                  <c:v>0</c:v>
                </c:pt>
                <c:pt idx="3">
                  <c:v>0</c:v>
                </c:pt>
                <c:pt idx="4">
                  <c:v>0</c:v>
                </c:pt>
              </c:numCache>
            </c:numRef>
          </c:xVal>
          <c:yVal>
            <c:numRef>
              <c:f>Symbole!$H$70:$L$70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B-C4E9-4F44-B51D-61A8DD92BE00}"/>
            </c:ext>
          </c:extLst>
        </c:ser>
        <c:ser>
          <c:idx val="80"/>
          <c:order val="60"/>
          <c:tx>
            <c:v>LagerR20</c:v>
          </c:tx>
          <c:spPr>
            <a:ln w="12700">
              <a:solidFill>
                <a:srgbClr val="808080"/>
              </a:solidFill>
              <a:prstDash val="solid"/>
            </a:ln>
          </c:spPr>
          <c:marker>
            <c:symbol val="none"/>
          </c:marker>
          <c:xVal>
            <c:numRef>
              <c:f>Symbole!$C$71:$G$71</c:f>
              <c:numCache>
                <c:formatCode>General</c:formatCode>
                <c:ptCount val="5"/>
                <c:pt idx="0">
                  <c:v>0</c:v>
                </c:pt>
                <c:pt idx="1">
                  <c:v>0</c:v>
                </c:pt>
                <c:pt idx="2">
                  <c:v>0</c:v>
                </c:pt>
                <c:pt idx="3">
                  <c:v>0</c:v>
                </c:pt>
                <c:pt idx="4">
                  <c:v>0</c:v>
                </c:pt>
              </c:numCache>
            </c:numRef>
          </c:xVal>
          <c:yVal>
            <c:numRef>
              <c:f>Symbole!$H$71:$L$71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C-C4E9-4F44-B51D-61A8DD92BE00}"/>
            </c:ext>
          </c:extLst>
        </c:ser>
        <c:ser>
          <c:idx val="121"/>
          <c:order val="61"/>
          <c:tx>
            <c:v>Knotenmoment1</c:v>
          </c:tx>
          <c:spPr>
            <a:ln w="12700">
              <a:solidFill>
                <a:srgbClr val="808080"/>
              </a:solidFill>
              <a:prstDash val="solid"/>
            </a:ln>
          </c:spPr>
          <c:marker>
            <c:symbol val="none"/>
          </c:marker>
          <c:xVal>
            <c:numRef>
              <c:f>KLasten!$C$50:$L$50</c:f>
              <c:numCache>
                <c:formatCode>General</c:formatCode>
                <c:ptCount val="10"/>
                <c:pt idx="0">
                  <c:v>44</c:v>
                </c:pt>
                <c:pt idx="1">
                  <c:v>37.734189357002492</c:v>
                </c:pt>
                <c:pt idx="2">
                  <c:v>30.488384586771701</c:v>
                </c:pt>
                <c:pt idx="3">
                  <c:v>22.662990014476343</c:v>
                </c:pt>
                <c:pt idx="4">
                  <c:v>14.690438190020611</c:v>
                </c:pt>
                <c:pt idx="5">
                  <c:v>7.0112935964912513</c:v>
                </c:pt>
                <c:pt idx="6">
                  <c:v>5.1256256963622064</c:v>
                </c:pt>
                <c:pt idx="7">
                  <c:v>-4.0000000000000071</c:v>
                </c:pt>
                <c:pt idx="8">
                  <c:v>8.8969614966202961</c:v>
                </c:pt>
                <c:pt idx="9">
                  <c:v>7.0112935964912513</c:v>
                </c:pt>
              </c:numCache>
            </c:numRef>
          </c:xVal>
          <c:yVal>
            <c:numRef>
              <c:f>KLasten!$M$50:$V$50</c:f>
              <c:numCache>
                <c:formatCode>General</c:formatCode>
                <c:ptCount val="10"/>
                <c:pt idx="0">
                  <c:v>-64</c:v>
                </c:pt>
                <c:pt idx="1">
                  <c:v>-68.939566822085979</c:v>
                </c:pt>
                <c:pt idx="2">
                  <c:v>-72.27992857426996</c:v>
                </c:pt>
                <c:pt idx="3">
                  <c:v>-73.836496334325147</c:v>
                </c:pt>
                <c:pt idx="4">
                  <c:v>-73.523253920018092</c:v>
                </c:pt>
                <c:pt idx="5">
                  <c:v>-71.357511157033031</c:v>
                </c:pt>
                <c:pt idx="6">
                  <c:v>-74.179612602839498</c:v>
                </c:pt>
                <c:pt idx="7">
                  <c:v>-64</c:v>
                </c:pt>
                <c:pt idx="8">
                  <c:v>-68.535409711226563</c:v>
                </c:pt>
                <c:pt idx="9">
                  <c:v>-71.357511157033031</c:v>
                </c:pt>
              </c:numCache>
            </c:numRef>
          </c:yVal>
          <c:smooth val="0"/>
          <c:extLst>
            <c:ext xmlns:c16="http://schemas.microsoft.com/office/drawing/2014/chart" uri="{C3380CC4-5D6E-409C-BE32-E72D297353CC}">
              <c16:uniqueId val="{0000003D-C4E9-4F44-B51D-61A8DD92BE00}"/>
            </c:ext>
          </c:extLst>
        </c:ser>
        <c:ser>
          <c:idx val="122"/>
          <c:order val="62"/>
          <c:tx>
            <c:v>Knotenmoment2</c:v>
          </c:tx>
          <c:spPr>
            <a:ln w="12700">
              <a:solidFill>
                <a:srgbClr val="808080"/>
              </a:solidFill>
              <a:prstDash val="solid"/>
            </a:ln>
          </c:spPr>
          <c:marker>
            <c:symbol val="none"/>
          </c:marker>
          <c:xVal>
            <c:numRef>
              <c:f>KLasten!$C$51:$L$51</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KLasten!$M$51:$V$51</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3E-C4E9-4F44-B51D-61A8DD92BE00}"/>
            </c:ext>
          </c:extLst>
        </c:ser>
        <c:ser>
          <c:idx val="123"/>
          <c:order val="63"/>
          <c:tx>
            <c:v>Knotenmoment3</c:v>
          </c:tx>
          <c:spPr>
            <a:ln w="12700">
              <a:solidFill>
                <a:srgbClr val="808080"/>
              </a:solidFill>
              <a:prstDash val="solid"/>
            </a:ln>
          </c:spPr>
          <c:marker>
            <c:symbol val="none"/>
          </c:marker>
          <c:xVal>
            <c:numRef>
              <c:f>KLasten!$C$52:$L$52</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KLasten!$M$52:$V$52</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3F-C4E9-4F44-B51D-61A8DD92BE00}"/>
            </c:ext>
          </c:extLst>
        </c:ser>
        <c:ser>
          <c:idx val="124"/>
          <c:order val="64"/>
          <c:tx>
            <c:v>Knotenmoment4</c:v>
          </c:tx>
          <c:spPr>
            <a:ln w="12700">
              <a:solidFill>
                <a:srgbClr val="808080"/>
              </a:solidFill>
              <a:prstDash val="solid"/>
            </a:ln>
          </c:spPr>
          <c:marker>
            <c:symbol val="none"/>
          </c:marker>
          <c:xVal>
            <c:numRef>
              <c:f>KLasten!$C$53:$L$53</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KLasten!$M$53:$V$53</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0-C4E9-4F44-B51D-61A8DD92BE00}"/>
            </c:ext>
          </c:extLst>
        </c:ser>
        <c:ser>
          <c:idx val="125"/>
          <c:order val="65"/>
          <c:tx>
            <c:v>Knotenmoment5</c:v>
          </c:tx>
          <c:spPr>
            <a:ln w="12700">
              <a:solidFill>
                <a:srgbClr val="808080"/>
              </a:solidFill>
              <a:prstDash val="solid"/>
            </a:ln>
          </c:spPr>
          <c:marker>
            <c:symbol val="none"/>
          </c:marker>
          <c:xVal>
            <c:numRef>
              <c:f>KLasten!$C$54:$L$54</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KLasten!$M$54:$V$54</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1-C4E9-4F44-B51D-61A8DD92BE00}"/>
            </c:ext>
          </c:extLst>
        </c:ser>
        <c:ser>
          <c:idx val="126"/>
          <c:order val="66"/>
          <c:tx>
            <c:v>Knotenmoment6</c:v>
          </c:tx>
          <c:spPr>
            <a:ln w="12700">
              <a:solidFill>
                <a:srgbClr val="808080"/>
              </a:solidFill>
              <a:prstDash val="solid"/>
            </a:ln>
          </c:spPr>
          <c:marker>
            <c:symbol val="none"/>
          </c:marker>
          <c:xVal>
            <c:numRef>
              <c:f>KLasten!$C$55:$L$55</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KLasten!$M$55:$V$55</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2-C4E9-4F44-B51D-61A8DD92BE00}"/>
            </c:ext>
          </c:extLst>
        </c:ser>
        <c:ser>
          <c:idx val="127"/>
          <c:order val="67"/>
          <c:tx>
            <c:v>Knotenmoment7</c:v>
          </c:tx>
          <c:spPr>
            <a:ln w="12700">
              <a:solidFill>
                <a:srgbClr val="808080"/>
              </a:solidFill>
              <a:prstDash val="solid"/>
            </a:ln>
          </c:spPr>
          <c:marker>
            <c:symbol val="none"/>
          </c:marker>
          <c:xVal>
            <c:numRef>
              <c:f>KLasten!$C$56:$L$56</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KLasten!$M$56:$V$56</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3-C4E9-4F44-B51D-61A8DD92BE00}"/>
            </c:ext>
          </c:extLst>
        </c:ser>
        <c:ser>
          <c:idx val="128"/>
          <c:order val="68"/>
          <c:tx>
            <c:v>Knotenmoment8</c:v>
          </c:tx>
          <c:spPr>
            <a:ln w="12700">
              <a:solidFill>
                <a:srgbClr val="808080"/>
              </a:solidFill>
              <a:prstDash val="solid"/>
            </a:ln>
          </c:spPr>
          <c:marker>
            <c:symbol val="none"/>
          </c:marker>
          <c:xVal>
            <c:numRef>
              <c:f>KLasten!$C$57:$L$57</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KLasten!$M$57:$V$57</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4-C4E9-4F44-B51D-61A8DD92BE00}"/>
            </c:ext>
          </c:extLst>
        </c:ser>
        <c:ser>
          <c:idx val="129"/>
          <c:order val="69"/>
          <c:tx>
            <c:v>Knotenmoment9</c:v>
          </c:tx>
          <c:spPr>
            <a:ln w="12700">
              <a:solidFill>
                <a:srgbClr val="808080"/>
              </a:solidFill>
              <a:prstDash val="solid"/>
            </a:ln>
          </c:spPr>
          <c:marker>
            <c:symbol val="none"/>
          </c:marker>
          <c:xVal>
            <c:numRef>
              <c:f>KLasten!$C$58:$L$58</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KLasten!$M$58:$V$58</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5-C4E9-4F44-B51D-61A8DD92BE00}"/>
            </c:ext>
          </c:extLst>
        </c:ser>
        <c:ser>
          <c:idx val="130"/>
          <c:order val="70"/>
          <c:tx>
            <c:v>Knotenmoment10</c:v>
          </c:tx>
          <c:spPr>
            <a:ln w="12700">
              <a:solidFill>
                <a:srgbClr val="808080"/>
              </a:solidFill>
              <a:prstDash val="solid"/>
            </a:ln>
          </c:spPr>
          <c:marker>
            <c:symbol val="none"/>
          </c:marker>
          <c:xVal>
            <c:numRef>
              <c:f>KLasten!$C$59:$L$59</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KLasten!$M$59:$V$59</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6-C4E9-4F44-B51D-61A8DD92BE00}"/>
            </c:ext>
          </c:extLst>
        </c:ser>
        <c:ser>
          <c:idx val="131"/>
          <c:order val="71"/>
          <c:tx>
            <c:v>Knotenmoment11</c:v>
          </c:tx>
          <c:spPr>
            <a:ln w="12700">
              <a:solidFill>
                <a:srgbClr val="808080"/>
              </a:solidFill>
              <a:prstDash val="solid"/>
            </a:ln>
          </c:spPr>
          <c:marker>
            <c:symbol val="none"/>
          </c:marker>
          <c:xVal>
            <c:numRef>
              <c:f>KLasten!$C$60:$L$60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KLasten!$M$60:$V$60</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7-C4E9-4F44-B51D-61A8DD92BE00}"/>
            </c:ext>
          </c:extLst>
        </c:ser>
        <c:ser>
          <c:idx val="132"/>
          <c:order val="72"/>
          <c:tx>
            <c:v>Knotenmoment12</c:v>
          </c:tx>
          <c:spPr>
            <a:ln w="12700">
              <a:solidFill>
                <a:srgbClr val="808080"/>
              </a:solidFill>
              <a:prstDash val="solid"/>
            </a:ln>
          </c:spPr>
          <c:marker>
            <c:symbol val="none"/>
          </c:marker>
          <c:xVal>
            <c:numRef>
              <c:f>KLasten!$C$61:$L$61</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KLasten!$M$61:$V$61</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8-C4E9-4F44-B51D-61A8DD92BE00}"/>
            </c:ext>
          </c:extLst>
        </c:ser>
        <c:ser>
          <c:idx val="133"/>
          <c:order val="73"/>
          <c:tx>
            <c:v>Knotenmoment13</c:v>
          </c:tx>
          <c:spPr>
            <a:ln w="12700">
              <a:solidFill>
                <a:srgbClr val="808080"/>
              </a:solidFill>
              <a:prstDash val="solid"/>
            </a:ln>
          </c:spPr>
          <c:marker>
            <c:symbol val="none"/>
          </c:marker>
          <c:xVal>
            <c:numRef>
              <c:f>KLasten!$C$62:$L$62</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KLasten!$M$62:$V$62</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9-C4E9-4F44-B51D-61A8DD92BE00}"/>
            </c:ext>
          </c:extLst>
        </c:ser>
        <c:ser>
          <c:idx val="134"/>
          <c:order val="74"/>
          <c:tx>
            <c:v>Knotenmoment14</c:v>
          </c:tx>
          <c:spPr>
            <a:ln w="12700">
              <a:solidFill>
                <a:srgbClr val="808080"/>
              </a:solidFill>
              <a:prstDash val="solid"/>
            </a:ln>
          </c:spPr>
          <c:marker>
            <c:symbol val="none"/>
          </c:marker>
          <c:xVal>
            <c:numRef>
              <c:f>KLasten!$C$63:$L$63</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KLasten!$M$63:$V$63</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A-C4E9-4F44-B51D-61A8DD92BE00}"/>
            </c:ext>
          </c:extLst>
        </c:ser>
        <c:ser>
          <c:idx val="135"/>
          <c:order val="75"/>
          <c:tx>
            <c:v>Knotenmoment15</c:v>
          </c:tx>
          <c:spPr>
            <a:ln w="12700">
              <a:solidFill>
                <a:srgbClr val="808080"/>
              </a:solidFill>
              <a:prstDash val="solid"/>
            </a:ln>
          </c:spPr>
          <c:marker>
            <c:symbol val="none"/>
          </c:marker>
          <c:xVal>
            <c:numRef>
              <c:f>KLasten!$C$64:$L$64</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KLasten!$M$64:$V$64</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B-C4E9-4F44-B51D-61A8DD92BE00}"/>
            </c:ext>
          </c:extLst>
        </c:ser>
        <c:ser>
          <c:idx val="136"/>
          <c:order val="76"/>
          <c:tx>
            <c:v>Knotenmoment16</c:v>
          </c:tx>
          <c:spPr>
            <a:ln w="12700">
              <a:solidFill>
                <a:srgbClr val="808080"/>
              </a:solidFill>
              <a:prstDash val="solid"/>
            </a:ln>
          </c:spPr>
          <c:marker>
            <c:symbol val="none"/>
          </c:marker>
          <c:xVal>
            <c:numRef>
              <c:f>KLasten!$C$65:$L$65</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KLasten!$M$65:$V$65</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C-C4E9-4F44-B51D-61A8DD92BE00}"/>
            </c:ext>
          </c:extLst>
        </c:ser>
        <c:ser>
          <c:idx val="137"/>
          <c:order val="77"/>
          <c:tx>
            <c:v>Knotenmoment17</c:v>
          </c:tx>
          <c:spPr>
            <a:ln w="12700">
              <a:solidFill>
                <a:srgbClr val="808080"/>
              </a:solidFill>
              <a:prstDash val="solid"/>
            </a:ln>
          </c:spPr>
          <c:marker>
            <c:symbol val="none"/>
          </c:marker>
          <c:xVal>
            <c:numRef>
              <c:f>KLasten!$C$66:$L$66</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KLasten!$M$66:$V$66</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D-C4E9-4F44-B51D-61A8DD92BE00}"/>
            </c:ext>
          </c:extLst>
        </c:ser>
        <c:ser>
          <c:idx val="138"/>
          <c:order val="78"/>
          <c:tx>
            <c:v>Knotenmoment18</c:v>
          </c:tx>
          <c:spPr>
            <a:ln w="12700">
              <a:solidFill>
                <a:srgbClr val="808080"/>
              </a:solidFill>
              <a:prstDash val="solid"/>
            </a:ln>
          </c:spPr>
          <c:marker>
            <c:symbol val="none"/>
          </c:marker>
          <c:xVal>
            <c:numRef>
              <c:f>KLasten!$C$67:$L$67</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KLasten!$M$67:$V$67</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E-C4E9-4F44-B51D-61A8DD92BE00}"/>
            </c:ext>
          </c:extLst>
        </c:ser>
        <c:ser>
          <c:idx val="139"/>
          <c:order val="79"/>
          <c:tx>
            <c:v>Knotenmoment19</c:v>
          </c:tx>
          <c:spPr>
            <a:ln w="12700">
              <a:solidFill>
                <a:srgbClr val="808080"/>
              </a:solidFill>
              <a:prstDash val="solid"/>
            </a:ln>
          </c:spPr>
          <c:marker>
            <c:symbol val="none"/>
          </c:marker>
          <c:xVal>
            <c:numRef>
              <c:f>KLasten!$C$68:$L$68</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KLasten!$M$68:$V$68</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4F-C4E9-4F44-B51D-61A8DD92BE00}"/>
            </c:ext>
          </c:extLst>
        </c:ser>
        <c:ser>
          <c:idx val="140"/>
          <c:order val="80"/>
          <c:tx>
            <c:v>Knotenmoment20</c:v>
          </c:tx>
          <c:spPr>
            <a:ln w="12700">
              <a:solidFill>
                <a:srgbClr val="808080"/>
              </a:solidFill>
              <a:prstDash val="solid"/>
            </a:ln>
          </c:spPr>
          <c:marker>
            <c:symbol val="none"/>
          </c:marker>
          <c:xVal>
            <c:numRef>
              <c:f>KLasten!$C$69:$L$69</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KLasten!$M$69:$V$69</c:f>
              <c:numCache>
                <c:formatCode>General</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50-C4E9-4F44-B51D-61A8DD92BE00}"/>
            </c:ext>
          </c:extLst>
        </c:ser>
        <c:ser>
          <c:idx val="0"/>
          <c:order val="81"/>
          <c:tx>
            <c:v>Element:1</c:v>
          </c:tx>
          <c:spPr>
            <a:ln w="25400">
              <a:solidFill>
                <a:srgbClr val="000080"/>
              </a:solidFill>
              <a:prstDash val="solid"/>
            </a:ln>
          </c:spPr>
          <c:marker>
            <c:symbol val="none"/>
          </c:marker>
          <c:xVal>
            <c:numRef>
              <c:f>System!$BC$122:$BD$122</c:f>
              <c:numCache>
                <c:formatCode>General</c:formatCode>
                <c:ptCount val="2"/>
                <c:pt idx="0">
                  <c:v>20</c:v>
                </c:pt>
                <c:pt idx="1">
                  <c:v>100</c:v>
                </c:pt>
              </c:numCache>
            </c:numRef>
          </c:xVal>
          <c:yVal>
            <c:numRef>
              <c:f>System!$BE$122:$BF$122</c:f>
              <c:numCache>
                <c:formatCode>General</c:formatCode>
                <c:ptCount val="2"/>
                <c:pt idx="0">
                  <c:v>-40</c:v>
                </c:pt>
                <c:pt idx="1">
                  <c:v>20</c:v>
                </c:pt>
              </c:numCache>
            </c:numRef>
          </c:yVal>
          <c:smooth val="0"/>
          <c:extLst>
            <c:ext xmlns:c16="http://schemas.microsoft.com/office/drawing/2014/chart" uri="{C3380CC4-5D6E-409C-BE32-E72D297353CC}">
              <c16:uniqueId val="{00000051-C4E9-4F44-B51D-61A8DD92BE00}"/>
            </c:ext>
          </c:extLst>
        </c:ser>
        <c:ser>
          <c:idx val="1"/>
          <c:order val="82"/>
          <c:tx>
            <c:v>Element:2</c:v>
          </c:tx>
          <c:spPr>
            <a:ln w="25400">
              <a:solidFill>
                <a:srgbClr val="000080"/>
              </a:solidFill>
              <a:prstDash val="solid"/>
            </a:ln>
          </c:spPr>
          <c:marker>
            <c:symbol val="none"/>
          </c:marker>
          <c:xVal>
            <c:numRef>
              <c:f>System!$BC$123:$BD$123</c:f>
              <c:numCache>
                <c:formatCode>General</c:formatCode>
                <c:ptCount val="2"/>
                <c:pt idx="0">
                  <c:v>20</c:v>
                </c:pt>
                <c:pt idx="1">
                  <c:v>20</c:v>
                </c:pt>
              </c:numCache>
            </c:numRef>
          </c:xVal>
          <c:yVal>
            <c:numRef>
              <c:f>System!$BE$123:$BF$123</c:f>
              <c:numCache>
                <c:formatCode>General</c:formatCode>
                <c:ptCount val="2"/>
                <c:pt idx="0">
                  <c:v>-40</c:v>
                </c:pt>
                <c:pt idx="1">
                  <c:v>20</c:v>
                </c:pt>
              </c:numCache>
            </c:numRef>
          </c:yVal>
          <c:smooth val="0"/>
          <c:extLst>
            <c:ext xmlns:c16="http://schemas.microsoft.com/office/drawing/2014/chart" uri="{C3380CC4-5D6E-409C-BE32-E72D297353CC}">
              <c16:uniqueId val="{00000052-C4E9-4F44-B51D-61A8DD92BE00}"/>
            </c:ext>
          </c:extLst>
        </c:ser>
        <c:ser>
          <c:idx val="2"/>
          <c:order val="83"/>
          <c:tx>
            <c:v>Element:3</c:v>
          </c:tx>
          <c:spPr>
            <a:ln w="25400">
              <a:solidFill>
                <a:srgbClr val="000080"/>
              </a:solidFill>
              <a:prstDash val="solid"/>
            </a:ln>
          </c:spPr>
          <c:marker>
            <c:symbol val="none"/>
          </c:marker>
          <c:xVal>
            <c:numRef>
              <c:f>System!$BC$124:$BD$124</c:f>
              <c:numCache>
                <c:formatCode>General</c:formatCode>
                <c:ptCount val="2"/>
                <c:pt idx="0">
                  <c:v>20</c:v>
                </c:pt>
                <c:pt idx="1">
                  <c:v>60</c:v>
                </c:pt>
              </c:numCache>
            </c:numRef>
          </c:xVal>
          <c:yVal>
            <c:numRef>
              <c:f>System!$BE$124:$BF$124</c:f>
              <c:numCache>
                <c:formatCode>General</c:formatCode>
                <c:ptCount val="2"/>
                <c:pt idx="0">
                  <c:v>-40</c:v>
                </c:pt>
                <c:pt idx="1">
                  <c:v>-100</c:v>
                </c:pt>
              </c:numCache>
            </c:numRef>
          </c:yVal>
          <c:smooth val="0"/>
          <c:extLst>
            <c:ext xmlns:c16="http://schemas.microsoft.com/office/drawing/2014/chart" uri="{C3380CC4-5D6E-409C-BE32-E72D297353CC}">
              <c16:uniqueId val="{00000053-C4E9-4F44-B51D-61A8DD92BE00}"/>
            </c:ext>
          </c:extLst>
        </c:ser>
        <c:ser>
          <c:idx val="3"/>
          <c:order val="84"/>
          <c:tx>
            <c:v>Element:4</c:v>
          </c:tx>
          <c:spPr>
            <a:ln w="25400">
              <a:solidFill>
                <a:srgbClr val="000080"/>
              </a:solidFill>
              <a:prstDash val="solid"/>
            </a:ln>
          </c:spPr>
          <c:marker>
            <c:symbol val="none"/>
          </c:marker>
          <c:xVal>
            <c:numRef>
              <c:f>System!$BC$125:$BD$125</c:f>
              <c:numCache>
                <c:formatCode>General</c:formatCode>
                <c:ptCount val="2"/>
                <c:pt idx="0">
                  <c:v>20</c:v>
                </c:pt>
                <c:pt idx="1">
                  <c:v>-50</c:v>
                </c:pt>
              </c:numCache>
            </c:numRef>
          </c:xVal>
          <c:yVal>
            <c:numRef>
              <c:f>System!$BE$125:$BF$125</c:f>
              <c:numCache>
                <c:formatCode>General</c:formatCode>
                <c:ptCount val="2"/>
                <c:pt idx="0">
                  <c:v>-40</c:v>
                </c:pt>
                <c:pt idx="1">
                  <c:v>-70</c:v>
                </c:pt>
              </c:numCache>
            </c:numRef>
          </c:yVal>
          <c:smooth val="0"/>
          <c:extLst>
            <c:ext xmlns:c16="http://schemas.microsoft.com/office/drawing/2014/chart" uri="{C3380CC4-5D6E-409C-BE32-E72D297353CC}">
              <c16:uniqueId val="{00000054-C4E9-4F44-B51D-61A8DD92BE00}"/>
            </c:ext>
          </c:extLst>
        </c:ser>
        <c:ser>
          <c:idx val="4"/>
          <c:order val="85"/>
          <c:tx>
            <c:v>Element:5</c:v>
          </c:tx>
          <c:spPr>
            <a:ln w="25400">
              <a:solidFill>
                <a:srgbClr val="000080"/>
              </a:solidFill>
              <a:prstDash val="solid"/>
            </a:ln>
          </c:spPr>
          <c:marker>
            <c:symbol val="none"/>
          </c:marker>
          <c:xVal>
            <c:numRef>
              <c:f>System!$BC$126:$BD$126</c:f>
              <c:numCache>
                <c:formatCode>General</c:formatCode>
                <c:ptCount val="2"/>
                <c:pt idx="0">
                  <c:v>20</c:v>
                </c:pt>
                <c:pt idx="1">
                  <c:v>-100</c:v>
                </c:pt>
              </c:numCache>
            </c:numRef>
          </c:xVal>
          <c:yVal>
            <c:numRef>
              <c:f>System!$BE$126:$BF$126</c:f>
              <c:numCache>
                <c:formatCode>General</c:formatCode>
                <c:ptCount val="2"/>
                <c:pt idx="0">
                  <c:v>-40</c:v>
                </c:pt>
                <c:pt idx="1">
                  <c:v>100</c:v>
                </c:pt>
              </c:numCache>
            </c:numRef>
          </c:yVal>
          <c:smooth val="0"/>
          <c:extLst>
            <c:ext xmlns:c16="http://schemas.microsoft.com/office/drawing/2014/chart" uri="{C3380CC4-5D6E-409C-BE32-E72D297353CC}">
              <c16:uniqueId val="{00000055-C4E9-4F44-B51D-61A8DD92BE00}"/>
            </c:ext>
          </c:extLst>
        </c:ser>
        <c:ser>
          <c:idx val="5"/>
          <c:order val="86"/>
          <c:tx>
            <c:v>Element:6</c:v>
          </c:tx>
          <c:spPr>
            <a:ln w="25400">
              <a:solidFill>
                <a:srgbClr val="000080"/>
              </a:solidFill>
              <a:prstDash val="solid"/>
            </a:ln>
          </c:spPr>
          <c:marker>
            <c:symbol val="none"/>
          </c:marker>
          <c:xVal>
            <c:numRef>
              <c:f>System!$BC$127:$BD$127</c:f>
              <c:numCache>
                <c:formatCode>General</c:formatCode>
                <c:ptCount val="2"/>
                <c:pt idx="0">
                  <c:v>0</c:v>
                </c:pt>
                <c:pt idx="1">
                  <c:v>0</c:v>
                </c:pt>
              </c:numCache>
            </c:numRef>
          </c:xVal>
          <c:yVal>
            <c:numRef>
              <c:f>System!$BE$127:$BF$127</c:f>
              <c:numCache>
                <c:formatCode>General</c:formatCode>
                <c:ptCount val="2"/>
                <c:pt idx="0">
                  <c:v>0</c:v>
                </c:pt>
                <c:pt idx="1">
                  <c:v>0</c:v>
                </c:pt>
              </c:numCache>
            </c:numRef>
          </c:yVal>
          <c:smooth val="0"/>
          <c:extLst>
            <c:ext xmlns:c16="http://schemas.microsoft.com/office/drawing/2014/chart" uri="{C3380CC4-5D6E-409C-BE32-E72D297353CC}">
              <c16:uniqueId val="{00000056-C4E9-4F44-B51D-61A8DD92BE00}"/>
            </c:ext>
          </c:extLst>
        </c:ser>
        <c:ser>
          <c:idx val="6"/>
          <c:order val="87"/>
          <c:tx>
            <c:v>Element:7</c:v>
          </c:tx>
          <c:spPr>
            <a:ln w="25400">
              <a:solidFill>
                <a:srgbClr val="000080"/>
              </a:solidFill>
              <a:prstDash val="solid"/>
            </a:ln>
          </c:spPr>
          <c:marker>
            <c:symbol val="none"/>
          </c:marker>
          <c:xVal>
            <c:numRef>
              <c:f>System!$BC$128:$BD$128</c:f>
              <c:numCache>
                <c:formatCode>General</c:formatCode>
                <c:ptCount val="2"/>
                <c:pt idx="0">
                  <c:v>0</c:v>
                </c:pt>
                <c:pt idx="1">
                  <c:v>0</c:v>
                </c:pt>
              </c:numCache>
            </c:numRef>
          </c:xVal>
          <c:yVal>
            <c:numRef>
              <c:f>System!$BE$128:$BF$128</c:f>
              <c:numCache>
                <c:formatCode>General</c:formatCode>
                <c:ptCount val="2"/>
                <c:pt idx="0">
                  <c:v>0</c:v>
                </c:pt>
                <c:pt idx="1">
                  <c:v>0</c:v>
                </c:pt>
              </c:numCache>
            </c:numRef>
          </c:yVal>
          <c:smooth val="0"/>
          <c:extLst>
            <c:ext xmlns:c16="http://schemas.microsoft.com/office/drawing/2014/chart" uri="{C3380CC4-5D6E-409C-BE32-E72D297353CC}">
              <c16:uniqueId val="{00000057-C4E9-4F44-B51D-61A8DD92BE00}"/>
            </c:ext>
          </c:extLst>
        </c:ser>
        <c:ser>
          <c:idx val="7"/>
          <c:order val="88"/>
          <c:tx>
            <c:v>Element:8</c:v>
          </c:tx>
          <c:spPr>
            <a:ln w="25400">
              <a:solidFill>
                <a:srgbClr val="000080"/>
              </a:solidFill>
              <a:prstDash val="solid"/>
            </a:ln>
          </c:spPr>
          <c:marker>
            <c:symbol val="none"/>
          </c:marker>
          <c:xVal>
            <c:numRef>
              <c:f>System!$BC$129:$BD$129</c:f>
              <c:numCache>
                <c:formatCode>General</c:formatCode>
                <c:ptCount val="2"/>
                <c:pt idx="0">
                  <c:v>0</c:v>
                </c:pt>
                <c:pt idx="1">
                  <c:v>0</c:v>
                </c:pt>
              </c:numCache>
            </c:numRef>
          </c:xVal>
          <c:yVal>
            <c:numRef>
              <c:f>System!$BE$129:$BF$129</c:f>
              <c:numCache>
                <c:formatCode>General</c:formatCode>
                <c:ptCount val="2"/>
                <c:pt idx="0">
                  <c:v>0</c:v>
                </c:pt>
                <c:pt idx="1">
                  <c:v>0</c:v>
                </c:pt>
              </c:numCache>
            </c:numRef>
          </c:yVal>
          <c:smooth val="0"/>
          <c:extLst>
            <c:ext xmlns:c16="http://schemas.microsoft.com/office/drawing/2014/chart" uri="{C3380CC4-5D6E-409C-BE32-E72D297353CC}">
              <c16:uniqueId val="{00000058-C4E9-4F44-B51D-61A8DD92BE00}"/>
            </c:ext>
          </c:extLst>
        </c:ser>
        <c:ser>
          <c:idx val="8"/>
          <c:order val="89"/>
          <c:tx>
            <c:v>Element:9</c:v>
          </c:tx>
          <c:spPr>
            <a:ln w="25400">
              <a:solidFill>
                <a:srgbClr val="000080"/>
              </a:solidFill>
              <a:prstDash val="solid"/>
            </a:ln>
          </c:spPr>
          <c:marker>
            <c:symbol val="none"/>
          </c:marker>
          <c:xVal>
            <c:numRef>
              <c:f>System!$BC$130:$BD$130</c:f>
              <c:numCache>
                <c:formatCode>General</c:formatCode>
                <c:ptCount val="2"/>
                <c:pt idx="0">
                  <c:v>0</c:v>
                </c:pt>
                <c:pt idx="1">
                  <c:v>0</c:v>
                </c:pt>
              </c:numCache>
            </c:numRef>
          </c:xVal>
          <c:yVal>
            <c:numRef>
              <c:f>System!$BE$130:$BF$130</c:f>
              <c:numCache>
                <c:formatCode>General</c:formatCode>
                <c:ptCount val="2"/>
                <c:pt idx="0">
                  <c:v>0</c:v>
                </c:pt>
                <c:pt idx="1">
                  <c:v>0</c:v>
                </c:pt>
              </c:numCache>
            </c:numRef>
          </c:yVal>
          <c:smooth val="0"/>
          <c:extLst>
            <c:ext xmlns:c16="http://schemas.microsoft.com/office/drawing/2014/chart" uri="{C3380CC4-5D6E-409C-BE32-E72D297353CC}">
              <c16:uniqueId val="{00000059-C4E9-4F44-B51D-61A8DD92BE00}"/>
            </c:ext>
          </c:extLst>
        </c:ser>
        <c:ser>
          <c:idx val="9"/>
          <c:order val="90"/>
          <c:tx>
            <c:v>Element:10</c:v>
          </c:tx>
          <c:spPr>
            <a:ln w="25400">
              <a:solidFill>
                <a:srgbClr val="000080"/>
              </a:solidFill>
              <a:prstDash val="solid"/>
            </a:ln>
          </c:spPr>
          <c:marker>
            <c:symbol val="none"/>
          </c:marker>
          <c:xVal>
            <c:numRef>
              <c:f>System!$BC$131:$BD$131</c:f>
              <c:numCache>
                <c:formatCode>General</c:formatCode>
                <c:ptCount val="2"/>
                <c:pt idx="0">
                  <c:v>0</c:v>
                </c:pt>
                <c:pt idx="1">
                  <c:v>0</c:v>
                </c:pt>
              </c:numCache>
            </c:numRef>
          </c:xVal>
          <c:yVal>
            <c:numRef>
              <c:f>System!$BE$131:$BF$131</c:f>
              <c:numCache>
                <c:formatCode>General</c:formatCode>
                <c:ptCount val="2"/>
                <c:pt idx="0">
                  <c:v>0</c:v>
                </c:pt>
                <c:pt idx="1">
                  <c:v>0</c:v>
                </c:pt>
              </c:numCache>
            </c:numRef>
          </c:yVal>
          <c:smooth val="0"/>
          <c:extLst>
            <c:ext xmlns:c16="http://schemas.microsoft.com/office/drawing/2014/chart" uri="{C3380CC4-5D6E-409C-BE32-E72D297353CC}">
              <c16:uniqueId val="{0000005A-C4E9-4F44-B51D-61A8DD92BE00}"/>
            </c:ext>
          </c:extLst>
        </c:ser>
        <c:ser>
          <c:idx val="10"/>
          <c:order val="91"/>
          <c:tx>
            <c:v>Element:11</c:v>
          </c:tx>
          <c:spPr>
            <a:ln w="25400">
              <a:solidFill>
                <a:srgbClr val="000080"/>
              </a:solidFill>
              <a:prstDash val="solid"/>
            </a:ln>
          </c:spPr>
          <c:marker>
            <c:symbol val="none"/>
          </c:marker>
          <c:xVal>
            <c:numRef>
              <c:f>System!$BC$132:$BD$132</c:f>
              <c:numCache>
                <c:formatCode>General</c:formatCode>
                <c:ptCount val="2"/>
                <c:pt idx="0">
                  <c:v>0</c:v>
                </c:pt>
                <c:pt idx="1">
                  <c:v>0</c:v>
                </c:pt>
              </c:numCache>
            </c:numRef>
          </c:xVal>
          <c:yVal>
            <c:numRef>
              <c:f>System!$BE$132:$BF$132</c:f>
              <c:numCache>
                <c:formatCode>General</c:formatCode>
                <c:ptCount val="2"/>
                <c:pt idx="0">
                  <c:v>0</c:v>
                </c:pt>
                <c:pt idx="1">
                  <c:v>0</c:v>
                </c:pt>
              </c:numCache>
            </c:numRef>
          </c:yVal>
          <c:smooth val="0"/>
          <c:extLst>
            <c:ext xmlns:c16="http://schemas.microsoft.com/office/drawing/2014/chart" uri="{C3380CC4-5D6E-409C-BE32-E72D297353CC}">
              <c16:uniqueId val="{0000005B-C4E9-4F44-B51D-61A8DD92BE00}"/>
            </c:ext>
          </c:extLst>
        </c:ser>
        <c:ser>
          <c:idx val="11"/>
          <c:order val="92"/>
          <c:tx>
            <c:v>Element:12</c:v>
          </c:tx>
          <c:spPr>
            <a:ln w="25400">
              <a:solidFill>
                <a:srgbClr val="000080"/>
              </a:solidFill>
              <a:prstDash val="solid"/>
            </a:ln>
          </c:spPr>
          <c:marker>
            <c:symbol val="none"/>
          </c:marker>
          <c:xVal>
            <c:numRef>
              <c:f>System!$BC$133:$BD$133</c:f>
              <c:numCache>
                <c:formatCode>General</c:formatCode>
                <c:ptCount val="2"/>
                <c:pt idx="0">
                  <c:v>0</c:v>
                </c:pt>
                <c:pt idx="1">
                  <c:v>0</c:v>
                </c:pt>
              </c:numCache>
            </c:numRef>
          </c:xVal>
          <c:yVal>
            <c:numRef>
              <c:f>System!$BE$133:$BF$133</c:f>
              <c:numCache>
                <c:formatCode>General</c:formatCode>
                <c:ptCount val="2"/>
                <c:pt idx="0">
                  <c:v>0</c:v>
                </c:pt>
                <c:pt idx="1">
                  <c:v>0</c:v>
                </c:pt>
              </c:numCache>
            </c:numRef>
          </c:yVal>
          <c:smooth val="0"/>
          <c:extLst>
            <c:ext xmlns:c16="http://schemas.microsoft.com/office/drawing/2014/chart" uri="{C3380CC4-5D6E-409C-BE32-E72D297353CC}">
              <c16:uniqueId val="{0000005C-C4E9-4F44-B51D-61A8DD92BE00}"/>
            </c:ext>
          </c:extLst>
        </c:ser>
        <c:ser>
          <c:idx val="12"/>
          <c:order val="93"/>
          <c:tx>
            <c:v>Element:13</c:v>
          </c:tx>
          <c:spPr>
            <a:ln w="25400">
              <a:solidFill>
                <a:srgbClr val="000080"/>
              </a:solidFill>
              <a:prstDash val="solid"/>
            </a:ln>
          </c:spPr>
          <c:marker>
            <c:symbol val="none"/>
          </c:marker>
          <c:xVal>
            <c:numRef>
              <c:f>System!$BC$134:$BD$134</c:f>
              <c:numCache>
                <c:formatCode>General</c:formatCode>
                <c:ptCount val="2"/>
                <c:pt idx="0">
                  <c:v>0</c:v>
                </c:pt>
                <c:pt idx="1">
                  <c:v>0</c:v>
                </c:pt>
              </c:numCache>
            </c:numRef>
          </c:xVal>
          <c:yVal>
            <c:numRef>
              <c:f>System!$BE$134:$BF$134</c:f>
              <c:numCache>
                <c:formatCode>General</c:formatCode>
                <c:ptCount val="2"/>
                <c:pt idx="0">
                  <c:v>0</c:v>
                </c:pt>
                <c:pt idx="1">
                  <c:v>0</c:v>
                </c:pt>
              </c:numCache>
            </c:numRef>
          </c:yVal>
          <c:smooth val="0"/>
          <c:extLst>
            <c:ext xmlns:c16="http://schemas.microsoft.com/office/drawing/2014/chart" uri="{C3380CC4-5D6E-409C-BE32-E72D297353CC}">
              <c16:uniqueId val="{0000005D-C4E9-4F44-B51D-61A8DD92BE00}"/>
            </c:ext>
          </c:extLst>
        </c:ser>
        <c:ser>
          <c:idx val="13"/>
          <c:order val="94"/>
          <c:tx>
            <c:v>Element:14</c:v>
          </c:tx>
          <c:spPr>
            <a:ln w="25400">
              <a:solidFill>
                <a:srgbClr val="000080"/>
              </a:solidFill>
              <a:prstDash val="solid"/>
            </a:ln>
          </c:spPr>
          <c:marker>
            <c:symbol val="none"/>
          </c:marker>
          <c:xVal>
            <c:numRef>
              <c:f>System!$BC$135:$BD$135</c:f>
              <c:numCache>
                <c:formatCode>General</c:formatCode>
                <c:ptCount val="2"/>
                <c:pt idx="0">
                  <c:v>0</c:v>
                </c:pt>
                <c:pt idx="1">
                  <c:v>0</c:v>
                </c:pt>
              </c:numCache>
            </c:numRef>
          </c:xVal>
          <c:yVal>
            <c:numRef>
              <c:f>System!$BE$135:$BF$135</c:f>
              <c:numCache>
                <c:formatCode>General</c:formatCode>
                <c:ptCount val="2"/>
                <c:pt idx="0">
                  <c:v>0</c:v>
                </c:pt>
                <c:pt idx="1">
                  <c:v>0</c:v>
                </c:pt>
              </c:numCache>
            </c:numRef>
          </c:yVal>
          <c:smooth val="0"/>
          <c:extLst>
            <c:ext xmlns:c16="http://schemas.microsoft.com/office/drawing/2014/chart" uri="{C3380CC4-5D6E-409C-BE32-E72D297353CC}">
              <c16:uniqueId val="{0000005E-C4E9-4F44-B51D-61A8DD92BE00}"/>
            </c:ext>
          </c:extLst>
        </c:ser>
        <c:ser>
          <c:idx val="14"/>
          <c:order val="95"/>
          <c:tx>
            <c:v>Element:15</c:v>
          </c:tx>
          <c:spPr>
            <a:ln w="25400">
              <a:solidFill>
                <a:srgbClr val="000080"/>
              </a:solidFill>
              <a:prstDash val="solid"/>
            </a:ln>
          </c:spPr>
          <c:marker>
            <c:symbol val="none"/>
          </c:marker>
          <c:xVal>
            <c:numRef>
              <c:f>System!$BC$136:$BD$136</c:f>
              <c:numCache>
                <c:formatCode>General</c:formatCode>
                <c:ptCount val="2"/>
                <c:pt idx="0">
                  <c:v>0</c:v>
                </c:pt>
                <c:pt idx="1">
                  <c:v>0</c:v>
                </c:pt>
              </c:numCache>
            </c:numRef>
          </c:xVal>
          <c:yVal>
            <c:numRef>
              <c:f>System!$BE$136:$BF$136</c:f>
              <c:numCache>
                <c:formatCode>General</c:formatCode>
                <c:ptCount val="2"/>
                <c:pt idx="0">
                  <c:v>0</c:v>
                </c:pt>
                <c:pt idx="1">
                  <c:v>0</c:v>
                </c:pt>
              </c:numCache>
            </c:numRef>
          </c:yVal>
          <c:smooth val="0"/>
          <c:extLst>
            <c:ext xmlns:c16="http://schemas.microsoft.com/office/drawing/2014/chart" uri="{C3380CC4-5D6E-409C-BE32-E72D297353CC}">
              <c16:uniqueId val="{0000005F-C4E9-4F44-B51D-61A8DD92BE00}"/>
            </c:ext>
          </c:extLst>
        </c:ser>
        <c:ser>
          <c:idx val="15"/>
          <c:order val="96"/>
          <c:tx>
            <c:v>Element:16</c:v>
          </c:tx>
          <c:spPr>
            <a:ln w="25400">
              <a:solidFill>
                <a:srgbClr val="000080"/>
              </a:solidFill>
              <a:prstDash val="solid"/>
            </a:ln>
          </c:spPr>
          <c:marker>
            <c:symbol val="none"/>
          </c:marker>
          <c:xVal>
            <c:numRef>
              <c:f>System!$BC$137:$BD$137</c:f>
              <c:numCache>
                <c:formatCode>General</c:formatCode>
                <c:ptCount val="2"/>
                <c:pt idx="0">
                  <c:v>0</c:v>
                </c:pt>
                <c:pt idx="1">
                  <c:v>0</c:v>
                </c:pt>
              </c:numCache>
            </c:numRef>
          </c:xVal>
          <c:yVal>
            <c:numRef>
              <c:f>System!$BE$137:$BF$137</c:f>
              <c:numCache>
                <c:formatCode>General</c:formatCode>
                <c:ptCount val="2"/>
                <c:pt idx="0">
                  <c:v>0</c:v>
                </c:pt>
                <c:pt idx="1">
                  <c:v>0</c:v>
                </c:pt>
              </c:numCache>
            </c:numRef>
          </c:yVal>
          <c:smooth val="0"/>
          <c:extLst>
            <c:ext xmlns:c16="http://schemas.microsoft.com/office/drawing/2014/chart" uri="{C3380CC4-5D6E-409C-BE32-E72D297353CC}">
              <c16:uniqueId val="{00000060-C4E9-4F44-B51D-61A8DD92BE00}"/>
            </c:ext>
          </c:extLst>
        </c:ser>
        <c:ser>
          <c:idx val="16"/>
          <c:order val="97"/>
          <c:tx>
            <c:v>Element:17</c:v>
          </c:tx>
          <c:spPr>
            <a:ln w="25400">
              <a:solidFill>
                <a:srgbClr val="000080"/>
              </a:solidFill>
              <a:prstDash val="solid"/>
            </a:ln>
          </c:spPr>
          <c:marker>
            <c:symbol val="none"/>
          </c:marker>
          <c:xVal>
            <c:numRef>
              <c:f>System!$BC$138:$BD$138</c:f>
              <c:numCache>
                <c:formatCode>General</c:formatCode>
                <c:ptCount val="2"/>
                <c:pt idx="0">
                  <c:v>0</c:v>
                </c:pt>
                <c:pt idx="1">
                  <c:v>0</c:v>
                </c:pt>
              </c:numCache>
            </c:numRef>
          </c:xVal>
          <c:yVal>
            <c:numRef>
              <c:f>System!$BE$138:$BF$138</c:f>
              <c:numCache>
                <c:formatCode>General</c:formatCode>
                <c:ptCount val="2"/>
                <c:pt idx="0">
                  <c:v>0</c:v>
                </c:pt>
                <c:pt idx="1">
                  <c:v>0</c:v>
                </c:pt>
              </c:numCache>
            </c:numRef>
          </c:yVal>
          <c:smooth val="0"/>
          <c:extLst>
            <c:ext xmlns:c16="http://schemas.microsoft.com/office/drawing/2014/chart" uri="{C3380CC4-5D6E-409C-BE32-E72D297353CC}">
              <c16:uniqueId val="{00000061-C4E9-4F44-B51D-61A8DD92BE00}"/>
            </c:ext>
          </c:extLst>
        </c:ser>
        <c:ser>
          <c:idx val="17"/>
          <c:order val="98"/>
          <c:tx>
            <c:v>Element:18</c:v>
          </c:tx>
          <c:spPr>
            <a:ln w="25400">
              <a:solidFill>
                <a:srgbClr val="000080"/>
              </a:solidFill>
              <a:prstDash val="solid"/>
            </a:ln>
          </c:spPr>
          <c:marker>
            <c:symbol val="none"/>
          </c:marker>
          <c:xVal>
            <c:numRef>
              <c:f>System!$BC$139:$BD$139</c:f>
              <c:numCache>
                <c:formatCode>General</c:formatCode>
                <c:ptCount val="2"/>
                <c:pt idx="0">
                  <c:v>0</c:v>
                </c:pt>
                <c:pt idx="1">
                  <c:v>0</c:v>
                </c:pt>
              </c:numCache>
            </c:numRef>
          </c:xVal>
          <c:yVal>
            <c:numRef>
              <c:f>System!$BE$139:$BF$139</c:f>
              <c:numCache>
                <c:formatCode>General</c:formatCode>
                <c:ptCount val="2"/>
                <c:pt idx="0">
                  <c:v>0</c:v>
                </c:pt>
                <c:pt idx="1">
                  <c:v>0</c:v>
                </c:pt>
              </c:numCache>
            </c:numRef>
          </c:yVal>
          <c:smooth val="0"/>
          <c:extLst>
            <c:ext xmlns:c16="http://schemas.microsoft.com/office/drawing/2014/chart" uri="{C3380CC4-5D6E-409C-BE32-E72D297353CC}">
              <c16:uniqueId val="{00000062-C4E9-4F44-B51D-61A8DD92BE00}"/>
            </c:ext>
          </c:extLst>
        </c:ser>
        <c:ser>
          <c:idx val="18"/>
          <c:order val="99"/>
          <c:tx>
            <c:v>Element:19</c:v>
          </c:tx>
          <c:spPr>
            <a:ln w="25400">
              <a:solidFill>
                <a:srgbClr val="000080"/>
              </a:solidFill>
              <a:prstDash val="solid"/>
            </a:ln>
          </c:spPr>
          <c:marker>
            <c:symbol val="none"/>
          </c:marker>
          <c:xVal>
            <c:numRef>
              <c:f>System!$BC$140:$BD$140</c:f>
              <c:numCache>
                <c:formatCode>General</c:formatCode>
                <c:ptCount val="2"/>
                <c:pt idx="0">
                  <c:v>0</c:v>
                </c:pt>
                <c:pt idx="1">
                  <c:v>0</c:v>
                </c:pt>
              </c:numCache>
            </c:numRef>
          </c:xVal>
          <c:yVal>
            <c:numRef>
              <c:f>System!$BE$140:$BF$140</c:f>
              <c:numCache>
                <c:formatCode>General</c:formatCode>
                <c:ptCount val="2"/>
                <c:pt idx="0">
                  <c:v>0</c:v>
                </c:pt>
                <c:pt idx="1">
                  <c:v>0</c:v>
                </c:pt>
              </c:numCache>
            </c:numRef>
          </c:yVal>
          <c:smooth val="0"/>
          <c:extLst>
            <c:ext xmlns:c16="http://schemas.microsoft.com/office/drawing/2014/chart" uri="{C3380CC4-5D6E-409C-BE32-E72D297353CC}">
              <c16:uniqueId val="{00000063-C4E9-4F44-B51D-61A8DD92BE00}"/>
            </c:ext>
          </c:extLst>
        </c:ser>
        <c:ser>
          <c:idx val="19"/>
          <c:order val="100"/>
          <c:tx>
            <c:v>Element:20</c:v>
          </c:tx>
          <c:spPr>
            <a:ln w="25400">
              <a:solidFill>
                <a:srgbClr val="000080"/>
              </a:solidFill>
              <a:prstDash val="solid"/>
            </a:ln>
          </c:spPr>
          <c:marker>
            <c:symbol val="none"/>
          </c:marker>
          <c:xVal>
            <c:numRef>
              <c:f>System!$BC$141:$BD$141</c:f>
              <c:numCache>
                <c:formatCode>General</c:formatCode>
                <c:ptCount val="2"/>
                <c:pt idx="0">
                  <c:v>0</c:v>
                </c:pt>
                <c:pt idx="1">
                  <c:v>0</c:v>
                </c:pt>
              </c:numCache>
            </c:numRef>
          </c:xVal>
          <c:yVal>
            <c:numRef>
              <c:f>System!$BE$141:$BF$141</c:f>
              <c:numCache>
                <c:formatCode>General</c:formatCode>
                <c:ptCount val="2"/>
                <c:pt idx="0">
                  <c:v>0</c:v>
                </c:pt>
                <c:pt idx="1">
                  <c:v>0</c:v>
                </c:pt>
              </c:numCache>
            </c:numRef>
          </c:yVal>
          <c:smooth val="0"/>
          <c:extLst>
            <c:ext xmlns:c16="http://schemas.microsoft.com/office/drawing/2014/chart" uri="{C3380CC4-5D6E-409C-BE32-E72D297353CC}">
              <c16:uniqueId val="{00000064-C4E9-4F44-B51D-61A8DD92BE00}"/>
            </c:ext>
          </c:extLst>
        </c:ser>
        <c:ser>
          <c:idx val="161"/>
          <c:order val="101"/>
          <c:tx>
            <c:v>Element:21</c:v>
          </c:tx>
          <c:spPr>
            <a:ln w="25400">
              <a:solidFill>
                <a:srgbClr val="000080"/>
              </a:solidFill>
              <a:prstDash val="solid"/>
            </a:ln>
          </c:spPr>
          <c:marker>
            <c:symbol val="none"/>
          </c:marker>
          <c:xVal>
            <c:numRef>
              <c:f>System!$BC$142:$BD$142</c:f>
              <c:numCache>
                <c:formatCode>General</c:formatCode>
                <c:ptCount val="2"/>
                <c:pt idx="0">
                  <c:v>0</c:v>
                </c:pt>
                <c:pt idx="1">
                  <c:v>0</c:v>
                </c:pt>
              </c:numCache>
            </c:numRef>
          </c:xVal>
          <c:yVal>
            <c:numRef>
              <c:f>System!$BE$142:$BF$142</c:f>
              <c:numCache>
                <c:formatCode>General</c:formatCode>
                <c:ptCount val="2"/>
                <c:pt idx="0">
                  <c:v>0</c:v>
                </c:pt>
                <c:pt idx="1">
                  <c:v>0</c:v>
                </c:pt>
              </c:numCache>
            </c:numRef>
          </c:yVal>
          <c:smooth val="0"/>
          <c:extLst>
            <c:ext xmlns:c16="http://schemas.microsoft.com/office/drawing/2014/chart" uri="{C3380CC4-5D6E-409C-BE32-E72D297353CC}">
              <c16:uniqueId val="{00000065-C4E9-4F44-B51D-61A8DD92BE00}"/>
            </c:ext>
          </c:extLst>
        </c:ser>
        <c:ser>
          <c:idx val="162"/>
          <c:order val="102"/>
          <c:tx>
            <c:v>Element:22</c:v>
          </c:tx>
          <c:spPr>
            <a:ln w="25400">
              <a:solidFill>
                <a:srgbClr val="000080"/>
              </a:solidFill>
              <a:prstDash val="solid"/>
            </a:ln>
          </c:spPr>
          <c:marker>
            <c:symbol val="none"/>
          </c:marker>
          <c:xVal>
            <c:numRef>
              <c:f>System!$BC$143:$BD$143</c:f>
              <c:numCache>
                <c:formatCode>General</c:formatCode>
                <c:ptCount val="2"/>
                <c:pt idx="0">
                  <c:v>0</c:v>
                </c:pt>
                <c:pt idx="1">
                  <c:v>0</c:v>
                </c:pt>
              </c:numCache>
            </c:numRef>
          </c:xVal>
          <c:yVal>
            <c:numRef>
              <c:f>System!$BE$143:$BF$143</c:f>
              <c:numCache>
                <c:formatCode>General</c:formatCode>
                <c:ptCount val="2"/>
                <c:pt idx="0">
                  <c:v>0</c:v>
                </c:pt>
                <c:pt idx="1">
                  <c:v>0</c:v>
                </c:pt>
              </c:numCache>
            </c:numRef>
          </c:yVal>
          <c:smooth val="0"/>
          <c:extLst>
            <c:ext xmlns:c16="http://schemas.microsoft.com/office/drawing/2014/chart" uri="{C3380CC4-5D6E-409C-BE32-E72D297353CC}">
              <c16:uniqueId val="{00000066-C4E9-4F44-B51D-61A8DD92BE00}"/>
            </c:ext>
          </c:extLst>
        </c:ser>
        <c:ser>
          <c:idx val="163"/>
          <c:order val="103"/>
          <c:tx>
            <c:v>Element:23</c:v>
          </c:tx>
          <c:spPr>
            <a:ln w="25400">
              <a:solidFill>
                <a:srgbClr val="000080"/>
              </a:solidFill>
              <a:prstDash val="solid"/>
            </a:ln>
          </c:spPr>
          <c:marker>
            <c:symbol val="none"/>
          </c:marker>
          <c:xVal>
            <c:numRef>
              <c:f>System!$BC$144:$BD$144</c:f>
              <c:numCache>
                <c:formatCode>General</c:formatCode>
                <c:ptCount val="2"/>
                <c:pt idx="0">
                  <c:v>0</c:v>
                </c:pt>
                <c:pt idx="1">
                  <c:v>0</c:v>
                </c:pt>
              </c:numCache>
            </c:numRef>
          </c:xVal>
          <c:yVal>
            <c:numRef>
              <c:f>System!$BE$144:$BF$144</c:f>
              <c:numCache>
                <c:formatCode>General</c:formatCode>
                <c:ptCount val="2"/>
                <c:pt idx="0">
                  <c:v>0</c:v>
                </c:pt>
                <c:pt idx="1">
                  <c:v>0</c:v>
                </c:pt>
              </c:numCache>
            </c:numRef>
          </c:yVal>
          <c:smooth val="0"/>
          <c:extLst>
            <c:ext xmlns:c16="http://schemas.microsoft.com/office/drawing/2014/chart" uri="{C3380CC4-5D6E-409C-BE32-E72D297353CC}">
              <c16:uniqueId val="{00000067-C4E9-4F44-B51D-61A8DD92BE00}"/>
            </c:ext>
          </c:extLst>
        </c:ser>
        <c:ser>
          <c:idx val="164"/>
          <c:order val="104"/>
          <c:tx>
            <c:v>Element:24</c:v>
          </c:tx>
          <c:spPr>
            <a:ln w="25400">
              <a:solidFill>
                <a:srgbClr val="000080"/>
              </a:solidFill>
              <a:prstDash val="solid"/>
            </a:ln>
          </c:spPr>
          <c:marker>
            <c:symbol val="none"/>
          </c:marker>
          <c:xVal>
            <c:numRef>
              <c:f>System!$BC$145:$BD$145</c:f>
              <c:numCache>
                <c:formatCode>General</c:formatCode>
                <c:ptCount val="2"/>
                <c:pt idx="0">
                  <c:v>0</c:v>
                </c:pt>
                <c:pt idx="1">
                  <c:v>0</c:v>
                </c:pt>
              </c:numCache>
            </c:numRef>
          </c:xVal>
          <c:yVal>
            <c:numRef>
              <c:f>System!$BE$145:$BF$145</c:f>
              <c:numCache>
                <c:formatCode>General</c:formatCode>
                <c:ptCount val="2"/>
                <c:pt idx="0">
                  <c:v>0</c:v>
                </c:pt>
                <c:pt idx="1">
                  <c:v>0</c:v>
                </c:pt>
              </c:numCache>
            </c:numRef>
          </c:yVal>
          <c:smooth val="0"/>
          <c:extLst>
            <c:ext xmlns:c16="http://schemas.microsoft.com/office/drawing/2014/chart" uri="{C3380CC4-5D6E-409C-BE32-E72D297353CC}">
              <c16:uniqueId val="{00000068-C4E9-4F44-B51D-61A8DD92BE00}"/>
            </c:ext>
          </c:extLst>
        </c:ser>
        <c:ser>
          <c:idx val="165"/>
          <c:order val="105"/>
          <c:tx>
            <c:v>Element:25</c:v>
          </c:tx>
          <c:spPr>
            <a:ln w="25400">
              <a:solidFill>
                <a:srgbClr val="000080"/>
              </a:solidFill>
              <a:prstDash val="solid"/>
            </a:ln>
          </c:spPr>
          <c:marker>
            <c:symbol val="none"/>
          </c:marker>
          <c:xVal>
            <c:numRef>
              <c:f>System!$BC$146:$BD$146</c:f>
              <c:numCache>
                <c:formatCode>General</c:formatCode>
                <c:ptCount val="2"/>
                <c:pt idx="0">
                  <c:v>0</c:v>
                </c:pt>
                <c:pt idx="1">
                  <c:v>0</c:v>
                </c:pt>
              </c:numCache>
            </c:numRef>
          </c:xVal>
          <c:yVal>
            <c:numRef>
              <c:f>System!$BE$146:$BF$146</c:f>
              <c:numCache>
                <c:formatCode>General</c:formatCode>
                <c:ptCount val="2"/>
                <c:pt idx="0">
                  <c:v>0</c:v>
                </c:pt>
                <c:pt idx="1">
                  <c:v>0</c:v>
                </c:pt>
              </c:numCache>
            </c:numRef>
          </c:yVal>
          <c:smooth val="0"/>
          <c:extLst>
            <c:ext xmlns:c16="http://schemas.microsoft.com/office/drawing/2014/chart" uri="{C3380CC4-5D6E-409C-BE32-E72D297353CC}">
              <c16:uniqueId val="{00000069-C4E9-4F44-B51D-61A8DD92BE00}"/>
            </c:ext>
          </c:extLst>
        </c:ser>
        <c:ser>
          <c:idx val="166"/>
          <c:order val="106"/>
          <c:tx>
            <c:v>Element:26</c:v>
          </c:tx>
          <c:spPr>
            <a:ln w="25400">
              <a:solidFill>
                <a:srgbClr val="000080"/>
              </a:solidFill>
              <a:prstDash val="solid"/>
            </a:ln>
          </c:spPr>
          <c:marker>
            <c:symbol val="none"/>
          </c:marker>
          <c:xVal>
            <c:numRef>
              <c:f>System!$BC$147:$BD$147</c:f>
              <c:numCache>
                <c:formatCode>General</c:formatCode>
                <c:ptCount val="2"/>
                <c:pt idx="0">
                  <c:v>0</c:v>
                </c:pt>
                <c:pt idx="1">
                  <c:v>0</c:v>
                </c:pt>
              </c:numCache>
            </c:numRef>
          </c:xVal>
          <c:yVal>
            <c:numRef>
              <c:f>System!$BE$147:$BF$147</c:f>
              <c:numCache>
                <c:formatCode>General</c:formatCode>
                <c:ptCount val="2"/>
                <c:pt idx="0">
                  <c:v>0</c:v>
                </c:pt>
                <c:pt idx="1">
                  <c:v>0</c:v>
                </c:pt>
              </c:numCache>
            </c:numRef>
          </c:yVal>
          <c:smooth val="0"/>
          <c:extLst>
            <c:ext xmlns:c16="http://schemas.microsoft.com/office/drawing/2014/chart" uri="{C3380CC4-5D6E-409C-BE32-E72D297353CC}">
              <c16:uniqueId val="{0000006A-C4E9-4F44-B51D-61A8DD92BE00}"/>
            </c:ext>
          </c:extLst>
        </c:ser>
        <c:ser>
          <c:idx val="167"/>
          <c:order val="107"/>
          <c:tx>
            <c:v>Element:27</c:v>
          </c:tx>
          <c:spPr>
            <a:ln w="25400">
              <a:solidFill>
                <a:srgbClr val="000080"/>
              </a:solidFill>
              <a:prstDash val="solid"/>
            </a:ln>
          </c:spPr>
          <c:marker>
            <c:symbol val="none"/>
          </c:marker>
          <c:xVal>
            <c:numRef>
              <c:f>System!$BC$148:$BD$148</c:f>
              <c:numCache>
                <c:formatCode>General</c:formatCode>
                <c:ptCount val="2"/>
                <c:pt idx="0">
                  <c:v>0</c:v>
                </c:pt>
                <c:pt idx="1">
                  <c:v>0</c:v>
                </c:pt>
              </c:numCache>
            </c:numRef>
          </c:xVal>
          <c:yVal>
            <c:numRef>
              <c:f>System!$BE$148:$BF$148</c:f>
              <c:numCache>
                <c:formatCode>General</c:formatCode>
                <c:ptCount val="2"/>
                <c:pt idx="0">
                  <c:v>0</c:v>
                </c:pt>
                <c:pt idx="1">
                  <c:v>0</c:v>
                </c:pt>
              </c:numCache>
            </c:numRef>
          </c:yVal>
          <c:smooth val="0"/>
          <c:extLst>
            <c:ext xmlns:c16="http://schemas.microsoft.com/office/drawing/2014/chart" uri="{C3380CC4-5D6E-409C-BE32-E72D297353CC}">
              <c16:uniqueId val="{0000006B-C4E9-4F44-B51D-61A8DD92BE00}"/>
            </c:ext>
          </c:extLst>
        </c:ser>
        <c:ser>
          <c:idx val="168"/>
          <c:order val="108"/>
          <c:tx>
            <c:v>Element:28</c:v>
          </c:tx>
          <c:spPr>
            <a:ln w="25400">
              <a:solidFill>
                <a:srgbClr val="000080"/>
              </a:solidFill>
              <a:prstDash val="solid"/>
            </a:ln>
          </c:spPr>
          <c:marker>
            <c:symbol val="none"/>
          </c:marker>
          <c:xVal>
            <c:numRef>
              <c:f>System!$BC$149:$BD$149</c:f>
              <c:numCache>
                <c:formatCode>General</c:formatCode>
                <c:ptCount val="2"/>
                <c:pt idx="0">
                  <c:v>0</c:v>
                </c:pt>
                <c:pt idx="1">
                  <c:v>0</c:v>
                </c:pt>
              </c:numCache>
            </c:numRef>
          </c:xVal>
          <c:yVal>
            <c:numRef>
              <c:f>System!$BE$149:$BF$149</c:f>
              <c:numCache>
                <c:formatCode>General</c:formatCode>
                <c:ptCount val="2"/>
                <c:pt idx="0">
                  <c:v>0</c:v>
                </c:pt>
                <c:pt idx="1">
                  <c:v>0</c:v>
                </c:pt>
              </c:numCache>
            </c:numRef>
          </c:yVal>
          <c:smooth val="0"/>
          <c:extLst>
            <c:ext xmlns:c16="http://schemas.microsoft.com/office/drawing/2014/chart" uri="{C3380CC4-5D6E-409C-BE32-E72D297353CC}">
              <c16:uniqueId val="{0000006C-C4E9-4F44-B51D-61A8DD92BE00}"/>
            </c:ext>
          </c:extLst>
        </c:ser>
        <c:ser>
          <c:idx val="169"/>
          <c:order val="109"/>
          <c:tx>
            <c:v>Element:29</c:v>
          </c:tx>
          <c:spPr>
            <a:ln w="25400">
              <a:solidFill>
                <a:srgbClr val="000080"/>
              </a:solidFill>
              <a:prstDash val="solid"/>
            </a:ln>
          </c:spPr>
          <c:marker>
            <c:symbol val="none"/>
          </c:marker>
          <c:xVal>
            <c:numRef>
              <c:f>System!$BC$150:$BD$150</c:f>
              <c:numCache>
                <c:formatCode>General</c:formatCode>
                <c:ptCount val="2"/>
                <c:pt idx="0">
                  <c:v>0</c:v>
                </c:pt>
                <c:pt idx="1">
                  <c:v>0</c:v>
                </c:pt>
              </c:numCache>
            </c:numRef>
          </c:xVal>
          <c:yVal>
            <c:numRef>
              <c:f>System!$BE$150:$BF$150</c:f>
              <c:numCache>
                <c:formatCode>General</c:formatCode>
                <c:ptCount val="2"/>
                <c:pt idx="0">
                  <c:v>0</c:v>
                </c:pt>
                <c:pt idx="1">
                  <c:v>0</c:v>
                </c:pt>
              </c:numCache>
            </c:numRef>
          </c:yVal>
          <c:smooth val="0"/>
          <c:extLst>
            <c:ext xmlns:c16="http://schemas.microsoft.com/office/drawing/2014/chart" uri="{C3380CC4-5D6E-409C-BE32-E72D297353CC}">
              <c16:uniqueId val="{0000006D-C4E9-4F44-B51D-61A8DD92BE00}"/>
            </c:ext>
          </c:extLst>
        </c:ser>
        <c:ser>
          <c:idx val="170"/>
          <c:order val="110"/>
          <c:tx>
            <c:v>Element:30</c:v>
          </c:tx>
          <c:spPr>
            <a:ln w="25400">
              <a:solidFill>
                <a:srgbClr val="000080"/>
              </a:solidFill>
              <a:prstDash val="solid"/>
            </a:ln>
          </c:spPr>
          <c:marker>
            <c:symbol val="none"/>
          </c:marker>
          <c:xVal>
            <c:numRef>
              <c:f>System!$BC$151:$BD$151</c:f>
              <c:numCache>
                <c:formatCode>General</c:formatCode>
                <c:ptCount val="2"/>
                <c:pt idx="0">
                  <c:v>0</c:v>
                </c:pt>
                <c:pt idx="1">
                  <c:v>0</c:v>
                </c:pt>
              </c:numCache>
            </c:numRef>
          </c:xVal>
          <c:yVal>
            <c:numRef>
              <c:f>System!$BE$151:$BF$151</c:f>
              <c:numCache>
                <c:formatCode>General</c:formatCode>
                <c:ptCount val="2"/>
                <c:pt idx="0">
                  <c:v>0</c:v>
                </c:pt>
                <c:pt idx="1">
                  <c:v>0</c:v>
                </c:pt>
              </c:numCache>
            </c:numRef>
          </c:yVal>
          <c:smooth val="0"/>
          <c:extLst>
            <c:ext xmlns:c16="http://schemas.microsoft.com/office/drawing/2014/chart" uri="{C3380CC4-5D6E-409C-BE32-E72D297353CC}">
              <c16:uniqueId val="{0000006E-C4E9-4F44-B51D-61A8DD92BE00}"/>
            </c:ext>
          </c:extLst>
        </c:ser>
        <c:ser>
          <c:idx val="172"/>
          <c:order val="111"/>
          <c:tx>
            <c:v>Element:32</c:v>
          </c:tx>
          <c:spPr>
            <a:ln w="25400">
              <a:solidFill>
                <a:srgbClr val="000080"/>
              </a:solidFill>
              <a:prstDash val="solid"/>
            </a:ln>
          </c:spPr>
          <c:marker>
            <c:symbol val="none"/>
          </c:marker>
          <c:xVal>
            <c:numRef>
              <c:f>System!$BC$153:$BD$153</c:f>
              <c:numCache>
                <c:formatCode>General</c:formatCode>
                <c:ptCount val="2"/>
                <c:pt idx="0">
                  <c:v>0</c:v>
                </c:pt>
                <c:pt idx="1">
                  <c:v>0</c:v>
                </c:pt>
              </c:numCache>
            </c:numRef>
          </c:xVal>
          <c:yVal>
            <c:numRef>
              <c:f>System!$BE$153:$BF$153</c:f>
              <c:numCache>
                <c:formatCode>General</c:formatCode>
                <c:ptCount val="2"/>
                <c:pt idx="0">
                  <c:v>0</c:v>
                </c:pt>
                <c:pt idx="1">
                  <c:v>0</c:v>
                </c:pt>
              </c:numCache>
            </c:numRef>
          </c:yVal>
          <c:smooth val="0"/>
          <c:extLst>
            <c:ext xmlns:c16="http://schemas.microsoft.com/office/drawing/2014/chart" uri="{C3380CC4-5D6E-409C-BE32-E72D297353CC}">
              <c16:uniqueId val="{0000006F-C4E9-4F44-B51D-61A8DD92BE00}"/>
            </c:ext>
          </c:extLst>
        </c:ser>
        <c:ser>
          <c:idx val="173"/>
          <c:order val="112"/>
          <c:tx>
            <c:v>Element:33</c:v>
          </c:tx>
          <c:spPr>
            <a:ln w="25400">
              <a:solidFill>
                <a:srgbClr val="000080"/>
              </a:solidFill>
              <a:prstDash val="solid"/>
            </a:ln>
          </c:spPr>
          <c:marker>
            <c:symbol val="none"/>
          </c:marker>
          <c:xVal>
            <c:numRef>
              <c:f>System!$BC$154:$BD$154</c:f>
              <c:numCache>
                <c:formatCode>General</c:formatCode>
                <c:ptCount val="2"/>
                <c:pt idx="0">
                  <c:v>0</c:v>
                </c:pt>
                <c:pt idx="1">
                  <c:v>0</c:v>
                </c:pt>
              </c:numCache>
            </c:numRef>
          </c:xVal>
          <c:yVal>
            <c:numRef>
              <c:f>System!$BE$154:$BF$154</c:f>
              <c:numCache>
                <c:formatCode>General</c:formatCode>
                <c:ptCount val="2"/>
                <c:pt idx="0">
                  <c:v>0</c:v>
                </c:pt>
                <c:pt idx="1">
                  <c:v>0</c:v>
                </c:pt>
              </c:numCache>
            </c:numRef>
          </c:yVal>
          <c:smooth val="0"/>
          <c:extLst>
            <c:ext xmlns:c16="http://schemas.microsoft.com/office/drawing/2014/chart" uri="{C3380CC4-5D6E-409C-BE32-E72D297353CC}">
              <c16:uniqueId val="{00000070-C4E9-4F44-B51D-61A8DD92BE00}"/>
            </c:ext>
          </c:extLst>
        </c:ser>
        <c:ser>
          <c:idx val="174"/>
          <c:order val="113"/>
          <c:tx>
            <c:v>Element:34</c:v>
          </c:tx>
          <c:spPr>
            <a:ln w="25400">
              <a:solidFill>
                <a:srgbClr val="000080"/>
              </a:solidFill>
              <a:prstDash val="solid"/>
            </a:ln>
          </c:spPr>
          <c:marker>
            <c:symbol val="none"/>
          </c:marker>
          <c:xVal>
            <c:numRef>
              <c:f>System!$BC$155:$BD$155</c:f>
              <c:numCache>
                <c:formatCode>General</c:formatCode>
                <c:ptCount val="2"/>
                <c:pt idx="0">
                  <c:v>0</c:v>
                </c:pt>
                <c:pt idx="1">
                  <c:v>0</c:v>
                </c:pt>
              </c:numCache>
            </c:numRef>
          </c:xVal>
          <c:yVal>
            <c:numRef>
              <c:f>System!$BE$155:$BF$155</c:f>
              <c:numCache>
                <c:formatCode>General</c:formatCode>
                <c:ptCount val="2"/>
                <c:pt idx="0">
                  <c:v>0</c:v>
                </c:pt>
                <c:pt idx="1">
                  <c:v>0</c:v>
                </c:pt>
              </c:numCache>
            </c:numRef>
          </c:yVal>
          <c:smooth val="0"/>
          <c:extLst>
            <c:ext xmlns:c16="http://schemas.microsoft.com/office/drawing/2014/chart" uri="{C3380CC4-5D6E-409C-BE32-E72D297353CC}">
              <c16:uniqueId val="{00000071-C4E9-4F44-B51D-61A8DD92BE00}"/>
            </c:ext>
          </c:extLst>
        </c:ser>
        <c:ser>
          <c:idx val="175"/>
          <c:order val="114"/>
          <c:tx>
            <c:v>Element:35</c:v>
          </c:tx>
          <c:spPr>
            <a:ln w="25400">
              <a:solidFill>
                <a:srgbClr val="000080"/>
              </a:solidFill>
              <a:prstDash val="solid"/>
            </a:ln>
          </c:spPr>
          <c:marker>
            <c:symbol val="none"/>
          </c:marker>
          <c:xVal>
            <c:numRef>
              <c:f>System!$BC$156:$BD$156</c:f>
              <c:numCache>
                <c:formatCode>General</c:formatCode>
                <c:ptCount val="2"/>
                <c:pt idx="0">
                  <c:v>0</c:v>
                </c:pt>
                <c:pt idx="1">
                  <c:v>0</c:v>
                </c:pt>
              </c:numCache>
            </c:numRef>
          </c:xVal>
          <c:yVal>
            <c:numRef>
              <c:f>System!$BE$156:$BF$156</c:f>
              <c:numCache>
                <c:formatCode>General</c:formatCode>
                <c:ptCount val="2"/>
                <c:pt idx="0">
                  <c:v>0</c:v>
                </c:pt>
                <c:pt idx="1">
                  <c:v>0</c:v>
                </c:pt>
              </c:numCache>
            </c:numRef>
          </c:yVal>
          <c:smooth val="0"/>
          <c:extLst>
            <c:ext xmlns:c16="http://schemas.microsoft.com/office/drawing/2014/chart" uri="{C3380CC4-5D6E-409C-BE32-E72D297353CC}">
              <c16:uniqueId val="{00000072-C4E9-4F44-B51D-61A8DD92BE00}"/>
            </c:ext>
          </c:extLst>
        </c:ser>
        <c:ser>
          <c:idx val="176"/>
          <c:order val="115"/>
          <c:tx>
            <c:v>Element:36</c:v>
          </c:tx>
          <c:spPr>
            <a:ln w="19050">
              <a:solidFill>
                <a:schemeClr val="tx1"/>
              </a:solidFill>
              <a:prstDash val="solid"/>
              <a:round/>
            </a:ln>
          </c:spPr>
          <c:marker>
            <c:symbol val="none"/>
          </c:marker>
          <c:xVal>
            <c:numRef>
              <c:f>System!$BC$157:$BD$157</c:f>
              <c:numCache>
                <c:formatCode>General</c:formatCode>
                <c:ptCount val="2"/>
                <c:pt idx="0">
                  <c:v>0</c:v>
                </c:pt>
                <c:pt idx="1">
                  <c:v>0</c:v>
                </c:pt>
              </c:numCache>
            </c:numRef>
          </c:xVal>
          <c:yVal>
            <c:numRef>
              <c:f>System!$BE$157:$BF$157</c:f>
              <c:numCache>
                <c:formatCode>General</c:formatCode>
                <c:ptCount val="2"/>
                <c:pt idx="0">
                  <c:v>0</c:v>
                </c:pt>
                <c:pt idx="1">
                  <c:v>0</c:v>
                </c:pt>
              </c:numCache>
            </c:numRef>
          </c:yVal>
          <c:smooth val="0"/>
          <c:extLst>
            <c:ext xmlns:c16="http://schemas.microsoft.com/office/drawing/2014/chart" uri="{C3380CC4-5D6E-409C-BE32-E72D297353CC}">
              <c16:uniqueId val="{00000073-C4E9-4F44-B51D-61A8DD92BE00}"/>
            </c:ext>
          </c:extLst>
        </c:ser>
        <c:ser>
          <c:idx val="177"/>
          <c:order val="116"/>
          <c:tx>
            <c:v>Element:37</c:v>
          </c:tx>
          <c:spPr>
            <a:ln w="19050">
              <a:solidFill>
                <a:schemeClr val="tx1"/>
              </a:solidFill>
              <a:prstDash val="solid"/>
            </a:ln>
          </c:spPr>
          <c:marker>
            <c:symbol val="none"/>
          </c:marker>
          <c:xVal>
            <c:numRef>
              <c:f>System!$BC$158:$BD$158</c:f>
              <c:numCache>
                <c:formatCode>General</c:formatCode>
                <c:ptCount val="2"/>
                <c:pt idx="0">
                  <c:v>0</c:v>
                </c:pt>
                <c:pt idx="1">
                  <c:v>0</c:v>
                </c:pt>
              </c:numCache>
            </c:numRef>
          </c:xVal>
          <c:yVal>
            <c:numRef>
              <c:f>System!$BE$158:$BF$158</c:f>
              <c:numCache>
                <c:formatCode>General</c:formatCode>
                <c:ptCount val="2"/>
                <c:pt idx="0">
                  <c:v>0</c:v>
                </c:pt>
                <c:pt idx="1">
                  <c:v>0</c:v>
                </c:pt>
              </c:numCache>
            </c:numRef>
          </c:yVal>
          <c:smooth val="0"/>
          <c:extLst>
            <c:ext xmlns:c16="http://schemas.microsoft.com/office/drawing/2014/chart" uri="{C3380CC4-5D6E-409C-BE32-E72D297353CC}">
              <c16:uniqueId val="{00000074-C4E9-4F44-B51D-61A8DD92BE00}"/>
            </c:ext>
          </c:extLst>
        </c:ser>
        <c:ser>
          <c:idx val="178"/>
          <c:order val="117"/>
          <c:tx>
            <c:v>Element:38</c:v>
          </c:tx>
          <c:spPr>
            <a:ln w="25400">
              <a:solidFill>
                <a:srgbClr val="000080"/>
              </a:solidFill>
              <a:prstDash val="solid"/>
            </a:ln>
          </c:spPr>
          <c:marker>
            <c:symbol val="none"/>
          </c:marker>
          <c:xVal>
            <c:numRef>
              <c:f>System!$BC$159:$BD$159</c:f>
              <c:numCache>
                <c:formatCode>General</c:formatCode>
                <c:ptCount val="2"/>
                <c:pt idx="0">
                  <c:v>0</c:v>
                </c:pt>
                <c:pt idx="1">
                  <c:v>0</c:v>
                </c:pt>
              </c:numCache>
            </c:numRef>
          </c:xVal>
          <c:yVal>
            <c:numRef>
              <c:f>System!$BE$159:$BF$159</c:f>
              <c:numCache>
                <c:formatCode>General</c:formatCode>
                <c:ptCount val="2"/>
                <c:pt idx="0">
                  <c:v>0</c:v>
                </c:pt>
                <c:pt idx="1">
                  <c:v>0</c:v>
                </c:pt>
              </c:numCache>
            </c:numRef>
          </c:yVal>
          <c:smooth val="0"/>
          <c:extLst>
            <c:ext xmlns:c16="http://schemas.microsoft.com/office/drawing/2014/chart" uri="{C3380CC4-5D6E-409C-BE32-E72D297353CC}">
              <c16:uniqueId val="{00000075-C4E9-4F44-B51D-61A8DD92BE00}"/>
            </c:ext>
          </c:extLst>
        </c:ser>
        <c:ser>
          <c:idx val="179"/>
          <c:order val="118"/>
          <c:tx>
            <c:v>Element:39</c:v>
          </c:tx>
          <c:spPr>
            <a:ln w="25400">
              <a:solidFill>
                <a:srgbClr val="000080"/>
              </a:solidFill>
              <a:prstDash val="solid"/>
            </a:ln>
          </c:spPr>
          <c:marker>
            <c:symbol val="none"/>
          </c:marker>
          <c:xVal>
            <c:numRef>
              <c:f>System!$BC$160:$BD$160</c:f>
              <c:numCache>
                <c:formatCode>General</c:formatCode>
                <c:ptCount val="2"/>
                <c:pt idx="0">
                  <c:v>0</c:v>
                </c:pt>
                <c:pt idx="1">
                  <c:v>0</c:v>
                </c:pt>
              </c:numCache>
            </c:numRef>
          </c:xVal>
          <c:yVal>
            <c:numRef>
              <c:f>System!$BE$160:$BF$160</c:f>
              <c:numCache>
                <c:formatCode>General</c:formatCode>
                <c:ptCount val="2"/>
                <c:pt idx="0">
                  <c:v>0</c:v>
                </c:pt>
                <c:pt idx="1">
                  <c:v>0</c:v>
                </c:pt>
              </c:numCache>
            </c:numRef>
          </c:yVal>
          <c:smooth val="0"/>
          <c:extLst>
            <c:ext xmlns:c16="http://schemas.microsoft.com/office/drawing/2014/chart" uri="{C3380CC4-5D6E-409C-BE32-E72D297353CC}">
              <c16:uniqueId val="{00000076-C4E9-4F44-B51D-61A8DD92BE00}"/>
            </c:ext>
          </c:extLst>
        </c:ser>
        <c:ser>
          <c:idx val="180"/>
          <c:order val="119"/>
          <c:tx>
            <c:v>Element:40</c:v>
          </c:tx>
          <c:spPr>
            <a:ln w="25400">
              <a:solidFill>
                <a:srgbClr val="000080"/>
              </a:solidFill>
              <a:prstDash val="solid"/>
            </a:ln>
          </c:spPr>
          <c:marker>
            <c:symbol val="none"/>
          </c:marker>
          <c:xVal>
            <c:numRef>
              <c:f>System!$BC$161:$BD$161</c:f>
              <c:numCache>
                <c:formatCode>General</c:formatCode>
                <c:ptCount val="2"/>
                <c:pt idx="0">
                  <c:v>0</c:v>
                </c:pt>
                <c:pt idx="1">
                  <c:v>0</c:v>
                </c:pt>
              </c:numCache>
            </c:numRef>
          </c:xVal>
          <c:yVal>
            <c:numRef>
              <c:f>System!$BE$161:$BF$161</c:f>
              <c:numCache>
                <c:formatCode>General</c:formatCode>
                <c:ptCount val="2"/>
                <c:pt idx="0">
                  <c:v>0</c:v>
                </c:pt>
                <c:pt idx="1">
                  <c:v>0</c:v>
                </c:pt>
              </c:numCache>
            </c:numRef>
          </c:yVal>
          <c:smooth val="0"/>
          <c:extLst>
            <c:ext xmlns:c16="http://schemas.microsoft.com/office/drawing/2014/chart" uri="{C3380CC4-5D6E-409C-BE32-E72D297353CC}">
              <c16:uniqueId val="{00000077-C4E9-4F44-B51D-61A8DD92BE00}"/>
            </c:ext>
          </c:extLst>
        </c:ser>
        <c:ser>
          <c:idx val="141"/>
          <c:order val="120"/>
          <c:tx>
            <c:v>Elementlast1</c:v>
          </c:tx>
          <c:spPr>
            <a:ln w="12700">
              <a:solidFill>
                <a:schemeClr val="bg1">
                  <a:lumMod val="50000"/>
                </a:schemeClr>
              </a:solidFill>
              <a:prstDash val="solid"/>
            </a:ln>
          </c:spPr>
          <c:marker>
            <c:symbol val="none"/>
          </c:marker>
          <c:xVal>
            <c:numRef>
              <c:f>ELasten!$B$47:$R$47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ELasten!$S$47:$AI$47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8-C4E9-4F44-B51D-61A8DD92BE00}"/>
            </c:ext>
          </c:extLst>
        </c:ser>
        <c:ser>
          <c:idx val="142"/>
          <c:order val="121"/>
          <c:tx>
            <c:v>Elementlast2</c:v>
          </c:tx>
          <c:spPr>
            <a:ln w="12700">
              <a:solidFill>
                <a:srgbClr val="808080"/>
              </a:solidFill>
              <a:prstDash val="solid"/>
            </a:ln>
          </c:spPr>
          <c:marker>
            <c:symbol val="none"/>
          </c:marker>
          <c:xVal>
            <c:numRef>
              <c:f>ELasten!$B$48:$R$48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ELasten!$S$48:$AI$48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9-C4E9-4F44-B51D-61A8DD92BE00}"/>
            </c:ext>
          </c:extLst>
        </c:ser>
        <c:ser>
          <c:idx val="143"/>
          <c:order val="122"/>
          <c:tx>
            <c:v>Elementlast3</c:v>
          </c:tx>
          <c:spPr>
            <a:ln w="12700">
              <a:solidFill>
                <a:srgbClr val="808080"/>
              </a:solidFill>
              <a:prstDash val="solid"/>
            </a:ln>
          </c:spPr>
          <c:marker>
            <c:symbol val="none"/>
          </c:marker>
          <c:xVal>
            <c:numRef>
              <c:f>ELasten!$B$49:$R$49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ELasten!$S$49:$AI$49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A-C4E9-4F44-B51D-61A8DD92BE00}"/>
            </c:ext>
          </c:extLst>
        </c:ser>
        <c:ser>
          <c:idx val="144"/>
          <c:order val="123"/>
          <c:tx>
            <c:v>Elementlast4</c:v>
          </c:tx>
          <c:spPr>
            <a:ln w="12700">
              <a:solidFill>
                <a:srgbClr val="808080"/>
              </a:solidFill>
              <a:prstDash val="solid"/>
            </a:ln>
          </c:spPr>
          <c:marker>
            <c:symbol val="none"/>
          </c:marker>
          <c:xVal>
            <c:numRef>
              <c:f>ELasten!$B$50:$R$50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ELasten!$S$50:$AI$50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B-C4E9-4F44-B51D-61A8DD92BE00}"/>
            </c:ext>
          </c:extLst>
        </c:ser>
        <c:ser>
          <c:idx val="145"/>
          <c:order val="124"/>
          <c:tx>
            <c:v>Elementlast5</c:v>
          </c:tx>
          <c:spPr>
            <a:ln w="12700">
              <a:solidFill>
                <a:srgbClr val="808080"/>
              </a:solidFill>
              <a:prstDash val="solid"/>
            </a:ln>
          </c:spPr>
          <c:marker>
            <c:symbol val="none"/>
          </c:marker>
          <c:xVal>
            <c:numRef>
              <c:f>ELasten!$B$51:$R$51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ELasten!$S$51:$AI$51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C-C4E9-4F44-B51D-61A8DD92BE00}"/>
            </c:ext>
          </c:extLst>
        </c:ser>
        <c:ser>
          <c:idx val="146"/>
          <c:order val="125"/>
          <c:tx>
            <c:v>Elementlast6</c:v>
          </c:tx>
          <c:spPr>
            <a:ln w="12700">
              <a:solidFill>
                <a:srgbClr val="808080"/>
              </a:solidFill>
              <a:prstDash val="solid"/>
            </a:ln>
          </c:spPr>
          <c:marker>
            <c:symbol val="none"/>
          </c:marker>
          <c:xVal>
            <c:numRef>
              <c:f>ELasten!$B$52:$R$52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ELasten!$S$52:$AI$52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D-C4E9-4F44-B51D-61A8DD92BE00}"/>
            </c:ext>
          </c:extLst>
        </c:ser>
        <c:ser>
          <c:idx val="147"/>
          <c:order val="126"/>
          <c:tx>
            <c:v>Elementlast7</c:v>
          </c:tx>
          <c:spPr>
            <a:ln w="12700">
              <a:solidFill>
                <a:srgbClr val="808080"/>
              </a:solidFill>
              <a:prstDash val="solid"/>
            </a:ln>
          </c:spPr>
          <c:marker>
            <c:symbol val="none"/>
          </c:marker>
          <c:xVal>
            <c:numRef>
              <c:f>ELasten!$B$53:$R$53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ELasten!$S$53:$AI$53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E-C4E9-4F44-B51D-61A8DD92BE00}"/>
            </c:ext>
          </c:extLst>
        </c:ser>
        <c:ser>
          <c:idx val="148"/>
          <c:order val="127"/>
          <c:tx>
            <c:v>Elementlast8</c:v>
          </c:tx>
          <c:spPr>
            <a:ln w="12700">
              <a:solidFill>
                <a:srgbClr val="808080"/>
              </a:solidFill>
              <a:prstDash val="solid"/>
            </a:ln>
          </c:spPr>
          <c:marker>
            <c:symbol val="none"/>
          </c:marker>
          <c:xVal>
            <c:numRef>
              <c:f>ELasten!$B$54:$R$54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ELasten!$S$54:$AI$54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7F-C4E9-4F44-B51D-61A8DD92BE00}"/>
            </c:ext>
          </c:extLst>
        </c:ser>
        <c:ser>
          <c:idx val="149"/>
          <c:order val="128"/>
          <c:tx>
            <c:v>Elementlast9</c:v>
          </c:tx>
          <c:spPr>
            <a:ln w="12700">
              <a:solidFill>
                <a:srgbClr val="808080"/>
              </a:solidFill>
              <a:prstDash val="solid"/>
            </a:ln>
          </c:spPr>
          <c:marker>
            <c:symbol val="none"/>
          </c:marker>
          <c:xVal>
            <c:numRef>
              <c:f>ELasten!$B$55:$R$55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ELasten!$S$55:$AI$55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0-C4E9-4F44-B51D-61A8DD92BE00}"/>
            </c:ext>
          </c:extLst>
        </c:ser>
        <c:ser>
          <c:idx val="150"/>
          <c:order val="129"/>
          <c:tx>
            <c:v>Elementlast10</c:v>
          </c:tx>
          <c:spPr>
            <a:ln w="12700">
              <a:solidFill>
                <a:srgbClr val="808080"/>
              </a:solidFill>
              <a:prstDash val="solid"/>
            </a:ln>
          </c:spPr>
          <c:marker>
            <c:symbol val="none"/>
          </c:marker>
          <c:xVal>
            <c:numRef>
              <c:f>ELasten!$B$56:$R$56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ELasten!$S$56:$AI$56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1-C4E9-4F44-B51D-61A8DD92BE00}"/>
            </c:ext>
          </c:extLst>
        </c:ser>
        <c:ser>
          <c:idx val="151"/>
          <c:order val="130"/>
          <c:tx>
            <c:v>Elementlast11</c:v>
          </c:tx>
          <c:spPr>
            <a:ln w="12700">
              <a:solidFill>
                <a:srgbClr val="808080"/>
              </a:solidFill>
              <a:prstDash val="solid"/>
            </a:ln>
          </c:spPr>
          <c:marker>
            <c:symbol val="none"/>
          </c:marker>
          <c:xVal>
            <c:numRef>
              <c:f>ELasten!$B$57:$R$57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ELasten!$S$57:$AI$57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2-C4E9-4F44-B51D-61A8DD92BE00}"/>
            </c:ext>
          </c:extLst>
        </c:ser>
        <c:ser>
          <c:idx val="152"/>
          <c:order val="131"/>
          <c:tx>
            <c:v>Elementlast12</c:v>
          </c:tx>
          <c:spPr>
            <a:ln w="12700">
              <a:solidFill>
                <a:srgbClr val="808080"/>
              </a:solidFill>
              <a:prstDash val="solid"/>
            </a:ln>
          </c:spPr>
          <c:marker>
            <c:symbol val="none"/>
          </c:marker>
          <c:xVal>
            <c:numRef>
              <c:f>ELasten!$B$58:$R$58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ELasten!$S$58:$AI$58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3-C4E9-4F44-B51D-61A8DD92BE00}"/>
            </c:ext>
          </c:extLst>
        </c:ser>
        <c:ser>
          <c:idx val="153"/>
          <c:order val="132"/>
          <c:tx>
            <c:v>Elementlast13</c:v>
          </c:tx>
          <c:spPr>
            <a:ln w="12700">
              <a:solidFill>
                <a:srgbClr val="808080"/>
              </a:solidFill>
              <a:prstDash val="solid"/>
            </a:ln>
          </c:spPr>
          <c:marker>
            <c:symbol val="none"/>
          </c:marker>
          <c:xVal>
            <c:numRef>
              <c:f>ELasten!$B$59:$R$59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ELasten!$S$59:$AI$59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4-C4E9-4F44-B51D-61A8DD92BE00}"/>
            </c:ext>
          </c:extLst>
        </c:ser>
        <c:ser>
          <c:idx val="154"/>
          <c:order val="133"/>
          <c:tx>
            <c:v>Elementlast14</c:v>
          </c:tx>
          <c:spPr>
            <a:ln w="12700">
              <a:solidFill>
                <a:srgbClr val="808080"/>
              </a:solidFill>
              <a:prstDash val="solid"/>
            </a:ln>
          </c:spPr>
          <c:marker>
            <c:symbol val="none"/>
          </c:marker>
          <c:xVal>
            <c:numRef>
              <c:f>ELasten!$B$60:$R$60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ELasten!$S$60:$AI$60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5-C4E9-4F44-B51D-61A8DD92BE00}"/>
            </c:ext>
          </c:extLst>
        </c:ser>
        <c:ser>
          <c:idx val="155"/>
          <c:order val="134"/>
          <c:tx>
            <c:v>Elementlast15</c:v>
          </c:tx>
          <c:spPr>
            <a:ln w="12700">
              <a:solidFill>
                <a:srgbClr val="808080"/>
              </a:solidFill>
              <a:prstDash val="solid"/>
            </a:ln>
          </c:spPr>
          <c:marker>
            <c:symbol val="none"/>
          </c:marker>
          <c:xVal>
            <c:numRef>
              <c:f>ELasten!$B$61:$R$61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ELasten!$S$61:$AI$61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6-C4E9-4F44-B51D-61A8DD92BE00}"/>
            </c:ext>
          </c:extLst>
        </c:ser>
        <c:ser>
          <c:idx val="156"/>
          <c:order val="135"/>
          <c:tx>
            <c:v>Elementlast16</c:v>
          </c:tx>
          <c:spPr>
            <a:ln w="12700">
              <a:solidFill>
                <a:srgbClr val="808080"/>
              </a:solidFill>
              <a:prstDash val="solid"/>
            </a:ln>
          </c:spPr>
          <c:marker>
            <c:symbol val="none"/>
          </c:marker>
          <c:xVal>
            <c:numRef>
              <c:f>ELasten!$B$62:$R$62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ELasten!$S$62:$AI$62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7-C4E9-4F44-B51D-61A8DD92BE00}"/>
            </c:ext>
          </c:extLst>
        </c:ser>
        <c:ser>
          <c:idx val="157"/>
          <c:order val="136"/>
          <c:tx>
            <c:v>Elementlast17</c:v>
          </c:tx>
          <c:spPr>
            <a:ln w="12700">
              <a:solidFill>
                <a:srgbClr val="808080"/>
              </a:solidFill>
              <a:prstDash val="solid"/>
            </a:ln>
          </c:spPr>
          <c:marker>
            <c:symbol val="none"/>
          </c:marker>
          <c:xVal>
            <c:numRef>
              <c:f>ELasten!$B$63:$R$63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ELasten!$S$63:$AI$63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8-C4E9-4F44-B51D-61A8DD92BE00}"/>
            </c:ext>
          </c:extLst>
        </c:ser>
        <c:ser>
          <c:idx val="158"/>
          <c:order val="137"/>
          <c:tx>
            <c:v>Elementlast18</c:v>
          </c:tx>
          <c:spPr>
            <a:ln w="12700">
              <a:solidFill>
                <a:srgbClr val="808080"/>
              </a:solidFill>
              <a:prstDash val="solid"/>
            </a:ln>
          </c:spPr>
          <c:marker>
            <c:symbol val="none"/>
          </c:marker>
          <c:xVal>
            <c:numRef>
              <c:f>ELasten!$B$64:$R$64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ELasten!$S$64:$AI$64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9-C4E9-4F44-B51D-61A8DD92BE00}"/>
            </c:ext>
          </c:extLst>
        </c:ser>
        <c:ser>
          <c:idx val="159"/>
          <c:order val="138"/>
          <c:tx>
            <c:v>Elementlast19</c:v>
          </c:tx>
          <c:spPr>
            <a:ln w="12700">
              <a:solidFill>
                <a:srgbClr val="808080"/>
              </a:solidFill>
              <a:prstDash val="solid"/>
            </a:ln>
          </c:spPr>
          <c:marker>
            <c:symbol val="none"/>
          </c:marker>
          <c:xVal>
            <c:numRef>
              <c:f>ELasten!$B$65:$R$65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ELasten!$S$65:$AI$65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A-C4E9-4F44-B51D-61A8DD92BE00}"/>
            </c:ext>
          </c:extLst>
        </c:ser>
        <c:ser>
          <c:idx val="160"/>
          <c:order val="139"/>
          <c:tx>
            <c:v>Elementlast20</c:v>
          </c:tx>
          <c:spPr>
            <a:ln w="12700">
              <a:solidFill>
                <a:srgbClr val="808080"/>
              </a:solidFill>
              <a:prstDash val="solid"/>
            </a:ln>
          </c:spPr>
          <c:marker>
            <c:symbol val="none"/>
          </c:marker>
          <c:xVal>
            <c:numRef>
              <c:f>ELasten!$B$66:$R$66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ELasten!$S$66:$AI$66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B-C4E9-4F44-B51D-61A8DD92BE00}"/>
            </c:ext>
          </c:extLst>
        </c:ser>
        <c:ser>
          <c:idx val="181"/>
          <c:order val="140"/>
          <c:tx>
            <c:v>Elementlast21</c:v>
          </c:tx>
          <c:spPr>
            <a:ln w="12700">
              <a:solidFill>
                <a:srgbClr val="808080"/>
              </a:solidFill>
              <a:prstDash val="solid"/>
            </a:ln>
          </c:spPr>
          <c:marker>
            <c:symbol val="none"/>
          </c:marker>
          <c:xVal>
            <c:numRef>
              <c:f>ELasten!$B$67:$R$67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ELasten!$S$67:$AI$67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C-C4E9-4F44-B51D-61A8DD92BE00}"/>
            </c:ext>
          </c:extLst>
        </c:ser>
        <c:ser>
          <c:idx val="182"/>
          <c:order val="141"/>
          <c:tx>
            <c:v>Elementlast22</c:v>
          </c:tx>
          <c:spPr>
            <a:ln w="12700">
              <a:solidFill>
                <a:srgbClr val="808080"/>
              </a:solidFill>
              <a:prstDash val="solid"/>
            </a:ln>
          </c:spPr>
          <c:marker>
            <c:symbol val="none"/>
          </c:marker>
          <c:xVal>
            <c:numRef>
              <c:f>ELasten!$B$68:$R$68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ELasten!$S$68:$AI$68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D-C4E9-4F44-B51D-61A8DD92BE00}"/>
            </c:ext>
          </c:extLst>
        </c:ser>
        <c:ser>
          <c:idx val="183"/>
          <c:order val="142"/>
          <c:tx>
            <c:v>Elementlast23</c:v>
          </c:tx>
          <c:spPr>
            <a:ln w="12700">
              <a:solidFill>
                <a:srgbClr val="808080"/>
              </a:solidFill>
              <a:prstDash val="solid"/>
            </a:ln>
          </c:spPr>
          <c:marker>
            <c:symbol val="none"/>
          </c:marker>
          <c:xVal>
            <c:numRef>
              <c:f>ELasten!$B$69:$R$69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ELasten!$S$69:$AI$69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E-C4E9-4F44-B51D-61A8DD92BE00}"/>
            </c:ext>
          </c:extLst>
        </c:ser>
        <c:ser>
          <c:idx val="184"/>
          <c:order val="143"/>
          <c:tx>
            <c:v>Elementlast24</c:v>
          </c:tx>
          <c:spPr>
            <a:ln w="12700">
              <a:solidFill>
                <a:srgbClr val="808080"/>
              </a:solidFill>
              <a:prstDash val="solid"/>
            </a:ln>
          </c:spPr>
          <c:marker>
            <c:symbol val="none"/>
          </c:marker>
          <c:xVal>
            <c:numRef>
              <c:f>ELasten!$B$70:$R$70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ELasten!$S$70:$AI$70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8F-C4E9-4F44-B51D-61A8DD92BE00}"/>
            </c:ext>
          </c:extLst>
        </c:ser>
        <c:ser>
          <c:idx val="185"/>
          <c:order val="144"/>
          <c:tx>
            <c:v>Elementlast25</c:v>
          </c:tx>
          <c:spPr>
            <a:ln w="12700">
              <a:solidFill>
                <a:srgbClr val="808080"/>
              </a:solidFill>
              <a:prstDash val="solid"/>
            </a:ln>
          </c:spPr>
          <c:marker>
            <c:symbol val="none"/>
          </c:marker>
          <c:xVal>
            <c:numRef>
              <c:f>ELasten!$B$71:$R$71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ELasten!$S$71:$AI$71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0-C4E9-4F44-B51D-61A8DD92BE00}"/>
            </c:ext>
          </c:extLst>
        </c:ser>
        <c:ser>
          <c:idx val="186"/>
          <c:order val="145"/>
          <c:tx>
            <c:v>Elementlast26</c:v>
          </c:tx>
          <c:spPr>
            <a:ln w="12700">
              <a:solidFill>
                <a:srgbClr val="808080"/>
              </a:solidFill>
              <a:prstDash val="solid"/>
            </a:ln>
          </c:spPr>
          <c:marker>
            <c:symbol val="none"/>
          </c:marker>
          <c:xVal>
            <c:numRef>
              <c:f>ELasten!$B$72:$R$72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ELasten!$S$72:$AI$72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1-C4E9-4F44-B51D-61A8DD92BE00}"/>
            </c:ext>
          </c:extLst>
        </c:ser>
        <c:ser>
          <c:idx val="187"/>
          <c:order val="146"/>
          <c:tx>
            <c:v>Elementlast27</c:v>
          </c:tx>
          <c:spPr>
            <a:ln w="12700">
              <a:solidFill>
                <a:srgbClr val="808080"/>
              </a:solidFill>
              <a:prstDash val="solid"/>
            </a:ln>
          </c:spPr>
          <c:marker>
            <c:symbol val="none"/>
          </c:marker>
          <c:xVal>
            <c:numRef>
              <c:f>ELasten!$B$73:$R$73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ELasten!$S$73:$AI$73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2-C4E9-4F44-B51D-61A8DD92BE00}"/>
            </c:ext>
          </c:extLst>
        </c:ser>
        <c:ser>
          <c:idx val="188"/>
          <c:order val="147"/>
          <c:tx>
            <c:v>Elementlast28</c:v>
          </c:tx>
          <c:spPr>
            <a:ln w="12700">
              <a:solidFill>
                <a:srgbClr val="808080"/>
              </a:solidFill>
              <a:prstDash val="solid"/>
            </a:ln>
          </c:spPr>
          <c:marker>
            <c:symbol val="none"/>
          </c:marker>
          <c:xVal>
            <c:numRef>
              <c:f>ELasten!$B$74:$R$74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ELasten!$S$74:$AI$74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3-C4E9-4F44-B51D-61A8DD92BE00}"/>
            </c:ext>
          </c:extLst>
        </c:ser>
        <c:ser>
          <c:idx val="189"/>
          <c:order val="148"/>
          <c:tx>
            <c:v>Elementlast29</c:v>
          </c:tx>
          <c:spPr>
            <a:ln w="12700">
              <a:solidFill>
                <a:srgbClr val="808080"/>
              </a:solidFill>
              <a:prstDash val="solid"/>
            </a:ln>
          </c:spPr>
          <c:marker>
            <c:symbol val="none"/>
          </c:marker>
          <c:xVal>
            <c:numRef>
              <c:f>ELasten!$B$75:$R$75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ELasten!$S$75:$AI$75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4-C4E9-4F44-B51D-61A8DD92BE00}"/>
            </c:ext>
          </c:extLst>
        </c:ser>
        <c:ser>
          <c:idx val="190"/>
          <c:order val="149"/>
          <c:tx>
            <c:v>Elementlast30</c:v>
          </c:tx>
          <c:spPr>
            <a:ln w="12700">
              <a:solidFill>
                <a:srgbClr val="808080"/>
              </a:solidFill>
              <a:prstDash val="solid"/>
            </a:ln>
          </c:spPr>
          <c:marker>
            <c:symbol val="none"/>
          </c:marker>
          <c:xVal>
            <c:numRef>
              <c:f>ELasten!$B$76:$R$76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ELasten!$S$76:$AI$76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5-C4E9-4F44-B51D-61A8DD92BE00}"/>
            </c:ext>
          </c:extLst>
        </c:ser>
        <c:ser>
          <c:idx val="191"/>
          <c:order val="150"/>
          <c:tx>
            <c:v>Elementlast31</c:v>
          </c:tx>
          <c:spPr>
            <a:ln w="12700">
              <a:solidFill>
                <a:srgbClr val="808080"/>
              </a:solidFill>
              <a:prstDash val="solid"/>
            </a:ln>
          </c:spPr>
          <c:marker>
            <c:symbol val="none"/>
          </c:marker>
          <c:xVal>
            <c:numRef>
              <c:f>ELasten!$B$77:$R$77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ELasten!$S$77:$AI$77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6-C4E9-4F44-B51D-61A8DD92BE00}"/>
            </c:ext>
          </c:extLst>
        </c:ser>
        <c:ser>
          <c:idx val="192"/>
          <c:order val="151"/>
          <c:tx>
            <c:v>Elementlast32</c:v>
          </c:tx>
          <c:spPr>
            <a:ln w="12700">
              <a:solidFill>
                <a:srgbClr val="808080"/>
              </a:solidFill>
              <a:prstDash val="solid"/>
            </a:ln>
          </c:spPr>
          <c:marker>
            <c:symbol val="none"/>
          </c:marker>
          <c:xVal>
            <c:numRef>
              <c:f>ELasten!$B$78:$R$78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ELasten!$S$78:$AI$78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7-C4E9-4F44-B51D-61A8DD92BE00}"/>
            </c:ext>
          </c:extLst>
        </c:ser>
        <c:ser>
          <c:idx val="193"/>
          <c:order val="152"/>
          <c:tx>
            <c:v>Elementlast33</c:v>
          </c:tx>
          <c:spPr>
            <a:ln w="12700">
              <a:solidFill>
                <a:srgbClr val="808080"/>
              </a:solidFill>
              <a:prstDash val="solid"/>
            </a:ln>
          </c:spPr>
          <c:marker>
            <c:symbol val="none"/>
          </c:marker>
          <c:xVal>
            <c:numRef>
              <c:f>ELasten!$B$79:$R$79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ELasten!$S$79:$AI$79</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8-C4E9-4F44-B51D-61A8DD92BE00}"/>
            </c:ext>
          </c:extLst>
        </c:ser>
        <c:ser>
          <c:idx val="194"/>
          <c:order val="153"/>
          <c:tx>
            <c:v>Elementlast34</c:v>
          </c:tx>
          <c:spPr>
            <a:ln w="12700">
              <a:solidFill>
                <a:srgbClr val="808080"/>
              </a:solidFill>
              <a:prstDash val="solid"/>
            </a:ln>
          </c:spPr>
          <c:marker>
            <c:symbol val="none"/>
          </c:marker>
          <c:xVal>
            <c:numRef>
              <c:f>ELasten!$B$80:$R$80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ELasten!$S$80:$AI$80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9-C4E9-4F44-B51D-61A8DD92BE00}"/>
            </c:ext>
          </c:extLst>
        </c:ser>
        <c:ser>
          <c:idx val="195"/>
          <c:order val="154"/>
          <c:tx>
            <c:v>Elementlast35</c:v>
          </c:tx>
          <c:spPr>
            <a:ln w="12700">
              <a:solidFill>
                <a:srgbClr val="808080"/>
              </a:solidFill>
              <a:prstDash val="solid"/>
            </a:ln>
          </c:spPr>
          <c:marker>
            <c:symbol val="none"/>
          </c:marker>
          <c:xVal>
            <c:numRef>
              <c:f>ELasten!$B$81:$R$81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ELasten!$S$81:$AI$81</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A-C4E9-4F44-B51D-61A8DD92BE00}"/>
            </c:ext>
          </c:extLst>
        </c:ser>
        <c:ser>
          <c:idx val="196"/>
          <c:order val="155"/>
          <c:tx>
            <c:v>Elementlast36</c:v>
          </c:tx>
          <c:spPr>
            <a:ln w="12700">
              <a:solidFill>
                <a:srgbClr val="808080"/>
              </a:solidFill>
              <a:prstDash val="solid"/>
            </a:ln>
          </c:spPr>
          <c:marker>
            <c:symbol val="none"/>
          </c:marker>
          <c:xVal>
            <c:numRef>
              <c:f>ELasten!$B$82:$R$82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ELasten!$S$82:$AI$82</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B-C4E9-4F44-B51D-61A8DD92BE00}"/>
            </c:ext>
          </c:extLst>
        </c:ser>
        <c:ser>
          <c:idx val="197"/>
          <c:order val="156"/>
          <c:tx>
            <c:v>Elementlast37</c:v>
          </c:tx>
          <c:spPr>
            <a:ln w="12700">
              <a:solidFill>
                <a:srgbClr val="808080"/>
              </a:solidFill>
              <a:prstDash val="solid"/>
            </a:ln>
          </c:spPr>
          <c:marker>
            <c:symbol val="none"/>
          </c:marker>
          <c:xVal>
            <c:numRef>
              <c:f>ELasten!$B$83:$R$83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ELasten!$S$83:$AI$83</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C-C4E9-4F44-B51D-61A8DD92BE00}"/>
            </c:ext>
          </c:extLst>
        </c:ser>
        <c:ser>
          <c:idx val="198"/>
          <c:order val="157"/>
          <c:tx>
            <c:v>Elementlast38</c:v>
          </c:tx>
          <c:spPr>
            <a:ln w="12700">
              <a:solidFill>
                <a:srgbClr val="808080"/>
              </a:solidFill>
              <a:prstDash val="solid"/>
            </a:ln>
          </c:spPr>
          <c:marker>
            <c:symbol val="none"/>
          </c:marker>
          <c:xVal>
            <c:numRef>
              <c:f>ELasten!$B$84:$R$84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ELasten!$S$84:$AI$84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D-C4E9-4F44-B51D-61A8DD92BE00}"/>
            </c:ext>
          </c:extLst>
        </c:ser>
        <c:ser>
          <c:idx val="199"/>
          <c:order val="158"/>
          <c:tx>
            <c:v>Elementlast39</c:v>
          </c:tx>
          <c:spPr>
            <a:ln w="12700">
              <a:solidFill>
                <a:srgbClr val="808080"/>
              </a:solidFill>
              <a:prstDash val="solid"/>
            </a:ln>
          </c:spPr>
          <c:marker>
            <c:symbol val="none"/>
          </c:marker>
          <c:xVal>
            <c:numRef>
              <c:f>ELasten!$B$85:$R$85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ELasten!$S$85:$AI$85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E-C4E9-4F44-B51D-61A8DD92BE00}"/>
            </c:ext>
          </c:extLst>
        </c:ser>
        <c:ser>
          <c:idx val="200"/>
          <c:order val="159"/>
          <c:tx>
            <c:v>Elementlast40</c:v>
          </c:tx>
          <c:spPr>
            <a:ln w="12700">
              <a:solidFill>
                <a:srgbClr val="808080"/>
              </a:solidFill>
              <a:prstDash val="solid"/>
            </a:ln>
          </c:spPr>
          <c:marker>
            <c:symbol val="none"/>
          </c:marker>
          <c:xVal>
            <c:numRef>
              <c:f>ELasten!$B$86:$R$86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ELasten!$S$86:$AI$86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9F-C4E9-4F44-B51D-61A8DD92BE00}"/>
            </c:ext>
          </c:extLst>
        </c:ser>
        <c:ser>
          <c:idx val="81"/>
          <c:order val="160"/>
          <c:tx>
            <c:v>Knotenlast V 1</c:v>
          </c:tx>
          <c:spPr>
            <a:ln w="12700">
              <a:solidFill>
                <a:srgbClr val="808080"/>
              </a:solidFill>
              <a:prstDash val="solid"/>
            </a:ln>
          </c:spPr>
          <c:marker>
            <c:symbol val="none"/>
          </c:marker>
          <c:xVal>
            <c:numRef>
              <c:f>KLasten!$C$4:$G$4</c:f>
              <c:numCache>
                <c:formatCode>General</c:formatCode>
                <c:ptCount val="5"/>
                <c:pt idx="0">
                  <c:v>20</c:v>
                </c:pt>
                <c:pt idx="1">
                  <c:v>20</c:v>
                </c:pt>
                <c:pt idx="2">
                  <c:v>16.605887450304571</c:v>
                </c:pt>
                <c:pt idx="3">
                  <c:v>23.394112549695429</c:v>
                </c:pt>
                <c:pt idx="4">
                  <c:v>20</c:v>
                </c:pt>
              </c:numCache>
            </c:numRef>
          </c:xVal>
          <c:yVal>
            <c:numRef>
              <c:f>KLasten!$H$4:$L$4</c:f>
              <c:numCache>
                <c:formatCode>General</c:formatCode>
                <c:ptCount val="5"/>
                <c:pt idx="0">
                  <c:v>0.72935059634514232</c:v>
                </c:pt>
                <c:pt idx="1">
                  <c:v>-33.211774900609143</c:v>
                </c:pt>
                <c:pt idx="2">
                  <c:v>-21.332380976675143</c:v>
                </c:pt>
                <c:pt idx="3">
                  <c:v>-21.332380976675143</c:v>
                </c:pt>
                <c:pt idx="4">
                  <c:v>-33.211774900609143</c:v>
                </c:pt>
              </c:numCache>
            </c:numRef>
          </c:yVal>
          <c:smooth val="0"/>
          <c:extLst>
            <c:ext xmlns:c16="http://schemas.microsoft.com/office/drawing/2014/chart" uri="{C3380CC4-5D6E-409C-BE32-E72D297353CC}">
              <c16:uniqueId val="{000000A0-C4E9-4F44-B51D-61A8DD92BE00}"/>
            </c:ext>
          </c:extLst>
        </c:ser>
        <c:ser>
          <c:idx val="82"/>
          <c:order val="161"/>
          <c:tx>
            <c:v>Knotenlast V 2</c:v>
          </c:tx>
          <c:spPr>
            <a:ln w="12700">
              <a:solidFill>
                <a:srgbClr val="808080"/>
              </a:solidFill>
              <a:prstDash val="solid"/>
            </a:ln>
          </c:spPr>
          <c:marker>
            <c:symbol val="none"/>
          </c:marker>
          <c:xVal>
            <c:numRef>
              <c:f>KLasten!$C$5:$G$5</c:f>
              <c:numCache>
                <c:formatCode>General</c:formatCode>
                <c:ptCount val="5"/>
                <c:pt idx="0">
                  <c:v>100</c:v>
                </c:pt>
                <c:pt idx="1">
                  <c:v>100</c:v>
                </c:pt>
                <c:pt idx="2">
                  <c:v>100</c:v>
                </c:pt>
                <c:pt idx="3">
                  <c:v>100</c:v>
                </c:pt>
                <c:pt idx="4">
                  <c:v>100</c:v>
                </c:pt>
              </c:numCache>
            </c:numRef>
          </c:xVal>
          <c:yVal>
            <c:numRef>
              <c:f>KLasten!$H$5:$L$5</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A1-C4E9-4F44-B51D-61A8DD92BE00}"/>
            </c:ext>
          </c:extLst>
        </c:ser>
        <c:ser>
          <c:idx val="83"/>
          <c:order val="162"/>
          <c:tx>
            <c:v>Knotenlast V 3</c:v>
          </c:tx>
          <c:spPr>
            <a:ln w="12700">
              <a:solidFill>
                <a:srgbClr val="808080"/>
              </a:solidFill>
              <a:prstDash val="solid"/>
            </a:ln>
          </c:spPr>
          <c:marker>
            <c:symbol val="none"/>
          </c:marker>
          <c:xVal>
            <c:numRef>
              <c:f>KLasten!$C$6:$G$6</c:f>
              <c:numCache>
                <c:formatCode>General</c:formatCode>
                <c:ptCount val="5"/>
                <c:pt idx="0">
                  <c:v>20</c:v>
                </c:pt>
                <c:pt idx="1">
                  <c:v>20</c:v>
                </c:pt>
                <c:pt idx="2">
                  <c:v>20</c:v>
                </c:pt>
                <c:pt idx="3">
                  <c:v>20</c:v>
                </c:pt>
                <c:pt idx="4">
                  <c:v>20</c:v>
                </c:pt>
              </c:numCache>
            </c:numRef>
          </c:xVal>
          <c:yVal>
            <c:numRef>
              <c:f>KLasten!$H$6:$L$6</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A2-C4E9-4F44-B51D-61A8DD92BE00}"/>
            </c:ext>
          </c:extLst>
        </c:ser>
        <c:ser>
          <c:idx val="84"/>
          <c:order val="163"/>
          <c:tx>
            <c:v>Knotenlast V 4</c:v>
          </c:tx>
          <c:spPr>
            <a:ln w="12700">
              <a:solidFill>
                <a:srgbClr val="808080"/>
              </a:solidFill>
              <a:prstDash val="solid"/>
            </a:ln>
          </c:spPr>
          <c:marker>
            <c:symbol val="none"/>
          </c:marker>
          <c:xVal>
            <c:numRef>
              <c:f>KLasten!$C$7:$G$7</c:f>
              <c:numCache>
                <c:formatCode>General</c:formatCode>
                <c:ptCount val="5"/>
                <c:pt idx="0">
                  <c:v>60</c:v>
                </c:pt>
                <c:pt idx="1">
                  <c:v>60</c:v>
                </c:pt>
                <c:pt idx="2">
                  <c:v>60</c:v>
                </c:pt>
                <c:pt idx="3">
                  <c:v>60</c:v>
                </c:pt>
                <c:pt idx="4">
                  <c:v>60</c:v>
                </c:pt>
              </c:numCache>
            </c:numRef>
          </c:xVal>
          <c:yVal>
            <c:numRef>
              <c:f>KLasten!$H$7:$L$7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A3-C4E9-4F44-B51D-61A8DD92BE00}"/>
            </c:ext>
          </c:extLst>
        </c:ser>
        <c:ser>
          <c:idx val="85"/>
          <c:order val="164"/>
          <c:tx>
            <c:v>Knotenlast V 5</c:v>
          </c:tx>
          <c:spPr>
            <a:ln w="12700">
              <a:solidFill>
                <a:srgbClr val="808080"/>
              </a:solidFill>
              <a:prstDash val="solid"/>
            </a:ln>
          </c:spPr>
          <c:marker>
            <c:symbol val="none"/>
          </c:marker>
          <c:xVal>
            <c:numRef>
              <c:f>KLasten!$C$8:$G$8</c:f>
              <c:numCache>
                <c:formatCode>General</c:formatCode>
                <c:ptCount val="5"/>
                <c:pt idx="0">
                  <c:v>-50</c:v>
                </c:pt>
                <c:pt idx="1">
                  <c:v>-50</c:v>
                </c:pt>
                <c:pt idx="2">
                  <c:v>-50</c:v>
                </c:pt>
                <c:pt idx="3">
                  <c:v>-50</c:v>
                </c:pt>
                <c:pt idx="4">
                  <c:v>-50</c:v>
                </c:pt>
              </c:numCache>
            </c:numRef>
          </c:xVal>
          <c:yVal>
            <c:numRef>
              <c:f>KLasten!$H$8:$L$8</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A4-C4E9-4F44-B51D-61A8DD92BE00}"/>
            </c:ext>
          </c:extLst>
        </c:ser>
        <c:ser>
          <c:idx val="86"/>
          <c:order val="165"/>
          <c:tx>
            <c:v>Knotenlast V 6</c:v>
          </c:tx>
          <c:spPr>
            <a:ln w="12700">
              <a:solidFill>
                <a:srgbClr val="808080"/>
              </a:solidFill>
              <a:prstDash val="solid"/>
            </a:ln>
          </c:spPr>
          <c:marker>
            <c:symbol val="none"/>
          </c:marker>
          <c:xVal>
            <c:numRef>
              <c:f>KLasten!$C$9:$G$9</c:f>
              <c:numCache>
                <c:formatCode>General</c:formatCode>
                <c:ptCount val="5"/>
                <c:pt idx="0">
                  <c:v>-100</c:v>
                </c:pt>
                <c:pt idx="1">
                  <c:v>-100</c:v>
                </c:pt>
                <c:pt idx="2">
                  <c:v>-100</c:v>
                </c:pt>
                <c:pt idx="3">
                  <c:v>-100</c:v>
                </c:pt>
                <c:pt idx="4">
                  <c:v>-100</c:v>
                </c:pt>
              </c:numCache>
            </c:numRef>
          </c:xVal>
          <c:yVal>
            <c:numRef>
              <c:f>KLasten!$H$9:$L$9</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A5-C4E9-4F44-B51D-61A8DD92BE00}"/>
            </c:ext>
          </c:extLst>
        </c:ser>
        <c:ser>
          <c:idx val="87"/>
          <c:order val="166"/>
          <c:tx>
            <c:v>Knotenlast V 7</c:v>
          </c:tx>
          <c:spPr>
            <a:ln w="12700">
              <a:solidFill>
                <a:srgbClr val="808080"/>
              </a:solidFill>
              <a:prstDash val="solid"/>
            </a:ln>
          </c:spPr>
          <c:marker>
            <c:symbol val="none"/>
          </c:marker>
          <c:xVal>
            <c:numRef>
              <c:f>KLasten!$C$10:$G$10</c:f>
              <c:numCache>
                <c:formatCode>General</c:formatCode>
                <c:ptCount val="5"/>
                <c:pt idx="0">
                  <c:v>0</c:v>
                </c:pt>
                <c:pt idx="1">
                  <c:v>0</c:v>
                </c:pt>
                <c:pt idx="2">
                  <c:v>0</c:v>
                </c:pt>
                <c:pt idx="3">
                  <c:v>0</c:v>
                </c:pt>
                <c:pt idx="4">
                  <c:v>0</c:v>
                </c:pt>
              </c:numCache>
            </c:numRef>
          </c:xVal>
          <c:yVal>
            <c:numRef>
              <c:f>KLasten!$H$10:$L$10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6-C4E9-4F44-B51D-61A8DD92BE00}"/>
            </c:ext>
          </c:extLst>
        </c:ser>
        <c:ser>
          <c:idx val="88"/>
          <c:order val="167"/>
          <c:tx>
            <c:v>Knotenlast V 8</c:v>
          </c:tx>
          <c:spPr>
            <a:ln w="12700">
              <a:solidFill>
                <a:srgbClr val="808080"/>
              </a:solidFill>
              <a:prstDash val="solid"/>
            </a:ln>
          </c:spPr>
          <c:marker>
            <c:symbol val="none"/>
          </c:marker>
          <c:xVal>
            <c:numRef>
              <c:f>KLasten!$C$11:$G$11</c:f>
              <c:numCache>
                <c:formatCode>General</c:formatCode>
                <c:ptCount val="5"/>
                <c:pt idx="0">
                  <c:v>0</c:v>
                </c:pt>
                <c:pt idx="1">
                  <c:v>0</c:v>
                </c:pt>
                <c:pt idx="2">
                  <c:v>0</c:v>
                </c:pt>
                <c:pt idx="3">
                  <c:v>0</c:v>
                </c:pt>
                <c:pt idx="4">
                  <c:v>0</c:v>
                </c:pt>
              </c:numCache>
            </c:numRef>
          </c:xVal>
          <c:yVal>
            <c:numRef>
              <c:f>KLasten!$H$11:$L$11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7-C4E9-4F44-B51D-61A8DD92BE00}"/>
            </c:ext>
          </c:extLst>
        </c:ser>
        <c:ser>
          <c:idx val="89"/>
          <c:order val="168"/>
          <c:tx>
            <c:v>Knotenlast V 9</c:v>
          </c:tx>
          <c:spPr>
            <a:ln w="12700">
              <a:solidFill>
                <a:srgbClr val="808080"/>
              </a:solidFill>
              <a:prstDash val="solid"/>
            </a:ln>
          </c:spPr>
          <c:marker>
            <c:symbol val="none"/>
          </c:marker>
          <c:xVal>
            <c:numRef>
              <c:f>KLasten!$C$12:$G$12</c:f>
              <c:numCache>
                <c:formatCode>General</c:formatCode>
                <c:ptCount val="5"/>
                <c:pt idx="0">
                  <c:v>0</c:v>
                </c:pt>
                <c:pt idx="1">
                  <c:v>0</c:v>
                </c:pt>
                <c:pt idx="2">
                  <c:v>0</c:v>
                </c:pt>
                <c:pt idx="3">
                  <c:v>0</c:v>
                </c:pt>
                <c:pt idx="4">
                  <c:v>0</c:v>
                </c:pt>
              </c:numCache>
            </c:numRef>
          </c:xVal>
          <c:yVal>
            <c:numRef>
              <c:f>KLasten!$H$12:$L$12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8-C4E9-4F44-B51D-61A8DD92BE00}"/>
            </c:ext>
          </c:extLst>
        </c:ser>
        <c:ser>
          <c:idx val="90"/>
          <c:order val="169"/>
          <c:tx>
            <c:v>Knotenlast V 10</c:v>
          </c:tx>
          <c:spPr>
            <a:ln w="12700">
              <a:solidFill>
                <a:srgbClr val="808080"/>
              </a:solidFill>
              <a:prstDash val="solid"/>
            </a:ln>
          </c:spPr>
          <c:marker>
            <c:symbol val="none"/>
          </c:marker>
          <c:xVal>
            <c:numRef>
              <c:f>KLasten!$C$13:$G$13</c:f>
              <c:numCache>
                <c:formatCode>General</c:formatCode>
                <c:ptCount val="5"/>
                <c:pt idx="0">
                  <c:v>0</c:v>
                </c:pt>
                <c:pt idx="1">
                  <c:v>0</c:v>
                </c:pt>
                <c:pt idx="2">
                  <c:v>0</c:v>
                </c:pt>
                <c:pt idx="3">
                  <c:v>0</c:v>
                </c:pt>
                <c:pt idx="4">
                  <c:v>0</c:v>
                </c:pt>
              </c:numCache>
            </c:numRef>
          </c:xVal>
          <c:yVal>
            <c:numRef>
              <c:f>KLasten!$H$13:$L$13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9-C4E9-4F44-B51D-61A8DD92BE00}"/>
            </c:ext>
          </c:extLst>
        </c:ser>
        <c:ser>
          <c:idx val="91"/>
          <c:order val="170"/>
          <c:tx>
            <c:v>Knotenlast V 11</c:v>
          </c:tx>
          <c:spPr>
            <a:ln w="12700">
              <a:solidFill>
                <a:srgbClr val="808080"/>
              </a:solidFill>
              <a:prstDash val="solid"/>
            </a:ln>
          </c:spPr>
          <c:marker>
            <c:symbol val="none"/>
          </c:marker>
          <c:xVal>
            <c:numRef>
              <c:f>KLasten!$C$14:$G$14</c:f>
              <c:numCache>
                <c:formatCode>General</c:formatCode>
                <c:ptCount val="5"/>
                <c:pt idx="0">
                  <c:v>0</c:v>
                </c:pt>
                <c:pt idx="1">
                  <c:v>0</c:v>
                </c:pt>
                <c:pt idx="2">
                  <c:v>0</c:v>
                </c:pt>
                <c:pt idx="3">
                  <c:v>0</c:v>
                </c:pt>
                <c:pt idx="4">
                  <c:v>0</c:v>
                </c:pt>
              </c:numCache>
            </c:numRef>
          </c:xVal>
          <c:yVal>
            <c:numRef>
              <c:f>KLasten!$H$14:$L$14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A-C4E9-4F44-B51D-61A8DD92BE00}"/>
            </c:ext>
          </c:extLst>
        </c:ser>
        <c:ser>
          <c:idx val="92"/>
          <c:order val="171"/>
          <c:tx>
            <c:v>Knotenlast V 12</c:v>
          </c:tx>
          <c:spPr>
            <a:ln w="12700">
              <a:solidFill>
                <a:srgbClr val="808080"/>
              </a:solidFill>
              <a:prstDash val="solid"/>
            </a:ln>
          </c:spPr>
          <c:marker>
            <c:symbol val="none"/>
          </c:marker>
          <c:xVal>
            <c:numRef>
              <c:f>KLasten!$C$15:$G$15</c:f>
              <c:numCache>
                <c:formatCode>General</c:formatCode>
                <c:ptCount val="5"/>
                <c:pt idx="0">
                  <c:v>0</c:v>
                </c:pt>
                <c:pt idx="1">
                  <c:v>0</c:v>
                </c:pt>
                <c:pt idx="2">
                  <c:v>0</c:v>
                </c:pt>
                <c:pt idx="3">
                  <c:v>0</c:v>
                </c:pt>
                <c:pt idx="4">
                  <c:v>0</c:v>
                </c:pt>
              </c:numCache>
            </c:numRef>
          </c:xVal>
          <c:yVal>
            <c:numRef>
              <c:f>KLasten!$H$15:$L$15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B-C4E9-4F44-B51D-61A8DD92BE00}"/>
            </c:ext>
          </c:extLst>
        </c:ser>
        <c:ser>
          <c:idx val="93"/>
          <c:order val="172"/>
          <c:tx>
            <c:v>Knotenlast V 13</c:v>
          </c:tx>
          <c:spPr>
            <a:ln w="12700">
              <a:solidFill>
                <a:srgbClr val="808080"/>
              </a:solidFill>
              <a:prstDash val="solid"/>
            </a:ln>
          </c:spPr>
          <c:marker>
            <c:symbol val="none"/>
          </c:marker>
          <c:xVal>
            <c:numRef>
              <c:f>KLasten!$C$16:$G$16</c:f>
              <c:numCache>
                <c:formatCode>General</c:formatCode>
                <c:ptCount val="5"/>
                <c:pt idx="0">
                  <c:v>0</c:v>
                </c:pt>
                <c:pt idx="1">
                  <c:v>0</c:v>
                </c:pt>
                <c:pt idx="2">
                  <c:v>0</c:v>
                </c:pt>
                <c:pt idx="3">
                  <c:v>0</c:v>
                </c:pt>
                <c:pt idx="4">
                  <c:v>0</c:v>
                </c:pt>
              </c:numCache>
            </c:numRef>
          </c:xVal>
          <c:yVal>
            <c:numRef>
              <c:f>KLasten!$H$16:$L$16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C-C4E9-4F44-B51D-61A8DD92BE00}"/>
            </c:ext>
          </c:extLst>
        </c:ser>
        <c:ser>
          <c:idx val="94"/>
          <c:order val="173"/>
          <c:tx>
            <c:v>Knotenlast V 14</c:v>
          </c:tx>
          <c:spPr>
            <a:ln w="12700">
              <a:solidFill>
                <a:srgbClr val="808080"/>
              </a:solidFill>
              <a:prstDash val="solid"/>
            </a:ln>
          </c:spPr>
          <c:marker>
            <c:symbol val="none"/>
          </c:marker>
          <c:xVal>
            <c:numRef>
              <c:f>KLasten!$C$17:$G$17</c:f>
              <c:numCache>
                <c:formatCode>General</c:formatCode>
                <c:ptCount val="5"/>
                <c:pt idx="0">
                  <c:v>0</c:v>
                </c:pt>
                <c:pt idx="1">
                  <c:v>0</c:v>
                </c:pt>
                <c:pt idx="2">
                  <c:v>0</c:v>
                </c:pt>
                <c:pt idx="3">
                  <c:v>0</c:v>
                </c:pt>
                <c:pt idx="4">
                  <c:v>0</c:v>
                </c:pt>
              </c:numCache>
            </c:numRef>
          </c:xVal>
          <c:yVal>
            <c:numRef>
              <c:f>KLasten!$H$17:$L$17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D-C4E9-4F44-B51D-61A8DD92BE00}"/>
            </c:ext>
          </c:extLst>
        </c:ser>
        <c:ser>
          <c:idx val="95"/>
          <c:order val="174"/>
          <c:tx>
            <c:v>Knotenlast V 15</c:v>
          </c:tx>
          <c:spPr>
            <a:ln w="12700">
              <a:solidFill>
                <a:srgbClr val="808080"/>
              </a:solidFill>
              <a:prstDash val="solid"/>
            </a:ln>
          </c:spPr>
          <c:marker>
            <c:symbol val="none"/>
          </c:marker>
          <c:xVal>
            <c:numRef>
              <c:f>KLasten!$C$18:$G$18</c:f>
              <c:numCache>
                <c:formatCode>General</c:formatCode>
                <c:ptCount val="5"/>
                <c:pt idx="0">
                  <c:v>0</c:v>
                </c:pt>
                <c:pt idx="1">
                  <c:v>0</c:v>
                </c:pt>
                <c:pt idx="2">
                  <c:v>0</c:v>
                </c:pt>
                <c:pt idx="3">
                  <c:v>0</c:v>
                </c:pt>
                <c:pt idx="4">
                  <c:v>0</c:v>
                </c:pt>
              </c:numCache>
            </c:numRef>
          </c:xVal>
          <c:yVal>
            <c:numRef>
              <c:f>KLasten!$H$18:$L$18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E-C4E9-4F44-B51D-61A8DD92BE00}"/>
            </c:ext>
          </c:extLst>
        </c:ser>
        <c:ser>
          <c:idx val="96"/>
          <c:order val="175"/>
          <c:tx>
            <c:v>Knotenlast V 16</c:v>
          </c:tx>
          <c:spPr>
            <a:ln w="12700">
              <a:solidFill>
                <a:srgbClr val="808080"/>
              </a:solidFill>
              <a:prstDash val="solid"/>
            </a:ln>
          </c:spPr>
          <c:marker>
            <c:symbol val="none"/>
          </c:marker>
          <c:xVal>
            <c:numRef>
              <c:f>KLasten!$C$19:$G$19</c:f>
              <c:numCache>
                <c:formatCode>General</c:formatCode>
                <c:ptCount val="5"/>
                <c:pt idx="0">
                  <c:v>0</c:v>
                </c:pt>
                <c:pt idx="1">
                  <c:v>0</c:v>
                </c:pt>
                <c:pt idx="2">
                  <c:v>0</c:v>
                </c:pt>
                <c:pt idx="3">
                  <c:v>0</c:v>
                </c:pt>
                <c:pt idx="4">
                  <c:v>0</c:v>
                </c:pt>
              </c:numCache>
            </c:numRef>
          </c:xVal>
          <c:yVal>
            <c:numRef>
              <c:f>KLasten!$H$19:$L$19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AF-C4E9-4F44-B51D-61A8DD92BE00}"/>
            </c:ext>
          </c:extLst>
        </c:ser>
        <c:ser>
          <c:idx val="97"/>
          <c:order val="176"/>
          <c:tx>
            <c:v>Knotenlast V 17</c:v>
          </c:tx>
          <c:spPr>
            <a:ln w="12700">
              <a:solidFill>
                <a:srgbClr val="808080"/>
              </a:solidFill>
              <a:prstDash val="solid"/>
            </a:ln>
          </c:spPr>
          <c:marker>
            <c:symbol val="none"/>
          </c:marker>
          <c:xVal>
            <c:numRef>
              <c:f>KLasten!$C$20:$G$20</c:f>
              <c:numCache>
                <c:formatCode>General</c:formatCode>
                <c:ptCount val="5"/>
                <c:pt idx="0">
                  <c:v>0</c:v>
                </c:pt>
                <c:pt idx="1">
                  <c:v>0</c:v>
                </c:pt>
                <c:pt idx="2">
                  <c:v>0</c:v>
                </c:pt>
                <c:pt idx="3">
                  <c:v>0</c:v>
                </c:pt>
                <c:pt idx="4">
                  <c:v>0</c:v>
                </c:pt>
              </c:numCache>
            </c:numRef>
          </c:xVal>
          <c:yVal>
            <c:numRef>
              <c:f>KLasten!$H$20:$L$20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0-C4E9-4F44-B51D-61A8DD92BE00}"/>
            </c:ext>
          </c:extLst>
        </c:ser>
        <c:ser>
          <c:idx val="98"/>
          <c:order val="177"/>
          <c:tx>
            <c:v>Knotenlast V 18</c:v>
          </c:tx>
          <c:spPr>
            <a:ln w="12700">
              <a:solidFill>
                <a:srgbClr val="808080"/>
              </a:solidFill>
              <a:prstDash val="solid"/>
            </a:ln>
          </c:spPr>
          <c:marker>
            <c:symbol val="none"/>
          </c:marker>
          <c:xVal>
            <c:numRef>
              <c:f>KLasten!$C$21:$G$21</c:f>
              <c:numCache>
                <c:formatCode>General</c:formatCode>
                <c:ptCount val="5"/>
                <c:pt idx="0">
                  <c:v>0</c:v>
                </c:pt>
                <c:pt idx="1">
                  <c:v>0</c:v>
                </c:pt>
                <c:pt idx="2">
                  <c:v>0</c:v>
                </c:pt>
                <c:pt idx="3">
                  <c:v>0</c:v>
                </c:pt>
                <c:pt idx="4">
                  <c:v>0</c:v>
                </c:pt>
              </c:numCache>
            </c:numRef>
          </c:xVal>
          <c:yVal>
            <c:numRef>
              <c:f>KLasten!$H$21:$L$21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1-C4E9-4F44-B51D-61A8DD92BE00}"/>
            </c:ext>
          </c:extLst>
        </c:ser>
        <c:ser>
          <c:idx val="99"/>
          <c:order val="178"/>
          <c:tx>
            <c:v>Knotenlast V 19</c:v>
          </c:tx>
          <c:spPr>
            <a:ln w="12700">
              <a:solidFill>
                <a:srgbClr val="808080"/>
              </a:solidFill>
              <a:prstDash val="solid"/>
            </a:ln>
          </c:spPr>
          <c:marker>
            <c:symbol val="none"/>
          </c:marker>
          <c:xVal>
            <c:numRef>
              <c:f>KLasten!$C$22:$G$22</c:f>
              <c:numCache>
                <c:formatCode>General</c:formatCode>
                <c:ptCount val="5"/>
                <c:pt idx="0">
                  <c:v>0</c:v>
                </c:pt>
                <c:pt idx="1">
                  <c:v>0</c:v>
                </c:pt>
                <c:pt idx="2">
                  <c:v>0</c:v>
                </c:pt>
                <c:pt idx="3">
                  <c:v>0</c:v>
                </c:pt>
                <c:pt idx="4">
                  <c:v>0</c:v>
                </c:pt>
              </c:numCache>
            </c:numRef>
          </c:xVal>
          <c:yVal>
            <c:numRef>
              <c:f>KLasten!$H$22:$L$22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2-C4E9-4F44-B51D-61A8DD92BE00}"/>
            </c:ext>
          </c:extLst>
        </c:ser>
        <c:ser>
          <c:idx val="100"/>
          <c:order val="179"/>
          <c:tx>
            <c:v>Knotenlast V 20</c:v>
          </c:tx>
          <c:spPr>
            <a:ln w="12700">
              <a:solidFill>
                <a:srgbClr val="808080"/>
              </a:solidFill>
              <a:prstDash val="solid"/>
            </a:ln>
          </c:spPr>
          <c:marker>
            <c:symbol val="none"/>
          </c:marker>
          <c:xVal>
            <c:numRef>
              <c:f>KLasten!$C$23:$G$23</c:f>
              <c:numCache>
                <c:formatCode>General</c:formatCode>
                <c:ptCount val="5"/>
                <c:pt idx="0">
                  <c:v>0</c:v>
                </c:pt>
                <c:pt idx="1">
                  <c:v>0</c:v>
                </c:pt>
                <c:pt idx="2">
                  <c:v>0</c:v>
                </c:pt>
                <c:pt idx="3">
                  <c:v>0</c:v>
                </c:pt>
                <c:pt idx="4">
                  <c:v>0</c:v>
                </c:pt>
              </c:numCache>
            </c:numRef>
          </c:xVal>
          <c:yVal>
            <c:numRef>
              <c:f>KLasten!$H$23:$L$23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B3-C4E9-4F44-B51D-61A8DD92BE00}"/>
            </c:ext>
          </c:extLst>
        </c:ser>
        <c:ser>
          <c:idx val="101"/>
          <c:order val="180"/>
          <c:tx>
            <c:v>Rotzeigeru1</c:v>
          </c:tx>
          <c:spPr>
            <a:ln>
              <a:solidFill>
                <a:srgbClr val="8064A2">
                  <a:lumMod val="60000"/>
                  <a:lumOff val="40000"/>
                </a:srgbClr>
              </a:solidFill>
              <a:tailEnd type="triangle"/>
            </a:ln>
          </c:spPr>
          <c:marker>
            <c:symbol val="none"/>
          </c:marker>
          <c:xVal>
            <c:numRef>
              <c:f>Symbole!$D$75:$E$75</c:f>
              <c:numCache>
                <c:formatCode>General</c:formatCode>
                <c:ptCount val="2"/>
                <c:pt idx="0">
                  <c:v>20</c:v>
                </c:pt>
                <c:pt idx="1">
                  <c:v>20</c:v>
                </c:pt>
              </c:numCache>
            </c:numRef>
          </c:xVal>
          <c:yVal>
            <c:numRef>
              <c:f>Symbole!$H$75:$I$75</c:f>
              <c:numCache>
                <c:formatCode>General</c:formatCode>
                <c:ptCount val="2"/>
                <c:pt idx="0">
                  <c:v>-40</c:v>
                </c:pt>
                <c:pt idx="1">
                  <c:v>-40</c:v>
                </c:pt>
              </c:numCache>
            </c:numRef>
          </c:yVal>
          <c:smooth val="0"/>
          <c:extLst>
            <c:ext xmlns:c16="http://schemas.microsoft.com/office/drawing/2014/chart" uri="{C3380CC4-5D6E-409C-BE32-E72D297353CC}">
              <c16:uniqueId val="{000000B4-C4E9-4F44-B51D-61A8DD92BE00}"/>
            </c:ext>
          </c:extLst>
        </c:ser>
        <c:ser>
          <c:idx val="102"/>
          <c:order val="181"/>
          <c:tx>
            <c:v>Rotzeigeru2</c:v>
          </c:tx>
          <c:spPr>
            <a:ln>
              <a:solidFill>
                <a:srgbClr val="8064A2">
                  <a:lumMod val="60000"/>
                  <a:lumOff val="40000"/>
                </a:srgbClr>
              </a:solidFill>
              <a:tailEnd type="triangle"/>
            </a:ln>
          </c:spPr>
          <c:marker>
            <c:symbol val="none"/>
          </c:marker>
          <c:xVal>
            <c:numRef>
              <c:f>Symbole!$D$76:$E$76</c:f>
              <c:numCache>
                <c:formatCode>General</c:formatCode>
                <c:ptCount val="2"/>
                <c:pt idx="0">
                  <c:v>100</c:v>
                </c:pt>
                <c:pt idx="1">
                  <c:v>100</c:v>
                </c:pt>
              </c:numCache>
            </c:numRef>
          </c:xVal>
          <c:yVal>
            <c:numRef>
              <c:f>Symbole!$H$76:$I$76</c:f>
              <c:numCache>
                <c:formatCode>General</c:formatCode>
                <c:ptCount val="2"/>
                <c:pt idx="0">
                  <c:v>20</c:v>
                </c:pt>
                <c:pt idx="1">
                  <c:v>20</c:v>
                </c:pt>
              </c:numCache>
            </c:numRef>
          </c:yVal>
          <c:smooth val="0"/>
          <c:extLst>
            <c:ext xmlns:c16="http://schemas.microsoft.com/office/drawing/2014/chart" uri="{C3380CC4-5D6E-409C-BE32-E72D297353CC}">
              <c16:uniqueId val="{000000B5-C4E9-4F44-B51D-61A8DD92BE00}"/>
            </c:ext>
          </c:extLst>
        </c:ser>
        <c:ser>
          <c:idx val="103"/>
          <c:order val="182"/>
          <c:tx>
            <c:v>Rotzeigeru3</c:v>
          </c:tx>
          <c:spPr>
            <a:ln>
              <a:solidFill>
                <a:srgbClr val="8064A2">
                  <a:lumMod val="60000"/>
                  <a:lumOff val="40000"/>
                </a:srgbClr>
              </a:solidFill>
              <a:tailEnd type="triangle"/>
            </a:ln>
          </c:spPr>
          <c:marker>
            <c:symbol val="none"/>
          </c:marker>
          <c:xVal>
            <c:numRef>
              <c:f>Symbole!$D$77:$E$77</c:f>
              <c:numCache>
                <c:formatCode>General</c:formatCode>
                <c:ptCount val="2"/>
                <c:pt idx="0">
                  <c:v>20</c:v>
                </c:pt>
                <c:pt idx="1">
                  <c:v>20</c:v>
                </c:pt>
              </c:numCache>
            </c:numRef>
          </c:xVal>
          <c:yVal>
            <c:numRef>
              <c:f>Symbole!$H$77:$I$77</c:f>
              <c:numCache>
                <c:formatCode>General</c:formatCode>
                <c:ptCount val="2"/>
                <c:pt idx="0">
                  <c:v>20</c:v>
                </c:pt>
                <c:pt idx="1">
                  <c:v>20</c:v>
                </c:pt>
              </c:numCache>
            </c:numRef>
          </c:yVal>
          <c:smooth val="0"/>
          <c:extLst>
            <c:ext xmlns:c16="http://schemas.microsoft.com/office/drawing/2014/chart" uri="{C3380CC4-5D6E-409C-BE32-E72D297353CC}">
              <c16:uniqueId val="{000000B6-C4E9-4F44-B51D-61A8DD92BE00}"/>
            </c:ext>
          </c:extLst>
        </c:ser>
        <c:ser>
          <c:idx val="104"/>
          <c:order val="183"/>
          <c:tx>
            <c:v>Rotzeigeru4</c:v>
          </c:tx>
          <c:spPr>
            <a:ln>
              <a:solidFill>
                <a:srgbClr val="8064A2">
                  <a:lumMod val="60000"/>
                  <a:lumOff val="40000"/>
                </a:srgbClr>
              </a:solidFill>
              <a:tailEnd type="triangle"/>
            </a:ln>
          </c:spPr>
          <c:marker>
            <c:symbol val="none"/>
          </c:marker>
          <c:xVal>
            <c:numRef>
              <c:f>Symbole!$D$78:$E$78</c:f>
              <c:numCache>
                <c:formatCode>General</c:formatCode>
                <c:ptCount val="2"/>
                <c:pt idx="0">
                  <c:v>60</c:v>
                </c:pt>
                <c:pt idx="1">
                  <c:v>60</c:v>
                </c:pt>
              </c:numCache>
            </c:numRef>
          </c:xVal>
          <c:yVal>
            <c:numRef>
              <c:f>Symbole!$H$78:$I$78</c:f>
              <c:numCache>
                <c:formatCode>General</c:formatCode>
                <c:ptCount val="2"/>
                <c:pt idx="0">
                  <c:v>-100</c:v>
                </c:pt>
                <c:pt idx="1">
                  <c:v>-100</c:v>
                </c:pt>
              </c:numCache>
            </c:numRef>
          </c:yVal>
          <c:smooth val="0"/>
          <c:extLst>
            <c:ext xmlns:c16="http://schemas.microsoft.com/office/drawing/2014/chart" uri="{C3380CC4-5D6E-409C-BE32-E72D297353CC}">
              <c16:uniqueId val="{000000B7-C4E9-4F44-B51D-61A8DD92BE00}"/>
            </c:ext>
          </c:extLst>
        </c:ser>
        <c:ser>
          <c:idx val="105"/>
          <c:order val="184"/>
          <c:tx>
            <c:v>Rotzeigeru5</c:v>
          </c:tx>
          <c:spPr>
            <a:ln>
              <a:solidFill>
                <a:srgbClr val="8064A2">
                  <a:lumMod val="60000"/>
                  <a:lumOff val="40000"/>
                </a:srgbClr>
              </a:solidFill>
              <a:tailEnd type="triangle"/>
            </a:ln>
          </c:spPr>
          <c:marker>
            <c:symbol val="none"/>
          </c:marker>
          <c:xVal>
            <c:numRef>
              <c:f>Symbole!$D$79:$E$79</c:f>
              <c:numCache>
                <c:formatCode>General</c:formatCode>
                <c:ptCount val="2"/>
                <c:pt idx="0">
                  <c:v>-50</c:v>
                </c:pt>
                <c:pt idx="1">
                  <c:v>-50</c:v>
                </c:pt>
              </c:numCache>
            </c:numRef>
          </c:xVal>
          <c:yVal>
            <c:numRef>
              <c:f>Symbole!$H$79:$I$79</c:f>
              <c:numCache>
                <c:formatCode>General</c:formatCode>
                <c:ptCount val="2"/>
                <c:pt idx="0">
                  <c:v>-70</c:v>
                </c:pt>
                <c:pt idx="1">
                  <c:v>-70</c:v>
                </c:pt>
              </c:numCache>
            </c:numRef>
          </c:yVal>
          <c:smooth val="0"/>
          <c:extLst>
            <c:ext xmlns:c16="http://schemas.microsoft.com/office/drawing/2014/chart" uri="{C3380CC4-5D6E-409C-BE32-E72D297353CC}">
              <c16:uniqueId val="{000000B8-C4E9-4F44-B51D-61A8DD92BE00}"/>
            </c:ext>
          </c:extLst>
        </c:ser>
        <c:ser>
          <c:idx val="106"/>
          <c:order val="185"/>
          <c:tx>
            <c:v>Rotzeigeru6</c:v>
          </c:tx>
          <c:spPr>
            <a:ln>
              <a:solidFill>
                <a:srgbClr val="8064A2">
                  <a:lumMod val="60000"/>
                  <a:lumOff val="40000"/>
                </a:srgbClr>
              </a:solidFill>
              <a:tailEnd type="triangle"/>
            </a:ln>
          </c:spPr>
          <c:marker>
            <c:symbol val="none"/>
          </c:marker>
          <c:xVal>
            <c:numRef>
              <c:f>Symbole!$D$80:$E$80</c:f>
              <c:numCache>
                <c:formatCode>General</c:formatCode>
                <c:ptCount val="2"/>
                <c:pt idx="0">
                  <c:v>-100</c:v>
                </c:pt>
                <c:pt idx="1">
                  <c:v>-100</c:v>
                </c:pt>
              </c:numCache>
            </c:numRef>
          </c:xVal>
          <c:yVal>
            <c:numRef>
              <c:f>Symbole!$H$80:$I$80</c:f>
              <c:numCache>
                <c:formatCode>General</c:formatCode>
                <c:ptCount val="2"/>
                <c:pt idx="0">
                  <c:v>100</c:v>
                </c:pt>
                <c:pt idx="1">
                  <c:v>100</c:v>
                </c:pt>
              </c:numCache>
            </c:numRef>
          </c:yVal>
          <c:smooth val="0"/>
          <c:extLst>
            <c:ext xmlns:c16="http://schemas.microsoft.com/office/drawing/2014/chart" uri="{C3380CC4-5D6E-409C-BE32-E72D297353CC}">
              <c16:uniqueId val="{000000B9-C4E9-4F44-B51D-61A8DD92BE00}"/>
            </c:ext>
          </c:extLst>
        </c:ser>
        <c:ser>
          <c:idx val="107"/>
          <c:order val="186"/>
          <c:tx>
            <c:v>Rotzeigeru7</c:v>
          </c:tx>
          <c:spPr>
            <a:ln>
              <a:solidFill>
                <a:srgbClr val="8064A2">
                  <a:lumMod val="60000"/>
                  <a:lumOff val="40000"/>
                </a:srgbClr>
              </a:solidFill>
              <a:tailEnd type="triangle"/>
            </a:ln>
          </c:spPr>
          <c:marker>
            <c:symbol val="none"/>
          </c:marker>
          <c:xVal>
            <c:numRef>
              <c:f>Symbole!$D$81:$E$81</c:f>
              <c:numCache>
                <c:formatCode>General</c:formatCode>
                <c:ptCount val="2"/>
                <c:pt idx="0">
                  <c:v>0</c:v>
                </c:pt>
                <c:pt idx="1">
                  <c:v>0</c:v>
                </c:pt>
              </c:numCache>
            </c:numRef>
          </c:xVal>
          <c:yVal>
            <c:numRef>
              <c:f>Symbole!$H$81:$I$81</c:f>
              <c:numCache>
                <c:formatCode>General</c:formatCode>
                <c:ptCount val="2"/>
                <c:pt idx="0">
                  <c:v>0</c:v>
                </c:pt>
                <c:pt idx="1">
                  <c:v>0</c:v>
                </c:pt>
              </c:numCache>
            </c:numRef>
          </c:yVal>
          <c:smooth val="0"/>
          <c:extLst>
            <c:ext xmlns:c16="http://schemas.microsoft.com/office/drawing/2014/chart" uri="{C3380CC4-5D6E-409C-BE32-E72D297353CC}">
              <c16:uniqueId val="{000000BA-C4E9-4F44-B51D-61A8DD92BE00}"/>
            </c:ext>
          </c:extLst>
        </c:ser>
        <c:ser>
          <c:idx val="108"/>
          <c:order val="187"/>
          <c:tx>
            <c:v>Rotzeigeru8</c:v>
          </c:tx>
          <c:spPr>
            <a:ln>
              <a:solidFill>
                <a:srgbClr val="8064A2">
                  <a:lumMod val="60000"/>
                  <a:lumOff val="40000"/>
                </a:srgbClr>
              </a:solidFill>
              <a:tailEnd type="triangle"/>
            </a:ln>
          </c:spPr>
          <c:marker>
            <c:symbol val="none"/>
          </c:marker>
          <c:xVal>
            <c:numRef>
              <c:f>Symbole!$D$82:$E$82</c:f>
              <c:numCache>
                <c:formatCode>General</c:formatCode>
                <c:ptCount val="2"/>
                <c:pt idx="0">
                  <c:v>0</c:v>
                </c:pt>
                <c:pt idx="1">
                  <c:v>0</c:v>
                </c:pt>
              </c:numCache>
            </c:numRef>
          </c:xVal>
          <c:yVal>
            <c:numRef>
              <c:f>Symbole!$H$82:$I$82</c:f>
              <c:numCache>
                <c:formatCode>General</c:formatCode>
                <c:ptCount val="2"/>
                <c:pt idx="0">
                  <c:v>0</c:v>
                </c:pt>
                <c:pt idx="1">
                  <c:v>0</c:v>
                </c:pt>
              </c:numCache>
            </c:numRef>
          </c:yVal>
          <c:smooth val="0"/>
          <c:extLst>
            <c:ext xmlns:c16="http://schemas.microsoft.com/office/drawing/2014/chart" uri="{C3380CC4-5D6E-409C-BE32-E72D297353CC}">
              <c16:uniqueId val="{000000BB-C4E9-4F44-B51D-61A8DD92BE00}"/>
            </c:ext>
          </c:extLst>
        </c:ser>
        <c:ser>
          <c:idx val="109"/>
          <c:order val="188"/>
          <c:tx>
            <c:v>Rotzeigeru9</c:v>
          </c:tx>
          <c:spPr>
            <a:ln>
              <a:solidFill>
                <a:srgbClr val="8064A2">
                  <a:lumMod val="60000"/>
                  <a:lumOff val="40000"/>
                </a:srgbClr>
              </a:solidFill>
              <a:tailEnd type="triangle"/>
            </a:ln>
          </c:spPr>
          <c:marker>
            <c:symbol val="none"/>
          </c:marker>
          <c:xVal>
            <c:numRef>
              <c:f>Symbole!$D$83:$E$83</c:f>
              <c:numCache>
                <c:formatCode>General</c:formatCode>
                <c:ptCount val="2"/>
                <c:pt idx="0">
                  <c:v>0</c:v>
                </c:pt>
                <c:pt idx="1">
                  <c:v>0</c:v>
                </c:pt>
              </c:numCache>
            </c:numRef>
          </c:xVal>
          <c:yVal>
            <c:numRef>
              <c:f>Symbole!$H$83:$I$83</c:f>
              <c:numCache>
                <c:formatCode>General</c:formatCode>
                <c:ptCount val="2"/>
                <c:pt idx="0">
                  <c:v>0</c:v>
                </c:pt>
                <c:pt idx="1">
                  <c:v>0</c:v>
                </c:pt>
              </c:numCache>
            </c:numRef>
          </c:yVal>
          <c:smooth val="0"/>
          <c:extLst>
            <c:ext xmlns:c16="http://schemas.microsoft.com/office/drawing/2014/chart" uri="{C3380CC4-5D6E-409C-BE32-E72D297353CC}">
              <c16:uniqueId val="{000000BC-C4E9-4F44-B51D-61A8DD92BE00}"/>
            </c:ext>
          </c:extLst>
        </c:ser>
        <c:ser>
          <c:idx val="110"/>
          <c:order val="189"/>
          <c:tx>
            <c:v>Rotzeigeru10</c:v>
          </c:tx>
          <c:spPr>
            <a:ln>
              <a:solidFill>
                <a:srgbClr val="8064A2">
                  <a:lumMod val="60000"/>
                  <a:lumOff val="40000"/>
                </a:srgbClr>
              </a:solidFill>
              <a:tailEnd type="triangle"/>
            </a:ln>
          </c:spPr>
          <c:marker>
            <c:symbol val="none"/>
          </c:marker>
          <c:xVal>
            <c:numRef>
              <c:f>Symbole!$D$84:$E$84</c:f>
              <c:numCache>
                <c:formatCode>General</c:formatCode>
                <c:ptCount val="2"/>
                <c:pt idx="0">
                  <c:v>0</c:v>
                </c:pt>
                <c:pt idx="1">
                  <c:v>0</c:v>
                </c:pt>
              </c:numCache>
            </c:numRef>
          </c:xVal>
          <c:yVal>
            <c:numRef>
              <c:f>Symbole!$H$84:$I$84</c:f>
              <c:numCache>
                <c:formatCode>General</c:formatCode>
                <c:ptCount val="2"/>
                <c:pt idx="0">
                  <c:v>0</c:v>
                </c:pt>
                <c:pt idx="1">
                  <c:v>0</c:v>
                </c:pt>
              </c:numCache>
            </c:numRef>
          </c:yVal>
          <c:smooth val="0"/>
          <c:extLst>
            <c:ext xmlns:c16="http://schemas.microsoft.com/office/drawing/2014/chart" uri="{C3380CC4-5D6E-409C-BE32-E72D297353CC}">
              <c16:uniqueId val="{000000BD-C4E9-4F44-B51D-61A8DD92BE00}"/>
            </c:ext>
          </c:extLst>
        </c:ser>
        <c:ser>
          <c:idx val="111"/>
          <c:order val="190"/>
          <c:tx>
            <c:v>Rotzeigeru11</c:v>
          </c:tx>
          <c:spPr>
            <a:ln>
              <a:solidFill>
                <a:schemeClr val="accent4">
                  <a:lumMod val="60000"/>
                  <a:lumOff val="40000"/>
                </a:schemeClr>
              </a:solidFill>
              <a:tailEnd type="triangle"/>
            </a:ln>
          </c:spPr>
          <c:marker>
            <c:symbol val="none"/>
          </c:marker>
          <c:xVal>
            <c:numRef>
              <c:f>Symbole!$D$85:$E$85</c:f>
              <c:numCache>
                <c:formatCode>General</c:formatCode>
                <c:ptCount val="2"/>
                <c:pt idx="0">
                  <c:v>0</c:v>
                </c:pt>
                <c:pt idx="1">
                  <c:v>0</c:v>
                </c:pt>
              </c:numCache>
            </c:numRef>
          </c:xVal>
          <c:yVal>
            <c:numRef>
              <c:f>Symbole!$H$85:$I$85</c:f>
              <c:numCache>
                <c:formatCode>General</c:formatCode>
                <c:ptCount val="2"/>
                <c:pt idx="0">
                  <c:v>0</c:v>
                </c:pt>
                <c:pt idx="1">
                  <c:v>0</c:v>
                </c:pt>
              </c:numCache>
            </c:numRef>
          </c:yVal>
          <c:smooth val="0"/>
          <c:extLst>
            <c:ext xmlns:c16="http://schemas.microsoft.com/office/drawing/2014/chart" uri="{C3380CC4-5D6E-409C-BE32-E72D297353CC}">
              <c16:uniqueId val="{000000BE-C4E9-4F44-B51D-61A8DD92BE00}"/>
            </c:ext>
          </c:extLst>
        </c:ser>
        <c:ser>
          <c:idx val="112"/>
          <c:order val="191"/>
          <c:tx>
            <c:v>Rotzeigeru12</c:v>
          </c:tx>
          <c:spPr>
            <a:ln>
              <a:solidFill>
                <a:srgbClr val="8064A2">
                  <a:lumMod val="60000"/>
                  <a:lumOff val="40000"/>
                </a:srgbClr>
              </a:solidFill>
              <a:tailEnd type="triangle"/>
            </a:ln>
          </c:spPr>
          <c:marker>
            <c:symbol val="none"/>
          </c:marker>
          <c:xVal>
            <c:numRef>
              <c:f>Symbole!$D$86:$E$86</c:f>
              <c:numCache>
                <c:formatCode>General</c:formatCode>
                <c:ptCount val="2"/>
                <c:pt idx="0">
                  <c:v>0</c:v>
                </c:pt>
                <c:pt idx="1">
                  <c:v>0</c:v>
                </c:pt>
              </c:numCache>
            </c:numRef>
          </c:xVal>
          <c:yVal>
            <c:numRef>
              <c:f>Symbole!$H$86:$I$86</c:f>
              <c:numCache>
                <c:formatCode>General</c:formatCode>
                <c:ptCount val="2"/>
                <c:pt idx="0">
                  <c:v>0</c:v>
                </c:pt>
                <c:pt idx="1">
                  <c:v>0</c:v>
                </c:pt>
              </c:numCache>
            </c:numRef>
          </c:yVal>
          <c:smooth val="0"/>
          <c:extLst>
            <c:ext xmlns:c16="http://schemas.microsoft.com/office/drawing/2014/chart" uri="{C3380CC4-5D6E-409C-BE32-E72D297353CC}">
              <c16:uniqueId val="{000000BF-C4E9-4F44-B51D-61A8DD92BE00}"/>
            </c:ext>
          </c:extLst>
        </c:ser>
        <c:ser>
          <c:idx val="113"/>
          <c:order val="192"/>
          <c:tx>
            <c:v>Rotzeigeru13</c:v>
          </c:tx>
          <c:spPr>
            <a:ln>
              <a:solidFill>
                <a:srgbClr val="8064A2">
                  <a:lumMod val="60000"/>
                  <a:lumOff val="40000"/>
                </a:srgbClr>
              </a:solidFill>
              <a:tailEnd type="triangle"/>
            </a:ln>
          </c:spPr>
          <c:marker>
            <c:symbol val="none"/>
          </c:marker>
          <c:xVal>
            <c:numRef>
              <c:f>Symbole!$D$87:$E$87</c:f>
              <c:numCache>
                <c:formatCode>General</c:formatCode>
                <c:ptCount val="2"/>
                <c:pt idx="0">
                  <c:v>0</c:v>
                </c:pt>
                <c:pt idx="1">
                  <c:v>0</c:v>
                </c:pt>
              </c:numCache>
            </c:numRef>
          </c:xVal>
          <c:yVal>
            <c:numRef>
              <c:f>Symbole!$H$87:$I$87</c:f>
              <c:numCache>
                <c:formatCode>General</c:formatCode>
                <c:ptCount val="2"/>
                <c:pt idx="0">
                  <c:v>0</c:v>
                </c:pt>
                <c:pt idx="1">
                  <c:v>0</c:v>
                </c:pt>
              </c:numCache>
            </c:numRef>
          </c:yVal>
          <c:smooth val="0"/>
          <c:extLst>
            <c:ext xmlns:c16="http://schemas.microsoft.com/office/drawing/2014/chart" uri="{C3380CC4-5D6E-409C-BE32-E72D297353CC}">
              <c16:uniqueId val="{000000C0-C4E9-4F44-B51D-61A8DD92BE00}"/>
            </c:ext>
          </c:extLst>
        </c:ser>
        <c:ser>
          <c:idx val="114"/>
          <c:order val="193"/>
          <c:tx>
            <c:v>Rotzeigeru14</c:v>
          </c:tx>
          <c:spPr>
            <a:ln>
              <a:solidFill>
                <a:srgbClr val="8064A2">
                  <a:lumMod val="60000"/>
                  <a:lumOff val="40000"/>
                </a:srgbClr>
              </a:solidFill>
              <a:tailEnd type="triangle"/>
            </a:ln>
          </c:spPr>
          <c:marker>
            <c:symbol val="none"/>
          </c:marker>
          <c:xVal>
            <c:numRef>
              <c:f>Symbole!$D$88:$E$88</c:f>
              <c:numCache>
                <c:formatCode>General</c:formatCode>
                <c:ptCount val="2"/>
                <c:pt idx="0">
                  <c:v>0</c:v>
                </c:pt>
                <c:pt idx="1">
                  <c:v>0</c:v>
                </c:pt>
              </c:numCache>
            </c:numRef>
          </c:xVal>
          <c:yVal>
            <c:numRef>
              <c:f>Symbole!$H$88:$I$88</c:f>
              <c:numCache>
                <c:formatCode>General</c:formatCode>
                <c:ptCount val="2"/>
                <c:pt idx="0">
                  <c:v>0</c:v>
                </c:pt>
                <c:pt idx="1">
                  <c:v>0</c:v>
                </c:pt>
              </c:numCache>
            </c:numRef>
          </c:yVal>
          <c:smooth val="0"/>
          <c:extLst>
            <c:ext xmlns:c16="http://schemas.microsoft.com/office/drawing/2014/chart" uri="{C3380CC4-5D6E-409C-BE32-E72D297353CC}">
              <c16:uniqueId val="{000000C1-C4E9-4F44-B51D-61A8DD92BE00}"/>
            </c:ext>
          </c:extLst>
        </c:ser>
        <c:ser>
          <c:idx val="115"/>
          <c:order val="194"/>
          <c:tx>
            <c:v>Rotzeigeru15</c:v>
          </c:tx>
          <c:spPr>
            <a:ln>
              <a:solidFill>
                <a:srgbClr val="8064A2">
                  <a:lumMod val="60000"/>
                  <a:lumOff val="40000"/>
                </a:srgbClr>
              </a:solidFill>
              <a:tailEnd type="triangle"/>
            </a:ln>
          </c:spPr>
          <c:marker>
            <c:symbol val="none"/>
          </c:marker>
          <c:xVal>
            <c:numRef>
              <c:f>Symbole!$D$89:$E$89</c:f>
              <c:numCache>
                <c:formatCode>General</c:formatCode>
                <c:ptCount val="2"/>
                <c:pt idx="0">
                  <c:v>0</c:v>
                </c:pt>
                <c:pt idx="1">
                  <c:v>0</c:v>
                </c:pt>
              </c:numCache>
            </c:numRef>
          </c:xVal>
          <c:yVal>
            <c:numRef>
              <c:f>Symbole!$H$89:$I$89</c:f>
              <c:numCache>
                <c:formatCode>General</c:formatCode>
                <c:ptCount val="2"/>
                <c:pt idx="0">
                  <c:v>0</c:v>
                </c:pt>
                <c:pt idx="1">
                  <c:v>0</c:v>
                </c:pt>
              </c:numCache>
            </c:numRef>
          </c:yVal>
          <c:smooth val="0"/>
          <c:extLst>
            <c:ext xmlns:c16="http://schemas.microsoft.com/office/drawing/2014/chart" uri="{C3380CC4-5D6E-409C-BE32-E72D297353CC}">
              <c16:uniqueId val="{000000C2-C4E9-4F44-B51D-61A8DD92BE00}"/>
            </c:ext>
          </c:extLst>
        </c:ser>
        <c:ser>
          <c:idx val="116"/>
          <c:order val="195"/>
          <c:tx>
            <c:v>Rotzeigeru16</c:v>
          </c:tx>
          <c:spPr>
            <a:ln>
              <a:solidFill>
                <a:srgbClr val="8064A2">
                  <a:lumMod val="60000"/>
                  <a:lumOff val="40000"/>
                </a:srgbClr>
              </a:solidFill>
              <a:tailEnd type="triangle"/>
            </a:ln>
          </c:spPr>
          <c:marker>
            <c:symbol val="none"/>
          </c:marker>
          <c:xVal>
            <c:numRef>
              <c:f>Symbole!$D$90:$E$90</c:f>
              <c:numCache>
                <c:formatCode>General</c:formatCode>
                <c:ptCount val="2"/>
                <c:pt idx="0">
                  <c:v>0</c:v>
                </c:pt>
                <c:pt idx="1">
                  <c:v>0</c:v>
                </c:pt>
              </c:numCache>
            </c:numRef>
          </c:xVal>
          <c:yVal>
            <c:numRef>
              <c:f>Symbole!$H$90:$I$90</c:f>
              <c:numCache>
                <c:formatCode>General</c:formatCode>
                <c:ptCount val="2"/>
                <c:pt idx="0">
                  <c:v>0</c:v>
                </c:pt>
                <c:pt idx="1">
                  <c:v>0</c:v>
                </c:pt>
              </c:numCache>
            </c:numRef>
          </c:yVal>
          <c:smooth val="0"/>
          <c:extLst>
            <c:ext xmlns:c16="http://schemas.microsoft.com/office/drawing/2014/chart" uri="{C3380CC4-5D6E-409C-BE32-E72D297353CC}">
              <c16:uniqueId val="{000000C3-C4E9-4F44-B51D-61A8DD92BE00}"/>
            </c:ext>
          </c:extLst>
        </c:ser>
        <c:ser>
          <c:idx val="117"/>
          <c:order val="196"/>
          <c:tx>
            <c:v>Rotzeigeru17</c:v>
          </c:tx>
          <c:spPr>
            <a:ln>
              <a:solidFill>
                <a:srgbClr val="8064A2">
                  <a:lumMod val="60000"/>
                  <a:lumOff val="40000"/>
                </a:srgbClr>
              </a:solidFill>
              <a:tailEnd type="triangle"/>
            </a:ln>
          </c:spPr>
          <c:marker>
            <c:symbol val="none"/>
          </c:marker>
          <c:xVal>
            <c:numRef>
              <c:f>Symbole!$D$91:$E$91</c:f>
              <c:numCache>
                <c:formatCode>General</c:formatCode>
                <c:ptCount val="2"/>
                <c:pt idx="0">
                  <c:v>0</c:v>
                </c:pt>
                <c:pt idx="1">
                  <c:v>0</c:v>
                </c:pt>
              </c:numCache>
            </c:numRef>
          </c:xVal>
          <c:yVal>
            <c:numRef>
              <c:f>Symbole!$H$91:$I$91</c:f>
              <c:numCache>
                <c:formatCode>General</c:formatCode>
                <c:ptCount val="2"/>
                <c:pt idx="0">
                  <c:v>0</c:v>
                </c:pt>
                <c:pt idx="1">
                  <c:v>0</c:v>
                </c:pt>
              </c:numCache>
            </c:numRef>
          </c:yVal>
          <c:smooth val="0"/>
          <c:extLst>
            <c:ext xmlns:c16="http://schemas.microsoft.com/office/drawing/2014/chart" uri="{C3380CC4-5D6E-409C-BE32-E72D297353CC}">
              <c16:uniqueId val="{000000C4-C4E9-4F44-B51D-61A8DD92BE00}"/>
            </c:ext>
          </c:extLst>
        </c:ser>
        <c:ser>
          <c:idx val="118"/>
          <c:order val="197"/>
          <c:tx>
            <c:v>Rotzeigeru18</c:v>
          </c:tx>
          <c:spPr>
            <a:ln>
              <a:solidFill>
                <a:srgbClr val="8064A2">
                  <a:lumMod val="60000"/>
                  <a:lumOff val="40000"/>
                </a:srgbClr>
              </a:solidFill>
              <a:tailEnd type="triangle"/>
            </a:ln>
          </c:spPr>
          <c:marker>
            <c:symbol val="none"/>
          </c:marker>
          <c:xVal>
            <c:numRef>
              <c:f>Symbole!$D$92:$E$92</c:f>
              <c:numCache>
                <c:formatCode>General</c:formatCode>
                <c:ptCount val="2"/>
                <c:pt idx="0">
                  <c:v>0</c:v>
                </c:pt>
                <c:pt idx="1">
                  <c:v>0</c:v>
                </c:pt>
              </c:numCache>
            </c:numRef>
          </c:xVal>
          <c:yVal>
            <c:numRef>
              <c:f>Symbole!$H$92:$I$92</c:f>
              <c:numCache>
                <c:formatCode>General</c:formatCode>
                <c:ptCount val="2"/>
                <c:pt idx="0">
                  <c:v>0</c:v>
                </c:pt>
                <c:pt idx="1">
                  <c:v>0</c:v>
                </c:pt>
              </c:numCache>
            </c:numRef>
          </c:yVal>
          <c:smooth val="0"/>
          <c:extLst>
            <c:ext xmlns:c16="http://schemas.microsoft.com/office/drawing/2014/chart" uri="{C3380CC4-5D6E-409C-BE32-E72D297353CC}">
              <c16:uniqueId val="{000000C5-C4E9-4F44-B51D-61A8DD92BE00}"/>
            </c:ext>
          </c:extLst>
        </c:ser>
        <c:ser>
          <c:idx val="119"/>
          <c:order val="198"/>
          <c:tx>
            <c:v>Rotzeigeru19</c:v>
          </c:tx>
          <c:spPr>
            <a:ln>
              <a:solidFill>
                <a:srgbClr val="8064A2">
                  <a:lumMod val="60000"/>
                  <a:lumOff val="40000"/>
                </a:srgbClr>
              </a:solidFill>
              <a:tailEnd type="triangle"/>
            </a:ln>
          </c:spPr>
          <c:marker>
            <c:symbol val="none"/>
          </c:marker>
          <c:xVal>
            <c:numRef>
              <c:f>Symbole!$D$93:$E$93</c:f>
              <c:numCache>
                <c:formatCode>General</c:formatCode>
                <c:ptCount val="2"/>
                <c:pt idx="0">
                  <c:v>0</c:v>
                </c:pt>
                <c:pt idx="1">
                  <c:v>0</c:v>
                </c:pt>
              </c:numCache>
            </c:numRef>
          </c:xVal>
          <c:yVal>
            <c:numRef>
              <c:f>Symbole!$H$93:$I$93</c:f>
              <c:numCache>
                <c:formatCode>General</c:formatCode>
                <c:ptCount val="2"/>
                <c:pt idx="0">
                  <c:v>0</c:v>
                </c:pt>
                <c:pt idx="1">
                  <c:v>0</c:v>
                </c:pt>
              </c:numCache>
            </c:numRef>
          </c:yVal>
          <c:smooth val="0"/>
          <c:extLst>
            <c:ext xmlns:c16="http://schemas.microsoft.com/office/drawing/2014/chart" uri="{C3380CC4-5D6E-409C-BE32-E72D297353CC}">
              <c16:uniqueId val="{000000C6-C4E9-4F44-B51D-61A8DD92BE00}"/>
            </c:ext>
          </c:extLst>
        </c:ser>
        <c:ser>
          <c:idx val="120"/>
          <c:order val="199"/>
          <c:tx>
            <c:v>Rotzeigeru20</c:v>
          </c:tx>
          <c:spPr>
            <a:ln>
              <a:solidFill>
                <a:srgbClr val="8064A2">
                  <a:lumMod val="60000"/>
                  <a:lumOff val="40000"/>
                </a:srgbClr>
              </a:solidFill>
              <a:tailEnd type="triangle"/>
            </a:ln>
          </c:spPr>
          <c:marker>
            <c:symbol val="none"/>
          </c:marker>
          <c:xVal>
            <c:numRef>
              <c:f>Symbole!$D$94:$E$94</c:f>
              <c:numCache>
                <c:formatCode>General</c:formatCode>
                <c:ptCount val="2"/>
                <c:pt idx="0">
                  <c:v>0</c:v>
                </c:pt>
                <c:pt idx="1">
                  <c:v>0</c:v>
                </c:pt>
              </c:numCache>
            </c:numRef>
          </c:xVal>
          <c:yVal>
            <c:numRef>
              <c:f>Symbole!$H$94:$I$94</c:f>
              <c:numCache>
                <c:formatCode>General</c:formatCode>
                <c:ptCount val="2"/>
                <c:pt idx="0">
                  <c:v>0</c:v>
                </c:pt>
                <c:pt idx="1">
                  <c:v>0</c:v>
                </c:pt>
              </c:numCache>
            </c:numRef>
          </c:yVal>
          <c:smooth val="0"/>
          <c:extLst>
            <c:ext xmlns:c16="http://schemas.microsoft.com/office/drawing/2014/chart" uri="{C3380CC4-5D6E-409C-BE32-E72D297353CC}">
              <c16:uniqueId val="{000000C7-C4E9-4F44-B51D-61A8DD92BE00}"/>
            </c:ext>
          </c:extLst>
        </c:ser>
        <c:ser>
          <c:idx val="201"/>
          <c:order val="200"/>
          <c:tx>
            <c:v>Rotzeigerw1</c:v>
          </c:tx>
          <c:spPr>
            <a:ln w="28575">
              <a:solidFill>
                <a:schemeClr val="accent4">
                  <a:lumMod val="60000"/>
                  <a:lumOff val="40000"/>
                </a:schemeClr>
              </a:solidFill>
              <a:tailEnd type="triangle"/>
            </a:ln>
          </c:spPr>
          <c:marker>
            <c:symbol val="none"/>
          </c:marker>
          <c:xVal>
            <c:numRef>
              <c:f>Symbole!$F$75:$G$75</c:f>
              <c:numCache>
                <c:formatCode>General</c:formatCode>
                <c:ptCount val="2"/>
                <c:pt idx="0">
                  <c:v>20</c:v>
                </c:pt>
                <c:pt idx="1">
                  <c:v>20</c:v>
                </c:pt>
              </c:numCache>
            </c:numRef>
          </c:xVal>
          <c:yVal>
            <c:numRef>
              <c:f>Symbole!$J$75:$K$75</c:f>
              <c:numCache>
                <c:formatCode>General</c:formatCode>
                <c:ptCount val="2"/>
                <c:pt idx="0">
                  <c:v>-40</c:v>
                </c:pt>
                <c:pt idx="1">
                  <c:v>-40</c:v>
                </c:pt>
              </c:numCache>
            </c:numRef>
          </c:yVal>
          <c:smooth val="0"/>
          <c:extLst>
            <c:ext xmlns:c16="http://schemas.microsoft.com/office/drawing/2014/chart" uri="{C3380CC4-5D6E-409C-BE32-E72D297353CC}">
              <c16:uniqueId val="{000000C8-C4E9-4F44-B51D-61A8DD92BE00}"/>
            </c:ext>
          </c:extLst>
        </c:ser>
        <c:ser>
          <c:idx val="202"/>
          <c:order val="201"/>
          <c:tx>
            <c:v>Rotzeigerw2</c:v>
          </c:tx>
          <c:spPr>
            <a:ln>
              <a:solidFill>
                <a:srgbClr val="8064A2">
                  <a:lumMod val="60000"/>
                  <a:lumOff val="40000"/>
                </a:srgbClr>
              </a:solidFill>
              <a:tailEnd type="triangle"/>
            </a:ln>
          </c:spPr>
          <c:marker>
            <c:symbol val="none"/>
          </c:marker>
          <c:xVal>
            <c:numRef>
              <c:f>Symbole!$F$76:$G$76</c:f>
              <c:numCache>
                <c:formatCode>General</c:formatCode>
                <c:ptCount val="2"/>
                <c:pt idx="0">
                  <c:v>100</c:v>
                </c:pt>
                <c:pt idx="1">
                  <c:v>100</c:v>
                </c:pt>
              </c:numCache>
            </c:numRef>
          </c:xVal>
          <c:yVal>
            <c:numRef>
              <c:f>Symbole!$J$76:$K$76</c:f>
              <c:numCache>
                <c:formatCode>General</c:formatCode>
                <c:ptCount val="2"/>
                <c:pt idx="0">
                  <c:v>20</c:v>
                </c:pt>
                <c:pt idx="1">
                  <c:v>20</c:v>
                </c:pt>
              </c:numCache>
            </c:numRef>
          </c:yVal>
          <c:smooth val="0"/>
          <c:extLst>
            <c:ext xmlns:c16="http://schemas.microsoft.com/office/drawing/2014/chart" uri="{C3380CC4-5D6E-409C-BE32-E72D297353CC}">
              <c16:uniqueId val="{000000C9-C4E9-4F44-B51D-61A8DD92BE00}"/>
            </c:ext>
          </c:extLst>
        </c:ser>
        <c:ser>
          <c:idx val="203"/>
          <c:order val="202"/>
          <c:tx>
            <c:v>Rotzeigerw3</c:v>
          </c:tx>
          <c:spPr>
            <a:ln>
              <a:solidFill>
                <a:srgbClr val="8064A2">
                  <a:lumMod val="60000"/>
                  <a:lumOff val="40000"/>
                </a:srgbClr>
              </a:solidFill>
              <a:tailEnd type="triangle"/>
            </a:ln>
          </c:spPr>
          <c:marker>
            <c:symbol val="none"/>
          </c:marker>
          <c:xVal>
            <c:numRef>
              <c:f>Symbole!$F$77:$G$77</c:f>
              <c:numCache>
                <c:formatCode>General</c:formatCode>
                <c:ptCount val="2"/>
                <c:pt idx="0">
                  <c:v>20</c:v>
                </c:pt>
                <c:pt idx="1">
                  <c:v>20</c:v>
                </c:pt>
              </c:numCache>
            </c:numRef>
          </c:xVal>
          <c:yVal>
            <c:numRef>
              <c:f>Symbole!$J$77:$K$77</c:f>
              <c:numCache>
                <c:formatCode>General</c:formatCode>
                <c:ptCount val="2"/>
                <c:pt idx="0">
                  <c:v>20</c:v>
                </c:pt>
                <c:pt idx="1">
                  <c:v>20</c:v>
                </c:pt>
              </c:numCache>
            </c:numRef>
          </c:yVal>
          <c:smooth val="0"/>
          <c:extLst>
            <c:ext xmlns:c16="http://schemas.microsoft.com/office/drawing/2014/chart" uri="{C3380CC4-5D6E-409C-BE32-E72D297353CC}">
              <c16:uniqueId val="{000000CA-C4E9-4F44-B51D-61A8DD92BE00}"/>
            </c:ext>
          </c:extLst>
        </c:ser>
        <c:ser>
          <c:idx val="204"/>
          <c:order val="203"/>
          <c:tx>
            <c:v>Rotzeigerw4</c:v>
          </c:tx>
          <c:spPr>
            <a:ln>
              <a:solidFill>
                <a:srgbClr val="8064A2">
                  <a:lumMod val="60000"/>
                  <a:lumOff val="40000"/>
                </a:srgbClr>
              </a:solidFill>
              <a:tailEnd type="triangle"/>
            </a:ln>
          </c:spPr>
          <c:marker>
            <c:symbol val="none"/>
          </c:marker>
          <c:xVal>
            <c:numRef>
              <c:f>Symbole!$F$78:$G$78</c:f>
              <c:numCache>
                <c:formatCode>General</c:formatCode>
                <c:ptCount val="2"/>
                <c:pt idx="0">
                  <c:v>60</c:v>
                </c:pt>
                <c:pt idx="1">
                  <c:v>60</c:v>
                </c:pt>
              </c:numCache>
            </c:numRef>
          </c:xVal>
          <c:yVal>
            <c:numRef>
              <c:f>Symbole!$J$78:$K$78</c:f>
              <c:numCache>
                <c:formatCode>General</c:formatCode>
                <c:ptCount val="2"/>
                <c:pt idx="0">
                  <c:v>-100</c:v>
                </c:pt>
                <c:pt idx="1">
                  <c:v>-100</c:v>
                </c:pt>
              </c:numCache>
            </c:numRef>
          </c:yVal>
          <c:smooth val="0"/>
          <c:extLst>
            <c:ext xmlns:c16="http://schemas.microsoft.com/office/drawing/2014/chart" uri="{C3380CC4-5D6E-409C-BE32-E72D297353CC}">
              <c16:uniqueId val="{000000CB-C4E9-4F44-B51D-61A8DD92BE00}"/>
            </c:ext>
          </c:extLst>
        </c:ser>
        <c:ser>
          <c:idx val="205"/>
          <c:order val="204"/>
          <c:tx>
            <c:v>Rotzeigerw5</c:v>
          </c:tx>
          <c:spPr>
            <a:ln>
              <a:solidFill>
                <a:schemeClr val="accent4">
                  <a:lumMod val="60000"/>
                  <a:lumOff val="40000"/>
                </a:schemeClr>
              </a:solidFill>
              <a:tailEnd type="triangle"/>
            </a:ln>
          </c:spPr>
          <c:marker>
            <c:symbol val="none"/>
          </c:marker>
          <c:xVal>
            <c:numRef>
              <c:f>Symbole!$F$79:$G$79</c:f>
              <c:numCache>
                <c:formatCode>General</c:formatCode>
                <c:ptCount val="2"/>
                <c:pt idx="0">
                  <c:v>-50</c:v>
                </c:pt>
                <c:pt idx="1">
                  <c:v>-50</c:v>
                </c:pt>
              </c:numCache>
            </c:numRef>
          </c:xVal>
          <c:yVal>
            <c:numRef>
              <c:f>Symbole!$J$79:$K$79</c:f>
              <c:numCache>
                <c:formatCode>General</c:formatCode>
                <c:ptCount val="2"/>
                <c:pt idx="0">
                  <c:v>-70</c:v>
                </c:pt>
                <c:pt idx="1">
                  <c:v>-70</c:v>
                </c:pt>
              </c:numCache>
            </c:numRef>
          </c:yVal>
          <c:smooth val="0"/>
          <c:extLst>
            <c:ext xmlns:c16="http://schemas.microsoft.com/office/drawing/2014/chart" uri="{C3380CC4-5D6E-409C-BE32-E72D297353CC}">
              <c16:uniqueId val="{000000CC-C4E9-4F44-B51D-61A8DD92BE00}"/>
            </c:ext>
          </c:extLst>
        </c:ser>
        <c:ser>
          <c:idx val="206"/>
          <c:order val="205"/>
          <c:tx>
            <c:v>Rotzeigerw6</c:v>
          </c:tx>
          <c:spPr>
            <a:ln>
              <a:solidFill>
                <a:srgbClr val="8064A2">
                  <a:lumMod val="60000"/>
                  <a:lumOff val="40000"/>
                </a:srgbClr>
              </a:solidFill>
              <a:tailEnd type="triangle"/>
            </a:ln>
          </c:spPr>
          <c:marker>
            <c:symbol val="none"/>
          </c:marker>
          <c:xVal>
            <c:numRef>
              <c:f>Symbole!$F$80:$G$80</c:f>
              <c:numCache>
                <c:formatCode>General</c:formatCode>
                <c:ptCount val="2"/>
                <c:pt idx="0">
                  <c:v>-100</c:v>
                </c:pt>
                <c:pt idx="1">
                  <c:v>-100</c:v>
                </c:pt>
              </c:numCache>
            </c:numRef>
          </c:xVal>
          <c:yVal>
            <c:numRef>
              <c:f>Symbole!$J$80:$K$80</c:f>
              <c:numCache>
                <c:formatCode>General</c:formatCode>
                <c:ptCount val="2"/>
                <c:pt idx="0">
                  <c:v>100</c:v>
                </c:pt>
                <c:pt idx="1">
                  <c:v>100</c:v>
                </c:pt>
              </c:numCache>
            </c:numRef>
          </c:yVal>
          <c:smooth val="0"/>
          <c:extLst>
            <c:ext xmlns:c16="http://schemas.microsoft.com/office/drawing/2014/chart" uri="{C3380CC4-5D6E-409C-BE32-E72D297353CC}">
              <c16:uniqueId val="{000000CD-C4E9-4F44-B51D-61A8DD92BE00}"/>
            </c:ext>
          </c:extLst>
        </c:ser>
        <c:ser>
          <c:idx val="207"/>
          <c:order val="206"/>
          <c:tx>
            <c:v>Rotzeigerw7</c:v>
          </c:tx>
          <c:spPr>
            <a:ln>
              <a:solidFill>
                <a:srgbClr val="8064A2">
                  <a:lumMod val="60000"/>
                  <a:lumOff val="40000"/>
                </a:srgbClr>
              </a:solidFill>
              <a:tailEnd type="triangle"/>
            </a:ln>
          </c:spPr>
          <c:marker>
            <c:symbol val="none"/>
          </c:marker>
          <c:xVal>
            <c:numRef>
              <c:f>Symbole!$F$81:$G$81</c:f>
              <c:numCache>
                <c:formatCode>General</c:formatCode>
                <c:ptCount val="2"/>
                <c:pt idx="0">
                  <c:v>0</c:v>
                </c:pt>
                <c:pt idx="1">
                  <c:v>0</c:v>
                </c:pt>
              </c:numCache>
            </c:numRef>
          </c:xVal>
          <c:yVal>
            <c:numRef>
              <c:f>Symbole!$J$81:$K$81</c:f>
              <c:numCache>
                <c:formatCode>General</c:formatCode>
                <c:ptCount val="2"/>
                <c:pt idx="0">
                  <c:v>0</c:v>
                </c:pt>
                <c:pt idx="1">
                  <c:v>0</c:v>
                </c:pt>
              </c:numCache>
            </c:numRef>
          </c:yVal>
          <c:smooth val="0"/>
          <c:extLst>
            <c:ext xmlns:c16="http://schemas.microsoft.com/office/drawing/2014/chart" uri="{C3380CC4-5D6E-409C-BE32-E72D297353CC}">
              <c16:uniqueId val="{000000CE-C4E9-4F44-B51D-61A8DD92BE00}"/>
            </c:ext>
          </c:extLst>
        </c:ser>
        <c:ser>
          <c:idx val="208"/>
          <c:order val="207"/>
          <c:tx>
            <c:v>Rotzeigerw8</c:v>
          </c:tx>
          <c:spPr>
            <a:ln>
              <a:solidFill>
                <a:srgbClr val="8064A2">
                  <a:lumMod val="60000"/>
                  <a:lumOff val="40000"/>
                </a:srgbClr>
              </a:solidFill>
              <a:tailEnd type="triangle"/>
            </a:ln>
          </c:spPr>
          <c:marker>
            <c:symbol val="none"/>
          </c:marker>
          <c:xVal>
            <c:numRef>
              <c:f>Symbole!$F$82:$G$82</c:f>
              <c:numCache>
                <c:formatCode>General</c:formatCode>
                <c:ptCount val="2"/>
                <c:pt idx="0">
                  <c:v>0</c:v>
                </c:pt>
                <c:pt idx="1">
                  <c:v>0</c:v>
                </c:pt>
              </c:numCache>
            </c:numRef>
          </c:xVal>
          <c:yVal>
            <c:numRef>
              <c:f>Symbole!$J$82:$K$82</c:f>
              <c:numCache>
                <c:formatCode>General</c:formatCode>
                <c:ptCount val="2"/>
                <c:pt idx="0">
                  <c:v>0</c:v>
                </c:pt>
                <c:pt idx="1">
                  <c:v>0</c:v>
                </c:pt>
              </c:numCache>
            </c:numRef>
          </c:yVal>
          <c:smooth val="0"/>
          <c:extLst>
            <c:ext xmlns:c16="http://schemas.microsoft.com/office/drawing/2014/chart" uri="{C3380CC4-5D6E-409C-BE32-E72D297353CC}">
              <c16:uniqueId val="{000000CF-C4E9-4F44-B51D-61A8DD92BE00}"/>
            </c:ext>
          </c:extLst>
        </c:ser>
        <c:ser>
          <c:idx val="209"/>
          <c:order val="208"/>
          <c:tx>
            <c:v>Rotzeigerw9</c:v>
          </c:tx>
          <c:spPr>
            <a:ln>
              <a:solidFill>
                <a:srgbClr val="8064A2">
                  <a:lumMod val="60000"/>
                  <a:lumOff val="40000"/>
                </a:srgbClr>
              </a:solidFill>
              <a:tailEnd type="triangle"/>
            </a:ln>
          </c:spPr>
          <c:marker>
            <c:symbol val="none"/>
          </c:marker>
          <c:xVal>
            <c:numRef>
              <c:f>Symbole!$F$83:$G$83</c:f>
              <c:numCache>
                <c:formatCode>General</c:formatCode>
                <c:ptCount val="2"/>
                <c:pt idx="0">
                  <c:v>0</c:v>
                </c:pt>
                <c:pt idx="1">
                  <c:v>0</c:v>
                </c:pt>
              </c:numCache>
            </c:numRef>
          </c:xVal>
          <c:yVal>
            <c:numRef>
              <c:f>Symbole!$J$83:$K$83</c:f>
              <c:numCache>
                <c:formatCode>General</c:formatCode>
                <c:ptCount val="2"/>
                <c:pt idx="0">
                  <c:v>0</c:v>
                </c:pt>
                <c:pt idx="1">
                  <c:v>0</c:v>
                </c:pt>
              </c:numCache>
            </c:numRef>
          </c:yVal>
          <c:smooth val="0"/>
          <c:extLst>
            <c:ext xmlns:c16="http://schemas.microsoft.com/office/drawing/2014/chart" uri="{C3380CC4-5D6E-409C-BE32-E72D297353CC}">
              <c16:uniqueId val="{000000D0-C4E9-4F44-B51D-61A8DD92BE00}"/>
            </c:ext>
          </c:extLst>
        </c:ser>
        <c:ser>
          <c:idx val="210"/>
          <c:order val="209"/>
          <c:tx>
            <c:v>Rotzeigerw10</c:v>
          </c:tx>
          <c:spPr>
            <a:ln>
              <a:solidFill>
                <a:srgbClr val="8064A2">
                  <a:lumMod val="60000"/>
                  <a:lumOff val="40000"/>
                </a:srgbClr>
              </a:solidFill>
              <a:tailEnd type="triangle"/>
            </a:ln>
          </c:spPr>
          <c:marker>
            <c:symbol val="none"/>
          </c:marker>
          <c:xVal>
            <c:numRef>
              <c:f>Symbole!$F$84:$G$84</c:f>
              <c:numCache>
                <c:formatCode>General</c:formatCode>
                <c:ptCount val="2"/>
                <c:pt idx="0">
                  <c:v>0</c:v>
                </c:pt>
                <c:pt idx="1">
                  <c:v>0</c:v>
                </c:pt>
              </c:numCache>
            </c:numRef>
          </c:xVal>
          <c:yVal>
            <c:numRef>
              <c:f>Symbole!$J$84:$K$84</c:f>
              <c:numCache>
                <c:formatCode>General</c:formatCode>
                <c:ptCount val="2"/>
                <c:pt idx="0">
                  <c:v>0</c:v>
                </c:pt>
                <c:pt idx="1">
                  <c:v>0</c:v>
                </c:pt>
              </c:numCache>
            </c:numRef>
          </c:yVal>
          <c:smooth val="0"/>
          <c:extLst>
            <c:ext xmlns:c16="http://schemas.microsoft.com/office/drawing/2014/chart" uri="{C3380CC4-5D6E-409C-BE32-E72D297353CC}">
              <c16:uniqueId val="{000000D1-C4E9-4F44-B51D-61A8DD92BE00}"/>
            </c:ext>
          </c:extLst>
        </c:ser>
        <c:ser>
          <c:idx val="211"/>
          <c:order val="210"/>
          <c:tx>
            <c:v>Rotzeigerw11</c:v>
          </c:tx>
          <c:spPr>
            <a:ln>
              <a:solidFill>
                <a:srgbClr val="8064A2">
                  <a:lumMod val="60000"/>
                  <a:lumOff val="40000"/>
                </a:srgbClr>
              </a:solidFill>
              <a:tailEnd type="triangle"/>
            </a:ln>
          </c:spPr>
          <c:marker>
            <c:symbol val="none"/>
          </c:marker>
          <c:xVal>
            <c:numRef>
              <c:f>Symbole!$F$85:$G$85</c:f>
              <c:numCache>
                <c:formatCode>General</c:formatCode>
                <c:ptCount val="2"/>
                <c:pt idx="0">
                  <c:v>0</c:v>
                </c:pt>
                <c:pt idx="1">
                  <c:v>0</c:v>
                </c:pt>
              </c:numCache>
            </c:numRef>
          </c:xVal>
          <c:yVal>
            <c:numRef>
              <c:f>Symbole!$J$85:$K$85</c:f>
              <c:numCache>
                <c:formatCode>General</c:formatCode>
                <c:ptCount val="2"/>
                <c:pt idx="0">
                  <c:v>0</c:v>
                </c:pt>
                <c:pt idx="1">
                  <c:v>0</c:v>
                </c:pt>
              </c:numCache>
            </c:numRef>
          </c:yVal>
          <c:smooth val="0"/>
          <c:extLst>
            <c:ext xmlns:c16="http://schemas.microsoft.com/office/drawing/2014/chart" uri="{C3380CC4-5D6E-409C-BE32-E72D297353CC}">
              <c16:uniqueId val="{000000D2-C4E9-4F44-B51D-61A8DD92BE00}"/>
            </c:ext>
          </c:extLst>
        </c:ser>
        <c:ser>
          <c:idx val="212"/>
          <c:order val="211"/>
          <c:tx>
            <c:v>Rotzeigerw12</c:v>
          </c:tx>
          <c:spPr>
            <a:ln>
              <a:solidFill>
                <a:srgbClr val="8064A2">
                  <a:lumMod val="60000"/>
                  <a:lumOff val="40000"/>
                </a:srgbClr>
              </a:solidFill>
              <a:tailEnd type="triangle"/>
            </a:ln>
          </c:spPr>
          <c:marker>
            <c:symbol val="none"/>
          </c:marker>
          <c:xVal>
            <c:numRef>
              <c:f>Symbole!$F$86:$G$86</c:f>
              <c:numCache>
                <c:formatCode>General</c:formatCode>
                <c:ptCount val="2"/>
                <c:pt idx="0">
                  <c:v>0</c:v>
                </c:pt>
                <c:pt idx="1">
                  <c:v>0</c:v>
                </c:pt>
              </c:numCache>
            </c:numRef>
          </c:xVal>
          <c:yVal>
            <c:numRef>
              <c:f>Symbole!$J$86:$K$86</c:f>
              <c:numCache>
                <c:formatCode>General</c:formatCode>
                <c:ptCount val="2"/>
                <c:pt idx="0">
                  <c:v>0</c:v>
                </c:pt>
                <c:pt idx="1">
                  <c:v>0</c:v>
                </c:pt>
              </c:numCache>
            </c:numRef>
          </c:yVal>
          <c:smooth val="0"/>
          <c:extLst>
            <c:ext xmlns:c16="http://schemas.microsoft.com/office/drawing/2014/chart" uri="{C3380CC4-5D6E-409C-BE32-E72D297353CC}">
              <c16:uniqueId val="{000000D3-C4E9-4F44-B51D-61A8DD92BE00}"/>
            </c:ext>
          </c:extLst>
        </c:ser>
        <c:ser>
          <c:idx val="213"/>
          <c:order val="212"/>
          <c:tx>
            <c:v>Rotzeigerw13</c:v>
          </c:tx>
          <c:spPr>
            <a:ln>
              <a:solidFill>
                <a:srgbClr val="8064A2">
                  <a:lumMod val="60000"/>
                  <a:lumOff val="40000"/>
                </a:srgbClr>
              </a:solidFill>
              <a:tailEnd type="triangle"/>
            </a:ln>
          </c:spPr>
          <c:marker>
            <c:symbol val="none"/>
          </c:marker>
          <c:xVal>
            <c:numRef>
              <c:f>Symbole!$F$87:$G$87</c:f>
              <c:numCache>
                <c:formatCode>General</c:formatCode>
                <c:ptCount val="2"/>
                <c:pt idx="0">
                  <c:v>0</c:v>
                </c:pt>
                <c:pt idx="1">
                  <c:v>0</c:v>
                </c:pt>
              </c:numCache>
            </c:numRef>
          </c:xVal>
          <c:yVal>
            <c:numRef>
              <c:f>Symbole!$J$87:$K$87</c:f>
              <c:numCache>
                <c:formatCode>General</c:formatCode>
                <c:ptCount val="2"/>
                <c:pt idx="0">
                  <c:v>0</c:v>
                </c:pt>
                <c:pt idx="1">
                  <c:v>0</c:v>
                </c:pt>
              </c:numCache>
            </c:numRef>
          </c:yVal>
          <c:smooth val="0"/>
          <c:extLst>
            <c:ext xmlns:c16="http://schemas.microsoft.com/office/drawing/2014/chart" uri="{C3380CC4-5D6E-409C-BE32-E72D297353CC}">
              <c16:uniqueId val="{000000D4-C4E9-4F44-B51D-61A8DD92BE00}"/>
            </c:ext>
          </c:extLst>
        </c:ser>
        <c:ser>
          <c:idx val="214"/>
          <c:order val="213"/>
          <c:tx>
            <c:v>Rotzeigerw14</c:v>
          </c:tx>
          <c:spPr>
            <a:ln>
              <a:solidFill>
                <a:srgbClr val="8064A2">
                  <a:lumMod val="60000"/>
                  <a:lumOff val="40000"/>
                </a:srgbClr>
              </a:solidFill>
              <a:tailEnd type="triangle"/>
            </a:ln>
          </c:spPr>
          <c:marker>
            <c:symbol val="none"/>
          </c:marker>
          <c:xVal>
            <c:numRef>
              <c:f>Symbole!$F$88:$G$88</c:f>
              <c:numCache>
                <c:formatCode>General</c:formatCode>
                <c:ptCount val="2"/>
                <c:pt idx="0">
                  <c:v>0</c:v>
                </c:pt>
                <c:pt idx="1">
                  <c:v>0</c:v>
                </c:pt>
              </c:numCache>
            </c:numRef>
          </c:xVal>
          <c:yVal>
            <c:numRef>
              <c:f>Symbole!$J$88:$K$88</c:f>
              <c:numCache>
                <c:formatCode>General</c:formatCode>
                <c:ptCount val="2"/>
                <c:pt idx="0">
                  <c:v>0</c:v>
                </c:pt>
                <c:pt idx="1">
                  <c:v>0</c:v>
                </c:pt>
              </c:numCache>
            </c:numRef>
          </c:yVal>
          <c:smooth val="0"/>
          <c:extLst>
            <c:ext xmlns:c16="http://schemas.microsoft.com/office/drawing/2014/chart" uri="{C3380CC4-5D6E-409C-BE32-E72D297353CC}">
              <c16:uniqueId val="{000000D5-C4E9-4F44-B51D-61A8DD92BE00}"/>
            </c:ext>
          </c:extLst>
        </c:ser>
        <c:ser>
          <c:idx val="215"/>
          <c:order val="214"/>
          <c:tx>
            <c:v>Rotzeigerw15</c:v>
          </c:tx>
          <c:spPr>
            <a:ln>
              <a:solidFill>
                <a:srgbClr val="8064A2">
                  <a:lumMod val="60000"/>
                  <a:lumOff val="40000"/>
                </a:srgbClr>
              </a:solidFill>
              <a:tailEnd type="triangle"/>
            </a:ln>
          </c:spPr>
          <c:marker>
            <c:symbol val="none"/>
          </c:marker>
          <c:xVal>
            <c:numRef>
              <c:f>Symbole!$F$89:$G$89</c:f>
              <c:numCache>
                <c:formatCode>General</c:formatCode>
                <c:ptCount val="2"/>
                <c:pt idx="0">
                  <c:v>0</c:v>
                </c:pt>
                <c:pt idx="1">
                  <c:v>0</c:v>
                </c:pt>
              </c:numCache>
            </c:numRef>
          </c:xVal>
          <c:yVal>
            <c:numRef>
              <c:f>Symbole!$J$89:$K$89</c:f>
              <c:numCache>
                <c:formatCode>General</c:formatCode>
                <c:ptCount val="2"/>
                <c:pt idx="0">
                  <c:v>0</c:v>
                </c:pt>
                <c:pt idx="1">
                  <c:v>0</c:v>
                </c:pt>
              </c:numCache>
            </c:numRef>
          </c:yVal>
          <c:smooth val="0"/>
          <c:extLst>
            <c:ext xmlns:c16="http://schemas.microsoft.com/office/drawing/2014/chart" uri="{C3380CC4-5D6E-409C-BE32-E72D297353CC}">
              <c16:uniqueId val="{000000D6-C4E9-4F44-B51D-61A8DD92BE00}"/>
            </c:ext>
          </c:extLst>
        </c:ser>
        <c:ser>
          <c:idx val="216"/>
          <c:order val="215"/>
          <c:tx>
            <c:v>Rotzeigerw16</c:v>
          </c:tx>
          <c:spPr>
            <a:ln>
              <a:solidFill>
                <a:srgbClr val="8064A2">
                  <a:lumMod val="60000"/>
                  <a:lumOff val="40000"/>
                </a:srgbClr>
              </a:solidFill>
              <a:tailEnd type="triangle"/>
            </a:ln>
          </c:spPr>
          <c:marker>
            <c:symbol val="none"/>
          </c:marker>
          <c:xVal>
            <c:numRef>
              <c:f>Symbole!$F$90:$G$90</c:f>
              <c:numCache>
                <c:formatCode>General</c:formatCode>
                <c:ptCount val="2"/>
                <c:pt idx="0">
                  <c:v>0</c:v>
                </c:pt>
                <c:pt idx="1">
                  <c:v>0</c:v>
                </c:pt>
              </c:numCache>
            </c:numRef>
          </c:xVal>
          <c:yVal>
            <c:numRef>
              <c:f>Symbole!$J$90:$K$90</c:f>
              <c:numCache>
                <c:formatCode>General</c:formatCode>
                <c:ptCount val="2"/>
                <c:pt idx="0">
                  <c:v>0</c:v>
                </c:pt>
                <c:pt idx="1">
                  <c:v>0</c:v>
                </c:pt>
              </c:numCache>
            </c:numRef>
          </c:yVal>
          <c:smooth val="0"/>
          <c:extLst>
            <c:ext xmlns:c16="http://schemas.microsoft.com/office/drawing/2014/chart" uri="{C3380CC4-5D6E-409C-BE32-E72D297353CC}">
              <c16:uniqueId val="{000000D7-C4E9-4F44-B51D-61A8DD92BE00}"/>
            </c:ext>
          </c:extLst>
        </c:ser>
        <c:ser>
          <c:idx val="217"/>
          <c:order val="216"/>
          <c:tx>
            <c:v>Rotzeigerw17</c:v>
          </c:tx>
          <c:spPr>
            <a:ln>
              <a:solidFill>
                <a:srgbClr val="8064A2">
                  <a:lumMod val="60000"/>
                  <a:lumOff val="40000"/>
                </a:srgbClr>
              </a:solidFill>
              <a:tailEnd type="triangle"/>
            </a:ln>
          </c:spPr>
          <c:marker>
            <c:symbol val="none"/>
          </c:marker>
          <c:xVal>
            <c:numRef>
              <c:f>Symbole!$F$91:$G$91</c:f>
              <c:numCache>
                <c:formatCode>General</c:formatCode>
                <c:ptCount val="2"/>
                <c:pt idx="0">
                  <c:v>0</c:v>
                </c:pt>
                <c:pt idx="1">
                  <c:v>0</c:v>
                </c:pt>
              </c:numCache>
            </c:numRef>
          </c:xVal>
          <c:yVal>
            <c:numRef>
              <c:f>Symbole!$J$91:$K$91</c:f>
              <c:numCache>
                <c:formatCode>General</c:formatCode>
                <c:ptCount val="2"/>
                <c:pt idx="0">
                  <c:v>0</c:v>
                </c:pt>
                <c:pt idx="1">
                  <c:v>0</c:v>
                </c:pt>
              </c:numCache>
            </c:numRef>
          </c:yVal>
          <c:smooth val="0"/>
          <c:extLst>
            <c:ext xmlns:c16="http://schemas.microsoft.com/office/drawing/2014/chart" uri="{C3380CC4-5D6E-409C-BE32-E72D297353CC}">
              <c16:uniqueId val="{000000D8-C4E9-4F44-B51D-61A8DD92BE00}"/>
            </c:ext>
          </c:extLst>
        </c:ser>
        <c:ser>
          <c:idx val="218"/>
          <c:order val="217"/>
          <c:tx>
            <c:v>Rotzeigerw18</c:v>
          </c:tx>
          <c:spPr>
            <a:ln>
              <a:solidFill>
                <a:srgbClr val="8064A2">
                  <a:lumMod val="60000"/>
                  <a:lumOff val="40000"/>
                </a:srgbClr>
              </a:solidFill>
              <a:tailEnd type="triangle"/>
            </a:ln>
          </c:spPr>
          <c:marker>
            <c:symbol val="none"/>
          </c:marker>
          <c:xVal>
            <c:numRef>
              <c:f>Symbole!$F$92:$G$92</c:f>
              <c:numCache>
                <c:formatCode>General</c:formatCode>
                <c:ptCount val="2"/>
                <c:pt idx="0">
                  <c:v>0</c:v>
                </c:pt>
                <c:pt idx="1">
                  <c:v>0</c:v>
                </c:pt>
              </c:numCache>
            </c:numRef>
          </c:xVal>
          <c:yVal>
            <c:numRef>
              <c:f>Symbole!$J$92:$K$92</c:f>
              <c:numCache>
                <c:formatCode>General</c:formatCode>
                <c:ptCount val="2"/>
                <c:pt idx="0">
                  <c:v>0</c:v>
                </c:pt>
                <c:pt idx="1">
                  <c:v>0</c:v>
                </c:pt>
              </c:numCache>
            </c:numRef>
          </c:yVal>
          <c:smooth val="0"/>
          <c:extLst>
            <c:ext xmlns:c16="http://schemas.microsoft.com/office/drawing/2014/chart" uri="{C3380CC4-5D6E-409C-BE32-E72D297353CC}">
              <c16:uniqueId val="{000000D9-C4E9-4F44-B51D-61A8DD92BE00}"/>
            </c:ext>
          </c:extLst>
        </c:ser>
        <c:ser>
          <c:idx val="219"/>
          <c:order val="218"/>
          <c:tx>
            <c:v>Rotzeigerw19</c:v>
          </c:tx>
          <c:spPr>
            <a:ln>
              <a:solidFill>
                <a:srgbClr val="8064A2">
                  <a:lumMod val="60000"/>
                  <a:lumOff val="40000"/>
                </a:srgbClr>
              </a:solidFill>
              <a:tailEnd type="triangle"/>
            </a:ln>
          </c:spPr>
          <c:marker>
            <c:symbol val="none"/>
          </c:marker>
          <c:xVal>
            <c:numRef>
              <c:f>Symbole!$F$93:$G$93</c:f>
              <c:numCache>
                <c:formatCode>General</c:formatCode>
                <c:ptCount val="2"/>
                <c:pt idx="0">
                  <c:v>0</c:v>
                </c:pt>
                <c:pt idx="1">
                  <c:v>0</c:v>
                </c:pt>
              </c:numCache>
            </c:numRef>
          </c:xVal>
          <c:yVal>
            <c:numRef>
              <c:f>Symbole!$J$93:$K$93</c:f>
              <c:numCache>
                <c:formatCode>General</c:formatCode>
                <c:ptCount val="2"/>
                <c:pt idx="0">
                  <c:v>0</c:v>
                </c:pt>
                <c:pt idx="1">
                  <c:v>0</c:v>
                </c:pt>
              </c:numCache>
            </c:numRef>
          </c:yVal>
          <c:smooth val="0"/>
          <c:extLst>
            <c:ext xmlns:c16="http://schemas.microsoft.com/office/drawing/2014/chart" uri="{C3380CC4-5D6E-409C-BE32-E72D297353CC}">
              <c16:uniqueId val="{000000DA-C4E9-4F44-B51D-61A8DD92BE00}"/>
            </c:ext>
          </c:extLst>
        </c:ser>
        <c:ser>
          <c:idx val="220"/>
          <c:order val="219"/>
          <c:tx>
            <c:v>Rotzeigerw20</c:v>
          </c:tx>
          <c:spPr>
            <a:ln>
              <a:solidFill>
                <a:srgbClr val="8064A2">
                  <a:lumMod val="60000"/>
                  <a:lumOff val="40000"/>
                </a:srgbClr>
              </a:solidFill>
              <a:tailEnd type="triangle"/>
            </a:ln>
          </c:spPr>
          <c:marker>
            <c:symbol val="none"/>
          </c:marker>
          <c:xVal>
            <c:numRef>
              <c:f>Symbole!$F$94:$G$94</c:f>
              <c:numCache>
                <c:formatCode>General</c:formatCode>
                <c:ptCount val="2"/>
                <c:pt idx="0">
                  <c:v>0</c:v>
                </c:pt>
                <c:pt idx="1">
                  <c:v>0</c:v>
                </c:pt>
              </c:numCache>
            </c:numRef>
          </c:xVal>
          <c:yVal>
            <c:numRef>
              <c:f>Symbole!$J$94:$K$94</c:f>
              <c:numCache>
                <c:formatCode>General</c:formatCode>
                <c:ptCount val="2"/>
                <c:pt idx="0">
                  <c:v>0</c:v>
                </c:pt>
                <c:pt idx="1">
                  <c:v>0</c:v>
                </c:pt>
              </c:numCache>
            </c:numRef>
          </c:yVal>
          <c:smooth val="0"/>
          <c:extLst>
            <c:ext xmlns:c16="http://schemas.microsoft.com/office/drawing/2014/chart" uri="{C3380CC4-5D6E-409C-BE32-E72D297353CC}">
              <c16:uniqueId val="{000000DB-C4E9-4F44-B51D-61A8DD92BE00}"/>
            </c:ext>
          </c:extLst>
        </c:ser>
        <c:ser>
          <c:idx val="21"/>
          <c:order val="240"/>
          <c:tx>
            <c:v>Vorspannung 1</c:v>
          </c:tx>
          <c:spPr>
            <a:ln w="38100" cap="rnd" cmpd="sng" algn="ctr">
              <a:solidFill>
                <a:srgbClr val="00FE73"/>
              </a:solidFill>
              <a:prstDash val="dash"/>
              <a:round/>
              <a:headEnd type="diamond" w="med" len="med"/>
              <a:tailEnd type="diamond" w="med" len="med"/>
            </a:ln>
          </c:spPr>
          <c:marker>
            <c:symbol val="none"/>
          </c:marker>
          <c:xVal>
            <c:numRef>
              <c:f>ELasten!$J$316:$K$316</c:f>
              <c:numCache>
                <c:formatCode>General</c:formatCode>
                <c:ptCount val="2"/>
                <c:pt idx="0">
                  <c:v>0</c:v>
                </c:pt>
                <c:pt idx="1">
                  <c:v>0</c:v>
                </c:pt>
              </c:numCache>
            </c:numRef>
          </c:xVal>
          <c:yVal>
            <c:numRef>
              <c:f>ELasten!$L$316:$M$316</c:f>
              <c:numCache>
                <c:formatCode>General</c:formatCode>
                <c:ptCount val="2"/>
                <c:pt idx="0">
                  <c:v>0</c:v>
                </c:pt>
                <c:pt idx="1">
                  <c:v>0</c:v>
                </c:pt>
              </c:numCache>
            </c:numRef>
          </c:yVal>
          <c:smooth val="0"/>
          <c:extLst>
            <c:ext xmlns:c16="http://schemas.microsoft.com/office/drawing/2014/chart" uri="{C3380CC4-5D6E-409C-BE32-E72D297353CC}">
              <c16:uniqueId val="{000000DC-C4E9-4F44-B51D-61A8DD92BE00}"/>
            </c:ext>
          </c:extLst>
        </c:ser>
        <c:ser>
          <c:idx val="22"/>
          <c:order val="241"/>
          <c:tx>
            <c:v>Vorspannung 2</c:v>
          </c:tx>
          <c:spPr>
            <a:ln w="38100" cap="rnd" cmpd="sng" algn="ctr">
              <a:solidFill>
                <a:srgbClr val="00FE73"/>
              </a:solidFill>
              <a:prstDash val="dash"/>
              <a:round/>
              <a:headEnd type="diamond" w="med" len="med"/>
              <a:tailEnd type="diamond" w="med" len="med"/>
            </a:ln>
          </c:spPr>
          <c:marker>
            <c:symbol val="none"/>
          </c:marker>
          <c:xVal>
            <c:numRef>
              <c:f>ELasten!$J$317:$K$317</c:f>
              <c:numCache>
                <c:formatCode>General</c:formatCode>
                <c:ptCount val="2"/>
                <c:pt idx="0">
                  <c:v>0</c:v>
                </c:pt>
                <c:pt idx="1">
                  <c:v>0</c:v>
                </c:pt>
              </c:numCache>
            </c:numRef>
          </c:xVal>
          <c:yVal>
            <c:numRef>
              <c:f>ELasten!$L$317:$M$317</c:f>
              <c:numCache>
                <c:formatCode>General</c:formatCode>
                <c:ptCount val="2"/>
                <c:pt idx="0">
                  <c:v>0</c:v>
                </c:pt>
                <c:pt idx="1">
                  <c:v>0</c:v>
                </c:pt>
              </c:numCache>
            </c:numRef>
          </c:yVal>
          <c:smooth val="0"/>
          <c:extLst>
            <c:ext xmlns:c16="http://schemas.microsoft.com/office/drawing/2014/chart" uri="{C3380CC4-5D6E-409C-BE32-E72D297353CC}">
              <c16:uniqueId val="{000000DD-C4E9-4F44-B51D-61A8DD92BE00}"/>
            </c:ext>
          </c:extLst>
        </c:ser>
        <c:ser>
          <c:idx val="171"/>
          <c:order val="242"/>
          <c:tx>
            <c:v>hor. Feder 7</c:v>
          </c:tx>
          <c:spPr>
            <a:ln w="25400" cap="rnd" cmpd="sng" algn="ctr">
              <a:solidFill>
                <a:srgbClr val="00B050"/>
              </a:solidFill>
              <a:prstDash val="solid"/>
              <a:round/>
              <a:headEnd type="none" w="med" len="med"/>
              <a:tailEnd type="none" w="med" len="med"/>
            </a:ln>
          </c:spPr>
          <c:marker>
            <c:symbol val="none"/>
          </c:marker>
          <c:xVal>
            <c:numRef>
              <c:f>Symbole!$C$129:$O$129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Symbole!$P$129:$AB$129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E-C4E9-4F44-B51D-61A8DD92BE00}"/>
            </c:ext>
          </c:extLst>
        </c:ser>
        <c:ser>
          <c:idx val="222"/>
          <c:order val="243"/>
          <c:tx>
            <c:v>vert. Feder 7</c:v>
          </c:tx>
          <c:spPr>
            <a:ln w="25400" cap="rnd" cmpd="sng" algn="ctr">
              <a:solidFill>
                <a:srgbClr val="00B050"/>
              </a:solidFill>
              <a:prstDash val="solid"/>
              <a:round/>
              <a:headEnd type="none" w="med" len="med"/>
              <a:tailEnd type="none" w="med" len="med"/>
            </a:ln>
          </c:spPr>
          <c:marker>
            <c:symbol val="none"/>
          </c:marker>
          <c:xVal>
            <c:numRef>
              <c:f>Symbole!$C$105:$O$105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Symbole!$P$105:$AB$105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F-C4E9-4F44-B51D-61A8DD92BE00}"/>
            </c:ext>
          </c:extLst>
        </c:ser>
        <c:ser>
          <c:idx val="240"/>
          <c:order val="244"/>
          <c:tx>
            <c:v>Drehfeder 7</c:v>
          </c:tx>
          <c:spPr>
            <a:ln w="25400" cap="rnd" cmpd="sng" algn="ctr">
              <a:solidFill>
                <a:srgbClr val="00B050"/>
              </a:solidFill>
              <a:prstDash val="solid"/>
              <a:round/>
              <a:headEnd type="none" w="med" len="med"/>
              <a:tailEnd type="none" w="med" len="med"/>
            </a:ln>
          </c:spPr>
          <c:marker>
            <c:symbol val="none"/>
          </c:marker>
          <c:xVal>
            <c:numRef>
              <c:f>Symbole!$C$153:$AH$153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Symbole!$C$177:$AH$177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E0-C4E9-4F44-B51D-61A8DD92BE00}"/>
            </c:ext>
          </c:extLst>
        </c:ser>
        <c:dLbls>
          <c:showLegendKey val="0"/>
          <c:showVal val="0"/>
          <c:showCatName val="0"/>
          <c:showSerName val="0"/>
          <c:showPercent val="0"/>
          <c:showBubbleSize val="0"/>
        </c:dLbls>
        <c:axId val="519127120"/>
        <c:axId val="519121240"/>
      </c:scatterChart>
      <c:scatterChart>
        <c:scatterStyle val="smoothMarker"/>
        <c:varyColors val="0"/>
        <c:ser>
          <c:idx val="221"/>
          <c:order val="220"/>
          <c:tx>
            <c:v>Knotenlast H 1</c:v>
          </c:tx>
          <c:spPr>
            <a:ln w="12700">
              <a:solidFill>
                <a:schemeClr val="bg1">
                  <a:lumMod val="50000"/>
                </a:schemeClr>
              </a:solidFill>
            </a:ln>
          </c:spPr>
          <c:marker>
            <c:symbol val="none"/>
          </c:marker>
          <c:xVal>
            <c:numRef>
              <c:f>KLasten!$C$27:$G$27</c:f>
              <c:numCache>
                <c:formatCode>General</c:formatCode>
                <c:ptCount val="5"/>
                <c:pt idx="0">
                  <c:v>-20.729350596345142</c:v>
                </c:pt>
                <c:pt idx="1">
                  <c:v>13.211774900609143</c:v>
                </c:pt>
                <c:pt idx="2">
                  <c:v>1.3323809766751431</c:v>
                </c:pt>
                <c:pt idx="3">
                  <c:v>1.3323809766751431</c:v>
                </c:pt>
                <c:pt idx="4">
                  <c:v>13.211774900609143</c:v>
                </c:pt>
              </c:numCache>
            </c:numRef>
          </c:xVal>
          <c:yVal>
            <c:numRef>
              <c:f>KLasten!$H$27:$L$27</c:f>
              <c:numCache>
                <c:formatCode>General</c:formatCode>
                <c:ptCount val="5"/>
                <c:pt idx="0">
                  <c:v>-40</c:v>
                </c:pt>
                <c:pt idx="1">
                  <c:v>-40</c:v>
                </c:pt>
                <c:pt idx="2">
                  <c:v>-43.394112549695429</c:v>
                </c:pt>
                <c:pt idx="3">
                  <c:v>-36.605887450304571</c:v>
                </c:pt>
                <c:pt idx="4">
                  <c:v>-40</c:v>
                </c:pt>
              </c:numCache>
            </c:numRef>
          </c:yVal>
          <c:smooth val="0"/>
          <c:extLst>
            <c:ext xmlns:c16="http://schemas.microsoft.com/office/drawing/2014/chart" uri="{C3380CC4-5D6E-409C-BE32-E72D297353CC}">
              <c16:uniqueId val="{000000E1-C4E9-4F44-B51D-61A8DD92BE00}"/>
            </c:ext>
          </c:extLst>
        </c:ser>
        <c:ser>
          <c:idx val="223"/>
          <c:order val="221"/>
          <c:tx>
            <c:v>Knotenlast H 2</c:v>
          </c:tx>
          <c:spPr>
            <a:ln w="12700">
              <a:solidFill>
                <a:schemeClr val="bg1">
                  <a:lumMod val="50000"/>
                </a:schemeClr>
              </a:solidFill>
            </a:ln>
          </c:spPr>
          <c:marker>
            <c:symbol val="none"/>
          </c:marker>
          <c:xVal>
            <c:numRef>
              <c:f>KLasten!$C$28:$G$28</c:f>
              <c:numCache>
                <c:formatCode>General</c:formatCode>
                <c:ptCount val="5"/>
                <c:pt idx="0">
                  <c:v>100</c:v>
                </c:pt>
                <c:pt idx="1">
                  <c:v>100</c:v>
                </c:pt>
                <c:pt idx="2">
                  <c:v>100</c:v>
                </c:pt>
                <c:pt idx="3">
                  <c:v>100</c:v>
                </c:pt>
                <c:pt idx="4">
                  <c:v>100</c:v>
                </c:pt>
              </c:numCache>
            </c:numRef>
          </c:xVal>
          <c:yVal>
            <c:numRef>
              <c:f>KLasten!$H$28:$L$28</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E2-C4E9-4F44-B51D-61A8DD92BE00}"/>
            </c:ext>
          </c:extLst>
        </c:ser>
        <c:ser>
          <c:idx val="224"/>
          <c:order val="222"/>
          <c:tx>
            <c:v>Knotenlast H 3</c:v>
          </c:tx>
          <c:spPr>
            <a:ln w="12700">
              <a:solidFill>
                <a:schemeClr val="bg1">
                  <a:lumMod val="50000"/>
                </a:schemeClr>
              </a:solidFill>
            </a:ln>
          </c:spPr>
          <c:marker>
            <c:symbol val="none"/>
          </c:marker>
          <c:xVal>
            <c:numRef>
              <c:f>KLasten!$C$29:$G$29</c:f>
              <c:numCache>
                <c:formatCode>General</c:formatCode>
                <c:ptCount val="5"/>
                <c:pt idx="0">
                  <c:v>20</c:v>
                </c:pt>
                <c:pt idx="1">
                  <c:v>20</c:v>
                </c:pt>
                <c:pt idx="2">
                  <c:v>20</c:v>
                </c:pt>
                <c:pt idx="3">
                  <c:v>20</c:v>
                </c:pt>
                <c:pt idx="4">
                  <c:v>20</c:v>
                </c:pt>
              </c:numCache>
            </c:numRef>
          </c:xVal>
          <c:yVal>
            <c:numRef>
              <c:f>KLasten!$H$29:$L$29</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E3-C4E9-4F44-B51D-61A8DD92BE00}"/>
            </c:ext>
          </c:extLst>
        </c:ser>
        <c:ser>
          <c:idx val="225"/>
          <c:order val="223"/>
          <c:tx>
            <c:v>Knotenlast H 4</c:v>
          </c:tx>
          <c:spPr>
            <a:ln w="12700">
              <a:solidFill>
                <a:schemeClr val="bg1">
                  <a:lumMod val="50000"/>
                </a:schemeClr>
              </a:solidFill>
            </a:ln>
          </c:spPr>
          <c:marker>
            <c:symbol val="none"/>
          </c:marker>
          <c:xVal>
            <c:numRef>
              <c:f>KLasten!$C$30:$G$30</c:f>
              <c:numCache>
                <c:formatCode>General</c:formatCode>
                <c:ptCount val="5"/>
                <c:pt idx="0">
                  <c:v>60</c:v>
                </c:pt>
                <c:pt idx="1">
                  <c:v>60</c:v>
                </c:pt>
                <c:pt idx="2">
                  <c:v>60</c:v>
                </c:pt>
                <c:pt idx="3">
                  <c:v>60</c:v>
                </c:pt>
                <c:pt idx="4">
                  <c:v>60</c:v>
                </c:pt>
              </c:numCache>
            </c:numRef>
          </c:xVal>
          <c:yVal>
            <c:numRef>
              <c:f>KLasten!$H$30:$L$30</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E4-C4E9-4F44-B51D-61A8DD92BE00}"/>
            </c:ext>
          </c:extLst>
        </c:ser>
        <c:ser>
          <c:idx val="226"/>
          <c:order val="224"/>
          <c:tx>
            <c:v>Knotenlast H 5</c:v>
          </c:tx>
          <c:spPr>
            <a:ln w="12700">
              <a:solidFill>
                <a:schemeClr val="bg1">
                  <a:lumMod val="50000"/>
                </a:schemeClr>
              </a:solidFill>
            </a:ln>
          </c:spPr>
          <c:marker>
            <c:symbol val="none"/>
          </c:marker>
          <c:xVal>
            <c:numRef>
              <c:f>KLasten!$C$31:$G$31</c:f>
              <c:numCache>
                <c:formatCode>General</c:formatCode>
                <c:ptCount val="5"/>
                <c:pt idx="0">
                  <c:v>-50</c:v>
                </c:pt>
                <c:pt idx="1">
                  <c:v>-50</c:v>
                </c:pt>
                <c:pt idx="2">
                  <c:v>-50</c:v>
                </c:pt>
                <c:pt idx="3">
                  <c:v>-50</c:v>
                </c:pt>
                <c:pt idx="4">
                  <c:v>-50</c:v>
                </c:pt>
              </c:numCache>
            </c:numRef>
          </c:xVal>
          <c:yVal>
            <c:numRef>
              <c:f>KLasten!$H$31:$L$31</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E5-C4E9-4F44-B51D-61A8DD92BE00}"/>
            </c:ext>
          </c:extLst>
        </c:ser>
        <c:ser>
          <c:idx val="227"/>
          <c:order val="225"/>
          <c:tx>
            <c:v>Knotenlast H 6</c:v>
          </c:tx>
          <c:spPr>
            <a:ln w="12700">
              <a:solidFill>
                <a:schemeClr val="bg1">
                  <a:lumMod val="50000"/>
                </a:schemeClr>
              </a:solidFill>
            </a:ln>
          </c:spPr>
          <c:marker>
            <c:symbol val="none"/>
          </c:marker>
          <c:xVal>
            <c:numRef>
              <c:f>KLasten!$C$32:$G$32</c:f>
              <c:numCache>
                <c:formatCode>General</c:formatCode>
                <c:ptCount val="5"/>
                <c:pt idx="0">
                  <c:v>-100</c:v>
                </c:pt>
                <c:pt idx="1">
                  <c:v>-100</c:v>
                </c:pt>
                <c:pt idx="2">
                  <c:v>-100</c:v>
                </c:pt>
                <c:pt idx="3">
                  <c:v>-100</c:v>
                </c:pt>
                <c:pt idx="4">
                  <c:v>-100</c:v>
                </c:pt>
              </c:numCache>
            </c:numRef>
          </c:xVal>
          <c:yVal>
            <c:numRef>
              <c:f>KLasten!$H$32:$L$32</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E6-C4E9-4F44-B51D-61A8DD92BE00}"/>
            </c:ext>
          </c:extLst>
        </c:ser>
        <c:ser>
          <c:idx val="228"/>
          <c:order val="226"/>
          <c:tx>
            <c:v>Knotenlast H 7</c:v>
          </c:tx>
          <c:spPr>
            <a:ln w="12700">
              <a:solidFill>
                <a:schemeClr val="bg1">
                  <a:lumMod val="50000"/>
                </a:schemeClr>
              </a:solidFill>
            </a:ln>
          </c:spPr>
          <c:marker>
            <c:symbol val="none"/>
          </c:marker>
          <c:xVal>
            <c:numRef>
              <c:f>KLasten!$C$33:$G$33</c:f>
              <c:numCache>
                <c:formatCode>General</c:formatCode>
                <c:ptCount val="5"/>
                <c:pt idx="0">
                  <c:v>0</c:v>
                </c:pt>
                <c:pt idx="1">
                  <c:v>0</c:v>
                </c:pt>
                <c:pt idx="2">
                  <c:v>0</c:v>
                </c:pt>
                <c:pt idx="3">
                  <c:v>0</c:v>
                </c:pt>
                <c:pt idx="4">
                  <c:v>0</c:v>
                </c:pt>
              </c:numCache>
            </c:numRef>
          </c:xVal>
          <c:yVal>
            <c:numRef>
              <c:f>KLasten!$H$33:$L$33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7-C4E9-4F44-B51D-61A8DD92BE00}"/>
            </c:ext>
          </c:extLst>
        </c:ser>
        <c:ser>
          <c:idx val="229"/>
          <c:order val="227"/>
          <c:tx>
            <c:v>Knotenlast H 8</c:v>
          </c:tx>
          <c:spPr>
            <a:ln w="12700">
              <a:solidFill>
                <a:schemeClr val="bg1">
                  <a:lumMod val="50000"/>
                </a:schemeClr>
              </a:solidFill>
            </a:ln>
          </c:spPr>
          <c:marker>
            <c:symbol val="none"/>
          </c:marker>
          <c:xVal>
            <c:numRef>
              <c:f>KLasten!$C$34:$G$34</c:f>
              <c:numCache>
                <c:formatCode>General</c:formatCode>
                <c:ptCount val="5"/>
                <c:pt idx="0">
                  <c:v>0</c:v>
                </c:pt>
                <c:pt idx="1">
                  <c:v>0</c:v>
                </c:pt>
                <c:pt idx="2">
                  <c:v>0</c:v>
                </c:pt>
                <c:pt idx="3">
                  <c:v>0</c:v>
                </c:pt>
                <c:pt idx="4">
                  <c:v>0</c:v>
                </c:pt>
              </c:numCache>
            </c:numRef>
          </c:xVal>
          <c:yVal>
            <c:numRef>
              <c:f>KLasten!$H$34:$L$34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8-C4E9-4F44-B51D-61A8DD92BE00}"/>
            </c:ext>
          </c:extLst>
        </c:ser>
        <c:ser>
          <c:idx val="230"/>
          <c:order val="228"/>
          <c:tx>
            <c:v>Knotenlast H 9</c:v>
          </c:tx>
          <c:spPr>
            <a:ln w="12700">
              <a:solidFill>
                <a:schemeClr val="bg1">
                  <a:lumMod val="50000"/>
                </a:schemeClr>
              </a:solidFill>
            </a:ln>
          </c:spPr>
          <c:marker>
            <c:symbol val="none"/>
          </c:marker>
          <c:xVal>
            <c:numRef>
              <c:f>KLasten!$C$35:$G$35</c:f>
              <c:numCache>
                <c:formatCode>General</c:formatCode>
                <c:ptCount val="5"/>
                <c:pt idx="0">
                  <c:v>0</c:v>
                </c:pt>
                <c:pt idx="1">
                  <c:v>0</c:v>
                </c:pt>
                <c:pt idx="2">
                  <c:v>0</c:v>
                </c:pt>
                <c:pt idx="3">
                  <c:v>0</c:v>
                </c:pt>
                <c:pt idx="4">
                  <c:v>0</c:v>
                </c:pt>
              </c:numCache>
            </c:numRef>
          </c:xVal>
          <c:yVal>
            <c:numRef>
              <c:f>KLasten!$H$35:$L$35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9-C4E9-4F44-B51D-61A8DD92BE00}"/>
            </c:ext>
          </c:extLst>
        </c:ser>
        <c:ser>
          <c:idx val="231"/>
          <c:order val="229"/>
          <c:tx>
            <c:v>Knotenlast H 10</c:v>
          </c:tx>
          <c:spPr>
            <a:ln w="12700">
              <a:solidFill>
                <a:schemeClr val="bg1">
                  <a:lumMod val="50000"/>
                </a:schemeClr>
              </a:solidFill>
            </a:ln>
          </c:spPr>
          <c:marker>
            <c:symbol val="none"/>
          </c:marker>
          <c:xVal>
            <c:numRef>
              <c:f>KLasten!$C$36:$G$36</c:f>
              <c:numCache>
                <c:formatCode>General</c:formatCode>
                <c:ptCount val="5"/>
                <c:pt idx="0">
                  <c:v>0</c:v>
                </c:pt>
                <c:pt idx="1">
                  <c:v>0</c:v>
                </c:pt>
                <c:pt idx="2">
                  <c:v>0</c:v>
                </c:pt>
                <c:pt idx="3">
                  <c:v>0</c:v>
                </c:pt>
                <c:pt idx="4">
                  <c:v>0</c:v>
                </c:pt>
              </c:numCache>
            </c:numRef>
          </c:xVal>
          <c:yVal>
            <c:numRef>
              <c:f>KLasten!$H$36:$L$36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A-C4E9-4F44-B51D-61A8DD92BE00}"/>
            </c:ext>
          </c:extLst>
        </c:ser>
        <c:ser>
          <c:idx val="232"/>
          <c:order val="230"/>
          <c:tx>
            <c:v>Knotenlast H 11</c:v>
          </c:tx>
          <c:spPr>
            <a:ln w="12700">
              <a:solidFill>
                <a:schemeClr val="bg1">
                  <a:lumMod val="50000"/>
                </a:schemeClr>
              </a:solidFill>
            </a:ln>
          </c:spPr>
          <c:marker>
            <c:symbol val="none"/>
          </c:marker>
          <c:xVal>
            <c:numRef>
              <c:f>KLasten!$C$37:$G$37</c:f>
              <c:numCache>
                <c:formatCode>General</c:formatCode>
                <c:ptCount val="5"/>
                <c:pt idx="0">
                  <c:v>0</c:v>
                </c:pt>
                <c:pt idx="1">
                  <c:v>0</c:v>
                </c:pt>
                <c:pt idx="2">
                  <c:v>0</c:v>
                </c:pt>
                <c:pt idx="3">
                  <c:v>0</c:v>
                </c:pt>
                <c:pt idx="4">
                  <c:v>0</c:v>
                </c:pt>
              </c:numCache>
            </c:numRef>
          </c:xVal>
          <c:yVal>
            <c:numRef>
              <c:f>KLasten!$H$37:$L$37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B-C4E9-4F44-B51D-61A8DD92BE00}"/>
            </c:ext>
          </c:extLst>
        </c:ser>
        <c:ser>
          <c:idx val="233"/>
          <c:order val="231"/>
          <c:tx>
            <c:v>Knotenlast H 12</c:v>
          </c:tx>
          <c:spPr>
            <a:ln w="12700">
              <a:solidFill>
                <a:schemeClr val="bg1">
                  <a:lumMod val="50000"/>
                </a:schemeClr>
              </a:solidFill>
            </a:ln>
          </c:spPr>
          <c:marker>
            <c:symbol val="none"/>
          </c:marker>
          <c:xVal>
            <c:numRef>
              <c:f>KLasten!$C$38:$G$38</c:f>
              <c:numCache>
                <c:formatCode>General</c:formatCode>
                <c:ptCount val="5"/>
                <c:pt idx="0">
                  <c:v>0</c:v>
                </c:pt>
                <c:pt idx="1">
                  <c:v>0</c:v>
                </c:pt>
                <c:pt idx="2">
                  <c:v>0</c:v>
                </c:pt>
                <c:pt idx="3">
                  <c:v>0</c:v>
                </c:pt>
                <c:pt idx="4">
                  <c:v>0</c:v>
                </c:pt>
              </c:numCache>
            </c:numRef>
          </c:xVal>
          <c:yVal>
            <c:numRef>
              <c:f>KLasten!$H$38:$L$38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C-C4E9-4F44-B51D-61A8DD92BE00}"/>
            </c:ext>
          </c:extLst>
        </c:ser>
        <c:ser>
          <c:idx val="234"/>
          <c:order val="232"/>
          <c:tx>
            <c:v>Knotenlast H 13</c:v>
          </c:tx>
          <c:spPr>
            <a:ln w="12700">
              <a:solidFill>
                <a:schemeClr val="bg1">
                  <a:lumMod val="50000"/>
                </a:schemeClr>
              </a:solidFill>
            </a:ln>
          </c:spPr>
          <c:marker>
            <c:symbol val="none"/>
          </c:marker>
          <c:xVal>
            <c:numRef>
              <c:f>KLasten!$C$39:$G$39</c:f>
              <c:numCache>
                <c:formatCode>General</c:formatCode>
                <c:ptCount val="5"/>
                <c:pt idx="0">
                  <c:v>0</c:v>
                </c:pt>
                <c:pt idx="1">
                  <c:v>0</c:v>
                </c:pt>
                <c:pt idx="2">
                  <c:v>0</c:v>
                </c:pt>
                <c:pt idx="3">
                  <c:v>0</c:v>
                </c:pt>
                <c:pt idx="4">
                  <c:v>0</c:v>
                </c:pt>
              </c:numCache>
            </c:numRef>
          </c:xVal>
          <c:yVal>
            <c:numRef>
              <c:f>KLasten!$H$39:$L$39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D-C4E9-4F44-B51D-61A8DD92BE00}"/>
            </c:ext>
          </c:extLst>
        </c:ser>
        <c:ser>
          <c:idx val="235"/>
          <c:order val="233"/>
          <c:tx>
            <c:v>Knotenlast H 14</c:v>
          </c:tx>
          <c:spPr>
            <a:ln w="12700">
              <a:solidFill>
                <a:schemeClr val="bg1">
                  <a:lumMod val="50000"/>
                </a:schemeClr>
              </a:solidFill>
            </a:ln>
          </c:spPr>
          <c:marker>
            <c:symbol val="none"/>
          </c:marker>
          <c:xVal>
            <c:numRef>
              <c:f>KLasten!$C$40:$G$40</c:f>
              <c:numCache>
                <c:formatCode>General</c:formatCode>
                <c:ptCount val="5"/>
                <c:pt idx="0">
                  <c:v>0</c:v>
                </c:pt>
                <c:pt idx="1">
                  <c:v>0</c:v>
                </c:pt>
                <c:pt idx="2">
                  <c:v>0</c:v>
                </c:pt>
                <c:pt idx="3">
                  <c:v>0</c:v>
                </c:pt>
                <c:pt idx="4">
                  <c:v>0</c:v>
                </c:pt>
              </c:numCache>
            </c:numRef>
          </c:xVal>
          <c:yVal>
            <c:numRef>
              <c:f>KLasten!$H$40:$L$40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E-C4E9-4F44-B51D-61A8DD92BE00}"/>
            </c:ext>
          </c:extLst>
        </c:ser>
        <c:ser>
          <c:idx val="236"/>
          <c:order val="234"/>
          <c:tx>
            <c:v>Knotenlast H 15</c:v>
          </c:tx>
          <c:spPr>
            <a:ln w="12700">
              <a:solidFill>
                <a:schemeClr val="bg1">
                  <a:lumMod val="50000"/>
                </a:schemeClr>
              </a:solidFill>
            </a:ln>
          </c:spPr>
          <c:marker>
            <c:symbol val="none"/>
          </c:marker>
          <c:xVal>
            <c:numRef>
              <c:f>KLasten!$C$41:$G$41</c:f>
              <c:numCache>
                <c:formatCode>General</c:formatCode>
                <c:ptCount val="5"/>
                <c:pt idx="0">
                  <c:v>0</c:v>
                </c:pt>
                <c:pt idx="1">
                  <c:v>0</c:v>
                </c:pt>
                <c:pt idx="2">
                  <c:v>0</c:v>
                </c:pt>
                <c:pt idx="3">
                  <c:v>0</c:v>
                </c:pt>
                <c:pt idx="4">
                  <c:v>0</c:v>
                </c:pt>
              </c:numCache>
            </c:numRef>
          </c:xVal>
          <c:yVal>
            <c:numRef>
              <c:f>KLasten!$H$41:$L$41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EF-C4E9-4F44-B51D-61A8DD92BE00}"/>
            </c:ext>
          </c:extLst>
        </c:ser>
        <c:ser>
          <c:idx val="237"/>
          <c:order val="235"/>
          <c:tx>
            <c:v>Knotenlast H 16</c:v>
          </c:tx>
          <c:spPr>
            <a:ln w="12700">
              <a:solidFill>
                <a:schemeClr val="bg1">
                  <a:lumMod val="50000"/>
                </a:schemeClr>
              </a:solidFill>
            </a:ln>
          </c:spPr>
          <c:marker>
            <c:symbol val="none"/>
          </c:marker>
          <c:xVal>
            <c:numRef>
              <c:f>KLasten!$C$42:$G$42</c:f>
              <c:numCache>
                <c:formatCode>General</c:formatCode>
                <c:ptCount val="5"/>
                <c:pt idx="0">
                  <c:v>0</c:v>
                </c:pt>
                <c:pt idx="1">
                  <c:v>0</c:v>
                </c:pt>
                <c:pt idx="2">
                  <c:v>0</c:v>
                </c:pt>
                <c:pt idx="3">
                  <c:v>0</c:v>
                </c:pt>
                <c:pt idx="4">
                  <c:v>0</c:v>
                </c:pt>
              </c:numCache>
            </c:numRef>
          </c:xVal>
          <c:yVal>
            <c:numRef>
              <c:f>KLasten!$H$42:$L$42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0-C4E9-4F44-B51D-61A8DD92BE00}"/>
            </c:ext>
          </c:extLst>
        </c:ser>
        <c:ser>
          <c:idx val="238"/>
          <c:order val="236"/>
          <c:tx>
            <c:v>Knotenlast H 17</c:v>
          </c:tx>
          <c:spPr>
            <a:ln w="12700">
              <a:solidFill>
                <a:schemeClr val="bg1">
                  <a:lumMod val="50000"/>
                </a:schemeClr>
              </a:solidFill>
            </a:ln>
          </c:spPr>
          <c:marker>
            <c:symbol val="none"/>
          </c:marker>
          <c:xVal>
            <c:numRef>
              <c:f>KLasten!$C$43:$G$43</c:f>
              <c:numCache>
                <c:formatCode>General</c:formatCode>
                <c:ptCount val="5"/>
                <c:pt idx="0">
                  <c:v>0</c:v>
                </c:pt>
                <c:pt idx="1">
                  <c:v>0</c:v>
                </c:pt>
                <c:pt idx="2">
                  <c:v>0</c:v>
                </c:pt>
                <c:pt idx="3">
                  <c:v>0</c:v>
                </c:pt>
                <c:pt idx="4">
                  <c:v>0</c:v>
                </c:pt>
              </c:numCache>
            </c:numRef>
          </c:xVal>
          <c:yVal>
            <c:numRef>
              <c:f>KLasten!$H$43:$L$43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1-C4E9-4F44-B51D-61A8DD92BE00}"/>
            </c:ext>
          </c:extLst>
        </c:ser>
        <c:ser>
          <c:idx val="239"/>
          <c:order val="237"/>
          <c:tx>
            <c:v>Knotenlast H 19</c:v>
          </c:tx>
          <c:spPr>
            <a:ln w="12700">
              <a:solidFill>
                <a:schemeClr val="bg1">
                  <a:lumMod val="50000"/>
                </a:schemeClr>
              </a:solidFill>
            </a:ln>
          </c:spPr>
          <c:marker>
            <c:symbol val="none"/>
          </c:marker>
          <c:xVal>
            <c:numRef>
              <c:f>KLasten!$C$45:$G$45</c:f>
              <c:numCache>
                <c:formatCode>General</c:formatCode>
                <c:ptCount val="5"/>
                <c:pt idx="0">
                  <c:v>0</c:v>
                </c:pt>
                <c:pt idx="1">
                  <c:v>0</c:v>
                </c:pt>
                <c:pt idx="2">
                  <c:v>0</c:v>
                </c:pt>
                <c:pt idx="3">
                  <c:v>0</c:v>
                </c:pt>
                <c:pt idx="4">
                  <c:v>0</c:v>
                </c:pt>
              </c:numCache>
            </c:numRef>
          </c:xVal>
          <c:yVal>
            <c:numRef>
              <c:f>KLasten!$H$45:$L$45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2-C4E9-4F44-B51D-61A8DD92BE00}"/>
            </c:ext>
          </c:extLst>
        </c:ser>
        <c:ser>
          <c:idx val="242"/>
          <c:order val="238"/>
          <c:tx>
            <c:v>Knotenlast H 20</c:v>
          </c:tx>
          <c:spPr>
            <a:ln w="12700" cmpd="sng">
              <a:solidFill>
                <a:schemeClr val="bg1">
                  <a:lumMod val="50000"/>
                </a:schemeClr>
              </a:solidFill>
              <a:prstDash val="dash"/>
            </a:ln>
          </c:spPr>
          <c:marker>
            <c:symbol val="none"/>
          </c:marker>
          <c:xVal>
            <c:numRef>
              <c:f>KLasten!$C$46:$G$46</c:f>
              <c:numCache>
                <c:formatCode>General</c:formatCode>
                <c:ptCount val="5"/>
                <c:pt idx="0">
                  <c:v>0</c:v>
                </c:pt>
                <c:pt idx="1">
                  <c:v>0</c:v>
                </c:pt>
                <c:pt idx="2">
                  <c:v>0</c:v>
                </c:pt>
                <c:pt idx="3">
                  <c:v>0</c:v>
                </c:pt>
                <c:pt idx="4">
                  <c:v>0</c:v>
                </c:pt>
              </c:numCache>
            </c:numRef>
          </c:xVal>
          <c:yVal>
            <c:numRef>
              <c:f>KLasten!$H$46:$L$46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3-C4E9-4F44-B51D-61A8DD92BE00}"/>
            </c:ext>
          </c:extLst>
        </c:ser>
        <c:ser>
          <c:idx val="20"/>
          <c:order val="239"/>
          <c:tx>
            <c:v>Knotenlast H 18</c:v>
          </c:tx>
          <c:spPr>
            <a:ln w="12700">
              <a:solidFill>
                <a:schemeClr val="bg1">
                  <a:lumMod val="50000"/>
                </a:schemeClr>
              </a:solidFill>
            </a:ln>
          </c:spPr>
          <c:marker>
            <c:symbol val="none"/>
          </c:marker>
          <c:xVal>
            <c:numRef>
              <c:f>KLasten!$C$44:$G$44</c:f>
              <c:numCache>
                <c:formatCode>General</c:formatCode>
                <c:ptCount val="5"/>
                <c:pt idx="0">
                  <c:v>0</c:v>
                </c:pt>
                <c:pt idx="1">
                  <c:v>0</c:v>
                </c:pt>
                <c:pt idx="2">
                  <c:v>0</c:v>
                </c:pt>
                <c:pt idx="3">
                  <c:v>0</c:v>
                </c:pt>
                <c:pt idx="4">
                  <c:v>0</c:v>
                </c:pt>
              </c:numCache>
            </c:numRef>
          </c:xVal>
          <c:yVal>
            <c:numRef>
              <c:f>KLasten!$H$44:$L$44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F4-C4E9-4F44-B51D-61A8DD92BE00}"/>
            </c:ext>
          </c:extLst>
        </c:ser>
        <c:dLbls>
          <c:showLegendKey val="0"/>
          <c:showVal val="0"/>
          <c:showCatName val="0"/>
          <c:showSerName val="0"/>
          <c:showPercent val="0"/>
          <c:showBubbleSize val="0"/>
        </c:dLbls>
        <c:axId val="519127120"/>
        <c:axId val="519121240"/>
      </c:scatterChart>
      <c:valAx>
        <c:axId val="519127120"/>
        <c:scaling>
          <c:orientation val="minMax"/>
        </c:scaling>
        <c:delete val="1"/>
        <c:axPos val="t"/>
        <c:numFmt formatCode="General" sourceLinked="1"/>
        <c:majorTickMark val="out"/>
        <c:minorTickMark val="none"/>
        <c:tickLblPos val="none"/>
        <c:crossAx val="519121240"/>
        <c:crosses val="autoZero"/>
        <c:crossBetween val="midCat"/>
        <c:majorUnit val="1.0000000000000004E-6"/>
      </c:valAx>
      <c:valAx>
        <c:axId val="519121240"/>
        <c:scaling>
          <c:orientation val="maxMin"/>
        </c:scaling>
        <c:delete val="1"/>
        <c:axPos val="l"/>
        <c:numFmt formatCode="General" sourceLinked="1"/>
        <c:majorTickMark val="out"/>
        <c:minorTickMark val="none"/>
        <c:tickLblPos val="none"/>
        <c:crossAx val="519127120"/>
        <c:crosses val="autoZero"/>
        <c:crossBetween val="midCat"/>
        <c:majorUnit val="1.0000000000000004E-6"/>
      </c:valAx>
      <c:spPr>
        <a:solidFill>
          <a:srgbClr val="C0C0C0"/>
        </a:solidFill>
        <a:ln w="1905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DE"/>
    </a:p>
  </c:txPr>
  <c:printSettings>
    <c:headerFooter alignWithMargins="0"/>
    <c:pageMargins b="0.98425196899999956" l="0.78740157499999996" r="0.78740157499999996" t="0.98425196899999956" header="0.49212598450000206" footer="0.49212598450000206"/>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1.7272521736333615E-2"/>
          <c:y val="1.4816671121599109E-2"/>
          <c:w val="0.97146838381573752"/>
          <c:h val="0.95727250326986657"/>
        </c:manualLayout>
      </c:layout>
      <c:scatterChart>
        <c:scatterStyle val="lineMarker"/>
        <c:varyColors val="0"/>
        <c:ser>
          <c:idx val="201"/>
          <c:order val="0"/>
          <c:tx>
            <c:v>BoundingBox21</c:v>
          </c:tx>
          <c:spPr>
            <a:ln w="12700">
              <a:solidFill>
                <a:srgbClr val="C0C0C0"/>
              </a:solidFill>
              <a:prstDash val="solid"/>
            </a:ln>
          </c:spPr>
          <c:marker>
            <c:symbol val="none"/>
          </c:marker>
          <c:xVal>
            <c:numRef>
              <c:f>PlotData!$CF$7:$CF$10</c:f>
              <c:numCache>
                <c:formatCode>General</c:formatCode>
                <c:ptCount val="4"/>
                <c:pt idx="0">
                  <c:v>-169.70562748477141</c:v>
                </c:pt>
                <c:pt idx="1">
                  <c:v>169.70562748477141</c:v>
                </c:pt>
                <c:pt idx="2">
                  <c:v>169.70562748477141</c:v>
                </c:pt>
                <c:pt idx="3">
                  <c:v>-169.70562748477141</c:v>
                </c:pt>
              </c:numCache>
            </c:numRef>
          </c:xVal>
          <c:yVal>
            <c:numRef>
              <c:f>PlotData!$CG$7:$CG$10</c:f>
              <c:numCache>
                <c:formatCode>General</c:formatCode>
                <c:ptCount val="4"/>
                <c:pt idx="0">
                  <c:v>169.70562748477141</c:v>
                </c:pt>
                <c:pt idx="1">
                  <c:v>169.70562748477141</c:v>
                </c:pt>
                <c:pt idx="2">
                  <c:v>-169.70562748477141</c:v>
                </c:pt>
                <c:pt idx="3">
                  <c:v>-169.70562748477141</c:v>
                </c:pt>
              </c:numCache>
            </c:numRef>
          </c:yVal>
          <c:smooth val="0"/>
          <c:extLst>
            <c:ext xmlns:c16="http://schemas.microsoft.com/office/drawing/2014/chart" uri="{C3380CC4-5D6E-409C-BE32-E72D297353CC}">
              <c16:uniqueId val="{00000000-4B1B-4507-991D-858168B14A33}"/>
            </c:ext>
          </c:extLst>
        </c:ser>
        <c:ser>
          <c:idx val="202"/>
          <c:order val="1"/>
          <c:tx>
            <c:v>LagerV1</c:v>
          </c:tx>
          <c:spPr>
            <a:ln w="12700">
              <a:solidFill>
                <a:srgbClr val="808080"/>
              </a:solidFill>
              <a:prstDash val="solid"/>
            </a:ln>
          </c:spPr>
          <c:marker>
            <c:symbol val="none"/>
          </c:marker>
          <c:xVal>
            <c:numRef>
              <c:f>Symbole!$P$6:$S$6</c:f>
              <c:numCache>
                <c:formatCode>General</c:formatCode>
                <c:ptCount val="4"/>
                <c:pt idx="0">
                  <c:v>23.626678459402886</c:v>
                </c:pt>
                <c:pt idx="1">
                  <c:v>23.626678459402886</c:v>
                </c:pt>
                <c:pt idx="2">
                  <c:v>23.626678459402886</c:v>
                </c:pt>
                <c:pt idx="3">
                  <c:v>23.626678459402886</c:v>
                </c:pt>
              </c:numCache>
            </c:numRef>
          </c:xVal>
          <c:yVal>
            <c:numRef>
              <c:f>Symbole!$T$6:$W$6</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01-4B1B-4507-991D-858168B14A33}"/>
            </c:ext>
          </c:extLst>
        </c:ser>
        <c:ser>
          <c:idx val="203"/>
          <c:order val="2"/>
          <c:tx>
            <c:v>LagerV2</c:v>
          </c:tx>
          <c:spPr>
            <a:ln w="12700">
              <a:solidFill>
                <a:srgbClr val="808080"/>
              </a:solidFill>
              <a:prstDash val="solid"/>
            </a:ln>
          </c:spPr>
          <c:marker>
            <c:symbol val="none"/>
          </c:marker>
          <c:xVal>
            <c:numRef>
              <c:f>Symbole!$P$7:$S$7</c:f>
              <c:numCache>
                <c:formatCode>General</c:formatCode>
                <c:ptCount val="4"/>
                <c:pt idx="0">
                  <c:v>100</c:v>
                </c:pt>
                <c:pt idx="1">
                  <c:v>108.48528137423857</c:v>
                </c:pt>
                <c:pt idx="2">
                  <c:v>91.514718625761432</c:v>
                </c:pt>
                <c:pt idx="3">
                  <c:v>100</c:v>
                </c:pt>
              </c:numCache>
            </c:numRef>
          </c:xVal>
          <c:yVal>
            <c:numRef>
              <c:f>Symbole!$T$7:$W$7</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2-4B1B-4507-991D-858168B14A33}"/>
            </c:ext>
          </c:extLst>
        </c:ser>
        <c:ser>
          <c:idx val="204"/>
          <c:order val="3"/>
          <c:tx>
            <c:v>LagerV3</c:v>
          </c:tx>
          <c:spPr>
            <a:ln w="12700">
              <a:solidFill>
                <a:srgbClr val="808080"/>
              </a:solidFill>
              <a:prstDash val="solid"/>
            </a:ln>
          </c:spPr>
          <c:marker>
            <c:symbol val="none"/>
          </c:marker>
          <c:xVal>
            <c:numRef>
              <c:f>Symbole!$P$8:$S$8</c:f>
              <c:numCache>
                <c:formatCode>General</c:formatCode>
                <c:ptCount val="4"/>
                <c:pt idx="0">
                  <c:v>20</c:v>
                </c:pt>
                <c:pt idx="1">
                  <c:v>28.485281374238571</c:v>
                </c:pt>
                <c:pt idx="2">
                  <c:v>11.514718625761429</c:v>
                </c:pt>
                <c:pt idx="3">
                  <c:v>20</c:v>
                </c:pt>
              </c:numCache>
            </c:numRef>
          </c:xVal>
          <c:yVal>
            <c:numRef>
              <c:f>Symbole!$T$8:$W$8</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03-4B1B-4507-991D-858168B14A33}"/>
            </c:ext>
          </c:extLst>
        </c:ser>
        <c:ser>
          <c:idx val="205"/>
          <c:order val="4"/>
          <c:tx>
            <c:v>LagerV4</c:v>
          </c:tx>
          <c:spPr>
            <a:ln w="12700">
              <a:solidFill>
                <a:srgbClr val="808080"/>
              </a:solidFill>
              <a:prstDash val="solid"/>
            </a:ln>
          </c:spPr>
          <c:marker>
            <c:symbol val="none"/>
          </c:marker>
          <c:xVal>
            <c:numRef>
              <c:f>Symbole!$P$9:$S$9</c:f>
              <c:numCache>
                <c:formatCode>General</c:formatCode>
                <c:ptCount val="4"/>
                <c:pt idx="0">
                  <c:v>60</c:v>
                </c:pt>
                <c:pt idx="1">
                  <c:v>68.485281374238568</c:v>
                </c:pt>
                <c:pt idx="2">
                  <c:v>51.514718625761432</c:v>
                </c:pt>
                <c:pt idx="3">
                  <c:v>60</c:v>
                </c:pt>
              </c:numCache>
            </c:numRef>
          </c:xVal>
          <c:yVal>
            <c:numRef>
              <c:f>Symbole!$T$9:$W$9</c:f>
              <c:numCache>
                <c:formatCode>General</c:formatCode>
                <c:ptCount val="4"/>
                <c:pt idx="0">
                  <c:v>-100</c:v>
                </c:pt>
                <c:pt idx="1">
                  <c:v>-85.303492659818801</c:v>
                </c:pt>
                <c:pt idx="2">
                  <c:v>-85.303492659818801</c:v>
                </c:pt>
                <c:pt idx="3">
                  <c:v>-100</c:v>
                </c:pt>
              </c:numCache>
            </c:numRef>
          </c:yVal>
          <c:smooth val="0"/>
          <c:extLst>
            <c:ext xmlns:c16="http://schemas.microsoft.com/office/drawing/2014/chart" uri="{C3380CC4-5D6E-409C-BE32-E72D297353CC}">
              <c16:uniqueId val="{00000004-4B1B-4507-991D-858168B14A33}"/>
            </c:ext>
          </c:extLst>
        </c:ser>
        <c:ser>
          <c:idx val="206"/>
          <c:order val="5"/>
          <c:tx>
            <c:v>LagerV5</c:v>
          </c:tx>
          <c:spPr>
            <a:ln w="12700">
              <a:solidFill>
                <a:srgbClr val="808080"/>
              </a:solidFill>
              <a:prstDash val="solid"/>
            </a:ln>
          </c:spPr>
          <c:marker>
            <c:symbol val="none"/>
          </c:marker>
          <c:xVal>
            <c:numRef>
              <c:f>Symbole!$P$10:$S$10</c:f>
              <c:numCache>
                <c:formatCode>General</c:formatCode>
                <c:ptCount val="4"/>
                <c:pt idx="0">
                  <c:v>-50</c:v>
                </c:pt>
                <c:pt idx="1">
                  <c:v>-41.514718625761432</c:v>
                </c:pt>
                <c:pt idx="2">
                  <c:v>-58.485281374238568</c:v>
                </c:pt>
                <c:pt idx="3">
                  <c:v>-50</c:v>
                </c:pt>
              </c:numCache>
            </c:numRef>
          </c:xVal>
          <c:yVal>
            <c:numRef>
              <c:f>Symbole!$T$10:$W$10</c:f>
              <c:numCache>
                <c:formatCode>General</c:formatCode>
                <c:ptCount val="4"/>
                <c:pt idx="0">
                  <c:v>-70</c:v>
                </c:pt>
                <c:pt idx="1">
                  <c:v>-55.303492659818794</c:v>
                </c:pt>
                <c:pt idx="2">
                  <c:v>-55.303492659818794</c:v>
                </c:pt>
                <c:pt idx="3">
                  <c:v>-70</c:v>
                </c:pt>
              </c:numCache>
            </c:numRef>
          </c:yVal>
          <c:smooth val="0"/>
          <c:extLst>
            <c:ext xmlns:c16="http://schemas.microsoft.com/office/drawing/2014/chart" uri="{C3380CC4-5D6E-409C-BE32-E72D297353CC}">
              <c16:uniqueId val="{00000005-4B1B-4507-991D-858168B14A33}"/>
            </c:ext>
          </c:extLst>
        </c:ser>
        <c:ser>
          <c:idx val="207"/>
          <c:order val="6"/>
          <c:tx>
            <c:v>LagerV6</c:v>
          </c:tx>
          <c:spPr>
            <a:ln w="12700">
              <a:solidFill>
                <a:srgbClr val="808080"/>
              </a:solidFill>
              <a:prstDash val="solid"/>
            </a:ln>
          </c:spPr>
          <c:marker>
            <c:symbol val="none"/>
          </c:marker>
          <c:xVal>
            <c:numRef>
              <c:f>Symbole!$P$11:$S$11</c:f>
              <c:numCache>
                <c:formatCode>General</c:formatCode>
                <c:ptCount val="4"/>
                <c:pt idx="0">
                  <c:v>-100</c:v>
                </c:pt>
                <c:pt idx="1">
                  <c:v>-91.514718625761432</c:v>
                </c:pt>
                <c:pt idx="2">
                  <c:v>-108.48528137423857</c:v>
                </c:pt>
                <c:pt idx="3">
                  <c:v>-100</c:v>
                </c:pt>
              </c:numCache>
            </c:numRef>
          </c:xVal>
          <c:yVal>
            <c:numRef>
              <c:f>Symbole!$T$11:$W$11</c:f>
              <c:numCache>
                <c:formatCode>General</c:formatCode>
                <c:ptCount val="4"/>
                <c:pt idx="0">
                  <c:v>100</c:v>
                </c:pt>
                <c:pt idx="1">
                  <c:v>114.6965073401812</c:v>
                </c:pt>
                <c:pt idx="2">
                  <c:v>114.6965073401812</c:v>
                </c:pt>
                <c:pt idx="3">
                  <c:v>100</c:v>
                </c:pt>
              </c:numCache>
            </c:numRef>
          </c:yVal>
          <c:smooth val="0"/>
          <c:extLst>
            <c:ext xmlns:c16="http://schemas.microsoft.com/office/drawing/2014/chart" uri="{C3380CC4-5D6E-409C-BE32-E72D297353CC}">
              <c16:uniqueId val="{00000006-4B1B-4507-991D-858168B14A33}"/>
            </c:ext>
          </c:extLst>
        </c:ser>
        <c:ser>
          <c:idx val="208"/>
          <c:order val="7"/>
          <c:tx>
            <c:v>LagerV7</c:v>
          </c:tx>
          <c:spPr>
            <a:ln w="12700">
              <a:solidFill>
                <a:srgbClr val="808080"/>
              </a:solidFill>
              <a:prstDash val="solid"/>
            </a:ln>
          </c:spPr>
          <c:marker>
            <c:symbol val="none"/>
          </c:marker>
          <c:xVal>
            <c:numRef>
              <c:f>Symbole!$P$12:$S$12</c:f>
              <c:numCache>
                <c:formatCode>General</c:formatCode>
                <c:ptCount val="4"/>
                <c:pt idx="0">
                  <c:v>0</c:v>
                </c:pt>
                <c:pt idx="1">
                  <c:v>0</c:v>
                </c:pt>
                <c:pt idx="2">
                  <c:v>0</c:v>
                </c:pt>
                <c:pt idx="3">
                  <c:v>0</c:v>
                </c:pt>
              </c:numCache>
            </c:numRef>
          </c:xVal>
          <c:yVal>
            <c:numRef>
              <c:f>Symbole!$T$12:$W$12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7-4B1B-4507-991D-858168B14A33}"/>
            </c:ext>
          </c:extLst>
        </c:ser>
        <c:ser>
          <c:idx val="209"/>
          <c:order val="8"/>
          <c:tx>
            <c:v>LagerV8</c:v>
          </c:tx>
          <c:spPr>
            <a:ln w="12700">
              <a:solidFill>
                <a:srgbClr val="808080"/>
              </a:solidFill>
              <a:prstDash val="solid"/>
            </a:ln>
          </c:spPr>
          <c:marker>
            <c:symbol val="none"/>
          </c:marker>
          <c:xVal>
            <c:numRef>
              <c:f>Symbole!$P$13:$S$13</c:f>
              <c:numCache>
                <c:formatCode>General</c:formatCode>
                <c:ptCount val="4"/>
                <c:pt idx="0">
                  <c:v>0</c:v>
                </c:pt>
                <c:pt idx="1">
                  <c:v>0</c:v>
                </c:pt>
                <c:pt idx="2">
                  <c:v>0</c:v>
                </c:pt>
                <c:pt idx="3">
                  <c:v>0</c:v>
                </c:pt>
              </c:numCache>
            </c:numRef>
          </c:xVal>
          <c:yVal>
            <c:numRef>
              <c:f>Symbole!$T$13:$W$13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8-4B1B-4507-991D-858168B14A33}"/>
            </c:ext>
          </c:extLst>
        </c:ser>
        <c:ser>
          <c:idx val="210"/>
          <c:order val="9"/>
          <c:tx>
            <c:v>LagerV9</c:v>
          </c:tx>
          <c:spPr>
            <a:ln w="12700">
              <a:solidFill>
                <a:srgbClr val="808080"/>
              </a:solidFill>
              <a:prstDash val="solid"/>
            </a:ln>
          </c:spPr>
          <c:marker>
            <c:symbol val="none"/>
          </c:marker>
          <c:xVal>
            <c:numRef>
              <c:f>Symbole!$P$14:$S$14</c:f>
              <c:numCache>
                <c:formatCode>General</c:formatCode>
                <c:ptCount val="4"/>
                <c:pt idx="0">
                  <c:v>0</c:v>
                </c:pt>
                <c:pt idx="1">
                  <c:v>0</c:v>
                </c:pt>
                <c:pt idx="2">
                  <c:v>0</c:v>
                </c:pt>
                <c:pt idx="3">
                  <c:v>0</c:v>
                </c:pt>
              </c:numCache>
            </c:numRef>
          </c:xVal>
          <c:yVal>
            <c:numRef>
              <c:f>Symbole!$T$14:$W$14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9-4B1B-4507-991D-858168B14A33}"/>
            </c:ext>
          </c:extLst>
        </c:ser>
        <c:ser>
          <c:idx val="211"/>
          <c:order val="10"/>
          <c:tx>
            <c:v>LagerV10</c:v>
          </c:tx>
          <c:spPr>
            <a:ln w="12700">
              <a:solidFill>
                <a:srgbClr val="808080"/>
              </a:solidFill>
              <a:prstDash val="solid"/>
            </a:ln>
          </c:spPr>
          <c:marker>
            <c:symbol val="none"/>
          </c:marker>
          <c:xVal>
            <c:numRef>
              <c:f>Symbole!$P$15:$S$15</c:f>
              <c:numCache>
                <c:formatCode>General</c:formatCode>
                <c:ptCount val="4"/>
                <c:pt idx="0">
                  <c:v>0</c:v>
                </c:pt>
                <c:pt idx="1">
                  <c:v>0</c:v>
                </c:pt>
                <c:pt idx="2">
                  <c:v>0</c:v>
                </c:pt>
                <c:pt idx="3">
                  <c:v>0</c:v>
                </c:pt>
              </c:numCache>
            </c:numRef>
          </c:xVal>
          <c:yVal>
            <c:numRef>
              <c:f>Symbole!$T$15:$W$15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A-4B1B-4507-991D-858168B14A33}"/>
            </c:ext>
          </c:extLst>
        </c:ser>
        <c:ser>
          <c:idx val="212"/>
          <c:order val="11"/>
          <c:tx>
            <c:v>LagerV11</c:v>
          </c:tx>
          <c:spPr>
            <a:ln w="12700">
              <a:solidFill>
                <a:srgbClr val="808080"/>
              </a:solidFill>
              <a:prstDash val="solid"/>
            </a:ln>
          </c:spPr>
          <c:marker>
            <c:symbol val="none"/>
          </c:marker>
          <c:xVal>
            <c:numRef>
              <c:f>Symbole!$P$16:$S$16</c:f>
              <c:numCache>
                <c:formatCode>General</c:formatCode>
                <c:ptCount val="4"/>
                <c:pt idx="0">
                  <c:v>0</c:v>
                </c:pt>
                <c:pt idx="1">
                  <c:v>0</c:v>
                </c:pt>
                <c:pt idx="2">
                  <c:v>0</c:v>
                </c:pt>
                <c:pt idx="3">
                  <c:v>0</c:v>
                </c:pt>
              </c:numCache>
            </c:numRef>
          </c:xVal>
          <c:yVal>
            <c:numRef>
              <c:f>Symbole!$T$16:$W$16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B-4B1B-4507-991D-858168B14A33}"/>
            </c:ext>
          </c:extLst>
        </c:ser>
        <c:ser>
          <c:idx val="213"/>
          <c:order val="12"/>
          <c:tx>
            <c:v>LagerV12</c:v>
          </c:tx>
          <c:spPr>
            <a:ln w="12700">
              <a:solidFill>
                <a:srgbClr val="808080"/>
              </a:solidFill>
              <a:prstDash val="solid"/>
            </a:ln>
          </c:spPr>
          <c:marker>
            <c:symbol val="none"/>
          </c:marker>
          <c:xVal>
            <c:numRef>
              <c:f>Symbole!$P$17:$S$17</c:f>
              <c:numCache>
                <c:formatCode>General</c:formatCode>
                <c:ptCount val="4"/>
                <c:pt idx="0">
                  <c:v>0</c:v>
                </c:pt>
                <c:pt idx="1">
                  <c:v>0</c:v>
                </c:pt>
                <c:pt idx="2">
                  <c:v>0</c:v>
                </c:pt>
                <c:pt idx="3">
                  <c:v>0</c:v>
                </c:pt>
              </c:numCache>
            </c:numRef>
          </c:xVal>
          <c:yVal>
            <c:numRef>
              <c:f>Symbole!$T$17:$W$17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C-4B1B-4507-991D-858168B14A33}"/>
            </c:ext>
          </c:extLst>
        </c:ser>
        <c:ser>
          <c:idx val="214"/>
          <c:order val="13"/>
          <c:tx>
            <c:v>LagerV13</c:v>
          </c:tx>
          <c:spPr>
            <a:ln w="12700">
              <a:solidFill>
                <a:srgbClr val="808080"/>
              </a:solidFill>
              <a:prstDash val="solid"/>
            </a:ln>
          </c:spPr>
          <c:marker>
            <c:symbol val="none"/>
          </c:marker>
          <c:xVal>
            <c:numRef>
              <c:f>Symbole!$P$18:$S$18</c:f>
              <c:numCache>
                <c:formatCode>General</c:formatCode>
                <c:ptCount val="4"/>
                <c:pt idx="0">
                  <c:v>0</c:v>
                </c:pt>
                <c:pt idx="1">
                  <c:v>0</c:v>
                </c:pt>
                <c:pt idx="2">
                  <c:v>0</c:v>
                </c:pt>
                <c:pt idx="3">
                  <c:v>0</c:v>
                </c:pt>
              </c:numCache>
            </c:numRef>
          </c:xVal>
          <c:yVal>
            <c:numRef>
              <c:f>Symbole!$T$18:$W$18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D-4B1B-4507-991D-858168B14A33}"/>
            </c:ext>
          </c:extLst>
        </c:ser>
        <c:ser>
          <c:idx val="215"/>
          <c:order val="14"/>
          <c:tx>
            <c:v>LagerV14</c:v>
          </c:tx>
          <c:spPr>
            <a:ln w="12700">
              <a:solidFill>
                <a:srgbClr val="808080"/>
              </a:solidFill>
              <a:prstDash val="solid"/>
            </a:ln>
          </c:spPr>
          <c:marker>
            <c:symbol val="none"/>
          </c:marker>
          <c:xVal>
            <c:numRef>
              <c:f>Symbole!$P$19:$S$19</c:f>
              <c:numCache>
                <c:formatCode>General</c:formatCode>
                <c:ptCount val="4"/>
                <c:pt idx="0">
                  <c:v>0</c:v>
                </c:pt>
                <c:pt idx="1">
                  <c:v>0</c:v>
                </c:pt>
                <c:pt idx="2">
                  <c:v>0</c:v>
                </c:pt>
                <c:pt idx="3">
                  <c:v>0</c:v>
                </c:pt>
              </c:numCache>
            </c:numRef>
          </c:xVal>
          <c:yVal>
            <c:numRef>
              <c:f>Symbole!$T$19:$W$19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E-4B1B-4507-991D-858168B14A33}"/>
            </c:ext>
          </c:extLst>
        </c:ser>
        <c:ser>
          <c:idx val="216"/>
          <c:order val="15"/>
          <c:tx>
            <c:v>LagerV15</c:v>
          </c:tx>
          <c:spPr>
            <a:ln w="12700">
              <a:solidFill>
                <a:srgbClr val="808080"/>
              </a:solidFill>
              <a:prstDash val="solid"/>
            </a:ln>
          </c:spPr>
          <c:marker>
            <c:symbol val="none"/>
          </c:marker>
          <c:xVal>
            <c:numRef>
              <c:f>Symbole!$P$20:$S$20</c:f>
              <c:numCache>
                <c:formatCode>General</c:formatCode>
                <c:ptCount val="4"/>
                <c:pt idx="0">
                  <c:v>0</c:v>
                </c:pt>
                <c:pt idx="1">
                  <c:v>0</c:v>
                </c:pt>
                <c:pt idx="2">
                  <c:v>0</c:v>
                </c:pt>
                <c:pt idx="3">
                  <c:v>0</c:v>
                </c:pt>
              </c:numCache>
            </c:numRef>
          </c:xVal>
          <c:yVal>
            <c:numRef>
              <c:f>Symbole!$T$20:$W$20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F-4B1B-4507-991D-858168B14A33}"/>
            </c:ext>
          </c:extLst>
        </c:ser>
        <c:ser>
          <c:idx val="217"/>
          <c:order val="16"/>
          <c:tx>
            <c:v>LagerV16</c:v>
          </c:tx>
          <c:spPr>
            <a:ln w="12700">
              <a:solidFill>
                <a:srgbClr val="808080"/>
              </a:solidFill>
              <a:prstDash val="solid"/>
            </a:ln>
          </c:spPr>
          <c:marker>
            <c:symbol val="none"/>
          </c:marker>
          <c:xVal>
            <c:numRef>
              <c:f>Symbole!$P$21:$S$21</c:f>
              <c:numCache>
                <c:formatCode>General</c:formatCode>
                <c:ptCount val="4"/>
                <c:pt idx="0">
                  <c:v>0</c:v>
                </c:pt>
                <c:pt idx="1">
                  <c:v>0</c:v>
                </c:pt>
                <c:pt idx="2">
                  <c:v>0</c:v>
                </c:pt>
                <c:pt idx="3">
                  <c:v>0</c:v>
                </c:pt>
              </c:numCache>
            </c:numRef>
          </c:xVal>
          <c:yVal>
            <c:numRef>
              <c:f>Symbole!$T$21:$W$21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0-4B1B-4507-991D-858168B14A33}"/>
            </c:ext>
          </c:extLst>
        </c:ser>
        <c:ser>
          <c:idx val="218"/>
          <c:order val="17"/>
          <c:tx>
            <c:v>LagerV17</c:v>
          </c:tx>
          <c:spPr>
            <a:ln w="12700">
              <a:solidFill>
                <a:srgbClr val="808080"/>
              </a:solidFill>
              <a:prstDash val="solid"/>
            </a:ln>
          </c:spPr>
          <c:marker>
            <c:symbol val="none"/>
          </c:marker>
          <c:xVal>
            <c:numRef>
              <c:f>Symbole!$P$22:$S$22</c:f>
              <c:numCache>
                <c:formatCode>General</c:formatCode>
                <c:ptCount val="4"/>
                <c:pt idx="0">
                  <c:v>0</c:v>
                </c:pt>
                <c:pt idx="1">
                  <c:v>0</c:v>
                </c:pt>
                <c:pt idx="2">
                  <c:v>0</c:v>
                </c:pt>
                <c:pt idx="3">
                  <c:v>0</c:v>
                </c:pt>
              </c:numCache>
            </c:numRef>
          </c:xVal>
          <c:yVal>
            <c:numRef>
              <c:f>Symbole!$T$22:$W$22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1-4B1B-4507-991D-858168B14A33}"/>
            </c:ext>
          </c:extLst>
        </c:ser>
        <c:ser>
          <c:idx val="219"/>
          <c:order val="18"/>
          <c:tx>
            <c:v>LagerV18</c:v>
          </c:tx>
          <c:spPr>
            <a:ln w="12700">
              <a:solidFill>
                <a:srgbClr val="808080"/>
              </a:solidFill>
              <a:prstDash val="solid"/>
            </a:ln>
          </c:spPr>
          <c:marker>
            <c:symbol val="none"/>
          </c:marker>
          <c:xVal>
            <c:numRef>
              <c:f>Symbole!$P$23:$S$23</c:f>
              <c:numCache>
                <c:formatCode>General</c:formatCode>
                <c:ptCount val="4"/>
                <c:pt idx="0">
                  <c:v>0</c:v>
                </c:pt>
                <c:pt idx="1">
                  <c:v>0</c:v>
                </c:pt>
                <c:pt idx="2">
                  <c:v>0</c:v>
                </c:pt>
                <c:pt idx="3">
                  <c:v>0</c:v>
                </c:pt>
              </c:numCache>
            </c:numRef>
          </c:xVal>
          <c:yVal>
            <c:numRef>
              <c:f>Symbole!$T$23:$W$23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2-4B1B-4507-991D-858168B14A33}"/>
            </c:ext>
          </c:extLst>
        </c:ser>
        <c:ser>
          <c:idx val="220"/>
          <c:order val="19"/>
          <c:tx>
            <c:v>LagerV19</c:v>
          </c:tx>
          <c:spPr>
            <a:ln w="12700">
              <a:solidFill>
                <a:srgbClr val="808080"/>
              </a:solidFill>
              <a:prstDash val="solid"/>
            </a:ln>
          </c:spPr>
          <c:marker>
            <c:symbol val="none"/>
          </c:marker>
          <c:xVal>
            <c:numRef>
              <c:f>Symbole!$P$24:$S$24</c:f>
              <c:numCache>
                <c:formatCode>General</c:formatCode>
                <c:ptCount val="4"/>
                <c:pt idx="0">
                  <c:v>0</c:v>
                </c:pt>
                <c:pt idx="1">
                  <c:v>0</c:v>
                </c:pt>
                <c:pt idx="2">
                  <c:v>0</c:v>
                </c:pt>
                <c:pt idx="3">
                  <c:v>0</c:v>
                </c:pt>
              </c:numCache>
            </c:numRef>
          </c:xVal>
          <c:yVal>
            <c:numRef>
              <c:f>Symbole!$T$24:$W$24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3-4B1B-4507-991D-858168B14A33}"/>
            </c:ext>
          </c:extLst>
        </c:ser>
        <c:ser>
          <c:idx val="221"/>
          <c:order val="20"/>
          <c:tx>
            <c:v>LagerV20</c:v>
          </c:tx>
          <c:spPr>
            <a:ln w="12700">
              <a:solidFill>
                <a:srgbClr val="808080"/>
              </a:solidFill>
              <a:prstDash val="solid"/>
            </a:ln>
          </c:spPr>
          <c:marker>
            <c:symbol val="none"/>
          </c:marker>
          <c:xVal>
            <c:numRef>
              <c:f>Symbole!$P$25:$S$25</c:f>
              <c:numCache>
                <c:formatCode>General</c:formatCode>
                <c:ptCount val="4"/>
                <c:pt idx="0">
                  <c:v>0</c:v>
                </c:pt>
                <c:pt idx="1">
                  <c:v>0</c:v>
                </c:pt>
                <c:pt idx="2">
                  <c:v>0</c:v>
                </c:pt>
                <c:pt idx="3">
                  <c:v>0</c:v>
                </c:pt>
              </c:numCache>
            </c:numRef>
          </c:xVal>
          <c:yVal>
            <c:numRef>
              <c:f>Symbole!$T$25:$W$25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4-4B1B-4507-991D-858168B14A33}"/>
            </c:ext>
          </c:extLst>
        </c:ser>
        <c:ser>
          <c:idx val="222"/>
          <c:order val="21"/>
          <c:tx>
            <c:v>LagerH1</c:v>
          </c:tx>
          <c:spPr>
            <a:ln w="12700">
              <a:solidFill>
                <a:srgbClr val="808080"/>
              </a:solidFill>
              <a:prstDash val="solid"/>
            </a:ln>
          </c:spPr>
          <c:marker>
            <c:symbol val="none"/>
          </c:marker>
          <c:xVal>
            <c:numRef>
              <c:f>Symbole!$P$29:$S$29</c:f>
              <c:numCache>
                <c:formatCode>General</c:formatCode>
                <c:ptCount val="4"/>
                <c:pt idx="0">
                  <c:v>23.626678459402886</c:v>
                </c:pt>
                <c:pt idx="1">
                  <c:v>23.626678459402886</c:v>
                </c:pt>
                <c:pt idx="2">
                  <c:v>23.626678459402886</c:v>
                </c:pt>
                <c:pt idx="3">
                  <c:v>23.626678459402886</c:v>
                </c:pt>
              </c:numCache>
            </c:numRef>
          </c:xVal>
          <c:yVal>
            <c:numRef>
              <c:f>Symbole!$T$29:$W$29</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15-4B1B-4507-991D-858168B14A33}"/>
            </c:ext>
          </c:extLst>
        </c:ser>
        <c:ser>
          <c:idx val="223"/>
          <c:order val="22"/>
          <c:tx>
            <c:v>LagerH2</c:v>
          </c:tx>
          <c:spPr>
            <a:ln w="12700">
              <a:solidFill>
                <a:srgbClr val="808080"/>
              </a:solidFill>
              <a:prstDash val="solid"/>
            </a:ln>
          </c:spPr>
          <c:marker>
            <c:symbol val="none"/>
          </c:marker>
          <c:xVal>
            <c:numRef>
              <c:f>Symbole!$P$30:$S$30</c:f>
              <c:numCache>
                <c:formatCode>General</c:formatCode>
                <c:ptCount val="4"/>
                <c:pt idx="0">
                  <c:v>100</c:v>
                </c:pt>
                <c:pt idx="1">
                  <c:v>114.6965073401812</c:v>
                </c:pt>
                <c:pt idx="2">
                  <c:v>114.6965073401812</c:v>
                </c:pt>
                <c:pt idx="3">
                  <c:v>100</c:v>
                </c:pt>
              </c:numCache>
            </c:numRef>
          </c:xVal>
          <c:yVal>
            <c:numRef>
              <c:f>Symbole!$T$30:$W$30</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6-4B1B-4507-991D-858168B14A33}"/>
            </c:ext>
          </c:extLst>
        </c:ser>
        <c:ser>
          <c:idx val="224"/>
          <c:order val="23"/>
          <c:tx>
            <c:v>LagerH3</c:v>
          </c:tx>
          <c:spPr>
            <a:ln w="12700">
              <a:solidFill>
                <a:srgbClr val="808080"/>
              </a:solidFill>
              <a:prstDash val="solid"/>
            </a:ln>
          </c:spPr>
          <c:marker>
            <c:symbol val="none"/>
          </c:marker>
          <c:xVal>
            <c:numRef>
              <c:f>Symbole!$P$31:$S$31</c:f>
              <c:numCache>
                <c:formatCode>General</c:formatCode>
                <c:ptCount val="4"/>
                <c:pt idx="0">
                  <c:v>20</c:v>
                </c:pt>
                <c:pt idx="1">
                  <c:v>34.696507340181206</c:v>
                </c:pt>
                <c:pt idx="2">
                  <c:v>34.696507340181206</c:v>
                </c:pt>
                <c:pt idx="3">
                  <c:v>20</c:v>
                </c:pt>
              </c:numCache>
            </c:numRef>
          </c:xVal>
          <c:yVal>
            <c:numRef>
              <c:f>Symbole!$T$31:$W$31</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17-4B1B-4507-991D-858168B14A33}"/>
            </c:ext>
          </c:extLst>
        </c:ser>
        <c:ser>
          <c:idx val="225"/>
          <c:order val="24"/>
          <c:tx>
            <c:v>LagerH4</c:v>
          </c:tx>
          <c:spPr>
            <a:ln w="12700">
              <a:solidFill>
                <a:srgbClr val="808080"/>
              </a:solidFill>
              <a:prstDash val="solid"/>
            </a:ln>
          </c:spPr>
          <c:marker>
            <c:symbol val="none"/>
          </c:marker>
          <c:xVal>
            <c:numRef>
              <c:f>Symbole!$P$32:$S$32</c:f>
              <c:numCache>
                <c:formatCode>General</c:formatCode>
                <c:ptCount val="4"/>
                <c:pt idx="0">
                  <c:v>60</c:v>
                </c:pt>
                <c:pt idx="1">
                  <c:v>74.696507340181199</c:v>
                </c:pt>
                <c:pt idx="2">
                  <c:v>74.696507340181199</c:v>
                </c:pt>
                <c:pt idx="3">
                  <c:v>60</c:v>
                </c:pt>
              </c:numCache>
            </c:numRef>
          </c:xVal>
          <c:yVal>
            <c:numRef>
              <c:f>Symbole!$T$32:$W$32</c:f>
              <c:numCache>
                <c:formatCode>General</c:formatCode>
                <c:ptCount val="4"/>
                <c:pt idx="0">
                  <c:v>-100</c:v>
                </c:pt>
                <c:pt idx="1">
                  <c:v>-91.514718625761432</c:v>
                </c:pt>
                <c:pt idx="2">
                  <c:v>-108.48528137423857</c:v>
                </c:pt>
                <c:pt idx="3">
                  <c:v>-100</c:v>
                </c:pt>
              </c:numCache>
            </c:numRef>
          </c:yVal>
          <c:smooth val="0"/>
          <c:extLst>
            <c:ext xmlns:c16="http://schemas.microsoft.com/office/drawing/2014/chart" uri="{C3380CC4-5D6E-409C-BE32-E72D297353CC}">
              <c16:uniqueId val="{00000018-4B1B-4507-991D-858168B14A33}"/>
            </c:ext>
          </c:extLst>
        </c:ser>
        <c:ser>
          <c:idx val="226"/>
          <c:order val="25"/>
          <c:tx>
            <c:v>LagerH5</c:v>
          </c:tx>
          <c:spPr>
            <a:ln w="12700">
              <a:solidFill>
                <a:srgbClr val="808080"/>
              </a:solidFill>
              <a:prstDash val="solid"/>
            </a:ln>
          </c:spPr>
          <c:marker>
            <c:symbol val="none"/>
          </c:marker>
          <c:xVal>
            <c:numRef>
              <c:f>Symbole!$P$33:$S$33</c:f>
              <c:numCache>
                <c:formatCode>General</c:formatCode>
                <c:ptCount val="4"/>
                <c:pt idx="0">
                  <c:v>-50</c:v>
                </c:pt>
                <c:pt idx="1">
                  <c:v>-35.303492659818794</c:v>
                </c:pt>
                <c:pt idx="2">
                  <c:v>-35.303492659818794</c:v>
                </c:pt>
                <c:pt idx="3">
                  <c:v>-50</c:v>
                </c:pt>
              </c:numCache>
            </c:numRef>
          </c:xVal>
          <c:yVal>
            <c:numRef>
              <c:f>Symbole!$T$33:$W$33</c:f>
              <c:numCache>
                <c:formatCode>General</c:formatCode>
                <c:ptCount val="4"/>
                <c:pt idx="0">
                  <c:v>-70</c:v>
                </c:pt>
                <c:pt idx="1">
                  <c:v>-61.514718625761432</c:v>
                </c:pt>
                <c:pt idx="2">
                  <c:v>-78.485281374238568</c:v>
                </c:pt>
                <c:pt idx="3">
                  <c:v>-70</c:v>
                </c:pt>
              </c:numCache>
            </c:numRef>
          </c:yVal>
          <c:smooth val="0"/>
          <c:extLst>
            <c:ext xmlns:c16="http://schemas.microsoft.com/office/drawing/2014/chart" uri="{C3380CC4-5D6E-409C-BE32-E72D297353CC}">
              <c16:uniqueId val="{00000019-4B1B-4507-991D-858168B14A33}"/>
            </c:ext>
          </c:extLst>
        </c:ser>
        <c:ser>
          <c:idx val="227"/>
          <c:order val="26"/>
          <c:tx>
            <c:v>LagerH6</c:v>
          </c:tx>
          <c:spPr>
            <a:ln w="12700">
              <a:solidFill>
                <a:srgbClr val="808080"/>
              </a:solidFill>
              <a:prstDash val="solid"/>
            </a:ln>
          </c:spPr>
          <c:marker>
            <c:symbol val="none"/>
          </c:marker>
          <c:xVal>
            <c:numRef>
              <c:f>Symbole!$P$34:$S$34</c:f>
              <c:numCache>
                <c:formatCode>General</c:formatCode>
                <c:ptCount val="4"/>
                <c:pt idx="0">
                  <c:v>-100</c:v>
                </c:pt>
                <c:pt idx="1">
                  <c:v>-85.303492659818801</c:v>
                </c:pt>
                <c:pt idx="2">
                  <c:v>-85.303492659818801</c:v>
                </c:pt>
                <c:pt idx="3">
                  <c:v>-100</c:v>
                </c:pt>
              </c:numCache>
            </c:numRef>
          </c:xVal>
          <c:yVal>
            <c:numRef>
              <c:f>Symbole!$T$34:$W$34</c:f>
              <c:numCache>
                <c:formatCode>General</c:formatCode>
                <c:ptCount val="4"/>
                <c:pt idx="0">
                  <c:v>100</c:v>
                </c:pt>
                <c:pt idx="1">
                  <c:v>108.48528137423857</c:v>
                </c:pt>
                <c:pt idx="2">
                  <c:v>91.514718625761432</c:v>
                </c:pt>
                <c:pt idx="3">
                  <c:v>100</c:v>
                </c:pt>
              </c:numCache>
            </c:numRef>
          </c:yVal>
          <c:smooth val="0"/>
          <c:extLst>
            <c:ext xmlns:c16="http://schemas.microsoft.com/office/drawing/2014/chart" uri="{C3380CC4-5D6E-409C-BE32-E72D297353CC}">
              <c16:uniqueId val="{0000001A-4B1B-4507-991D-858168B14A33}"/>
            </c:ext>
          </c:extLst>
        </c:ser>
        <c:ser>
          <c:idx val="228"/>
          <c:order val="27"/>
          <c:tx>
            <c:v>LagerH7</c:v>
          </c:tx>
          <c:spPr>
            <a:ln w="12700">
              <a:solidFill>
                <a:srgbClr val="808080"/>
              </a:solidFill>
              <a:prstDash val="solid"/>
            </a:ln>
          </c:spPr>
          <c:marker>
            <c:symbol val="none"/>
          </c:marker>
          <c:xVal>
            <c:numRef>
              <c:f>Symbole!$P$35:$S$35</c:f>
              <c:numCache>
                <c:formatCode>General</c:formatCode>
                <c:ptCount val="4"/>
                <c:pt idx="0">
                  <c:v>0</c:v>
                </c:pt>
                <c:pt idx="1">
                  <c:v>0</c:v>
                </c:pt>
                <c:pt idx="2">
                  <c:v>0</c:v>
                </c:pt>
                <c:pt idx="3">
                  <c:v>0</c:v>
                </c:pt>
              </c:numCache>
            </c:numRef>
          </c:xVal>
          <c:yVal>
            <c:numRef>
              <c:f>Symbole!$T$35:$W$35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B-4B1B-4507-991D-858168B14A33}"/>
            </c:ext>
          </c:extLst>
        </c:ser>
        <c:ser>
          <c:idx val="229"/>
          <c:order val="28"/>
          <c:tx>
            <c:v>LagerH8</c:v>
          </c:tx>
          <c:spPr>
            <a:ln w="12700">
              <a:solidFill>
                <a:srgbClr val="808080"/>
              </a:solidFill>
              <a:prstDash val="solid"/>
            </a:ln>
          </c:spPr>
          <c:marker>
            <c:symbol val="none"/>
          </c:marker>
          <c:xVal>
            <c:numRef>
              <c:f>Symbole!$P$36:$S$36</c:f>
              <c:numCache>
                <c:formatCode>General</c:formatCode>
                <c:ptCount val="4"/>
                <c:pt idx="0">
                  <c:v>0</c:v>
                </c:pt>
                <c:pt idx="1">
                  <c:v>0</c:v>
                </c:pt>
                <c:pt idx="2">
                  <c:v>0</c:v>
                </c:pt>
                <c:pt idx="3">
                  <c:v>0</c:v>
                </c:pt>
              </c:numCache>
            </c:numRef>
          </c:xVal>
          <c:yVal>
            <c:numRef>
              <c:f>Symbole!$T$36:$W$36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C-4B1B-4507-991D-858168B14A33}"/>
            </c:ext>
          </c:extLst>
        </c:ser>
        <c:ser>
          <c:idx val="230"/>
          <c:order val="29"/>
          <c:tx>
            <c:v>LagerH9</c:v>
          </c:tx>
          <c:spPr>
            <a:ln w="12700">
              <a:solidFill>
                <a:srgbClr val="808080"/>
              </a:solidFill>
              <a:prstDash val="solid"/>
            </a:ln>
          </c:spPr>
          <c:marker>
            <c:symbol val="none"/>
          </c:marker>
          <c:xVal>
            <c:numRef>
              <c:f>Symbole!$P$37:$S$37</c:f>
              <c:numCache>
                <c:formatCode>General</c:formatCode>
                <c:ptCount val="4"/>
                <c:pt idx="0">
                  <c:v>0</c:v>
                </c:pt>
                <c:pt idx="1">
                  <c:v>0</c:v>
                </c:pt>
                <c:pt idx="2">
                  <c:v>0</c:v>
                </c:pt>
                <c:pt idx="3">
                  <c:v>0</c:v>
                </c:pt>
              </c:numCache>
            </c:numRef>
          </c:xVal>
          <c:yVal>
            <c:numRef>
              <c:f>Symbole!$T$37:$W$37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D-4B1B-4507-991D-858168B14A33}"/>
            </c:ext>
          </c:extLst>
        </c:ser>
        <c:ser>
          <c:idx val="231"/>
          <c:order val="30"/>
          <c:tx>
            <c:v>LagerH10</c:v>
          </c:tx>
          <c:spPr>
            <a:ln w="12700">
              <a:solidFill>
                <a:srgbClr val="808080"/>
              </a:solidFill>
              <a:prstDash val="solid"/>
            </a:ln>
          </c:spPr>
          <c:marker>
            <c:symbol val="none"/>
          </c:marker>
          <c:xVal>
            <c:numRef>
              <c:f>Symbole!$P$38:$S$38</c:f>
              <c:numCache>
                <c:formatCode>General</c:formatCode>
                <c:ptCount val="4"/>
                <c:pt idx="0">
                  <c:v>0</c:v>
                </c:pt>
                <c:pt idx="1">
                  <c:v>0</c:v>
                </c:pt>
                <c:pt idx="2">
                  <c:v>0</c:v>
                </c:pt>
                <c:pt idx="3">
                  <c:v>0</c:v>
                </c:pt>
              </c:numCache>
            </c:numRef>
          </c:xVal>
          <c:yVal>
            <c:numRef>
              <c:f>Symbole!$T$38:$W$38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E-4B1B-4507-991D-858168B14A33}"/>
            </c:ext>
          </c:extLst>
        </c:ser>
        <c:ser>
          <c:idx val="232"/>
          <c:order val="31"/>
          <c:tx>
            <c:v>LagerH11</c:v>
          </c:tx>
          <c:spPr>
            <a:ln w="12700">
              <a:solidFill>
                <a:srgbClr val="808080"/>
              </a:solidFill>
              <a:prstDash val="solid"/>
            </a:ln>
          </c:spPr>
          <c:marker>
            <c:symbol val="none"/>
          </c:marker>
          <c:xVal>
            <c:numRef>
              <c:f>Symbole!$P$39:$S$39</c:f>
              <c:numCache>
                <c:formatCode>General</c:formatCode>
                <c:ptCount val="4"/>
                <c:pt idx="0">
                  <c:v>0</c:v>
                </c:pt>
                <c:pt idx="1">
                  <c:v>0</c:v>
                </c:pt>
                <c:pt idx="2">
                  <c:v>0</c:v>
                </c:pt>
                <c:pt idx="3">
                  <c:v>0</c:v>
                </c:pt>
              </c:numCache>
            </c:numRef>
          </c:xVal>
          <c:yVal>
            <c:numRef>
              <c:f>Symbole!$T$39:$W$39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1F-4B1B-4507-991D-858168B14A33}"/>
            </c:ext>
          </c:extLst>
        </c:ser>
        <c:ser>
          <c:idx val="233"/>
          <c:order val="32"/>
          <c:tx>
            <c:v>LagerH12</c:v>
          </c:tx>
          <c:spPr>
            <a:ln w="12700">
              <a:solidFill>
                <a:srgbClr val="808080"/>
              </a:solidFill>
              <a:prstDash val="solid"/>
            </a:ln>
          </c:spPr>
          <c:marker>
            <c:symbol val="none"/>
          </c:marker>
          <c:xVal>
            <c:numRef>
              <c:f>Symbole!$P$40:$S$40</c:f>
              <c:numCache>
                <c:formatCode>General</c:formatCode>
                <c:ptCount val="4"/>
                <c:pt idx="0">
                  <c:v>0</c:v>
                </c:pt>
                <c:pt idx="1">
                  <c:v>0</c:v>
                </c:pt>
                <c:pt idx="2">
                  <c:v>0</c:v>
                </c:pt>
                <c:pt idx="3">
                  <c:v>0</c:v>
                </c:pt>
              </c:numCache>
            </c:numRef>
          </c:xVal>
          <c:yVal>
            <c:numRef>
              <c:f>Symbole!$T$40:$W$40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0-4B1B-4507-991D-858168B14A33}"/>
            </c:ext>
          </c:extLst>
        </c:ser>
        <c:ser>
          <c:idx val="234"/>
          <c:order val="33"/>
          <c:tx>
            <c:v>LagerH13</c:v>
          </c:tx>
          <c:spPr>
            <a:ln w="12700">
              <a:solidFill>
                <a:srgbClr val="808080"/>
              </a:solidFill>
              <a:prstDash val="solid"/>
            </a:ln>
          </c:spPr>
          <c:marker>
            <c:symbol val="none"/>
          </c:marker>
          <c:xVal>
            <c:numRef>
              <c:f>Symbole!$P$41:$S$41</c:f>
              <c:numCache>
                <c:formatCode>General</c:formatCode>
                <c:ptCount val="4"/>
                <c:pt idx="0">
                  <c:v>0</c:v>
                </c:pt>
                <c:pt idx="1">
                  <c:v>0</c:v>
                </c:pt>
                <c:pt idx="2">
                  <c:v>0</c:v>
                </c:pt>
                <c:pt idx="3">
                  <c:v>0</c:v>
                </c:pt>
              </c:numCache>
            </c:numRef>
          </c:xVal>
          <c:yVal>
            <c:numRef>
              <c:f>Symbole!$T$41:$W$41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1-4B1B-4507-991D-858168B14A33}"/>
            </c:ext>
          </c:extLst>
        </c:ser>
        <c:ser>
          <c:idx val="235"/>
          <c:order val="34"/>
          <c:tx>
            <c:v>LagerH14</c:v>
          </c:tx>
          <c:spPr>
            <a:ln w="12700">
              <a:solidFill>
                <a:srgbClr val="808080"/>
              </a:solidFill>
              <a:prstDash val="solid"/>
            </a:ln>
          </c:spPr>
          <c:marker>
            <c:symbol val="none"/>
          </c:marker>
          <c:xVal>
            <c:numRef>
              <c:f>Symbole!$P$42:$S$42</c:f>
              <c:numCache>
                <c:formatCode>General</c:formatCode>
                <c:ptCount val="4"/>
                <c:pt idx="0">
                  <c:v>0</c:v>
                </c:pt>
                <c:pt idx="1">
                  <c:v>0</c:v>
                </c:pt>
                <c:pt idx="2">
                  <c:v>0</c:v>
                </c:pt>
                <c:pt idx="3">
                  <c:v>0</c:v>
                </c:pt>
              </c:numCache>
            </c:numRef>
          </c:xVal>
          <c:yVal>
            <c:numRef>
              <c:f>Symbole!$T$42:$W$42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2-4B1B-4507-991D-858168B14A33}"/>
            </c:ext>
          </c:extLst>
        </c:ser>
        <c:ser>
          <c:idx val="236"/>
          <c:order val="35"/>
          <c:tx>
            <c:v>LagerH15</c:v>
          </c:tx>
          <c:spPr>
            <a:ln w="12700">
              <a:solidFill>
                <a:srgbClr val="808080"/>
              </a:solidFill>
              <a:prstDash val="solid"/>
            </a:ln>
          </c:spPr>
          <c:marker>
            <c:symbol val="none"/>
          </c:marker>
          <c:xVal>
            <c:numRef>
              <c:f>Symbole!$P$43:$S$43</c:f>
              <c:numCache>
                <c:formatCode>General</c:formatCode>
                <c:ptCount val="4"/>
                <c:pt idx="0">
                  <c:v>0</c:v>
                </c:pt>
                <c:pt idx="1">
                  <c:v>0</c:v>
                </c:pt>
                <c:pt idx="2">
                  <c:v>0</c:v>
                </c:pt>
                <c:pt idx="3">
                  <c:v>0</c:v>
                </c:pt>
              </c:numCache>
            </c:numRef>
          </c:xVal>
          <c:yVal>
            <c:numRef>
              <c:f>Symbole!$T$43:$W$43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3-4B1B-4507-991D-858168B14A33}"/>
            </c:ext>
          </c:extLst>
        </c:ser>
        <c:ser>
          <c:idx val="237"/>
          <c:order val="36"/>
          <c:tx>
            <c:v>LagerH16</c:v>
          </c:tx>
          <c:spPr>
            <a:ln w="12700">
              <a:solidFill>
                <a:srgbClr val="808080"/>
              </a:solidFill>
              <a:prstDash val="solid"/>
            </a:ln>
          </c:spPr>
          <c:marker>
            <c:symbol val="none"/>
          </c:marker>
          <c:xVal>
            <c:numRef>
              <c:f>Symbole!$P$44:$S$44</c:f>
              <c:numCache>
                <c:formatCode>General</c:formatCode>
                <c:ptCount val="4"/>
                <c:pt idx="0">
                  <c:v>0</c:v>
                </c:pt>
                <c:pt idx="1">
                  <c:v>0</c:v>
                </c:pt>
                <c:pt idx="2">
                  <c:v>0</c:v>
                </c:pt>
                <c:pt idx="3">
                  <c:v>0</c:v>
                </c:pt>
              </c:numCache>
            </c:numRef>
          </c:xVal>
          <c:yVal>
            <c:numRef>
              <c:f>Symbole!$T$44:$W$44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4-4B1B-4507-991D-858168B14A33}"/>
            </c:ext>
          </c:extLst>
        </c:ser>
        <c:ser>
          <c:idx val="238"/>
          <c:order val="37"/>
          <c:tx>
            <c:v>LagerH17</c:v>
          </c:tx>
          <c:spPr>
            <a:ln w="12700">
              <a:solidFill>
                <a:srgbClr val="808080"/>
              </a:solidFill>
              <a:prstDash val="solid"/>
            </a:ln>
          </c:spPr>
          <c:marker>
            <c:symbol val="none"/>
          </c:marker>
          <c:xVal>
            <c:numRef>
              <c:f>Symbole!$P$45:$S$45</c:f>
              <c:numCache>
                <c:formatCode>General</c:formatCode>
                <c:ptCount val="4"/>
                <c:pt idx="0">
                  <c:v>0</c:v>
                </c:pt>
                <c:pt idx="1">
                  <c:v>0</c:v>
                </c:pt>
                <c:pt idx="2">
                  <c:v>0</c:v>
                </c:pt>
                <c:pt idx="3">
                  <c:v>0</c:v>
                </c:pt>
              </c:numCache>
            </c:numRef>
          </c:xVal>
          <c:yVal>
            <c:numRef>
              <c:f>Symbole!$T$45:$W$45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5-4B1B-4507-991D-858168B14A33}"/>
            </c:ext>
          </c:extLst>
        </c:ser>
        <c:ser>
          <c:idx val="239"/>
          <c:order val="38"/>
          <c:tx>
            <c:v>LagerH18</c:v>
          </c:tx>
          <c:spPr>
            <a:ln w="12700">
              <a:solidFill>
                <a:srgbClr val="808080"/>
              </a:solidFill>
              <a:prstDash val="solid"/>
            </a:ln>
          </c:spPr>
          <c:marker>
            <c:symbol val="none"/>
          </c:marker>
          <c:xVal>
            <c:numRef>
              <c:f>Symbole!$P$46:$S$46</c:f>
              <c:numCache>
                <c:formatCode>General</c:formatCode>
                <c:ptCount val="4"/>
                <c:pt idx="0">
                  <c:v>0</c:v>
                </c:pt>
                <c:pt idx="1">
                  <c:v>0</c:v>
                </c:pt>
                <c:pt idx="2">
                  <c:v>0</c:v>
                </c:pt>
                <c:pt idx="3">
                  <c:v>0</c:v>
                </c:pt>
              </c:numCache>
            </c:numRef>
          </c:xVal>
          <c:yVal>
            <c:numRef>
              <c:f>Symbole!$T$46:$W$46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6-4B1B-4507-991D-858168B14A33}"/>
            </c:ext>
          </c:extLst>
        </c:ser>
        <c:ser>
          <c:idx val="240"/>
          <c:order val="39"/>
          <c:tx>
            <c:v>LagerH19</c:v>
          </c:tx>
          <c:spPr>
            <a:ln w="12700">
              <a:solidFill>
                <a:srgbClr val="808080"/>
              </a:solidFill>
              <a:prstDash val="solid"/>
            </a:ln>
          </c:spPr>
          <c:marker>
            <c:symbol val="none"/>
          </c:marker>
          <c:xVal>
            <c:numRef>
              <c:f>Symbole!$P$47:$S$47</c:f>
              <c:numCache>
                <c:formatCode>General</c:formatCode>
                <c:ptCount val="4"/>
                <c:pt idx="0">
                  <c:v>0</c:v>
                </c:pt>
                <c:pt idx="1">
                  <c:v>0</c:v>
                </c:pt>
                <c:pt idx="2">
                  <c:v>0</c:v>
                </c:pt>
                <c:pt idx="3">
                  <c:v>0</c:v>
                </c:pt>
              </c:numCache>
            </c:numRef>
          </c:xVal>
          <c:yVal>
            <c:numRef>
              <c:f>Symbole!$T$47:$W$47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7-4B1B-4507-991D-858168B14A33}"/>
            </c:ext>
          </c:extLst>
        </c:ser>
        <c:ser>
          <c:idx val="241"/>
          <c:order val="40"/>
          <c:tx>
            <c:v>LagerH20</c:v>
          </c:tx>
          <c:spPr>
            <a:ln w="12700">
              <a:solidFill>
                <a:srgbClr val="808080"/>
              </a:solidFill>
              <a:prstDash val="solid"/>
            </a:ln>
          </c:spPr>
          <c:marker>
            <c:symbol val="none"/>
          </c:marker>
          <c:xVal>
            <c:numRef>
              <c:f>Symbole!$P$48:$S$48</c:f>
              <c:numCache>
                <c:formatCode>General</c:formatCode>
                <c:ptCount val="4"/>
                <c:pt idx="0">
                  <c:v>0</c:v>
                </c:pt>
                <c:pt idx="1">
                  <c:v>0</c:v>
                </c:pt>
                <c:pt idx="2">
                  <c:v>0</c:v>
                </c:pt>
                <c:pt idx="3">
                  <c:v>0</c:v>
                </c:pt>
              </c:numCache>
            </c:numRef>
          </c:xVal>
          <c:yVal>
            <c:numRef>
              <c:f>Symbole!$T$48:$W$48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28-4B1B-4507-991D-858168B14A33}"/>
            </c:ext>
          </c:extLst>
        </c:ser>
        <c:ser>
          <c:idx val="242"/>
          <c:order val="41"/>
          <c:tx>
            <c:v>LagerR1</c:v>
          </c:tx>
          <c:spPr>
            <a:ln w="12700">
              <a:solidFill>
                <a:srgbClr val="808080"/>
              </a:solidFill>
              <a:prstDash val="solid"/>
            </a:ln>
          </c:spPr>
          <c:marker>
            <c:symbol val="none"/>
          </c:marker>
          <c:xVal>
            <c:numRef>
              <c:f>Symbole!$P$52:$T$52</c:f>
              <c:numCache>
                <c:formatCode>General</c:formatCode>
                <c:ptCount val="5"/>
                <c:pt idx="0">
                  <c:v>23.626678459402886</c:v>
                </c:pt>
                <c:pt idx="1">
                  <c:v>23.626678459402886</c:v>
                </c:pt>
                <c:pt idx="2">
                  <c:v>23.626678459402886</c:v>
                </c:pt>
                <c:pt idx="3">
                  <c:v>23.626678459402886</c:v>
                </c:pt>
                <c:pt idx="4">
                  <c:v>23.626678459402886</c:v>
                </c:pt>
              </c:numCache>
            </c:numRef>
          </c:xVal>
          <c:yVal>
            <c:numRef>
              <c:f>Symbole!$U$52:$Y$52</c:f>
              <c:numCache>
                <c:formatCode>General</c:formatCode>
                <c:ptCount val="5"/>
                <c:pt idx="0">
                  <c:v>-46.105451176718191</c:v>
                </c:pt>
                <c:pt idx="1">
                  <c:v>-46.105451176718191</c:v>
                </c:pt>
                <c:pt idx="2">
                  <c:v>-46.105451176718191</c:v>
                </c:pt>
                <c:pt idx="3">
                  <c:v>-46.105451176718191</c:v>
                </c:pt>
                <c:pt idx="4">
                  <c:v>-46.105451176718191</c:v>
                </c:pt>
              </c:numCache>
            </c:numRef>
          </c:yVal>
          <c:smooth val="0"/>
          <c:extLst>
            <c:ext xmlns:c16="http://schemas.microsoft.com/office/drawing/2014/chart" uri="{C3380CC4-5D6E-409C-BE32-E72D297353CC}">
              <c16:uniqueId val="{00000029-4B1B-4507-991D-858168B14A33}"/>
            </c:ext>
          </c:extLst>
        </c:ser>
        <c:ser>
          <c:idx val="243"/>
          <c:order val="42"/>
          <c:tx>
            <c:v>LagerR2</c:v>
          </c:tx>
          <c:spPr>
            <a:ln w="12700">
              <a:solidFill>
                <a:srgbClr val="808080"/>
              </a:solidFill>
              <a:prstDash val="solid"/>
            </a:ln>
          </c:spPr>
          <c:marker>
            <c:symbol val="none"/>
          </c:marker>
          <c:xVal>
            <c:numRef>
              <c:f>Symbole!$P$53:$T$53</c:f>
              <c:numCache>
                <c:formatCode>General</c:formatCode>
                <c:ptCount val="5"/>
                <c:pt idx="0">
                  <c:v>100</c:v>
                </c:pt>
                <c:pt idx="1">
                  <c:v>100</c:v>
                </c:pt>
                <c:pt idx="2">
                  <c:v>100</c:v>
                </c:pt>
                <c:pt idx="3">
                  <c:v>100</c:v>
                </c:pt>
                <c:pt idx="4">
                  <c:v>100</c:v>
                </c:pt>
              </c:numCache>
            </c:numRef>
          </c:xVal>
          <c:yVal>
            <c:numRef>
              <c:f>Symbole!$U$53:$Y$53</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A-4B1B-4507-991D-858168B14A33}"/>
            </c:ext>
          </c:extLst>
        </c:ser>
        <c:ser>
          <c:idx val="244"/>
          <c:order val="43"/>
          <c:tx>
            <c:v>LagerR3</c:v>
          </c:tx>
          <c:spPr>
            <a:ln w="12700">
              <a:solidFill>
                <a:srgbClr val="808080"/>
              </a:solidFill>
              <a:prstDash val="solid"/>
            </a:ln>
          </c:spPr>
          <c:marker>
            <c:symbol val="none"/>
          </c:marker>
          <c:xVal>
            <c:numRef>
              <c:f>Symbole!$P$54:$T$54</c:f>
              <c:numCache>
                <c:formatCode>General</c:formatCode>
                <c:ptCount val="5"/>
                <c:pt idx="0">
                  <c:v>20</c:v>
                </c:pt>
                <c:pt idx="1">
                  <c:v>20</c:v>
                </c:pt>
                <c:pt idx="2">
                  <c:v>20</c:v>
                </c:pt>
                <c:pt idx="3">
                  <c:v>20</c:v>
                </c:pt>
                <c:pt idx="4">
                  <c:v>20</c:v>
                </c:pt>
              </c:numCache>
            </c:numRef>
          </c:xVal>
          <c:yVal>
            <c:numRef>
              <c:f>Symbole!$U$54:$Y$54</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2B-4B1B-4507-991D-858168B14A33}"/>
            </c:ext>
          </c:extLst>
        </c:ser>
        <c:ser>
          <c:idx val="245"/>
          <c:order val="44"/>
          <c:tx>
            <c:v>LagerR4</c:v>
          </c:tx>
          <c:spPr>
            <a:ln w="12700">
              <a:solidFill>
                <a:srgbClr val="808080"/>
              </a:solidFill>
              <a:prstDash val="solid"/>
            </a:ln>
          </c:spPr>
          <c:marker>
            <c:symbol val="none"/>
          </c:marker>
          <c:xVal>
            <c:numRef>
              <c:f>Symbole!$P$55:$T$55</c:f>
              <c:numCache>
                <c:formatCode>General</c:formatCode>
                <c:ptCount val="5"/>
                <c:pt idx="0">
                  <c:v>60</c:v>
                </c:pt>
                <c:pt idx="1">
                  <c:v>60</c:v>
                </c:pt>
                <c:pt idx="2">
                  <c:v>60</c:v>
                </c:pt>
                <c:pt idx="3">
                  <c:v>60</c:v>
                </c:pt>
                <c:pt idx="4">
                  <c:v>60</c:v>
                </c:pt>
              </c:numCache>
            </c:numRef>
          </c:xVal>
          <c:yVal>
            <c:numRef>
              <c:f>Symbole!$U$55:$Y$55</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C-4B1B-4507-991D-858168B14A33}"/>
            </c:ext>
          </c:extLst>
        </c:ser>
        <c:ser>
          <c:idx val="246"/>
          <c:order val="45"/>
          <c:tx>
            <c:v>LagerR5</c:v>
          </c:tx>
          <c:spPr>
            <a:ln w="12700">
              <a:solidFill>
                <a:srgbClr val="808080"/>
              </a:solidFill>
              <a:prstDash val="solid"/>
            </a:ln>
          </c:spPr>
          <c:marker>
            <c:symbol val="none"/>
          </c:marker>
          <c:xVal>
            <c:numRef>
              <c:f>Symbole!$P$56:$T$56</c:f>
              <c:numCache>
                <c:formatCode>General</c:formatCode>
                <c:ptCount val="5"/>
                <c:pt idx="0">
                  <c:v>-50</c:v>
                </c:pt>
                <c:pt idx="1">
                  <c:v>-50</c:v>
                </c:pt>
                <c:pt idx="2">
                  <c:v>-50</c:v>
                </c:pt>
                <c:pt idx="3">
                  <c:v>-50</c:v>
                </c:pt>
                <c:pt idx="4">
                  <c:v>-50</c:v>
                </c:pt>
              </c:numCache>
            </c:numRef>
          </c:xVal>
          <c:yVal>
            <c:numRef>
              <c:f>Symbole!$U$56:$Y$56</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2D-4B1B-4507-991D-858168B14A33}"/>
            </c:ext>
          </c:extLst>
        </c:ser>
        <c:ser>
          <c:idx val="247"/>
          <c:order val="46"/>
          <c:tx>
            <c:v>LagerR6</c:v>
          </c:tx>
          <c:spPr>
            <a:ln w="12700">
              <a:solidFill>
                <a:srgbClr val="808080"/>
              </a:solidFill>
              <a:prstDash val="solid"/>
            </a:ln>
          </c:spPr>
          <c:marker>
            <c:symbol val="none"/>
          </c:marker>
          <c:xVal>
            <c:numRef>
              <c:f>Symbole!$P$57:$T$57</c:f>
              <c:numCache>
                <c:formatCode>General</c:formatCode>
                <c:ptCount val="5"/>
                <c:pt idx="0">
                  <c:v>-100</c:v>
                </c:pt>
                <c:pt idx="1">
                  <c:v>-100</c:v>
                </c:pt>
                <c:pt idx="2">
                  <c:v>-100</c:v>
                </c:pt>
                <c:pt idx="3">
                  <c:v>-100</c:v>
                </c:pt>
                <c:pt idx="4">
                  <c:v>-100</c:v>
                </c:pt>
              </c:numCache>
            </c:numRef>
          </c:xVal>
          <c:yVal>
            <c:numRef>
              <c:f>Symbole!$U$57:$Y$57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2E-4B1B-4507-991D-858168B14A33}"/>
            </c:ext>
          </c:extLst>
        </c:ser>
        <c:ser>
          <c:idx val="248"/>
          <c:order val="47"/>
          <c:tx>
            <c:v>LagerR7</c:v>
          </c:tx>
          <c:spPr>
            <a:ln w="12700">
              <a:solidFill>
                <a:srgbClr val="808080"/>
              </a:solidFill>
              <a:prstDash val="solid"/>
            </a:ln>
          </c:spPr>
          <c:marker>
            <c:symbol val="none"/>
          </c:marker>
          <c:xVal>
            <c:numRef>
              <c:f>Symbole!$P$58:$T$58</c:f>
              <c:numCache>
                <c:formatCode>General</c:formatCode>
                <c:ptCount val="5"/>
                <c:pt idx="0">
                  <c:v>0</c:v>
                </c:pt>
                <c:pt idx="1">
                  <c:v>0</c:v>
                </c:pt>
                <c:pt idx="2">
                  <c:v>0</c:v>
                </c:pt>
                <c:pt idx="3">
                  <c:v>0</c:v>
                </c:pt>
                <c:pt idx="4">
                  <c:v>0</c:v>
                </c:pt>
              </c:numCache>
            </c:numRef>
          </c:xVal>
          <c:yVal>
            <c:numRef>
              <c:f>Symbole!$U$58:$Y$58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2F-4B1B-4507-991D-858168B14A33}"/>
            </c:ext>
          </c:extLst>
        </c:ser>
        <c:ser>
          <c:idx val="249"/>
          <c:order val="48"/>
          <c:tx>
            <c:v>LagerR8</c:v>
          </c:tx>
          <c:spPr>
            <a:ln w="12700">
              <a:solidFill>
                <a:srgbClr val="808080"/>
              </a:solidFill>
              <a:prstDash val="solid"/>
            </a:ln>
          </c:spPr>
          <c:marker>
            <c:symbol val="none"/>
          </c:marker>
          <c:xVal>
            <c:numRef>
              <c:f>Symbole!$P$59:$T$59</c:f>
              <c:numCache>
                <c:formatCode>General</c:formatCode>
                <c:ptCount val="5"/>
                <c:pt idx="0">
                  <c:v>0</c:v>
                </c:pt>
                <c:pt idx="1">
                  <c:v>0</c:v>
                </c:pt>
                <c:pt idx="2">
                  <c:v>0</c:v>
                </c:pt>
                <c:pt idx="3">
                  <c:v>0</c:v>
                </c:pt>
                <c:pt idx="4">
                  <c:v>0</c:v>
                </c:pt>
              </c:numCache>
            </c:numRef>
          </c:xVal>
          <c:yVal>
            <c:numRef>
              <c:f>Symbole!$U$59:$Y$59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0-4B1B-4507-991D-858168B14A33}"/>
            </c:ext>
          </c:extLst>
        </c:ser>
        <c:ser>
          <c:idx val="250"/>
          <c:order val="49"/>
          <c:tx>
            <c:v>LagerR9</c:v>
          </c:tx>
          <c:spPr>
            <a:ln w="12700">
              <a:solidFill>
                <a:srgbClr val="808080"/>
              </a:solidFill>
              <a:prstDash val="solid"/>
            </a:ln>
          </c:spPr>
          <c:marker>
            <c:symbol val="none"/>
          </c:marker>
          <c:xVal>
            <c:numRef>
              <c:f>Symbole!$P$60:$T$60</c:f>
              <c:numCache>
                <c:formatCode>General</c:formatCode>
                <c:ptCount val="5"/>
                <c:pt idx="0">
                  <c:v>0</c:v>
                </c:pt>
                <c:pt idx="1">
                  <c:v>0</c:v>
                </c:pt>
                <c:pt idx="2">
                  <c:v>0</c:v>
                </c:pt>
                <c:pt idx="3">
                  <c:v>0</c:v>
                </c:pt>
                <c:pt idx="4">
                  <c:v>0</c:v>
                </c:pt>
              </c:numCache>
            </c:numRef>
          </c:xVal>
          <c:yVal>
            <c:numRef>
              <c:f>Symbole!$U$60:$Y$60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1-4B1B-4507-991D-858168B14A33}"/>
            </c:ext>
          </c:extLst>
        </c:ser>
        <c:ser>
          <c:idx val="251"/>
          <c:order val="50"/>
          <c:tx>
            <c:v>LagerR10</c:v>
          </c:tx>
          <c:spPr>
            <a:ln w="12700">
              <a:solidFill>
                <a:srgbClr val="808080"/>
              </a:solidFill>
              <a:prstDash val="solid"/>
            </a:ln>
          </c:spPr>
          <c:marker>
            <c:symbol val="none"/>
          </c:marker>
          <c:xVal>
            <c:numRef>
              <c:f>Symbole!$P$61:$T$61</c:f>
              <c:numCache>
                <c:formatCode>General</c:formatCode>
                <c:ptCount val="5"/>
                <c:pt idx="0">
                  <c:v>0</c:v>
                </c:pt>
                <c:pt idx="1">
                  <c:v>0</c:v>
                </c:pt>
                <c:pt idx="2">
                  <c:v>0</c:v>
                </c:pt>
                <c:pt idx="3">
                  <c:v>0</c:v>
                </c:pt>
                <c:pt idx="4">
                  <c:v>0</c:v>
                </c:pt>
              </c:numCache>
            </c:numRef>
          </c:xVal>
          <c:yVal>
            <c:numRef>
              <c:f>Symbole!$U$61:$Y$61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2-4B1B-4507-991D-858168B14A33}"/>
            </c:ext>
          </c:extLst>
        </c:ser>
        <c:ser>
          <c:idx val="252"/>
          <c:order val="51"/>
          <c:tx>
            <c:v>LagerR11</c:v>
          </c:tx>
          <c:spPr>
            <a:ln w="12700">
              <a:solidFill>
                <a:srgbClr val="808080"/>
              </a:solidFill>
              <a:prstDash val="solid"/>
            </a:ln>
          </c:spPr>
          <c:marker>
            <c:symbol val="none"/>
          </c:marker>
          <c:xVal>
            <c:numRef>
              <c:f>Symbole!$P$62:$T$62</c:f>
              <c:numCache>
                <c:formatCode>General</c:formatCode>
                <c:ptCount val="5"/>
                <c:pt idx="0">
                  <c:v>0</c:v>
                </c:pt>
                <c:pt idx="1">
                  <c:v>0</c:v>
                </c:pt>
                <c:pt idx="2">
                  <c:v>0</c:v>
                </c:pt>
                <c:pt idx="3">
                  <c:v>0</c:v>
                </c:pt>
                <c:pt idx="4">
                  <c:v>0</c:v>
                </c:pt>
              </c:numCache>
            </c:numRef>
          </c:xVal>
          <c:yVal>
            <c:numRef>
              <c:f>Symbole!$U$62:$Y$62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3-4B1B-4507-991D-858168B14A33}"/>
            </c:ext>
          </c:extLst>
        </c:ser>
        <c:ser>
          <c:idx val="253"/>
          <c:order val="52"/>
          <c:tx>
            <c:v>LagerR12</c:v>
          </c:tx>
          <c:spPr>
            <a:ln w="12700">
              <a:solidFill>
                <a:srgbClr val="808080"/>
              </a:solidFill>
              <a:prstDash val="solid"/>
            </a:ln>
          </c:spPr>
          <c:marker>
            <c:symbol val="none"/>
          </c:marker>
          <c:xVal>
            <c:numRef>
              <c:f>Symbole!$P$63:$T$63</c:f>
              <c:numCache>
                <c:formatCode>General</c:formatCode>
                <c:ptCount val="5"/>
                <c:pt idx="0">
                  <c:v>0</c:v>
                </c:pt>
                <c:pt idx="1">
                  <c:v>0</c:v>
                </c:pt>
                <c:pt idx="2">
                  <c:v>0</c:v>
                </c:pt>
                <c:pt idx="3">
                  <c:v>0</c:v>
                </c:pt>
                <c:pt idx="4">
                  <c:v>0</c:v>
                </c:pt>
              </c:numCache>
            </c:numRef>
          </c:xVal>
          <c:yVal>
            <c:numRef>
              <c:f>Symbole!$U$63:$Y$63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4-4B1B-4507-991D-858168B14A33}"/>
            </c:ext>
          </c:extLst>
        </c:ser>
        <c:ser>
          <c:idx val="254"/>
          <c:order val="53"/>
          <c:tx>
            <c:v>LagerR13</c:v>
          </c:tx>
          <c:spPr>
            <a:ln w="12700">
              <a:solidFill>
                <a:srgbClr val="808080"/>
              </a:solidFill>
              <a:prstDash val="solid"/>
            </a:ln>
          </c:spPr>
          <c:marker>
            <c:symbol val="none"/>
          </c:marker>
          <c:xVal>
            <c:numRef>
              <c:f>Symbole!$P$64:$T$64</c:f>
              <c:numCache>
                <c:formatCode>General</c:formatCode>
                <c:ptCount val="5"/>
                <c:pt idx="0">
                  <c:v>0</c:v>
                </c:pt>
                <c:pt idx="1">
                  <c:v>0</c:v>
                </c:pt>
                <c:pt idx="2">
                  <c:v>0</c:v>
                </c:pt>
                <c:pt idx="3">
                  <c:v>0</c:v>
                </c:pt>
                <c:pt idx="4">
                  <c:v>0</c:v>
                </c:pt>
              </c:numCache>
            </c:numRef>
          </c:xVal>
          <c:yVal>
            <c:numRef>
              <c:f>Symbole!$U$64:$Y$64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35-4B1B-4507-991D-858168B14A33}"/>
            </c:ext>
          </c:extLst>
        </c:ser>
        <c:ser>
          <c:idx val="20"/>
          <c:order val="54"/>
          <c:tx>
            <c:v>BoundingBox21</c:v>
          </c:tx>
          <c:spPr>
            <a:ln w="12700">
              <a:solidFill>
                <a:srgbClr val="C0C0C0"/>
              </a:solidFill>
              <a:prstDash val="solid"/>
            </a:ln>
          </c:spPr>
          <c:marker>
            <c:symbol val="none"/>
          </c:marker>
          <c:xVal>
            <c:numRef>
              <c:f>PlotData!$CF$7:$CF$10</c:f>
              <c:numCache>
                <c:formatCode>General</c:formatCode>
                <c:ptCount val="4"/>
                <c:pt idx="0">
                  <c:v>-169.70562748477141</c:v>
                </c:pt>
                <c:pt idx="1">
                  <c:v>169.70562748477141</c:v>
                </c:pt>
                <c:pt idx="2">
                  <c:v>169.70562748477141</c:v>
                </c:pt>
                <c:pt idx="3">
                  <c:v>-169.70562748477141</c:v>
                </c:pt>
              </c:numCache>
            </c:numRef>
          </c:xVal>
          <c:yVal>
            <c:numRef>
              <c:f>PlotData!$CG$7:$CG$10</c:f>
              <c:numCache>
                <c:formatCode>General</c:formatCode>
                <c:ptCount val="4"/>
                <c:pt idx="0">
                  <c:v>169.70562748477141</c:v>
                </c:pt>
                <c:pt idx="1">
                  <c:v>169.70562748477141</c:v>
                </c:pt>
                <c:pt idx="2">
                  <c:v>-169.70562748477141</c:v>
                </c:pt>
                <c:pt idx="3">
                  <c:v>-169.70562748477141</c:v>
                </c:pt>
              </c:numCache>
            </c:numRef>
          </c:yVal>
          <c:smooth val="0"/>
          <c:extLst>
            <c:ext xmlns:c16="http://schemas.microsoft.com/office/drawing/2014/chart" uri="{C3380CC4-5D6E-409C-BE32-E72D297353CC}">
              <c16:uniqueId val="{00000036-4B1B-4507-991D-858168B14A33}"/>
            </c:ext>
          </c:extLst>
        </c:ser>
        <c:ser>
          <c:idx val="21"/>
          <c:order val="55"/>
          <c:tx>
            <c:v>LagerV1</c:v>
          </c:tx>
          <c:spPr>
            <a:ln w="12700">
              <a:solidFill>
                <a:srgbClr val="808080"/>
              </a:solidFill>
              <a:prstDash val="solid"/>
            </a:ln>
          </c:spPr>
          <c:marker>
            <c:symbol val="none"/>
          </c:marker>
          <c:xVal>
            <c:numRef>
              <c:f>Symbole!$P$6:$S$6</c:f>
              <c:numCache>
                <c:formatCode>General</c:formatCode>
                <c:ptCount val="4"/>
                <c:pt idx="0">
                  <c:v>23.626678459402886</c:v>
                </c:pt>
                <c:pt idx="1">
                  <c:v>23.626678459402886</c:v>
                </c:pt>
                <c:pt idx="2">
                  <c:v>23.626678459402886</c:v>
                </c:pt>
                <c:pt idx="3">
                  <c:v>23.626678459402886</c:v>
                </c:pt>
              </c:numCache>
            </c:numRef>
          </c:xVal>
          <c:yVal>
            <c:numRef>
              <c:f>Symbole!$T$6:$W$6</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37-4B1B-4507-991D-858168B14A33}"/>
            </c:ext>
          </c:extLst>
        </c:ser>
        <c:ser>
          <c:idx val="22"/>
          <c:order val="56"/>
          <c:tx>
            <c:v>LagerV2</c:v>
          </c:tx>
          <c:spPr>
            <a:ln w="12700">
              <a:solidFill>
                <a:srgbClr val="808080"/>
              </a:solidFill>
              <a:prstDash val="solid"/>
            </a:ln>
          </c:spPr>
          <c:marker>
            <c:symbol val="none"/>
          </c:marker>
          <c:xVal>
            <c:numRef>
              <c:f>Symbole!$P$7:$S$7</c:f>
              <c:numCache>
                <c:formatCode>General</c:formatCode>
                <c:ptCount val="4"/>
                <c:pt idx="0">
                  <c:v>100</c:v>
                </c:pt>
                <c:pt idx="1">
                  <c:v>108.48528137423857</c:v>
                </c:pt>
                <c:pt idx="2">
                  <c:v>91.514718625761432</c:v>
                </c:pt>
                <c:pt idx="3">
                  <c:v>100</c:v>
                </c:pt>
              </c:numCache>
            </c:numRef>
          </c:xVal>
          <c:yVal>
            <c:numRef>
              <c:f>Symbole!$T$7:$W$7</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38-4B1B-4507-991D-858168B14A33}"/>
            </c:ext>
          </c:extLst>
        </c:ser>
        <c:ser>
          <c:idx val="23"/>
          <c:order val="57"/>
          <c:tx>
            <c:v>LagerV3</c:v>
          </c:tx>
          <c:spPr>
            <a:ln w="12700">
              <a:solidFill>
                <a:srgbClr val="808080"/>
              </a:solidFill>
              <a:prstDash val="solid"/>
            </a:ln>
          </c:spPr>
          <c:marker>
            <c:symbol val="none"/>
          </c:marker>
          <c:xVal>
            <c:numRef>
              <c:f>Symbole!$P$8:$S$8</c:f>
              <c:numCache>
                <c:formatCode>General</c:formatCode>
                <c:ptCount val="4"/>
                <c:pt idx="0">
                  <c:v>20</c:v>
                </c:pt>
                <c:pt idx="1">
                  <c:v>28.485281374238571</c:v>
                </c:pt>
                <c:pt idx="2">
                  <c:v>11.514718625761429</c:v>
                </c:pt>
                <c:pt idx="3">
                  <c:v>20</c:v>
                </c:pt>
              </c:numCache>
            </c:numRef>
          </c:xVal>
          <c:yVal>
            <c:numRef>
              <c:f>Symbole!$T$8:$W$8</c:f>
              <c:numCache>
                <c:formatCode>General</c:formatCode>
                <c:ptCount val="4"/>
                <c:pt idx="0">
                  <c:v>20</c:v>
                </c:pt>
                <c:pt idx="1">
                  <c:v>34.696507340181206</c:v>
                </c:pt>
                <c:pt idx="2">
                  <c:v>34.696507340181206</c:v>
                </c:pt>
                <c:pt idx="3">
                  <c:v>20</c:v>
                </c:pt>
              </c:numCache>
            </c:numRef>
          </c:yVal>
          <c:smooth val="0"/>
          <c:extLst>
            <c:ext xmlns:c16="http://schemas.microsoft.com/office/drawing/2014/chart" uri="{C3380CC4-5D6E-409C-BE32-E72D297353CC}">
              <c16:uniqueId val="{00000039-4B1B-4507-991D-858168B14A33}"/>
            </c:ext>
          </c:extLst>
        </c:ser>
        <c:ser>
          <c:idx val="24"/>
          <c:order val="58"/>
          <c:tx>
            <c:v>LagerV4</c:v>
          </c:tx>
          <c:spPr>
            <a:ln w="12700">
              <a:solidFill>
                <a:srgbClr val="808080"/>
              </a:solidFill>
              <a:prstDash val="solid"/>
            </a:ln>
          </c:spPr>
          <c:marker>
            <c:symbol val="none"/>
          </c:marker>
          <c:xVal>
            <c:numRef>
              <c:f>Symbole!$P$9:$S$9</c:f>
              <c:numCache>
                <c:formatCode>General</c:formatCode>
                <c:ptCount val="4"/>
                <c:pt idx="0">
                  <c:v>60</c:v>
                </c:pt>
                <c:pt idx="1">
                  <c:v>68.485281374238568</c:v>
                </c:pt>
                <c:pt idx="2">
                  <c:v>51.514718625761432</c:v>
                </c:pt>
                <c:pt idx="3">
                  <c:v>60</c:v>
                </c:pt>
              </c:numCache>
            </c:numRef>
          </c:xVal>
          <c:yVal>
            <c:numRef>
              <c:f>Symbole!$T$9:$W$9</c:f>
              <c:numCache>
                <c:formatCode>General</c:formatCode>
                <c:ptCount val="4"/>
                <c:pt idx="0">
                  <c:v>-100</c:v>
                </c:pt>
                <c:pt idx="1">
                  <c:v>-85.303492659818801</c:v>
                </c:pt>
                <c:pt idx="2">
                  <c:v>-85.303492659818801</c:v>
                </c:pt>
                <c:pt idx="3">
                  <c:v>-100</c:v>
                </c:pt>
              </c:numCache>
            </c:numRef>
          </c:yVal>
          <c:smooth val="0"/>
          <c:extLst>
            <c:ext xmlns:c16="http://schemas.microsoft.com/office/drawing/2014/chart" uri="{C3380CC4-5D6E-409C-BE32-E72D297353CC}">
              <c16:uniqueId val="{0000003A-4B1B-4507-991D-858168B14A33}"/>
            </c:ext>
          </c:extLst>
        </c:ser>
        <c:ser>
          <c:idx val="25"/>
          <c:order val="59"/>
          <c:tx>
            <c:v>LagerV5</c:v>
          </c:tx>
          <c:spPr>
            <a:ln w="12700">
              <a:solidFill>
                <a:srgbClr val="808080"/>
              </a:solidFill>
              <a:prstDash val="solid"/>
            </a:ln>
          </c:spPr>
          <c:marker>
            <c:symbol val="none"/>
          </c:marker>
          <c:xVal>
            <c:numRef>
              <c:f>Symbole!$P$10:$S$10</c:f>
              <c:numCache>
                <c:formatCode>General</c:formatCode>
                <c:ptCount val="4"/>
                <c:pt idx="0">
                  <c:v>-50</c:v>
                </c:pt>
                <c:pt idx="1">
                  <c:v>-41.514718625761432</c:v>
                </c:pt>
                <c:pt idx="2">
                  <c:v>-58.485281374238568</c:v>
                </c:pt>
                <c:pt idx="3">
                  <c:v>-50</c:v>
                </c:pt>
              </c:numCache>
            </c:numRef>
          </c:xVal>
          <c:yVal>
            <c:numRef>
              <c:f>Symbole!$T$10:$W$10</c:f>
              <c:numCache>
                <c:formatCode>General</c:formatCode>
                <c:ptCount val="4"/>
                <c:pt idx="0">
                  <c:v>-70</c:v>
                </c:pt>
                <c:pt idx="1">
                  <c:v>-55.303492659818794</c:v>
                </c:pt>
                <c:pt idx="2">
                  <c:v>-55.303492659818794</c:v>
                </c:pt>
                <c:pt idx="3">
                  <c:v>-70</c:v>
                </c:pt>
              </c:numCache>
            </c:numRef>
          </c:yVal>
          <c:smooth val="0"/>
          <c:extLst>
            <c:ext xmlns:c16="http://schemas.microsoft.com/office/drawing/2014/chart" uri="{C3380CC4-5D6E-409C-BE32-E72D297353CC}">
              <c16:uniqueId val="{0000003B-4B1B-4507-991D-858168B14A33}"/>
            </c:ext>
          </c:extLst>
        </c:ser>
        <c:ser>
          <c:idx val="26"/>
          <c:order val="60"/>
          <c:tx>
            <c:v>LagerV6</c:v>
          </c:tx>
          <c:spPr>
            <a:ln w="12700">
              <a:solidFill>
                <a:srgbClr val="808080"/>
              </a:solidFill>
              <a:prstDash val="solid"/>
            </a:ln>
          </c:spPr>
          <c:marker>
            <c:symbol val="none"/>
          </c:marker>
          <c:xVal>
            <c:numRef>
              <c:f>Symbole!$P$11:$S$11</c:f>
              <c:numCache>
                <c:formatCode>General</c:formatCode>
                <c:ptCount val="4"/>
                <c:pt idx="0">
                  <c:v>-100</c:v>
                </c:pt>
                <c:pt idx="1">
                  <c:v>-91.514718625761432</c:v>
                </c:pt>
                <c:pt idx="2">
                  <c:v>-108.48528137423857</c:v>
                </c:pt>
                <c:pt idx="3">
                  <c:v>-100</c:v>
                </c:pt>
              </c:numCache>
            </c:numRef>
          </c:xVal>
          <c:yVal>
            <c:numRef>
              <c:f>Symbole!$T$11:$W$11</c:f>
              <c:numCache>
                <c:formatCode>General</c:formatCode>
                <c:ptCount val="4"/>
                <c:pt idx="0">
                  <c:v>100</c:v>
                </c:pt>
                <c:pt idx="1">
                  <c:v>114.6965073401812</c:v>
                </c:pt>
                <c:pt idx="2">
                  <c:v>114.6965073401812</c:v>
                </c:pt>
                <c:pt idx="3">
                  <c:v>100</c:v>
                </c:pt>
              </c:numCache>
            </c:numRef>
          </c:yVal>
          <c:smooth val="0"/>
          <c:extLst>
            <c:ext xmlns:c16="http://schemas.microsoft.com/office/drawing/2014/chart" uri="{C3380CC4-5D6E-409C-BE32-E72D297353CC}">
              <c16:uniqueId val="{0000003C-4B1B-4507-991D-858168B14A33}"/>
            </c:ext>
          </c:extLst>
        </c:ser>
        <c:ser>
          <c:idx val="27"/>
          <c:order val="61"/>
          <c:tx>
            <c:v>LagerV7</c:v>
          </c:tx>
          <c:spPr>
            <a:ln w="12700">
              <a:solidFill>
                <a:srgbClr val="808080"/>
              </a:solidFill>
              <a:prstDash val="solid"/>
            </a:ln>
          </c:spPr>
          <c:marker>
            <c:symbol val="none"/>
          </c:marker>
          <c:xVal>
            <c:numRef>
              <c:f>Symbole!$P$12:$S$12</c:f>
              <c:numCache>
                <c:formatCode>General</c:formatCode>
                <c:ptCount val="4"/>
                <c:pt idx="0">
                  <c:v>0</c:v>
                </c:pt>
                <c:pt idx="1">
                  <c:v>0</c:v>
                </c:pt>
                <c:pt idx="2">
                  <c:v>0</c:v>
                </c:pt>
                <c:pt idx="3">
                  <c:v>0</c:v>
                </c:pt>
              </c:numCache>
            </c:numRef>
          </c:xVal>
          <c:yVal>
            <c:numRef>
              <c:f>Symbole!$T$12:$W$12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3D-4B1B-4507-991D-858168B14A33}"/>
            </c:ext>
          </c:extLst>
        </c:ser>
        <c:ser>
          <c:idx val="28"/>
          <c:order val="62"/>
          <c:tx>
            <c:v>LagerV8</c:v>
          </c:tx>
          <c:spPr>
            <a:ln w="12700">
              <a:solidFill>
                <a:srgbClr val="808080"/>
              </a:solidFill>
              <a:prstDash val="solid"/>
            </a:ln>
          </c:spPr>
          <c:marker>
            <c:symbol val="none"/>
          </c:marker>
          <c:xVal>
            <c:numRef>
              <c:f>Symbole!$P$13:$S$13</c:f>
              <c:numCache>
                <c:formatCode>General</c:formatCode>
                <c:ptCount val="4"/>
                <c:pt idx="0">
                  <c:v>0</c:v>
                </c:pt>
                <c:pt idx="1">
                  <c:v>0</c:v>
                </c:pt>
                <c:pt idx="2">
                  <c:v>0</c:v>
                </c:pt>
                <c:pt idx="3">
                  <c:v>0</c:v>
                </c:pt>
              </c:numCache>
            </c:numRef>
          </c:xVal>
          <c:yVal>
            <c:numRef>
              <c:f>Symbole!$T$13:$W$13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3E-4B1B-4507-991D-858168B14A33}"/>
            </c:ext>
          </c:extLst>
        </c:ser>
        <c:ser>
          <c:idx val="29"/>
          <c:order val="63"/>
          <c:tx>
            <c:v>LagerV9</c:v>
          </c:tx>
          <c:spPr>
            <a:ln w="12700">
              <a:solidFill>
                <a:srgbClr val="808080"/>
              </a:solidFill>
              <a:prstDash val="solid"/>
            </a:ln>
          </c:spPr>
          <c:marker>
            <c:symbol val="none"/>
          </c:marker>
          <c:xVal>
            <c:numRef>
              <c:f>Symbole!$P$14:$S$14</c:f>
              <c:numCache>
                <c:formatCode>General</c:formatCode>
                <c:ptCount val="4"/>
                <c:pt idx="0">
                  <c:v>0</c:v>
                </c:pt>
                <c:pt idx="1">
                  <c:v>0</c:v>
                </c:pt>
                <c:pt idx="2">
                  <c:v>0</c:v>
                </c:pt>
                <c:pt idx="3">
                  <c:v>0</c:v>
                </c:pt>
              </c:numCache>
            </c:numRef>
          </c:xVal>
          <c:yVal>
            <c:numRef>
              <c:f>Symbole!$T$14:$W$14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3F-4B1B-4507-991D-858168B14A33}"/>
            </c:ext>
          </c:extLst>
        </c:ser>
        <c:ser>
          <c:idx val="30"/>
          <c:order val="64"/>
          <c:tx>
            <c:v>LagerV10</c:v>
          </c:tx>
          <c:spPr>
            <a:ln w="12700">
              <a:solidFill>
                <a:srgbClr val="808080"/>
              </a:solidFill>
              <a:prstDash val="solid"/>
            </a:ln>
          </c:spPr>
          <c:marker>
            <c:symbol val="none"/>
          </c:marker>
          <c:xVal>
            <c:numRef>
              <c:f>Symbole!$P$15:$S$15</c:f>
              <c:numCache>
                <c:formatCode>General</c:formatCode>
                <c:ptCount val="4"/>
                <c:pt idx="0">
                  <c:v>0</c:v>
                </c:pt>
                <c:pt idx="1">
                  <c:v>0</c:v>
                </c:pt>
                <c:pt idx="2">
                  <c:v>0</c:v>
                </c:pt>
                <c:pt idx="3">
                  <c:v>0</c:v>
                </c:pt>
              </c:numCache>
            </c:numRef>
          </c:xVal>
          <c:yVal>
            <c:numRef>
              <c:f>Symbole!$T$15:$W$15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0-4B1B-4507-991D-858168B14A33}"/>
            </c:ext>
          </c:extLst>
        </c:ser>
        <c:ser>
          <c:idx val="31"/>
          <c:order val="65"/>
          <c:tx>
            <c:v>LagerV11</c:v>
          </c:tx>
          <c:spPr>
            <a:ln w="12700">
              <a:solidFill>
                <a:srgbClr val="808080"/>
              </a:solidFill>
              <a:prstDash val="solid"/>
            </a:ln>
          </c:spPr>
          <c:marker>
            <c:symbol val="none"/>
          </c:marker>
          <c:xVal>
            <c:numRef>
              <c:f>Symbole!$P$16:$S$16</c:f>
              <c:numCache>
                <c:formatCode>General</c:formatCode>
                <c:ptCount val="4"/>
                <c:pt idx="0">
                  <c:v>0</c:v>
                </c:pt>
                <c:pt idx="1">
                  <c:v>0</c:v>
                </c:pt>
                <c:pt idx="2">
                  <c:v>0</c:v>
                </c:pt>
                <c:pt idx="3">
                  <c:v>0</c:v>
                </c:pt>
              </c:numCache>
            </c:numRef>
          </c:xVal>
          <c:yVal>
            <c:numRef>
              <c:f>Symbole!$T$16:$W$16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1-4B1B-4507-991D-858168B14A33}"/>
            </c:ext>
          </c:extLst>
        </c:ser>
        <c:ser>
          <c:idx val="32"/>
          <c:order val="66"/>
          <c:tx>
            <c:v>LagerV12</c:v>
          </c:tx>
          <c:spPr>
            <a:ln w="12700">
              <a:solidFill>
                <a:srgbClr val="808080"/>
              </a:solidFill>
              <a:prstDash val="solid"/>
            </a:ln>
          </c:spPr>
          <c:marker>
            <c:symbol val="none"/>
          </c:marker>
          <c:xVal>
            <c:numRef>
              <c:f>Symbole!$P$17:$S$17</c:f>
              <c:numCache>
                <c:formatCode>General</c:formatCode>
                <c:ptCount val="4"/>
                <c:pt idx="0">
                  <c:v>0</c:v>
                </c:pt>
                <c:pt idx="1">
                  <c:v>0</c:v>
                </c:pt>
                <c:pt idx="2">
                  <c:v>0</c:v>
                </c:pt>
                <c:pt idx="3">
                  <c:v>0</c:v>
                </c:pt>
              </c:numCache>
            </c:numRef>
          </c:xVal>
          <c:yVal>
            <c:numRef>
              <c:f>Symbole!$T$17:$W$17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2-4B1B-4507-991D-858168B14A33}"/>
            </c:ext>
          </c:extLst>
        </c:ser>
        <c:ser>
          <c:idx val="33"/>
          <c:order val="67"/>
          <c:tx>
            <c:v>LagerV13</c:v>
          </c:tx>
          <c:spPr>
            <a:ln w="12700">
              <a:solidFill>
                <a:srgbClr val="808080"/>
              </a:solidFill>
              <a:prstDash val="solid"/>
            </a:ln>
          </c:spPr>
          <c:marker>
            <c:symbol val="none"/>
          </c:marker>
          <c:xVal>
            <c:numRef>
              <c:f>Symbole!$P$18:$S$18</c:f>
              <c:numCache>
                <c:formatCode>General</c:formatCode>
                <c:ptCount val="4"/>
                <c:pt idx="0">
                  <c:v>0</c:v>
                </c:pt>
                <c:pt idx="1">
                  <c:v>0</c:v>
                </c:pt>
                <c:pt idx="2">
                  <c:v>0</c:v>
                </c:pt>
                <c:pt idx="3">
                  <c:v>0</c:v>
                </c:pt>
              </c:numCache>
            </c:numRef>
          </c:xVal>
          <c:yVal>
            <c:numRef>
              <c:f>Symbole!$T$18:$W$18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3-4B1B-4507-991D-858168B14A33}"/>
            </c:ext>
          </c:extLst>
        </c:ser>
        <c:ser>
          <c:idx val="34"/>
          <c:order val="68"/>
          <c:tx>
            <c:v>LagerV14</c:v>
          </c:tx>
          <c:spPr>
            <a:ln w="12700">
              <a:solidFill>
                <a:srgbClr val="808080"/>
              </a:solidFill>
              <a:prstDash val="solid"/>
            </a:ln>
          </c:spPr>
          <c:marker>
            <c:symbol val="none"/>
          </c:marker>
          <c:xVal>
            <c:numRef>
              <c:f>Symbole!$P$19:$S$19</c:f>
              <c:numCache>
                <c:formatCode>General</c:formatCode>
                <c:ptCount val="4"/>
                <c:pt idx="0">
                  <c:v>0</c:v>
                </c:pt>
                <c:pt idx="1">
                  <c:v>0</c:v>
                </c:pt>
                <c:pt idx="2">
                  <c:v>0</c:v>
                </c:pt>
                <c:pt idx="3">
                  <c:v>0</c:v>
                </c:pt>
              </c:numCache>
            </c:numRef>
          </c:xVal>
          <c:yVal>
            <c:numRef>
              <c:f>Symbole!$T$19:$W$19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4-4B1B-4507-991D-858168B14A33}"/>
            </c:ext>
          </c:extLst>
        </c:ser>
        <c:ser>
          <c:idx val="35"/>
          <c:order val="69"/>
          <c:tx>
            <c:v>LagerV15</c:v>
          </c:tx>
          <c:spPr>
            <a:ln w="12700">
              <a:solidFill>
                <a:srgbClr val="808080"/>
              </a:solidFill>
              <a:prstDash val="solid"/>
            </a:ln>
          </c:spPr>
          <c:marker>
            <c:symbol val="none"/>
          </c:marker>
          <c:xVal>
            <c:numRef>
              <c:f>Symbole!$P$20:$S$20</c:f>
              <c:numCache>
                <c:formatCode>General</c:formatCode>
                <c:ptCount val="4"/>
                <c:pt idx="0">
                  <c:v>0</c:v>
                </c:pt>
                <c:pt idx="1">
                  <c:v>0</c:v>
                </c:pt>
                <c:pt idx="2">
                  <c:v>0</c:v>
                </c:pt>
                <c:pt idx="3">
                  <c:v>0</c:v>
                </c:pt>
              </c:numCache>
            </c:numRef>
          </c:xVal>
          <c:yVal>
            <c:numRef>
              <c:f>Symbole!$T$20:$W$20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5-4B1B-4507-991D-858168B14A33}"/>
            </c:ext>
          </c:extLst>
        </c:ser>
        <c:ser>
          <c:idx val="36"/>
          <c:order val="70"/>
          <c:tx>
            <c:v>LagerV16</c:v>
          </c:tx>
          <c:spPr>
            <a:ln w="12700">
              <a:solidFill>
                <a:srgbClr val="808080"/>
              </a:solidFill>
              <a:prstDash val="solid"/>
            </a:ln>
          </c:spPr>
          <c:marker>
            <c:symbol val="none"/>
          </c:marker>
          <c:xVal>
            <c:numRef>
              <c:f>Symbole!$P$21:$S$21</c:f>
              <c:numCache>
                <c:formatCode>General</c:formatCode>
                <c:ptCount val="4"/>
                <c:pt idx="0">
                  <c:v>0</c:v>
                </c:pt>
                <c:pt idx="1">
                  <c:v>0</c:v>
                </c:pt>
                <c:pt idx="2">
                  <c:v>0</c:v>
                </c:pt>
                <c:pt idx="3">
                  <c:v>0</c:v>
                </c:pt>
              </c:numCache>
            </c:numRef>
          </c:xVal>
          <c:yVal>
            <c:numRef>
              <c:f>Symbole!$T$21:$W$21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6-4B1B-4507-991D-858168B14A33}"/>
            </c:ext>
          </c:extLst>
        </c:ser>
        <c:ser>
          <c:idx val="37"/>
          <c:order val="71"/>
          <c:tx>
            <c:v>LagerV17</c:v>
          </c:tx>
          <c:spPr>
            <a:ln w="12700">
              <a:solidFill>
                <a:srgbClr val="808080"/>
              </a:solidFill>
              <a:prstDash val="solid"/>
            </a:ln>
          </c:spPr>
          <c:marker>
            <c:symbol val="none"/>
          </c:marker>
          <c:xVal>
            <c:numRef>
              <c:f>Symbole!$P$22:$S$22</c:f>
              <c:numCache>
                <c:formatCode>General</c:formatCode>
                <c:ptCount val="4"/>
                <c:pt idx="0">
                  <c:v>0</c:v>
                </c:pt>
                <c:pt idx="1">
                  <c:v>0</c:v>
                </c:pt>
                <c:pt idx="2">
                  <c:v>0</c:v>
                </c:pt>
                <c:pt idx="3">
                  <c:v>0</c:v>
                </c:pt>
              </c:numCache>
            </c:numRef>
          </c:xVal>
          <c:yVal>
            <c:numRef>
              <c:f>Symbole!$T$22:$W$22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7-4B1B-4507-991D-858168B14A33}"/>
            </c:ext>
          </c:extLst>
        </c:ser>
        <c:ser>
          <c:idx val="38"/>
          <c:order val="72"/>
          <c:tx>
            <c:v>LagerV18</c:v>
          </c:tx>
          <c:spPr>
            <a:ln w="12700">
              <a:solidFill>
                <a:srgbClr val="808080"/>
              </a:solidFill>
              <a:prstDash val="solid"/>
            </a:ln>
          </c:spPr>
          <c:marker>
            <c:symbol val="none"/>
          </c:marker>
          <c:xVal>
            <c:numRef>
              <c:f>Symbole!$P$23:$S$23</c:f>
              <c:numCache>
                <c:formatCode>General</c:formatCode>
                <c:ptCount val="4"/>
                <c:pt idx="0">
                  <c:v>0</c:v>
                </c:pt>
                <c:pt idx="1">
                  <c:v>0</c:v>
                </c:pt>
                <c:pt idx="2">
                  <c:v>0</c:v>
                </c:pt>
                <c:pt idx="3">
                  <c:v>0</c:v>
                </c:pt>
              </c:numCache>
            </c:numRef>
          </c:xVal>
          <c:yVal>
            <c:numRef>
              <c:f>Symbole!$T$23:$W$23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8-4B1B-4507-991D-858168B14A33}"/>
            </c:ext>
          </c:extLst>
        </c:ser>
        <c:ser>
          <c:idx val="39"/>
          <c:order val="73"/>
          <c:tx>
            <c:v>LagerV19</c:v>
          </c:tx>
          <c:spPr>
            <a:ln w="12700">
              <a:solidFill>
                <a:srgbClr val="808080"/>
              </a:solidFill>
              <a:prstDash val="solid"/>
            </a:ln>
          </c:spPr>
          <c:marker>
            <c:symbol val="none"/>
          </c:marker>
          <c:xVal>
            <c:numRef>
              <c:f>Symbole!$P$24:$S$24</c:f>
              <c:numCache>
                <c:formatCode>General</c:formatCode>
                <c:ptCount val="4"/>
                <c:pt idx="0">
                  <c:v>0</c:v>
                </c:pt>
                <c:pt idx="1">
                  <c:v>0</c:v>
                </c:pt>
                <c:pt idx="2">
                  <c:v>0</c:v>
                </c:pt>
                <c:pt idx="3">
                  <c:v>0</c:v>
                </c:pt>
              </c:numCache>
            </c:numRef>
          </c:xVal>
          <c:yVal>
            <c:numRef>
              <c:f>Symbole!$T$24:$W$24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9-4B1B-4507-991D-858168B14A33}"/>
            </c:ext>
          </c:extLst>
        </c:ser>
        <c:ser>
          <c:idx val="40"/>
          <c:order val="74"/>
          <c:tx>
            <c:v>LagerV20</c:v>
          </c:tx>
          <c:spPr>
            <a:ln w="12700">
              <a:solidFill>
                <a:srgbClr val="808080"/>
              </a:solidFill>
              <a:prstDash val="solid"/>
            </a:ln>
          </c:spPr>
          <c:marker>
            <c:symbol val="none"/>
          </c:marker>
          <c:xVal>
            <c:numRef>
              <c:f>Symbole!$P$25:$S$25</c:f>
              <c:numCache>
                <c:formatCode>General</c:formatCode>
                <c:ptCount val="4"/>
                <c:pt idx="0">
                  <c:v>0</c:v>
                </c:pt>
                <c:pt idx="1">
                  <c:v>0</c:v>
                </c:pt>
                <c:pt idx="2">
                  <c:v>0</c:v>
                </c:pt>
                <c:pt idx="3">
                  <c:v>0</c:v>
                </c:pt>
              </c:numCache>
            </c:numRef>
          </c:xVal>
          <c:yVal>
            <c:numRef>
              <c:f>Symbole!$T$25:$W$25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4A-4B1B-4507-991D-858168B14A33}"/>
            </c:ext>
          </c:extLst>
        </c:ser>
        <c:ser>
          <c:idx val="41"/>
          <c:order val="75"/>
          <c:tx>
            <c:v>LagerH1</c:v>
          </c:tx>
          <c:spPr>
            <a:ln w="12700">
              <a:solidFill>
                <a:srgbClr val="808080"/>
              </a:solidFill>
              <a:prstDash val="solid"/>
            </a:ln>
          </c:spPr>
          <c:marker>
            <c:symbol val="none"/>
          </c:marker>
          <c:xVal>
            <c:numRef>
              <c:f>Symbole!$P$29:$S$29</c:f>
              <c:numCache>
                <c:formatCode>General</c:formatCode>
                <c:ptCount val="4"/>
                <c:pt idx="0">
                  <c:v>23.626678459402886</c:v>
                </c:pt>
                <c:pt idx="1">
                  <c:v>23.626678459402886</c:v>
                </c:pt>
                <c:pt idx="2">
                  <c:v>23.626678459402886</c:v>
                </c:pt>
                <c:pt idx="3">
                  <c:v>23.626678459402886</c:v>
                </c:pt>
              </c:numCache>
            </c:numRef>
          </c:xVal>
          <c:yVal>
            <c:numRef>
              <c:f>Symbole!$T$29:$W$29</c:f>
              <c:numCache>
                <c:formatCode>General</c:formatCode>
                <c:ptCount val="4"/>
                <c:pt idx="0">
                  <c:v>-46.105451176718191</c:v>
                </c:pt>
                <c:pt idx="1">
                  <c:v>-46.105451176718191</c:v>
                </c:pt>
                <c:pt idx="2">
                  <c:v>-46.105451176718191</c:v>
                </c:pt>
                <c:pt idx="3">
                  <c:v>-46.105451176718191</c:v>
                </c:pt>
              </c:numCache>
            </c:numRef>
          </c:yVal>
          <c:smooth val="0"/>
          <c:extLst>
            <c:ext xmlns:c16="http://schemas.microsoft.com/office/drawing/2014/chart" uri="{C3380CC4-5D6E-409C-BE32-E72D297353CC}">
              <c16:uniqueId val="{0000004B-4B1B-4507-991D-858168B14A33}"/>
            </c:ext>
          </c:extLst>
        </c:ser>
        <c:ser>
          <c:idx val="42"/>
          <c:order val="76"/>
          <c:tx>
            <c:v>LagerH2</c:v>
          </c:tx>
          <c:spPr>
            <a:ln w="12700">
              <a:solidFill>
                <a:srgbClr val="808080"/>
              </a:solidFill>
              <a:prstDash val="solid"/>
            </a:ln>
          </c:spPr>
          <c:marker>
            <c:symbol val="none"/>
          </c:marker>
          <c:xVal>
            <c:numRef>
              <c:f>Symbole!$P$30:$S$30</c:f>
              <c:numCache>
                <c:formatCode>General</c:formatCode>
                <c:ptCount val="4"/>
                <c:pt idx="0">
                  <c:v>100</c:v>
                </c:pt>
                <c:pt idx="1">
                  <c:v>114.6965073401812</c:v>
                </c:pt>
                <c:pt idx="2">
                  <c:v>114.6965073401812</c:v>
                </c:pt>
                <c:pt idx="3">
                  <c:v>100</c:v>
                </c:pt>
              </c:numCache>
            </c:numRef>
          </c:xVal>
          <c:yVal>
            <c:numRef>
              <c:f>Symbole!$T$30:$W$30</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4C-4B1B-4507-991D-858168B14A33}"/>
            </c:ext>
          </c:extLst>
        </c:ser>
        <c:ser>
          <c:idx val="43"/>
          <c:order val="77"/>
          <c:tx>
            <c:v>LagerH3</c:v>
          </c:tx>
          <c:spPr>
            <a:ln w="12700">
              <a:solidFill>
                <a:srgbClr val="808080"/>
              </a:solidFill>
              <a:prstDash val="solid"/>
            </a:ln>
          </c:spPr>
          <c:marker>
            <c:symbol val="none"/>
          </c:marker>
          <c:xVal>
            <c:numRef>
              <c:f>Symbole!$P$31:$S$31</c:f>
              <c:numCache>
                <c:formatCode>General</c:formatCode>
                <c:ptCount val="4"/>
                <c:pt idx="0">
                  <c:v>20</c:v>
                </c:pt>
                <c:pt idx="1">
                  <c:v>34.696507340181206</c:v>
                </c:pt>
                <c:pt idx="2">
                  <c:v>34.696507340181206</c:v>
                </c:pt>
                <c:pt idx="3">
                  <c:v>20</c:v>
                </c:pt>
              </c:numCache>
            </c:numRef>
          </c:xVal>
          <c:yVal>
            <c:numRef>
              <c:f>Symbole!$T$31:$W$31</c:f>
              <c:numCache>
                <c:formatCode>General</c:formatCode>
                <c:ptCount val="4"/>
                <c:pt idx="0">
                  <c:v>20</c:v>
                </c:pt>
                <c:pt idx="1">
                  <c:v>28.485281374238571</c:v>
                </c:pt>
                <c:pt idx="2">
                  <c:v>11.514718625761429</c:v>
                </c:pt>
                <c:pt idx="3">
                  <c:v>20</c:v>
                </c:pt>
              </c:numCache>
            </c:numRef>
          </c:yVal>
          <c:smooth val="0"/>
          <c:extLst>
            <c:ext xmlns:c16="http://schemas.microsoft.com/office/drawing/2014/chart" uri="{C3380CC4-5D6E-409C-BE32-E72D297353CC}">
              <c16:uniqueId val="{0000004D-4B1B-4507-991D-858168B14A33}"/>
            </c:ext>
          </c:extLst>
        </c:ser>
        <c:ser>
          <c:idx val="44"/>
          <c:order val="78"/>
          <c:tx>
            <c:v>LagerH4</c:v>
          </c:tx>
          <c:spPr>
            <a:ln w="12700">
              <a:solidFill>
                <a:srgbClr val="808080"/>
              </a:solidFill>
              <a:prstDash val="solid"/>
            </a:ln>
          </c:spPr>
          <c:marker>
            <c:symbol val="none"/>
          </c:marker>
          <c:xVal>
            <c:numRef>
              <c:f>Symbole!$P$32:$S$32</c:f>
              <c:numCache>
                <c:formatCode>General</c:formatCode>
                <c:ptCount val="4"/>
                <c:pt idx="0">
                  <c:v>60</c:v>
                </c:pt>
                <c:pt idx="1">
                  <c:v>74.696507340181199</c:v>
                </c:pt>
                <c:pt idx="2">
                  <c:v>74.696507340181199</c:v>
                </c:pt>
                <c:pt idx="3">
                  <c:v>60</c:v>
                </c:pt>
              </c:numCache>
            </c:numRef>
          </c:xVal>
          <c:yVal>
            <c:numRef>
              <c:f>Symbole!$T$32:$W$32</c:f>
              <c:numCache>
                <c:formatCode>General</c:formatCode>
                <c:ptCount val="4"/>
                <c:pt idx="0">
                  <c:v>-100</c:v>
                </c:pt>
                <c:pt idx="1">
                  <c:v>-91.514718625761432</c:v>
                </c:pt>
                <c:pt idx="2">
                  <c:v>-108.48528137423857</c:v>
                </c:pt>
                <c:pt idx="3">
                  <c:v>-100</c:v>
                </c:pt>
              </c:numCache>
            </c:numRef>
          </c:yVal>
          <c:smooth val="0"/>
          <c:extLst>
            <c:ext xmlns:c16="http://schemas.microsoft.com/office/drawing/2014/chart" uri="{C3380CC4-5D6E-409C-BE32-E72D297353CC}">
              <c16:uniqueId val="{0000004E-4B1B-4507-991D-858168B14A33}"/>
            </c:ext>
          </c:extLst>
        </c:ser>
        <c:ser>
          <c:idx val="45"/>
          <c:order val="79"/>
          <c:tx>
            <c:v>LagerH5</c:v>
          </c:tx>
          <c:spPr>
            <a:ln w="12700">
              <a:solidFill>
                <a:srgbClr val="808080"/>
              </a:solidFill>
              <a:prstDash val="solid"/>
            </a:ln>
          </c:spPr>
          <c:marker>
            <c:symbol val="none"/>
          </c:marker>
          <c:xVal>
            <c:numRef>
              <c:f>Symbole!$P$33:$S$33</c:f>
              <c:numCache>
                <c:formatCode>General</c:formatCode>
                <c:ptCount val="4"/>
                <c:pt idx="0">
                  <c:v>-50</c:v>
                </c:pt>
                <c:pt idx="1">
                  <c:v>-35.303492659818794</c:v>
                </c:pt>
                <c:pt idx="2">
                  <c:v>-35.303492659818794</c:v>
                </c:pt>
                <c:pt idx="3">
                  <c:v>-50</c:v>
                </c:pt>
              </c:numCache>
            </c:numRef>
          </c:xVal>
          <c:yVal>
            <c:numRef>
              <c:f>Symbole!$T$33:$W$33</c:f>
              <c:numCache>
                <c:formatCode>General</c:formatCode>
                <c:ptCount val="4"/>
                <c:pt idx="0">
                  <c:v>-70</c:v>
                </c:pt>
                <c:pt idx="1">
                  <c:v>-61.514718625761432</c:v>
                </c:pt>
                <c:pt idx="2">
                  <c:v>-78.485281374238568</c:v>
                </c:pt>
                <c:pt idx="3">
                  <c:v>-70</c:v>
                </c:pt>
              </c:numCache>
            </c:numRef>
          </c:yVal>
          <c:smooth val="0"/>
          <c:extLst>
            <c:ext xmlns:c16="http://schemas.microsoft.com/office/drawing/2014/chart" uri="{C3380CC4-5D6E-409C-BE32-E72D297353CC}">
              <c16:uniqueId val="{0000004F-4B1B-4507-991D-858168B14A33}"/>
            </c:ext>
          </c:extLst>
        </c:ser>
        <c:ser>
          <c:idx val="46"/>
          <c:order val="80"/>
          <c:tx>
            <c:v>LagerH6</c:v>
          </c:tx>
          <c:spPr>
            <a:ln w="12700">
              <a:solidFill>
                <a:srgbClr val="808080"/>
              </a:solidFill>
              <a:prstDash val="solid"/>
            </a:ln>
          </c:spPr>
          <c:marker>
            <c:symbol val="none"/>
          </c:marker>
          <c:xVal>
            <c:numRef>
              <c:f>Symbole!$P$34:$S$34</c:f>
              <c:numCache>
                <c:formatCode>General</c:formatCode>
                <c:ptCount val="4"/>
                <c:pt idx="0">
                  <c:v>-100</c:v>
                </c:pt>
                <c:pt idx="1">
                  <c:v>-85.303492659818801</c:v>
                </c:pt>
                <c:pt idx="2">
                  <c:v>-85.303492659818801</c:v>
                </c:pt>
                <c:pt idx="3">
                  <c:v>-100</c:v>
                </c:pt>
              </c:numCache>
            </c:numRef>
          </c:xVal>
          <c:yVal>
            <c:numRef>
              <c:f>Symbole!$T$34:$W$34</c:f>
              <c:numCache>
                <c:formatCode>General</c:formatCode>
                <c:ptCount val="4"/>
                <c:pt idx="0">
                  <c:v>100</c:v>
                </c:pt>
                <c:pt idx="1">
                  <c:v>108.48528137423857</c:v>
                </c:pt>
                <c:pt idx="2">
                  <c:v>91.514718625761432</c:v>
                </c:pt>
                <c:pt idx="3">
                  <c:v>100</c:v>
                </c:pt>
              </c:numCache>
            </c:numRef>
          </c:yVal>
          <c:smooth val="0"/>
          <c:extLst>
            <c:ext xmlns:c16="http://schemas.microsoft.com/office/drawing/2014/chart" uri="{C3380CC4-5D6E-409C-BE32-E72D297353CC}">
              <c16:uniqueId val="{00000050-4B1B-4507-991D-858168B14A33}"/>
            </c:ext>
          </c:extLst>
        </c:ser>
        <c:ser>
          <c:idx val="47"/>
          <c:order val="81"/>
          <c:tx>
            <c:v>LagerH7</c:v>
          </c:tx>
          <c:spPr>
            <a:ln w="12700">
              <a:solidFill>
                <a:srgbClr val="808080"/>
              </a:solidFill>
              <a:prstDash val="solid"/>
            </a:ln>
          </c:spPr>
          <c:marker>
            <c:symbol val="none"/>
          </c:marker>
          <c:xVal>
            <c:numRef>
              <c:f>Symbole!$P$35:$S$35</c:f>
              <c:numCache>
                <c:formatCode>General</c:formatCode>
                <c:ptCount val="4"/>
                <c:pt idx="0">
                  <c:v>0</c:v>
                </c:pt>
                <c:pt idx="1">
                  <c:v>0</c:v>
                </c:pt>
                <c:pt idx="2">
                  <c:v>0</c:v>
                </c:pt>
                <c:pt idx="3">
                  <c:v>0</c:v>
                </c:pt>
              </c:numCache>
            </c:numRef>
          </c:xVal>
          <c:yVal>
            <c:numRef>
              <c:f>Symbole!$T$35:$W$35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1-4B1B-4507-991D-858168B14A33}"/>
            </c:ext>
          </c:extLst>
        </c:ser>
        <c:ser>
          <c:idx val="48"/>
          <c:order val="82"/>
          <c:tx>
            <c:v>LagerH8</c:v>
          </c:tx>
          <c:spPr>
            <a:ln w="12700">
              <a:solidFill>
                <a:srgbClr val="808080"/>
              </a:solidFill>
              <a:prstDash val="solid"/>
            </a:ln>
          </c:spPr>
          <c:marker>
            <c:symbol val="none"/>
          </c:marker>
          <c:xVal>
            <c:numRef>
              <c:f>Symbole!$P$36:$S$36</c:f>
              <c:numCache>
                <c:formatCode>General</c:formatCode>
                <c:ptCount val="4"/>
                <c:pt idx="0">
                  <c:v>0</c:v>
                </c:pt>
                <c:pt idx="1">
                  <c:v>0</c:v>
                </c:pt>
                <c:pt idx="2">
                  <c:v>0</c:v>
                </c:pt>
                <c:pt idx="3">
                  <c:v>0</c:v>
                </c:pt>
              </c:numCache>
            </c:numRef>
          </c:xVal>
          <c:yVal>
            <c:numRef>
              <c:f>Symbole!$T$36:$W$36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2-4B1B-4507-991D-858168B14A33}"/>
            </c:ext>
          </c:extLst>
        </c:ser>
        <c:ser>
          <c:idx val="49"/>
          <c:order val="83"/>
          <c:tx>
            <c:v>LagerH9</c:v>
          </c:tx>
          <c:spPr>
            <a:ln w="12700">
              <a:solidFill>
                <a:srgbClr val="808080"/>
              </a:solidFill>
              <a:prstDash val="solid"/>
            </a:ln>
          </c:spPr>
          <c:marker>
            <c:symbol val="none"/>
          </c:marker>
          <c:xVal>
            <c:numRef>
              <c:f>Symbole!$P$37:$S$37</c:f>
              <c:numCache>
                <c:formatCode>General</c:formatCode>
                <c:ptCount val="4"/>
                <c:pt idx="0">
                  <c:v>0</c:v>
                </c:pt>
                <c:pt idx="1">
                  <c:v>0</c:v>
                </c:pt>
                <c:pt idx="2">
                  <c:v>0</c:v>
                </c:pt>
                <c:pt idx="3">
                  <c:v>0</c:v>
                </c:pt>
              </c:numCache>
            </c:numRef>
          </c:xVal>
          <c:yVal>
            <c:numRef>
              <c:f>Symbole!$T$37:$W$37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3-4B1B-4507-991D-858168B14A33}"/>
            </c:ext>
          </c:extLst>
        </c:ser>
        <c:ser>
          <c:idx val="50"/>
          <c:order val="84"/>
          <c:tx>
            <c:v>LagerH10</c:v>
          </c:tx>
          <c:spPr>
            <a:ln w="12700">
              <a:solidFill>
                <a:srgbClr val="808080"/>
              </a:solidFill>
              <a:prstDash val="solid"/>
            </a:ln>
          </c:spPr>
          <c:marker>
            <c:symbol val="none"/>
          </c:marker>
          <c:xVal>
            <c:numRef>
              <c:f>Symbole!$P$38:$S$38</c:f>
              <c:numCache>
                <c:formatCode>General</c:formatCode>
                <c:ptCount val="4"/>
                <c:pt idx="0">
                  <c:v>0</c:v>
                </c:pt>
                <c:pt idx="1">
                  <c:v>0</c:v>
                </c:pt>
                <c:pt idx="2">
                  <c:v>0</c:v>
                </c:pt>
                <c:pt idx="3">
                  <c:v>0</c:v>
                </c:pt>
              </c:numCache>
            </c:numRef>
          </c:xVal>
          <c:yVal>
            <c:numRef>
              <c:f>Symbole!$T$38:$W$38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4-4B1B-4507-991D-858168B14A33}"/>
            </c:ext>
          </c:extLst>
        </c:ser>
        <c:ser>
          <c:idx val="51"/>
          <c:order val="85"/>
          <c:tx>
            <c:v>LagerH11</c:v>
          </c:tx>
          <c:spPr>
            <a:ln w="12700">
              <a:solidFill>
                <a:srgbClr val="808080"/>
              </a:solidFill>
              <a:prstDash val="solid"/>
            </a:ln>
          </c:spPr>
          <c:marker>
            <c:symbol val="none"/>
          </c:marker>
          <c:xVal>
            <c:numRef>
              <c:f>Symbole!$P$39:$S$39</c:f>
              <c:numCache>
                <c:formatCode>General</c:formatCode>
                <c:ptCount val="4"/>
                <c:pt idx="0">
                  <c:v>0</c:v>
                </c:pt>
                <c:pt idx="1">
                  <c:v>0</c:v>
                </c:pt>
                <c:pt idx="2">
                  <c:v>0</c:v>
                </c:pt>
                <c:pt idx="3">
                  <c:v>0</c:v>
                </c:pt>
              </c:numCache>
            </c:numRef>
          </c:xVal>
          <c:yVal>
            <c:numRef>
              <c:f>Symbole!$T$39:$W$39</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5-4B1B-4507-991D-858168B14A33}"/>
            </c:ext>
          </c:extLst>
        </c:ser>
        <c:ser>
          <c:idx val="52"/>
          <c:order val="86"/>
          <c:tx>
            <c:v>LagerH12</c:v>
          </c:tx>
          <c:spPr>
            <a:ln w="12700">
              <a:solidFill>
                <a:srgbClr val="808080"/>
              </a:solidFill>
              <a:prstDash val="solid"/>
            </a:ln>
          </c:spPr>
          <c:marker>
            <c:symbol val="none"/>
          </c:marker>
          <c:xVal>
            <c:numRef>
              <c:f>Symbole!$P$40:$S$40</c:f>
              <c:numCache>
                <c:formatCode>General</c:formatCode>
                <c:ptCount val="4"/>
                <c:pt idx="0">
                  <c:v>0</c:v>
                </c:pt>
                <c:pt idx="1">
                  <c:v>0</c:v>
                </c:pt>
                <c:pt idx="2">
                  <c:v>0</c:v>
                </c:pt>
                <c:pt idx="3">
                  <c:v>0</c:v>
                </c:pt>
              </c:numCache>
            </c:numRef>
          </c:xVal>
          <c:yVal>
            <c:numRef>
              <c:f>Symbole!$T$40:$W$40</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6-4B1B-4507-991D-858168B14A33}"/>
            </c:ext>
          </c:extLst>
        </c:ser>
        <c:ser>
          <c:idx val="53"/>
          <c:order val="87"/>
          <c:tx>
            <c:v>LagerH13</c:v>
          </c:tx>
          <c:spPr>
            <a:ln w="12700">
              <a:solidFill>
                <a:srgbClr val="808080"/>
              </a:solidFill>
              <a:prstDash val="solid"/>
            </a:ln>
          </c:spPr>
          <c:marker>
            <c:symbol val="none"/>
          </c:marker>
          <c:xVal>
            <c:numRef>
              <c:f>Symbole!$P$41:$S$41</c:f>
              <c:numCache>
                <c:formatCode>General</c:formatCode>
                <c:ptCount val="4"/>
                <c:pt idx="0">
                  <c:v>0</c:v>
                </c:pt>
                <c:pt idx="1">
                  <c:v>0</c:v>
                </c:pt>
                <c:pt idx="2">
                  <c:v>0</c:v>
                </c:pt>
                <c:pt idx="3">
                  <c:v>0</c:v>
                </c:pt>
              </c:numCache>
            </c:numRef>
          </c:xVal>
          <c:yVal>
            <c:numRef>
              <c:f>Symbole!$T$41:$W$41</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7-4B1B-4507-991D-858168B14A33}"/>
            </c:ext>
          </c:extLst>
        </c:ser>
        <c:ser>
          <c:idx val="54"/>
          <c:order val="88"/>
          <c:tx>
            <c:v>LagerH14</c:v>
          </c:tx>
          <c:spPr>
            <a:ln w="12700">
              <a:solidFill>
                <a:srgbClr val="808080"/>
              </a:solidFill>
              <a:prstDash val="solid"/>
            </a:ln>
          </c:spPr>
          <c:marker>
            <c:symbol val="none"/>
          </c:marker>
          <c:xVal>
            <c:numRef>
              <c:f>Symbole!$P$42:$S$42</c:f>
              <c:numCache>
                <c:formatCode>General</c:formatCode>
                <c:ptCount val="4"/>
                <c:pt idx="0">
                  <c:v>0</c:v>
                </c:pt>
                <c:pt idx="1">
                  <c:v>0</c:v>
                </c:pt>
                <c:pt idx="2">
                  <c:v>0</c:v>
                </c:pt>
                <c:pt idx="3">
                  <c:v>0</c:v>
                </c:pt>
              </c:numCache>
            </c:numRef>
          </c:xVal>
          <c:yVal>
            <c:numRef>
              <c:f>Symbole!$T$42:$W$42</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8-4B1B-4507-991D-858168B14A33}"/>
            </c:ext>
          </c:extLst>
        </c:ser>
        <c:ser>
          <c:idx val="55"/>
          <c:order val="89"/>
          <c:tx>
            <c:v>LagerH15</c:v>
          </c:tx>
          <c:spPr>
            <a:ln w="12700">
              <a:solidFill>
                <a:srgbClr val="808080"/>
              </a:solidFill>
              <a:prstDash val="solid"/>
            </a:ln>
          </c:spPr>
          <c:marker>
            <c:symbol val="none"/>
          </c:marker>
          <c:xVal>
            <c:numRef>
              <c:f>Symbole!$P$43:$S$43</c:f>
              <c:numCache>
                <c:formatCode>General</c:formatCode>
                <c:ptCount val="4"/>
                <c:pt idx="0">
                  <c:v>0</c:v>
                </c:pt>
                <c:pt idx="1">
                  <c:v>0</c:v>
                </c:pt>
                <c:pt idx="2">
                  <c:v>0</c:v>
                </c:pt>
                <c:pt idx="3">
                  <c:v>0</c:v>
                </c:pt>
              </c:numCache>
            </c:numRef>
          </c:xVal>
          <c:yVal>
            <c:numRef>
              <c:f>Symbole!$T$43:$W$43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9-4B1B-4507-991D-858168B14A33}"/>
            </c:ext>
          </c:extLst>
        </c:ser>
        <c:ser>
          <c:idx val="56"/>
          <c:order val="90"/>
          <c:tx>
            <c:v>LagerH16</c:v>
          </c:tx>
          <c:spPr>
            <a:ln w="12700">
              <a:solidFill>
                <a:srgbClr val="808080"/>
              </a:solidFill>
              <a:prstDash val="solid"/>
            </a:ln>
          </c:spPr>
          <c:marker>
            <c:symbol val="none"/>
          </c:marker>
          <c:xVal>
            <c:numRef>
              <c:f>Symbole!$P$44:$S$44</c:f>
              <c:numCache>
                <c:formatCode>General</c:formatCode>
                <c:ptCount val="4"/>
                <c:pt idx="0">
                  <c:v>0</c:v>
                </c:pt>
                <c:pt idx="1">
                  <c:v>0</c:v>
                </c:pt>
                <c:pt idx="2">
                  <c:v>0</c:v>
                </c:pt>
                <c:pt idx="3">
                  <c:v>0</c:v>
                </c:pt>
              </c:numCache>
            </c:numRef>
          </c:xVal>
          <c:yVal>
            <c:numRef>
              <c:f>Symbole!$T$44:$W$44</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A-4B1B-4507-991D-858168B14A33}"/>
            </c:ext>
          </c:extLst>
        </c:ser>
        <c:ser>
          <c:idx val="57"/>
          <c:order val="91"/>
          <c:tx>
            <c:v>LagerH17</c:v>
          </c:tx>
          <c:spPr>
            <a:ln w="12700">
              <a:solidFill>
                <a:srgbClr val="808080"/>
              </a:solidFill>
              <a:prstDash val="solid"/>
            </a:ln>
          </c:spPr>
          <c:marker>
            <c:symbol val="none"/>
          </c:marker>
          <c:xVal>
            <c:numRef>
              <c:f>Symbole!$P$45:$S$45</c:f>
              <c:numCache>
                <c:formatCode>General</c:formatCode>
                <c:ptCount val="4"/>
                <c:pt idx="0">
                  <c:v>0</c:v>
                </c:pt>
                <c:pt idx="1">
                  <c:v>0</c:v>
                </c:pt>
                <c:pt idx="2">
                  <c:v>0</c:v>
                </c:pt>
                <c:pt idx="3">
                  <c:v>0</c:v>
                </c:pt>
              </c:numCache>
            </c:numRef>
          </c:xVal>
          <c:yVal>
            <c:numRef>
              <c:f>Symbole!$T$45:$W$45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B-4B1B-4507-991D-858168B14A33}"/>
            </c:ext>
          </c:extLst>
        </c:ser>
        <c:ser>
          <c:idx val="58"/>
          <c:order val="92"/>
          <c:tx>
            <c:v>LagerH18</c:v>
          </c:tx>
          <c:spPr>
            <a:ln w="12700">
              <a:solidFill>
                <a:srgbClr val="808080"/>
              </a:solidFill>
              <a:prstDash val="solid"/>
            </a:ln>
          </c:spPr>
          <c:marker>
            <c:symbol val="none"/>
          </c:marker>
          <c:xVal>
            <c:numRef>
              <c:f>Symbole!$P$46:$S$46</c:f>
              <c:numCache>
                <c:formatCode>General</c:formatCode>
                <c:ptCount val="4"/>
                <c:pt idx="0">
                  <c:v>0</c:v>
                </c:pt>
                <c:pt idx="1">
                  <c:v>0</c:v>
                </c:pt>
                <c:pt idx="2">
                  <c:v>0</c:v>
                </c:pt>
                <c:pt idx="3">
                  <c:v>0</c:v>
                </c:pt>
              </c:numCache>
            </c:numRef>
          </c:xVal>
          <c:yVal>
            <c:numRef>
              <c:f>Symbole!$T$46:$W$46</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C-4B1B-4507-991D-858168B14A33}"/>
            </c:ext>
          </c:extLst>
        </c:ser>
        <c:ser>
          <c:idx val="59"/>
          <c:order val="93"/>
          <c:tx>
            <c:v>LagerH19</c:v>
          </c:tx>
          <c:spPr>
            <a:ln w="12700">
              <a:solidFill>
                <a:srgbClr val="808080"/>
              </a:solidFill>
              <a:prstDash val="solid"/>
            </a:ln>
          </c:spPr>
          <c:marker>
            <c:symbol val="none"/>
          </c:marker>
          <c:xVal>
            <c:numRef>
              <c:f>Symbole!$P$47:$S$47</c:f>
              <c:numCache>
                <c:formatCode>General</c:formatCode>
                <c:ptCount val="4"/>
                <c:pt idx="0">
                  <c:v>0</c:v>
                </c:pt>
                <c:pt idx="1">
                  <c:v>0</c:v>
                </c:pt>
                <c:pt idx="2">
                  <c:v>0</c:v>
                </c:pt>
                <c:pt idx="3">
                  <c:v>0</c:v>
                </c:pt>
              </c:numCache>
            </c:numRef>
          </c:xVal>
          <c:yVal>
            <c:numRef>
              <c:f>Symbole!$T$47:$W$47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D-4B1B-4507-991D-858168B14A33}"/>
            </c:ext>
          </c:extLst>
        </c:ser>
        <c:ser>
          <c:idx val="60"/>
          <c:order val="94"/>
          <c:tx>
            <c:v>LagerH20</c:v>
          </c:tx>
          <c:spPr>
            <a:ln w="12700">
              <a:solidFill>
                <a:srgbClr val="808080"/>
              </a:solidFill>
              <a:prstDash val="solid"/>
            </a:ln>
          </c:spPr>
          <c:marker>
            <c:symbol val="none"/>
          </c:marker>
          <c:xVal>
            <c:numRef>
              <c:f>Symbole!$P$48:$S$48</c:f>
              <c:numCache>
                <c:formatCode>General</c:formatCode>
                <c:ptCount val="4"/>
                <c:pt idx="0">
                  <c:v>0</c:v>
                </c:pt>
                <c:pt idx="1">
                  <c:v>0</c:v>
                </c:pt>
                <c:pt idx="2">
                  <c:v>0</c:v>
                </c:pt>
                <c:pt idx="3">
                  <c:v>0</c:v>
                </c:pt>
              </c:numCache>
            </c:numRef>
          </c:xVal>
          <c:yVal>
            <c:numRef>
              <c:f>Symbole!$T$48:$W$48</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5E-4B1B-4507-991D-858168B14A33}"/>
            </c:ext>
          </c:extLst>
        </c:ser>
        <c:ser>
          <c:idx val="61"/>
          <c:order val="95"/>
          <c:tx>
            <c:v>LagerR1</c:v>
          </c:tx>
          <c:spPr>
            <a:ln w="12700">
              <a:solidFill>
                <a:srgbClr val="808080"/>
              </a:solidFill>
              <a:prstDash val="solid"/>
            </a:ln>
          </c:spPr>
          <c:marker>
            <c:symbol val="none"/>
          </c:marker>
          <c:xVal>
            <c:numRef>
              <c:f>Symbole!$P$52:$T$52</c:f>
              <c:numCache>
                <c:formatCode>General</c:formatCode>
                <c:ptCount val="5"/>
                <c:pt idx="0">
                  <c:v>23.626678459402886</c:v>
                </c:pt>
                <c:pt idx="1">
                  <c:v>23.626678459402886</c:v>
                </c:pt>
                <c:pt idx="2">
                  <c:v>23.626678459402886</c:v>
                </c:pt>
                <c:pt idx="3">
                  <c:v>23.626678459402886</c:v>
                </c:pt>
                <c:pt idx="4">
                  <c:v>23.626678459402886</c:v>
                </c:pt>
              </c:numCache>
            </c:numRef>
          </c:xVal>
          <c:yVal>
            <c:numRef>
              <c:f>Symbole!$U$52:$Y$52</c:f>
              <c:numCache>
                <c:formatCode>General</c:formatCode>
                <c:ptCount val="5"/>
                <c:pt idx="0">
                  <c:v>-46.105451176718191</c:v>
                </c:pt>
                <c:pt idx="1">
                  <c:v>-46.105451176718191</c:v>
                </c:pt>
                <c:pt idx="2">
                  <c:v>-46.105451176718191</c:v>
                </c:pt>
                <c:pt idx="3">
                  <c:v>-46.105451176718191</c:v>
                </c:pt>
                <c:pt idx="4">
                  <c:v>-46.105451176718191</c:v>
                </c:pt>
              </c:numCache>
            </c:numRef>
          </c:yVal>
          <c:smooth val="0"/>
          <c:extLst>
            <c:ext xmlns:c16="http://schemas.microsoft.com/office/drawing/2014/chart" uri="{C3380CC4-5D6E-409C-BE32-E72D297353CC}">
              <c16:uniqueId val="{0000005F-4B1B-4507-991D-858168B14A33}"/>
            </c:ext>
          </c:extLst>
        </c:ser>
        <c:ser>
          <c:idx val="62"/>
          <c:order val="96"/>
          <c:tx>
            <c:v>LagerR2</c:v>
          </c:tx>
          <c:spPr>
            <a:ln w="12700">
              <a:solidFill>
                <a:srgbClr val="808080"/>
              </a:solidFill>
              <a:prstDash val="solid"/>
            </a:ln>
          </c:spPr>
          <c:marker>
            <c:symbol val="none"/>
          </c:marker>
          <c:xVal>
            <c:numRef>
              <c:f>Symbole!$P$53:$T$53</c:f>
              <c:numCache>
                <c:formatCode>General</c:formatCode>
                <c:ptCount val="5"/>
                <c:pt idx="0">
                  <c:v>100</c:v>
                </c:pt>
                <c:pt idx="1">
                  <c:v>100</c:v>
                </c:pt>
                <c:pt idx="2">
                  <c:v>100</c:v>
                </c:pt>
                <c:pt idx="3">
                  <c:v>100</c:v>
                </c:pt>
                <c:pt idx="4">
                  <c:v>100</c:v>
                </c:pt>
              </c:numCache>
            </c:numRef>
          </c:xVal>
          <c:yVal>
            <c:numRef>
              <c:f>Symbole!$U$53:$Y$53</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60-4B1B-4507-991D-858168B14A33}"/>
            </c:ext>
          </c:extLst>
        </c:ser>
        <c:ser>
          <c:idx val="63"/>
          <c:order val="97"/>
          <c:tx>
            <c:v>LagerR3</c:v>
          </c:tx>
          <c:spPr>
            <a:ln w="12700">
              <a:solidFill>
                <a:srgbClr val="808080"/>
              </a:solidFill>
              <a:prstDash val="solid"/>
            </a:ln>
          </c:spPr>
          <c:marker>
            <c:symbol val="none"/>
          </c:marker>
          <c:xVal>
            <c:numRef>
              <c:f>Symbole!$P$54:$T$54</c:f>
              <c:numCache>
                <c:formatCode>General</c:formatCode>
                <c:ptCount val="5"/>
                <c:pt idx="0">
                  <c:v>20</c:v>
                </c:pt>
                <c:pt idx="1">
                  <c:v>20</c:v>
                </c:pt>
                <c:pt idx="2">
                  <c:v>20</c:v>
                </c:pt>
                <c:pt idx="3">
                  <c:v>20</c:v>
                </c:pt>
                <c:pt idx="4">
                  <c:v>20</c:v>
                </c:pt>
              </c:numCache>
            </c:numRef>
          </c:xVal>
          <c:yVal>
            <c:numRef>
              <c:f>Symbole!$U$54:$Y$54</c:f>
              <c:numCache>
                <c:formatCode>General</c:formatCode>
                <c:ptCount val="5"/>
                <c:pt idx="0">
                  <c:v>20</c:v>
                </c:pt>
                <c:pt idx="1">
                  <c:v>20</c:v>
                </c:pt>
                <c:pt idx="2">
                  <c:v>20</c:v>
                </c:pt>
                <c:pt idx="3">
                  <c:v>20</c:v>
                </c:pt>
                <c:pt idx="4">
                  <c:v>20</c:v>
                </c:pt>
              </c:numCache>
            </c:numRef>
          </c:yVal>
          <c:smooth val="0"/>
          <c:extLst>
            <c:ext xmlns:c16="http://schemas.microsoft.com/office/drawing/2014/chart" uri="{C3380CC4-5D6E-409C-BE32-E72D297353CC}">
              <c16:uniqueId val="{00000061-4B1B-4507-991D-858168B14A33}"/>
            </c:ext>
          </c:extLst>
        </c:ser>
        <c:ser>
          <c:idx val="64"/>
          <c:order val="98"/>
          <c:tx>
            <c:v>LagerR4</c:v>
          </c:tx>
          <c:spPr>
            <a:ln w="12700">
              <a:solidFill>
                <a:srgbClr val="808080"/>
              </a:solidFill>
              <a:prstDash val="solid"/>
            </a:ln>
          </c:spPr>
          <c:marker>
            <c:symbol val="none"/>
          </c:marker>
          <c:xVal>
            <c:numRef>
              <c:f>Symbole!$P$55:$T$55</c:f>
              <c:numCache>
                <c:formatCode>General</c:formatCode>
                <c:ptCount val="5"/>
                <c:pt idx="0">
                  <c:v>60</c:v>
                </c:pt>
                <c:pt idx="1">
                  <c:v>60</c:v>
                </c:pt>
                <c:pt idx="2">
                  <c:v>60</c:v>
                </c:pt>
                <c:pt idx="3">
                  <c:v>60</c:v>
                </c:pt>
                <c:pt idx="4">
                  <c:v>60</c:v>
                </c:pt>
              </c:numCache>
            </c:numRef>
          </c:xVal>
          <c:yVal>
            <c:numRef>
              <c:f>Symbole!$U$55:$Y$55</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62-4B1B-4507-991D-858168B14A33}"/>
            </c:ext>
          </c:extLst>
        </c:ser>
        <c:ser>
          <c:idx val="65"/>
          <c:order val="99"/>
          <c:tx>
            <c:v>LagerR5</c:v>
          </c:tx>
          <c:spPr>
            <a:ln w="12700">
              <a:solidFill>
                <a:srgbClr val="808080"/>
              </a:solidFill>
              <a:prstDash val="solid"/>
            </a:ln>
          </c:spPr>
          <c:marker>
            <c:symbol val="none"/>
          </c:marker>
          <c:xVal>
            <c:numRef>
              <c:f>Symbole!$P$56:$T$56</c:f>
              <c:numCache>
                <c:formatCode>General</c:formatCode>
                <c:ptCount val="5"/>
                <c:pt idx="0">
                  <c:v>-50</c:v>
                </c:pt>
                <c:pt idx="1">
                  <c:v>-50</c:v>
                </c:pt>
                <c:pt idx="2">
                  <c:v>-50</c:v>
                </c:pt>
                <c:pt idx="3">
                  <c:v>-50</c:v>
                </c:pt>
                <c:pt idx="4">
                  <c:v>-50</c:v>
                </c:pt>
              </c:numCache>
            </c:numRef>
          </c:xVal>
          <c:yVal>
            <c:numRef>
              <c:f>Symbole!$U$56:$Y$56</c:f>
              <c:numCache>
                <c:formatCode>General</c:formatCode>
                <c:ptCount val="5"/>
                <c:pt idx="0">
                  <c:v>-70</c:v>
                </c:pt>
                <c:pt idx="1">
                  <c:v>-70</c:v>
                </c:pt>
                <c:pt idx="2">
                  <c:v>-70</c:v>
                </c:pt>
                <c:pt idx="3">
                  <c:v>-70</c:v>
                </c:pt>
                <c:pt idx="4">
                  <c:v>-70</c:v>
                </c:pt>
              </c:numCache>
            </c:numRef>
          </c:yVal>
          <c:smooth val="0"/>
          <c:extLst>
            <c:ext xmlns:c16="http://schemas.microsoft.com/office/drawing/2014/chart" uri="{C3380CC4-5D6E-409C-BE32-E72D297353CC}">
              <c16:uniqueId val="{00000063-4B1B-4507-991D-858168B14A33}"/>
            </c:ext>
          </c:extLst>
        </c:ser>
        <c:ser>
          <c:idx val="66"/>
          <c:order val="100"/>
          <c:tx>
            <c:v>LagerR6</c:v>
          </c:tx>
          <c:spPr>
            <a:ln w="12700">
              <a:solidFill>
                <a:srgbClr val="808080"/>
              </a:solidFill>
              <a:prstDash val="solid"/>
            </a:ln>
          </c:spPr>
          <c:marker>
            <c:symbol val="none"/>
          </c:marker>
          <c:xVal>
            <c:numRef>
              <c:f>Symbole!$P$57:$T$57</c:f>
              <c:numCache>
                <c:formatCode>General</c:formatCode>
                <c:ptCount val="5"/>
                <c:pt idx="0">
                  <c:v>-100</c:v>
                </c:pt>
                <c:pt idx="1">
                  <c:v>-100</c:v>
                </c:pt>
                <c:pt idx="2">
                  <c:v>-100</c:v>
                </c:pt>
                <c:pt idx="3">
                  <c:v>-100</c:v>
                </c:pt>
                <c:pt idx="4">
                  <c:v>-100</c:v>
                </c:pt>
              </c:numCache>
            </c:numRef>
          </c:xVal>
          <c:yVal>
            <c:numRef>
              <c:f>Symbole!$U$57:$Y$57</c:f>
              <c:numCache>
                <c:formatCode>General</c:formatCode>
                <c:ptCount val="5"/>
                <c:pt idx="0">
                  <c:v>100</c:v>
                </c:pt>
                <c:pt idx="1">
                  <c:v>100</c:v>
                </c:pt>
                <c:pt idx="2">
                  <c:v>100</c:v>
                </c:pt>
                <c:pt idx="3">
                  <c:v>100</c:v>
                </c:pt>
                <c:pt idx="4">
                  <c:v>100</c:v>
                </c:pt>
              </c:numCache>
            </c:numRef>
          </c:yVal>
          <c:smooth val="0"/>
          <c:extLst>
            <c:ext xmlns:c16="http://schemas.microsoft.com/office/drawing/2014/chart" uri="{C3380CC4-5D6E-409C-BE32-E72D297353CC}">
              <c16:uniqueId val="{00000064-4B1B-4507-991D-858168B14A33}"/>
            </c:ext>
          </c:extLst>
        </c:ser>
        <c:ser>
          <c:idx val="67"/>
          <c:order val="101"/>
          <c:tx>
            <c:v>LagerR7</c:v>
          </c:tx>
          <c:spPr>
            <a:ln w="12700">
              <a:solidFill>
                <a:srgbClr val="808080"/>
              </a:solidFill>
              <a:prstDash val="solid"/>
            </a:ln>
          </c:spPr>
          <c:marker>
            <c:symbol val="none"/>
          </c:marker>
          <c:xVal>
            <c:numRef>
              <c:f>Symbole!$P$58:$T$58</c:f>
              <c:numCache>
                <c:formatCode>General</c:formatCode>
                <c:ptCount val="5"/>
                <c:pt idx="0">
                  <c:v>0</c:v>
                </c:pt>
                <c:pt idx="1">
                  <c:v>0</c:v>
                </c:pt>
                <c:pt idx="2">
                  <c:v>0</c:v>
                </c:pt>
                <c:pt idx="3">
                  <c:v>0</c:v>
                </c:pt>
                <c:pt idx="4">
                  <c:v>0</c:v>
                </c:pt>
              </c:numCache>
            </c:numRef>
          </c:xVal>
          <c:yVal>
            <c:numRef>
              <c:f>Symbole!$U$58:$Y$58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5-4B1B-4507-991D-858168B14A33}"/>
            </c:ext>
          </c:extLst>
        </c:ser>
        <c:ser>
          <c:idx val="68"/>
          <c:order val="102"/>
          <c:tx>
            <c:v>LagerR8</c:v>
          </c:tx>
          <c:spPr>
            <a:ln w="12700">
              <a:solidFill>
                <a:srgbClr val="808080"/>
              </a:solidFill>
              <a:prstDash val="solid"/>
            </a:ln>
          </c:spPr>
          <c:marker>
            <c:symbol val="none"/>
          </c:marker>
          <c:xVal>
            <c:numRef>
              <c:f>Symbole!$P$59:$T$59</c:f>
              <c:numCache>
                <c:formatCode>General</c:formatCode>
                <c:ptCount val="5"/>
                <c:pt idx="0">
                  <c:v>0</c:v>
                </c:pt>
                <c:pt idx="1">
                  <c:v>0</c:v>
                </c:pt>
                <c:pt idx="2">
                  <c:v>0</c:v>
                </c:pt>
                <c:pt idx="3">
                  <c:v>0</c:v>
                </c:pt>
                <c:pt idx="4">
                  <c:v>0</c:v>
                </c:pt>
              </c:numCache>
            </c:numRef>
          </c:xVal>
          <c:yVal>
            <c:numRef>
              <c:f>Symbole!$U$59:$Y$59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6-4B1B-4507-991D-858168B14A33}"/>
            </c:ext>
          </c:extLst>
        </c:ser>
        <c:ser>
          <c:idx val="69"/>
          <c:order val="103"/>
          <c:tx>
            <c:v>LagerR9</c:v>
          </c:tx>
          <c:spPr>
            <a:ln w="12700">
              <a:solidFill>
                <a:srgbClr val="808080"/>
              </a:solidFill>
              <a:prstDash val="solid"/>
            </a:ln>
          </c:spPr>
          <c:marker>
            <c:symbol val="none"/>
          </c:marker>
          <c:xVal>
            <c:numRef>
              <c:f>Symbole!$P$60:$T$60</c:f>
              <c:numCache>
                <c:formatCode>General</c:formatCode>
                <c:ptCount val="5"/>
                <c:pt idx="0">
                  <c:v>0</c:v>
                </c:pt>
                <c:pt idx="1">
                  <c:v>0</c:v>
                </c:pt>
                <c:pt idx="2">
                  <c:v>0</c:v>
                </c:pt>
                <c:pt idx="3">
                  <c:v>0</c:v>
                </c:pt>
                <c:pt idx="4">
                  <c:v>0</c:v>
                </c:pt>
              </c:numCache>
            </c:numRef>
          </c:xVal>
          <c:yVal>
            <c:numRef>
              <c:f>Symbole!$U$60:$Y$60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7-4B1B-4507-991D-858168B14A33}"/>
            </c:ext>
          </c:extLst>
        </c:ser>
        <c:ser>
          <c:idx val="70"/>
          <c:order val="104"/>
          <c:tx>
            <c:v>LagerR10</c:v>
          </c:tx>
          <c:spPr>
            <a:ln w="12700">
              <a:solidFill>
                <a:srgbClr val="808080"/>
              </a:solidFill>
              <a:prstDash val="solid"/>
            </a:ln>
          </c:spPr>
          <c:marker>
            <c:symbol val="none"/>
          </c:marker>
          <c:xVal>
            <c:numRef>
              <c:f>Symbole!$P$61:$T$61</c:f>
              <c:numCache>
                <c:formatCode>General</c:formatCode>
                <c:ptCount val="5"/>
                <c:pt idx="0">
                  <c:v>0</c:v>
                </c:pt>
                <c:pt idx="1">
                  <c:v>0</c:v>
                </c:pt>
                <c:pt idx="2">
                  <c:v>0</c:v>
                </c:pt>
                <c:pt idx="3">
                  <c:v>0</c:v>
                </c:pt>
                <c:pt idx="4">
                  <c:v>0</c:v>
                </c:pt>
              </c:numCache>
            </c:numRef>
          </c:xVal>
          <c:yVal>
            <c:numRef>
              <c:f>Symbole!$U$61:$Y$61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8-4B1B-4507-991D-858168B14A33}"/>
            </c:ext>
          </c:extLst>
        </c:ser>
        <c:ser>
          <c:idx val="71"/>
          <c:order val="105"/>
          <c:tx>
            <c:v>LagerR11</c:v>
          </c:tx>
          <c:spPr>
            <a:ln w="12700">
              <a:solidFill>
                <a:srgbClr val="808080"/>
              </a:solidFill>
              <a:prstDash val="solid"/>
            </a:ln>
          </c:spPr>
          <c:marker>
            <c:symbol val="none"/>
          </c:marker>
          <c:xVal>
            <c:numRef>
              <c:f>Symbole!$P$62:$T$62</c:f>
              <c:numCache>
                <c:formatCode>General</c:formatCode>
                <c:ptCount val="5"/>
                <c:pt idx="0">
                  <c:v>0</c:v>
                </c:pt>
                <c:pt idx="1">
                  <c:v>0</c:v>
                </c:pt>
                <c:pt idx="2">
                  <c:v>0</c:v>
                </c:pt>
                <c:pt idx="3">
                  <c:v>0</c:v>
                </c:pt>
                <c:pt idx="4">
                  <c:v>0</c:v>
                </c:pt>
              </c:numCache>
            </c:numRef>
          </c:xVal>
          <c:yVal>
            <c:numRef>
              <c:f>Symbole!$U$62:$Y$62</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9-4B1B-4507-991D-858168B14A33}"/>
            </c:ext>
          </c:extLst>
        </c:ser>
        <c:ser>
          <c:idx val="72"/>
          <c:order val="106"/>
          <c:tx>
            <c:v>LagerR12</c:v>
          </c:tx>
          <c:spPr>
            <a:ln w="12700">
              <a:solidFill>
                <a:srgbClr val="808080"/>
              </a:solidFill>
              <a:prstDash val="solid"/>
            </a:ln>
          </c:spPr>
          <c:marker>
            <c:symbol val="none"/>
          </c:marker>
          <c:xVal>
            <c:numRef>
              <c:f>Symbole!$P$63:$T$63</c:f>
              <c:numCache>
                <c:formatCode>General</c:formatCode>
                <c:ptCount val="5"/>
                <c:pt idx="0">
                  <c:v>0</c:v>
                </c:pt>
                <c:pt idx="1">
                  <c:v>0</c:v>
                </c:pt>
                <c:pt idx="2">
                  <c:v>0</c:v>
                </c:pt>
                <c:pt idx="3">
                  <c:v>0</c:v>
                </c:pt>
                <c:pt idx="4">
                  <c:v>0</c:v>
                </c:pt>
              </c:numCache>
            </c:numRef>
          </c:xVal>
          <c:yVal>
            <c:numRef>
              <c:f>Symbole!$U$63:$Y$63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A-4B1B-4507-991D-858168B14A33}"/>
            </c:ext>
          </c:extLst>
        </c:ser>
        <c:ser>
          <c:idx val="73"/>
          <c:order val="107"/>
          <c:tx>
            <c:v>LagerR13</c:v>
          </c:tx>
          <c:spPr>
            <a:ln w="12700">
              <a:solidFill>
                <a:srgbClr val="808080"/>
              </a:solidFill>
              <a:prstDash val="solid"/>
            </a:ln>
          </c:spPr>
          <c:marker>
            <c:symbol val="none"/>
          </c:marker>
          <c:xVal>
            <c:numRef>
              <c:f>Symbole!$P$64:$T$64</c:f>
              <c:numCache>
                <c:formatCode>General</c:formatCode>
                <c:ptCount val="5"/>
                <c:pt idx="0">
                  <c:v>0</c:v>
                </c:pt>
                <c:pt idx="1">
                  <c:v>0</c:v>
                </c:pt>
                <c:pt idx="2">
                  <c:v>0</c:v>
                </c:pt>
                <c:pt idx="3">
                  <c:v>0</c:v>
                </c:pt>
                <c:pt idx="4">
                  <c:v>0</c:v>
                </c:pt>
              </c:numCache>
            </c:numRef>
          </c:xVal>
          <c:yVal>
            <c:numRef>
              <c:f>Symbole!$U$64:$Y$64</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B-4B1B-4507-991D-858168B14A33}"/>
            </c:ext>
          </c:extLst>
        </c:ser>
        <c:ser>
          <c:idx val="74"/>
          <c:order val="108"/>
          <c:tx>
            <c:v>LagerR14</c:v>
          </c:tx>
          <c:spPr>
            <a:ln w="12700">
              <a:solidFill>
                <a:srgbClr val="808080"/>
              </a:solidFill>
              <a:prstDash val="solid"/>
            </a:ln>
          </c:spPr>
          <c:marker>
            <c:symbol val="none"/>
          </c:marker>
          <c:xVal>
            <c:numRef>
              <c:f>Symbole!$P$65:$T$65</c:f>
              <c:numCache>
                <c:formatCode>General</c:formatCode>
                <c:ptCount val="5"/>
                <c:pt idx="0">
                  <c:v>0</c:v>
                </c:pt>
                <c:pt idx="1">
                  <c:v>0</c:v>
                </c:pt>
                <c:pt idx="2">
                  <c:v>0</c:v>
                </c:pt>
                <c:pt idx="3">
                  <c:v>0</c:v>
                </c:pt>
                <c:pt idx="4">
                  <c:v>0</c:v>
                </c:pt>
              </c:numCache>
            </c:numRef>
          </c:xVal>
          <c:yVal>
            <c:numRef>
              <c:f>Symbole!$U$65:$Y$65</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C-4B1B-4507-991D-858168B14A33}"/>
            </c:ext>
          </c:extLst>
        </c:ser>
        <c:ser>
          <c:idx val="75"/>
          <c:order val="109"/>
          <c:tx>
            <c:v>LagerR15</c:v>
          </c:tx>
          <c:spPr>
            <a:ln w="12700">
              <a:solidFill>
                <a:srgbClr val="808080"/>
              </a:solidFill>
              <a:prstDash val="solid"/>
            </a:ln>
          </c:spPr>
          <c:marker>
            <c:symbol val="none"/>
          </c:marker>
          <c:xVal>
            <c:numRef>
              <c:f>Symbole!$P$66:$T$66</c:f>
              <c:numCache>
                <c:formatCode>General</c:formatCode>
                <c:ptCount val="5"/>
                <c:pt idx="0">
                  <c:v>0</c:v>
                </c:pt>
                <c:pt idx="1">
                  <c:v>0</c:v>
                </c:pt>
                <c:pt idx="2">
                  <c:v>0</c:v>
                </c:pt>
                <c:pt idx="3">
                  <c:v>0</c:v>
                </c:pt>
                <c:pt idx="4">
                  <c:v>0</c:v>
                </c:pt>
              </c:numCache>
            </c:numRef>
          </c:xVal>
          <c:yVal>
            <c:numRef>
              <c:f>Symbole!$U$66:$Y$66</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D-4B1B-4507-991D-858168B14A33}"/>
            </c:ext>
          </c:extLst>
        </c:ser>
        <c:ser>
          <c:idx val="76"/>
          <c:order val="110"/>
          <c:tx>
            <c:v>LagerR16</c:v>
          </c:tx>
          <c:spPr>
            <a:ln w="12700">
              <a:solidFill>
                <a:srgbClr val="808080"/>
              </a:solidFill>
              <a:prstDash val="solid"/>
            </a:ln>
          </c:spPr>
          <c:marker>
            <c:symbol val="none"/>
          </c:marker>
          <c:xVal>
            <c:numRef>
              <c:f>Symbole!$P$67:$T$67</c:f>
              <c:numCache>
                <c:formatCode>General</c:formatCode>
                <c:ptCount val="5"/>
                <c:pt idx="0">
                  <c:v>0</c:v>
                </c:pt>
                <c:pt idx="1">
                  <c:v>0</c:v>
                </c:pt>
                <c:pt idx="2">
                  <c:v>0</c:v>
                </c:pt>
                <c:pt idx="3">
                  <c:v>0</c:v>
                </c:pt>
                <c:pt idx="4">
                  <c:v>0</c:v>
                </c:pt>
              </c:numCache>
            </c:numRef>
          </c:xVal>
          <c:yVal>
            <c:numRef>
              <c:f>Symbole!$U$67:$Y$67</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E-4B1B-4507-991D-858168B14A33}"/>
            </c:ext>
          </c:extLst>
        </c:ser>
        <c:ser>
          <c:idx val="77"/>
          <c:order val="111"/>
          <c:tx>
            <c:v>LagerR17</c:v>
          </c:tx>
          <c:spPr>
            <a:ln w="12700">
              <a:solidFill>
                <a:srgbClr val="808080"/>
              </a:solidFill>
              <a:prstDash val="solid"/>
            </a:ln>
          </c:spPr>
          <c:marker>
            <c:symbol val="none"/>
          </c:marker>
          <c:xVal>
            <c:numRef>
              <c:f>Symbole!$P$68:$T$68</c:f>
              <c:numCache>
                <c:formatCode>General</c:formatCode>
                <c:ptCount val="5"/>
                <c:pt idx="0">
                  <c:v>0</c:v>
                </c:pt>
                <c:pt idx="1">
                  <c:v>0</c:v>
                </c:pt>
                <c:pt idx="2">
                  <c:v>0</c:v>
                </c:pt>
                <c:pt idx="3">
                  <c:v>0</c:v>
                </c:pt>
                <c:pt idx="4">
                  <c:v>0</c:v>
                </c:pt>
              </c:numCache>
            </c:numRef>
          </c:xVal>
          <c:yVal>
            <c:numRef>
              <c:f>Symbole!$U$68:$Y$68</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6F-4B1B-4507-991D-858168B14A33}"/>
            </c:ext>
          </c:extLst>
        </c:ser>
        <c:ser>
          <c:idx val="78"/>
          <c:order val="112"/>
          <c:tx>
            <c:v>LagerR18</c:v>
          </c:tx>
          <c:spPr>
            <a:ln w="12700">
              <a:solidFill>
                <a:srgbClr val="808080"/>
              </a:solidFill>
              <a:prstDash val="solid"/>
            </a:ln>
          </c:spPr>
          <c:marker>
            <c:symbol val="none"/>
          </c:marker>
          <c:xVal>
            <c:numRef>
              <c:f>Symbole!$P$69:$T$69</c:f>
              <c:numCache>
                <c:formatCode>General</c:formatCode>
                <c:ptCount val="5"/>
                <c:pt idx="0">
                  <c:v>0</c:v>
                </c:pt>
                <c:pt idx="1">
                  <c:v>0</c:v>
                </c:pt>
                <c:pt idx="2">
                  <c:v>0</c:v>
                </c:pt>
                <c:pt idx="3">
                  <c:v>0</c:v>
                </c:pt>
                <c:pt idx="4">
                  <c:v>0</c:v>
                </c:pt>
              </c:numCache>
            </c:numRef>
          </c:xVal>
          <c:yVal>
            <c:numRef>
              <c:f>Symbole!$U$69:$Y$69</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70-4B1B-4507-991D-858168B14A33}"/>
            </c:ext>
          </c:extLst>
        </c:ser>
        <c:ser>
          <c:idx val="79"/>
          <c:order val="113"/>
          <c:tx>
            <c:v>LagerR19</c:v>
          </c:tx>
          <c:spPr>
            <a:ln w="12700">
              <a:solidFill>
                <a:srgbClr val="808080"/>
              </a:solidFill>
              <a:prstDash val="solid"/>
            </a:ln>
          </c:spPr>
          <c:marker>
            <c:symbol val="none"/>
          </c:marker>
          <c:xVal>
            <c:numRef>
              <c:f>Symbole!$P$70:$T$70</c:f>
              <c:numCache>
                <c:formatCode>General</c:formatCode>
                <c:ptCount val="5"/>
                <c:pt idx="0">
                  <c:v>0</c:v>
                </c:pt>
                <c:pt idx="1">
                  <c:v>0</c:v>
                </c:pt>
                <c:pt idx="2">
                  <c:v>0</c:v>
                </c:pt>
                <c:pt idx="3">
                  <c:v>0</c:v>
                </c:pt>
                <c:pt idx="4">
                  <c:v>0</c:v>
                </c:pt>
              </c:numCache>
            </c:numRef>
          </c:xVal>
          <c:yVal>
            <c:numRef>
              <c:f>Symbole!$U$70:$Y$70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71-4B1B-4507-991D-858168B14A33}"/>
            </c:ext>
          </c:extLst>
        </c:ser>
        <c:ser>
          <c:idx val="80"/>
          <c:order val="114"/>
          <c:tx>
            <c:v>LagerR20</c:v>
          </c:tx>
          <c:spPr>
            <a:ln w="12700">
              <a:solidFill>
                <a:srgbClr val="808080"/>
              </a:solidFill>
              <a:prstDash val="solid"/>
            </a:ln>
          </c:spPr>
          <c:marker>
            <c:symbol val="none"/>
          </c:marker>
          <c:xVal>
            <c:numRef>
              <c:f>Symbole!$P$71:$T$71</c:f>
              <c:numCache>
                <c:formatCode>General</c:formatCode>
                <c:ptCount val="5"/>
                <c:pt idx="0">
                  <c:v>0</c:v>
                </c:pt>
                <c:pt idx="1">
                  <c:v>0</c:v>
                </c:pt>
                <c:pt idx="2">
                  <c:v>0</c:v>
                </c:pt>
                <c:pt idx="3">
                  <c:v>0</c:v>
                </c:pt>
                <c:pt idx="4">
                  <c:v>0</c:v>
                </c:pt>
              </c:numCache>
            </c:numRef>
          </c:xVal>
          <c:yVal>
            <c:numRef>
              <c:f>Symbole!$U$71:$Y$71</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72-4B1B-4507-991D-858168B14A33}"/>
            </c:ext>
          </c:extLst>
        </c:ser>
        <c:ser>
          <c:idx val="0"/>
          <c:order val="115"/>
          <c:tx>
            <c:v>Verformt:1</c:v>
          </c:tx>
          <c:spPr>
            <a:ln w="25400">
              <a:solidFill>
                <a:srgbClr val="000080"/>
              </a:solidFill>
              <a:prstDash val="solid"/>
            </a:ln>
          </c:spPr>
          <c:marker>
            <c:symbol val="none"/>
          </c:marker>
          <c:xVal>
            <c:numRef>
              <c:f>PlotData!$BB$4:$BL$4</c:f>
              <c:numCache>
                <c:formatCode>General</c:formatCode>
                <c:ptCount val="11"/>
                <c:pt idx="0">
                  <c:v>23.626678459402886</c:v>
                </c:pt>
                <c:pt idx="1">
                  <c:v>37.722459951630356</c:v>
                </c:pt>
                <c:pt idx="2">
                  <c:v>49.778731126541693</c:v>
                </c:pt>
                <c:pt idx="3">
                  <c:v>60.022104241616468</c:v>
                </c:pt>
                <c:pt idx="4">
                  <c:v>68.679191554334238</c:v>
                </c:pt>
                <c:pt idx="5">
                  <c:v>75.976605322174606</c:v>
                </c:pt>
                <c:pt idx="6">
                  <c:v>82.140957802617109</c:v>
                </c:pt>
                <c:pt idx="7">
                  <c:v>87.39886125314132</c:v>
                </c:pt>
                <c:pt idx="8">
                  <c:v>91.97692793122684</c:v>
                </c:pt>
                <c:pt idx="9">
                  <c:v>96.101770094353199</c:v>
                </c:pt>
                <c:pt idx="10">
                  <c:v>100</c:v>
                </c:pt>
              </c:numCache>
            </c:numRef>
          </c:xVal>
          <c:yVal>
            <c:numRef>
              <c:f>PlotData!$BO$4:$BY$4</c:f>
              <c:numCache>
                <c:formatCode>General</c:formatCode>
                <c:ptCount val="11"/>
                <c:pt idx="0">
                  <c:v>-46.105451176718191</c:v>
                </c:pt>
                <c:pt idx="1">
                  <c:v>-48.106171843270054</c:v>
                </c:pt>
                <c:pt idx="2">
                  <c:v>-47.38754542006707</c:v>
                </c:pt>
                <c:pt idx="3">
                  <c:v>-44.251721583748669</c:v>
                </c:pt>
                <c:pt idx="4">
                  <c:v>-39.000850010954267</c:v>
                </c:pt>
                <c:pt idx="5">
                  <c:v>-31.937080378323309</c:v>
                </c:pt>
                <c:pt idx="6">
                  <c:v>-23.362562362495211</c:v>
                </c:pt>
                <c:pt idx="7">
                  <c:v>-13.579445640109405</c:v>
                </c:pt>
                <c:pt idx="8">
                  <c:v>-2.8898798878053196</c:v>
                </c:pt>
                <c:pt idx="9">
                  <c:v>8.403985217777624</c:v>
                </c:pt>
                <c:pt idx="10">
                  <c:v>19.999999999999993</c:v>
                </c:pt>
              </c:numCache>
            </c:numRef>
          </c:yVal>
          <c:smooth val="0"/>
          <c:extLst>
            <c:ext xmlns:c16="http://schemas.microsoft.com/office/drawing/2014/chart" uri="{C3380CC4-5D6E-409C-BE32-E72D297353CC}">
              <c16:uniqueId val="{00000073-4B1B-4507-991D-858168B14A33}"/>
            </c:ext>
          </c:extLst>
        </c:ser>
        <c:ser>
          <c:idx val="1"/>
          <c:order val="116"/>
          <c:tx>
            <c:v>Verformt:2</c:v>
          </c:tx>
          <c:spPr>
            <a:ln w="25400">
              <a:solidFill>
                <a:srgbClr val="000080"/>
              </a:solidFill>
              <a:prstDash val="solid"/>
            </a:ln>
          </c:spPr>
          <c:marker>
            <c:symbol val="none"/>
          </c:marker>
          <c:xVal>
            <c:numRef>
              <c:f>PlotData!$BB$5:$BL$5</c:f>
              <c:numCache>
                <c:formatCode>General</c:formatCode>
                <c:ptCount val="11"/>
                <c:pt idx="0">
                  <c:v>23.626678459402886</c:v>
                </c:pt>
                <c:pt idx="1">
                  <c:v>29.670344080636369</c:v>
                </c:pt>
                <c:pt idx="2">
                  <c:v>33.690957028025501</c:v>
                </c:pt>
                <c:pt idx="3">
                  <c:v>35.913300931997441</c:v>
                </c:pt>
                <c:pt idx="4">
                  <c:v>36.56215942297932</c:v>
                </c:pt>
                <c:pt idx="5">
                  <c:v>35.862316131398309</c:v>
                </c:pt>
                <c:pt idx="6">
                  <c:v>34.038554687681547</c:v>
                </c:pt>
                <c:pt idx="7">
                  <c:v>31.315658722256185</c:v>
                </c:pt>
                <c:pt idx="8">
                  <c:v>27.918411865549373</c:v>
                </c:pt>
                <c:pt idx="9">
                  <c:v>24.071597747988264</c:v>
                </c:pt>
                <c:pt idx="10">
                  <c:v>20.000000000000004</c:v>
                </c:pt>
              </c:numCache>
            </c:numRef>
          </c:xVal>
          <c:yVal>
            <c:numRef>
              <c:f>PlotData!$BO$5:$BY$5</c:f>
              <c:numCache>
                <c:formatCode>General</c:formatCode>
                <c:ptCount val="11"/>
                <c:pt idx="0">
                  <c:v>-46.105451176718191</c:v>
                </c:pt>
                <c:pt idx="1">
                  <c:v>-39.494906059046372</c:v>
                </c:pt>
                <c:pt idx="2">
                  <c:v>-32.884360941374553</c:v>
                </c:pt>
                <c:pt idx="3">
                  <c:v>-26.273815823702733</c:v>
                </c:pt>
                <c:pt idx="4">
                  <c:v>-19.663270706030914</c:v>
                </c:pt>
                <c:pt idx="5">
                  <c:v>-13.052725588359095</c:v>
                </c:pt>
                <c:pt idx="6">
                  <c:v>-6.4421804706872763</c:v>
                </c:pt>
                <c:pt idx="7">
                  <c:v>0.16836464698454257</c:v>
                </c:pt>
                <c:pt idx="8">
                  <c:v>6.7789097646563619</c:v>
                </c:pt>
                <c:pt idx="9">
                  <c:v>13.389454882328181</c:v>
                </c:pt>
                <c:pt idx="10">
                  <c:v>20</c:v>
                </c:pt>
              </c:numCache>
            </c:numRef>
          </c:yVal>
          <c:smooth val="0"/>
          <c:extLst>
            <c:ext xmlns:c16="http://schemas.microsoft.com/office/drawing/2014/chart" uri="{C3380CC4-5D6E-409C-BE32-E72D297353CC}">
              <c16:uniqueId val="{00000074-4B1B-4507-991D-858168B14A33}"/>
            </c:ext>
          </c:extLst>
        </c:ser>
        <c:ser>
          <c:idx val="2"/>
          <c:order val="117"/>
          <c:tx>
            <c:v>Verformt:3</c:v>
          </c:tx>
          <c:spPr>
            <a:ln w="25400">
              <a:solidFill>
                <a:srgbClr val="000080"/>
              </a:solidFill>
              <a:prstDash val="solid"/>
            </a:ln>
          </c:spPr>
          <c:marker>
            <c:symbol val="none"/>
          </c:marker>
          <c:xVal>
            <c:numRef>
              <c:f>PlotData!$BB$6:$BL$6</c:f>
              <c:numCache>
                <c:formatCode>General</c:formatCode>
                <c:ptCount val="11"/>
                <c:pt idx="0">
                  <c:v>23.626678459402886</c:v>
                </c:pt>
                <c:pt idx="1">
                  <c:v>21.141499125402699</c:v>
                </c:pt>
                <c:pt idx="2">
                  <c:v>20.589744471842486</c:v>
                </c:pt>
                <c:pt idx="3">
                  <c:v>21.756589534228901</c:v>
                </c:pt>
                <c:pt idx="4">
                  <c:v>24.427209348068637</c:v>
                </c:pt>
                <c:pt idx="5">
                  <c:v>28.38677894886834</c:v>
                </c:pt>
                <c:pt idx="6">
                  <c:v>33.420473372134694</c:v>
                </c:pt>
                <c:pt idx="7">
                  <c:v>39.313467653374367</c:v>
                </c:pt>
                <c:pt idx="8">
                  <c:v>45.850936828094028</c:v>
                </c:pt>
                <c:pt idx="9">
                  <c:v>52.818055931800345</c:v>
                </c:pt>
                <c:pt idx="10">
                  <c:v>59.999999999999993</c:v>
                </c:pt>
              </c:numCache>
            </c:numRef>
          </c:xVal>
          <c:yVal>
            <c:numRef>
              <c:f>PlotData!$BO$6:$BY$6</c:f>
              <c:numCache>
                <c:formatCode>General</c:formatCode>
                <c:ptCount val="11"/>
                <c:pt idx="0">
                  <c:v>-46.105451176718191</c:v>
                </c:pt>
                <c:pt idx="1">
                  <c:v>-55.576580384419636</c:v>
                </c:pt>
                <c:pt idx="2">
                  <c:v>-63.758759805161105</c:v>
                </c:pt>
                <c:pt idx="3">
                  <c:v>-70.795206081938147</c:v>
                </c:pt>
                <c:pt idx="4">
                  <c:v>-76.829135857746309</c:v>
                </c:pt>
                <c:pt idx="5">
                  <c:v>-82.003765775581172</c:v>
                </c:pt>
                <c:pt idx="6">
                  <c:v>-86.46231247843825</c:v>
                </c:pt>
                <c:pt idx="7">
                  <c:v>-90.347992609313124</c:v>
                </c:pt>
                <c:pt idx="8">
                  <c:v>-93.804022811201335</c:v>
                </c:pt>
                <c:pt idx="9">
                  <c:v>-96.973619727098452</c:v>
                </c:pt>
                <c:pt idx="10">
                  <c:v>-100</c:v>
                </c:pt>
              </c:numCache>
            </c:numRef>
          </c:yVal>
          <c:smooth val="0"/>
          <c:extLst>
            <c:ext xmlns:c16="http://schemas.microsoft.com/office/drawing/2014/chart" uri="{C3380CC4-5D6E-409C-BE32-E72D297353CC}">
              <c16:uniqueId val="{00000075-4B1B-4507-991D-858168B14A33}"/>
            </c:ext>
          </c:extLst>
        </c:ser>
        <c:ser>
          <c:idx val="3"/>
          <c:order val="118"/>
          <c:tx>
            <c:v>Verformt:4</c:v>
          </c:tx>
          <c:spPr>
            <a:ln w="25400">
              <a:solidFill>
                <a:srgbClr val="000080"/>
              </a:solidFill>
              <a:prstDash val="solid"/>
            </a:ln>
          </c:spPr>
          <c:marker>
            <c:symbol val="none"/>
          </c:marker>
          <c:xVal>
            <c:numRef>
              <c:f>PlotData!$BB$7:$BL$7</c:f>
              <c:numCache>
                <c:formatCode>General</c:formatCode>
                <c:ptCount val="11"/>
                <c:pt idx="0">
                  <c:v>23.626678459402882</c:v>
                </c:pt>
                <c:pt idx="1">
                  <c:v>13.453006223020493</c:v>
                </c:pt>
                <c:pt idx="2">
                  <c:v>4.1670195836198207</c:v>
                </c:pt>
                <c:pt idx="3">
                  <c:v>-4.3299131917971074</c:v>
                </c:pt>
                <c:pt idx="4">
                  <c:v>-12.13642383622825</c:v>
                </c:pt>
                <c:pt idx="5">
                  <c:v>-19.351144082671588</c:v>
                </c:pt>
                <c:pt idx="6">
                  <c:v>-26.072705664125081</c:v>
                </c:pt>
                <c:pt idx="7">
                  <c:v>-32.399740313586705</c:v>
                </c:pt>
                <c:pt idx="8">
                  <c:v>-38.430879764054417</c:v>
                </c:pt>
                <c:pt idx="9">
                  <c:v>-44.264755748526191</c:v>
                </c:pt>
                <c:pt idx="10">
                  <c:v>-50</c:v>
                </c:pt>
              </c:numCache>
            </c:numRef>
          </c:xVal>
          <c:yVal>
            <c:numRef>
              <c:f>PlotData!$BO$7:$BY$7</c:f>
              <c:numCache>
                <c:formatCode>General</c:formatCode>
                <c:ptCount val="11"/>
                <c:pt idx="0">
                  <c:v>-46.105451176718191</c:v>
                </c:pt>
                <c:pt idx="1">
                  <c:v>-41.935895814681466</c:v>
                </c:pt>
                <c:pt idx="2">
                  <c:v>-39.837606845602082</c:v>
                </c:pt>
                <c:pt idx="3">
                  <c:v>-39.580443559151441</c:v>
                </c:pt>
                <c:pt idx="4">
                  <c:v>-40.934265245000958</c:v>
                </c:pt>
                <c:pt idx="5">
                  <c:v>-43.668931192822029</c:v>
                </c:pt>
                <c:pt idx="6">
                  <c:v>-47.554300692286063</c:v>
                </c:pt>
                <c:pt idx="7">
                  <c:v>-52.360233033064468</c:v>
                </c:pt>
                <c:pt idx="8">
                  <c:v>-57.85658750482866</c:v>
                </c:pt>
                <c:pt idx="9">
                  <c:v>-63.813223397250027</c:v>
                </c:pt>
                <c:pt idx="10">
                  <c:v>-70</c:v>
                </c:pt>
              </c:numCache>
            </c:numRef>
          </c:yVal>
          <c:smooth val="0"/>
          <c:extLst>
            <c:ext xmlns:c16="http://schemas.microsoft.com/office/drawing/2014/chart" uri="{C3380CC4-5D6E-409C-BE32-E72D297353CC}">
              <c16:uniqueId val="{00000076-4B1B-4507-991D-858168B14A33}"/>
            </c:ext>
          </c:extLst>
        </c:ser>
        <c:ser>
          <c:idx val="4"/>
          <c:order val="119"/>
          <c:tx>
            <c:v>Verformt:5</c:v>
          </c:tx>
          <c:spPr>
            <a:ln w="25400">
              <a:solidFill>
                <a:srgbClr val="000080"/>
              </a:solidFill>
              <a:prstDash val="solid"/>
            </a:ln>
          </c:spPr>
          <c:marker>
            <c:symbol val="none"/>
          </c:marker>
          <c:xVal>
            <c:numRef>
              <c:f>PlotData!$BB$8:$BL$8</c:f>
              <c:numCache>
                <c:formatCode>General</c:formatCode>
                <c:ptCount val="11"/>
                <c:pt idx="0">
                  <c:v>23.626678459402882</c:v>
                </c:pt>
                <c:pt idx="1">
                  <c:v>25.409414910453346</c:v>
                </c:pt>
                <c:pt idx="2">
                  <c:v>22.725181583506732</c:v>
                </c:pt>
                <c:pt idx="3">
                  <c:v>16.07030845389604</c:v>
                </c:pt>
                <c:pt idx="4">
                  <c:v>5.9411254969542853</c:v>
                </c:pt>
                <c:pt idx="5">
                  <c:v>-7.1660373119855123</c:v>
                </c:pt>
                <c:pt idx="6">
                  <c:v>-22.754849997590355</c:v>
                </c:pt>
                <c:pt idx="7">
                  <c:v>-40.328982584527232</c:v>
                </c:pt>
                <c:pt idx="8">
                  <c:v>-59.392105097463137</c:v>
                </c:pt>
                <c:pt idx="9">
                  <c:v>-79.447887561065059</c:v>
                </c:pt>
                <c:pt idx="10">
                  <c:v>-99.999999999999986</c:v>
                </c:pt>
              </c:numCache>
            </c:numRef>
          </c:xVal>
          <c:yVal>
            <c:numRef>
              <c:f>PlotData!$BO$8:$BY$8</c:f>
              <c:numCache>
                <c:formatCode>General</c:formatCode>
                <c:ptCount val="11"/>
                <c:pt idx="0">
                  <c:v>-46.105451176718191</c:v>
                </c:pt>
                <c:pt idx="1">
                  <c:v>-19.370273804482871</c:v>
                </c:pt>
                <c:pt idx="2">
                  <c:v>3.5360723294692367</c:v>
                </c:pt>
                <c:pt idx="3">
                  <c:v>23.039012918280715</c:v>
                </c:pt>
                <c:pt idx="4">
                  <c:v>39.563973655094131</c:v>
                </c:pt>
                <c:pt idx="5">
                  <c:v>53.536380233052085</c:v>
                </c:pt>
                <c:pt idx="6">
                  <c:v>65.381658345297154</c:v>
                </c:pt>
                <c:pt idx="7">
                  <c:v>75.52523368497188</c:v>
                </c:pt>
                <c:pt idx="8">
                  <c:v>84.392531945218892</c:v>
                </c:pt>
                <c:pt idx="9">
                  <c:v>92.408978819180732</c:v>
                </c:pt>
                <c:pt idx="10">
                  <c:v>100.00000000000001</c:v>
                </c:pt>
              </c:numCache>
            </c:numRef>
          </c:yVal>
          <c:smooth val="0"/>
          <c:extLst>
            <c:ext xmlns:c16="http://schemas.microsoft.com/office/drawing/2014/chart" uri="{C3380CC4-5D6E-409C-BE32-E72D297353CC}">
              <c16:uniqueId val="{00000077-4B1B-4507-991D-858168B14A33}"/>
            </c:ext>
          </c:extLst>
        </c:ser>
        <c:ser>
          <c:idx val="5"/>
          <c:order val="120"/>
          <c:tx>
            <c:v>Verformt:6</c:v>
          </c:tx>
          <c:spPr>
            <a:ln w="25400">
              <a:solidFill>
                <a:srgbClr val="000080"/>
              </a:solidFill>
              <a:prstDash val="solid"/>
            </a:ln>
          </c:spPr>
          <c:marker>
            <c:symbol val="none"/>
          </c:marker>
          <c:xVal>
            <c:numRef>
              <c:f>PlotData!$BB$9:$BL$9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PlotData!$BO$9:$BY$9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8-4B1B-4507-991D-858168B14A33}"/>
            </c:ext>
          </c:extLst>
        </c:ser>
        <c:ser>
          <c:idx val="6"/>
          <c:order val="121"/>
          <c:tx>
            <c:v>Verformt:7</c:v>
          </c:tx>
          <c:spPr>
            <a:ln w="25400">
              <a:solidFill>
                <a:srgbClr val="000080"/>
              </a:solidFill>
              <a:prstDash val="solid"/>
            </a:ln>
          </c:spPr>
          <c:marker>
            <c:symbol val="none"/>
          </c:marker>
          <c:xVal>
            <c:numRef>
              <c:f>PlotData!$BB$10:$BL$10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PlotData!$BO$10:$BY$10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9-4B1B-4507-991D-858168B14A33}"/>
            </c:ext>
          </c:extLst>
        </c:ser>
        <c:ser>
          <c:idx val="7"/>
          <c:order val="122"/>
          <c:tx>
            <c:v>Verformt:8</c:v>
          </c:tx>
          <c:spPr>
            <a:ln w="25400">
              <a:solidFill>
                <a:srgbClr val="000080"/>
              </a:solidFill>
              <a:prstDash val="solid"/>
            </a:ln>
          </c:spPr>
          <c:marker>
            <c:symbol val="none"/>
          </c:marker>
          <c:xVal>
            <c:numRef>
              <c:f>PlotData!$BB$11:$BL$11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PlotData!$BO$11:$BY$11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A-4B1B-4507-991D-858168B14A33}"/>
            </c:ext>
          </c:extLst>
        </c:ser>
        <c:ser>
          <c:idx val="8"/>
          <c:order val="123"/>
          <c:tx>
            <c:v>Verformt:9</c:v>
          </c:tx>
          <c:spPr>
            <a:ln w="25400">
              <a:solidFill>
                <a:srgbClr val="000080"/>
              </a:solidFill>
              <a:prstDash val="solid"/>
            </a:ln>
          </c:spPr>
          <c:marker>
            <c:symbol val="none"/>
          </c:marker>
          <c:xVal>
            <c:numRef>
              <c:f>PlotData!$BB$12:$BL$12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PlotData!$BO$12:$BY$12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B-4B1B-4507-991D-858168B14A33}"/>
            </c:ext>
          </c:extLst>
        </c:ser>
        <c:ser>
          <c:idx val="9"/>
          <c:order val="124"/>
          <c:tx>
            <c:v>Verformt:10</c:v>
          </c:tx>
          <c:spPr>
            <a:ln w="25400">
              <a:solidFill>
                <a:srgbClr val="000080"/>
              </a:solidFill>
              <a:prstDash val="solid"/>
            </a:ln>
          </c:spPr>
          <c:marker>
            <c:symbol val="none"/>
          </c:marker>
          <c:xVal>
            <c:numRef>
              <c:f>PlotData!$BB$13:$BL$13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PlotData!$BO$13:$BY$13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C-4B1B-4507-991D-858168B14A33}"/>
            </c:ext>
          </c:extLst>
        </c:ser>
        <c:ser>
          <c:idx val="10"/>
          <c:order val="125"/>
          <c:tx>
            <c:v>Verformt:11</c:v>
          </c:tx>
          <c:spPr>
            <a:ln w="25400">
              <a:solidFill>
                <a:srgbClr val="000080"/>
              </a:solidFill>
              <a:prstDash val="solid"/>
            </a:ln>
          </c:spPr>
          <c:marker>
            <c:symbol val="none"/>
          </c:marker>
          <c:xVal>
            <c:numRef>
              <c:f>PlotData!$BB$14:$BL$14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PlotData!$BO$14:$BY$14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D-4B1B-4507-991D-858168B14A33}"/>
            </c:ext>
          </c:extLst>
        </c:ser>
        <c:ser>
          <c:idx val="11"/>
          <c:order val="126"/>
          <c:tx>
            <c:v>Verformt:12</c:v>
          </c:tx>
          <c:spPr>
            <a:ln w="25400">
              <a:solidFill>
                <a:srgbClr val="000080"/>
              </a:solidFill>
              <a:prstDash val="solid"/>
            </a:ln>
          </c:spPr>
          <c:marker>
            <c:symbol val="none"/>
          </c:marker>
          <c:xVal>
            <c:numRef>
              <c:f>PlotData!$BB$15:$BL$15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PlotData!$BO$15:$BY$15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E-4B1B-4507-991D-858168B14A33}"/>
            </c:ext>
          </c:extLst>
        </c:ser>
        <c:ser>
          <c:idx val="12"/>
          <c:order val="127"/>
          <c:tx>
            <c:v>Verformt:13</c:v>
          </c:tx>
          <c:spPr>
            <a:ln w="25400">
              <a:solidFill>
                <a:srgbClr val="000080"/>
              </a:solidFill>
              <a:prstDash val="solid"/>
            </a:ln>
          </c:spPr>
          <c:marker>
            <c:symbol val="none"/>
          </c:marker>
          <c:xVal>
            <c:numRef>
              <c:f>PlotData!$BB$16:$BL$16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PlotData!$BO$16:$BY$16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7F-4B1B-4507-991D-858168B14A33}"/>
            </c:ext>
          </c:extLst>
        </c:ser>
        <c:ser>
          <c:idx val="13"/>
          <c:order val="128"/>
          <c:tx>
            <c:v>Verformt:14</c:v>
          </c:tx>
          <c:spPr>
            <a:ln w="25400">
              <a:solidFill>
                <a:srgbClr val="000080"/>
              </a:solidFill>
              <a:prstDash val="solid"/>
            </a:ln>
          </c:spPr>
          <c:marker>
            <c:symbol val="none"/>
          </c:marker>
          <c:xVal>
            <c:numRef>
              <c:f>PlotData!$BB$17:$BL$17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PlotData!$BO$17:$BY$17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0-4B1B-4507-991D-858168B14A33}"/>
            </c:ext>
          </c:extLst>
        </c:ser>
        <c:ser>
          <c:idx val="14"/>
          <c:order val="129"/>
          <c:tx>
            <c:v>Verformt:15</c:v>
          </c:tx>
          <c:spPr>
            <a:ln w="25400">
              <a:solidFill>
                <a:srgbClr val="000080"/>
              </a:solidFill>
              <a:prstDash val="solid"/>
            </a:ln>
          </c:spPr>
          <c:marker>
            <c:symbol val="none"/>
          </c:marker>
          <c:xVal>
            <c:numRef>
              <c:f>PlotData!$BB$18:$BL$18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PlotData!$BO$18:$BY$18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1-4B1B-4507-991D-858168B14A33}"/>
            </c:ext>
          </c:extLst>
        </c:ser>
        <c:ser>
          <c:idx val="15"/>
          <c:order val="130"/>
          <c:tx>
            <c:v>Verformt:16</c:v>
          </c:tx>
          <c:spPr>
            <a:ln w="25400">
              <a:solidFill>
                <a:srgbClr val="000080"/>
              </a:solidFill>
              <a:prstDash val="solid"/>
            </a:ln>
          </c:spPr>
          <c:marker>
            <c:symbol val="none"/>
          </c:marker>
          <c:xVal>
            <c:numRef>
              <c:f>PlotData!$BB$19:$BL$19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PlotData!$BO$19:$BY$19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2-4B1B-4507-991D-858168B14A33}"/>
            </c:ext>
          </c:extLst>
        </c:ser>
        <c:ser>
          <c:idx val="16"/>
          <c:order val="131"/>
          <c:tx>
            <c:v>Verformt:17</c:v>
          </c:tx>
          <c:spPr>
            <a:ln w="25400">
              <a:solidFill>
                <a:srgbClr val="000080"/>
              </a:solidFill>
              <a:prstDash val="solid"/>
            </a:ln>
          </c:spPr>
          <c:marker>
            <c:symbol val="none"/>
          </c:marker>
          <c:xVal>
            <c:numRef>
              <c:f>PlotData!$BB$20:$BL$20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PlotData!$BO$20:$BY$20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3-4B1B-4507-991D-858168B14A33}"/>
            </c:ext>
          </c:extLst>
        </c:ser>
        <c:ser>
          <c:idx val="17"/>
          <c:order val="132"/>
          <c:tx>
            <c:v>Verformt:18</c:v>
          </c:tx>
          <c:spPr>
            <a:ln w="25400">
              <a:solidFill>
                <a:srgbClr val="000080"/>
              </a:solidFill>
              <a:prstDash val="solid"/>
            </a:ln>
          </c:spPr>
          <c:marker>
            <c:symbol val="none"/>
          </c:marker>
          <c:xVal>
            <c:numRef>
              <c:f>PlotData!$BB$21:$BL$21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PlotData!$BO$21:$BY$21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4-4B1B-4507-991D-858168B14A33}"/>
            </c:ext>
          </c:extLst>
        </c:ser>
        <c:ser>
          <c:idx val="18"/>
          <c:order val="133"/>
          <c:tx>
            <c:v>Verformt:19</c:v>
          </c:tx>
          <c:spPr>
            <a:ln w="25400">
              <a:solidFill>
                <a:srgbClr val="000080"/>
              </a:solidFill>
              <a:prstDash val="solid"/>
            </a:ln>
          </c:spPr>
          <c:marker>
            <c:symbol val="none"/>
          </c:marker>
          <c:xVal>
            <c:numRef>
              <c:f>PlotData!$BB$22:$BL$22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PlotData!$BO$22:$BY$22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5-4B1B-4507-991D-858168B14A33}"/>
            </c:ext>
          </c:extLst>
        </c:ser>
        <c:ser>
          <c:idx val="19"/>
          <c:order val="134"/>
          <c:tx>
            <c:v>Verformt:20</c:v>
          </c:tx>
          <c:spPr>
            <a:ln w="25400">
              <a:solidFill>
                <a:srgbClr val="000080"/>
              </a:solidFill>
              <a:prstDash val="solid"/>
            </a:ln>
          </c:spPr>
          <c:marker>
            <c:symbol val="none"/>
          </c:marker>
          <c:xVal>
            <c:numRef>
              <c:f>PlotData!$BB$23:$BL$23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PlotData!$BO$23:$BY$23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6-4B1B-4507-991D-858168B14A33}"/>
            </c:ext>
          </c:extLst>
        </c:ser>
        <c:ser>
          <c:idx val="81"/>
          <c:order val="135"/>
          <c:tx>
            <c:v>Verformt:21</c:v>
          </c:tx>
          <c:spPr>
            <a:ln w="25400">
              <a:solidFill>
                <a:srgbClr val="000080"/>
              </a:solidFill>
              <a:prstDash val="solid"/>
            </a:ln>
          </c:spPr>
          <c:marker>
            <c:symbol val="none"/>
          </c:marker>
          <c:xVal>
            <c:numRef>
              <c:f>PlotData!$BB$24:$BL$24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PlotData!$BO$24:$BY$24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7-4B1B-4507-991D-858168B14A33}"/>
            </c:ext>
          </c:extLst>
        </c:ser>
        <c:ser>
          <c:idx val="82"/>
          <c:order val="136"/>
          <c:tx>
            <c:v>Verformt:22</c:v>
          </c:tx>
          <c:spPr>
            <a:ln w="25400">
              <a:solidFill>
                <a:srgbClr val="000080"/>
              </a:solidFill>
              <a:prstDash val="solid"/>
            </a:ln>
          </c:spPr>
          <c:marker>
            <c:symbol val="none"/>
          </c:marker>
          <c:xVal>
            <c:numRef>
              <c:f>PlotData!$BB$25:$BL$25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PlotData!$BO$25:$BY$25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8-4B1B-4507-991D-858168B14A33}"/>
            </c:ext>
          </c:extLst>
        </c:ser>
        <c:ser>
          <c:idx val="83"/>
          <c:order val="137"/>
          <c:tx>
            <c:v>Verformt:23</c:v>
          </c:tx>
          <c:spPr>
            <a:ln w="25400">
              <a:solidFill>
                <a:srgbClr val="000080"/>
              </a:solidFill>
              <a:prstDash val="solid"/>
            </a:ln>
          </c:spPr>
          <c:marker>
            <c:symbol val="none"/>
          </c:marker>
          <c:xVal>
            <c:numRef>
              <c:f>PlotData!$BB$26:$BL$26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PlotData!$BO$26:$BY$26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9-4B1B-4507-991D-858168B14A33}"/>
            </c:ext>
          </c:extLst>
        </c:ser>
        <c:ser>
          <c:idx val="84"/>
          <c:order val="138"/>
          <c:tx>
            <c:v>Verformt:24</c:v>
          </c:tx>
          <c:spPr>
            <a:ln w="25400">
              <a:solidFill>
                <a:srgbClr val="000080"/>
              </a:solidFill>
              <a:prstDash val="solid"/>
            </a:ln>
          </c:spPr>
          <c:marker>
            <c:symbol val="none"/>
          </c:marker>
          <c:xVal>
            <c:numRef>
              <c:f>PlotData!$BB$27:$BL$27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PlotData!$BO$27:$BY$27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A-4B1B-4507-991D-858168B14A33}"/>
            </c:ext>
          </c:extLst>
        </c:ser>
        <c:ser>
          <c:idx val="85"/>
          <c:order val="139"/>
          <c:tx>
            <c:v>Verformt:25</c:v>
          </c:tx>
          <c:spPr>
            <a:ln w="25400">
              <a:solidFill>
                <a:srgbClr val="000080"/>
              </a:solidFill>
              <a:prstDash val="solid"/>
            </a:ln>
          </c:spPr>
          <c:marker>
            <c:symbol val="none"/>
          </c:marker>
          <c:xVal>
            <c:numRef>
              <c:f>PlotData!$BB$28:$BL$28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PlotData!$BO$28:$BY$28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B-4B1B-4507-991D-858168B14A33}"/>
            </c:ext>
          </c:extLst>
        </c:ser>
        <c:ser>
          <c:idx val="86"/>
          <c:order val="140"/>
          <c:tx>
            <c:v>Verformt:26</c:v>
          </c:tx>
          <c:spPr>
            <a:ln w="25400">
              <a:solidFill>
                <a:srgbClr val="000080"/>
              </a:solidFill>
              <a:prstDash val="solid"/>
            </a:ln>
          </c:spPr>
          <c:marker>
            <c:symbol val="none"/>
          </c:marker>
          <c:xVal>
            <c:numRef>
              <c:f>PlotData!$BB$29:$BL$29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PlotData!$BO$29:$BY$29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C-4B1B-4507-991D-858168B14A33}"/>
            </c:ext>
          </c:extLst>
        </c:ser>
        <c:ser>
          <c:idx val="87"/>
          <c:order val="141"/>
          <c:tx>
            <c:v>Verformt:27</c:v>
          </c:tx>
          <c:spPr>
            <a:ln w="25400">
              <a:solidFill>
                <a:srgbClr val="000080"/>
              </a:solidFill>
              <a:prstDash val="solid"/>
            </a:ln>
          </c:spPr>
          <c:marker>
            <c:symbol val="none"/>
          </c:marker>
          <c:xVal>
            <c:numRef>
              <c:f>PlotData!$BB$30:$BL$30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PlotData!$BO$30:$BY$30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D-4B1B-4507-991D-858168B14A33}"/>
            </c:ext>
          </c:extLst>
        </c:ser>
        <c:ser>
          <c:idx val="88"/>
          <c:order val="142"/>
          <c:tx>
            <c:v>Verformt:28</c:v>
          </c:tx>
          <c:spPr>
            <a:ln w="25400">
              <a:solidFill>
                <a:srgbClr val="000080"/>
              </a:solidFill>
              <a:prstDash val="solid"/>
            </a:ln>
          </c:spPr>
          <c:marker>
            <c:symbol val="none"/>
          </c:marker>
          <c:xVal>
            <c:numRef>
              <c:f>PlotData!$BB$31:$BL$31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PlotData!$BO$31:$BY$31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E-4B1B-4507-991D-858168B14A33}"/>
            </c:ext>
          </c:extLst>
        </c:ser>
        <c:ser>
          <c:idx val="89"/>
          <c:order val="143"/>
          <c:tx>
            <c:v>Verformt:29</c:v>
          </c:tx>
          <c:spPr>
            <a:ln w="25400">
              <a:solidFill>
                <a:srgbClr val="000080"/>
              </a:solidFill>
              <a:prstDash val="solid"/>
            </a:ln>
          </c:spPr>
          <c:marker>
            <c:symbol val="none"/>
          </c:marker>
          <c:xVal>
            <c:numRef>
              <c:f>PlotData!$BB$32:$BL$32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PlotData!$BO$32:$BY$32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8F-4B1B-4507-991D-858168B14A33}"/>
            </c:ext>
          </c:extLst>
        </c:ser>
        <c:ser>
          <c:idx val="90"/>
          <c:order val="144"/>
          <c:tx>
            <c:v>Verformt:30</c:v>
          </c:tx>
          <c:spPr>
            <a:ln w="25400">
              <a:solidFill>
                <a:srgbClr val="000080"/>
              </a:solidFill>
              <a:prstDash val="solid"/>
            </a:ln>
          </c:spPr>
          <c:marker>
            <c:symbol val="none"/>
          </c:marker>
          <c:xVal>
            <c:numRef>
              <c:f>PlotData!$BB$33:$BL$33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PlotData!$BO$33:$BY$33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0-4B1B-4507-991D-858168B14A33}"/>
            </c:ext>
          </c:extLst>
        </c:ser>
        <c:ser>
          <c:idx val="91"/>
          <c:order val="145"/>
          <c:tx>
            <c:v>Verformt:31</c:v>
          </c:tx>
          <c:spPr>
            <a:ln w="25400">
              <a:solidFill>
                <a:srgbClr val="000080"/>
              </a:solidFill>
              <a:prstDash val="solid"/>
            </a:ln>
          </c:spPr>
          <c:marker>
            <c:symbol val="none"/>
          </c:marker>
          <c:xVal>
            <c:numRef>
              <c:f>PlotData!$BB$34:$BL$34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PlotData!$BO$34:$BY$34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1-4B1B-4507-991D-858168B14A33}"/>
            </c:ext>
          </c:extLst>
        </c:ser>
        <c:ser>
          <c:idx val="92"/>
          <c:order val="146"/>
          <c:tx>
            <c:v>Verformt:32</c:v>
          </c:tx>
          <c:spPr>
            <a:ln w="25400">
              <a:solidFill>
                <a:srgbClr val="000080"/>
              </a:solidFill>
              <a:prstDash val="solid"/>
            </a:ln>
          </c:spPr>
          <c:marker>
            <c:symbol val="none"/>
          </c:marker>
          <c:xVal>
            <c:numRef>
              <c:f>PlotData!$BB$35:$BL$35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PlotData!$BO$35:$BY$35</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2-4B1B-4507-991D-858168B14A33}"/>
            </c:ext>
          </c:extLst>
        </c:ser>
        <c:ser>
          <c:idx val="93"/>
          <c:order val="147"/>
          <c:tx>
            <c:v>Verformt:33</c:v>
          </c:tx>
          <c:spPr>
            <a:ln w="25400">
              <a:solidFill>
                <a:srgbClr val="000080"/>
              </a:solidFill>
              <a:prstDash val="solid"/>
            </a:ln>
          </c:spPr>
          <c:marker>
            <c:symbol val="none"/>
          </c:marker>
          <c:xVal>
            <c:numRef>
              <c:f>PlotData!$BB$36:$BL$36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PlotData!$BO$36:$BY$36</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3-4B1B-4507-991D-858168B14A33}"/>
            </c:ext>
          </c:extLst>
        </c:ser>
        <c:ser>
          <c:idx val="94"/>
          <c:order val="148"/>
          <c:tx>
            <c:v>Verformt:34</c:v>
          </c:tx>
          <c:spPr>
            <a:ln w="25400">
              <a:solidFill>
                <a:srgbClr val="000080"/>
              </a:solidFill>
              <a:prstDash val="solid"/>
            </a:ln>
          </c:spPr>
          <c:marker>
            <c:symbol val="none"/>
          </c:marker>
          <c:xVal>
            <c:numRef>
              <c:f>PlotData!$BB$37:$BL$37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PlotData!$BO$37:$BY$37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4-4B1B-4507-991D-858168B14A33}"/>
            </c:ext>
          </c:extLst>
        </c:ser>
        <c:ser>
          <c:idx val="95"/>
          <c:order val="149"/>
          <c:tx>
            <c:v>Verformt:35</c:v>
          </c:tx>
          <c:spPr>
            <a:ln w="25400">
              <a:solidFill>
                <a:srgbClr val="000080"/>
              </a:solidFill>
              <a:prstDash val="solid"/>
            </a:ln>
          </c:spPr>
          <c:marker>
            <c:symbol val="none"/>
          </c:marker>
          <c:xVal>
            <c:numRef>
              <c:f>PlotData!$BB$38:$BL$38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PlotData!$BO$38:$BY$38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5-4B1B-4507-991D-858168B14A33}"/>
            </c:ext>
          </c:extLst>
        </c:ser>
        <c:ser>
          <c:idx val="96"/>
          <c:order val="150"/>
          <c:tx>
            <c:v>Verformt:36</c:v>
          </c:tx>
          <c:spPr>
            <a:ln w="25400">
              <a:solidFill>
                <a:srgbClr val="000080"/>
              </a:solidFill>
              <a:prstDash val="solid"/>
            </a:ln>
          </c:spPr>
          <c:marker>
            <c:symbol val="none"/>
          </c:marker>
          <c:xVal>
            <c:numRef>
              <c:f>PlotData!$BB$39:$BL$39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PlotData!$BO$39:$BY$39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6-4B1B-4507-991D-858168B14A33}"/>
            </c:ext>
          </c:extLst>
        </c:ser>
        <c:ser>
          <c:idx val="97"/>
          <c:order val="151"/>
          <c:tx>
            <c:v>Verformt:37</c:v>
          </c:tx>
          <c:spPr>
            <a:ln w="25400">
              <a:solidFill>
                <a:srgbClr val="000080"/>
              </a:solidFill>
              <a:prstDash val="solid"/>
            </a:ln>
          </c:spPr>
          <c:marker>
            <c:symbol val="none"/>
          </c:marker>
          <c:xVal>
            <c:numRef>
              <c:f>PlotData!$BB$40:$BL$40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PlotData!$BO$40:$BY$40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7-4B1B-4507-991D-858168B14A33}"/>
            </c:ext>
          </c:extLst>
        </c:ser>
        <c:ser>
          <c:idx val="98"/>
          <c:order val="152"/>
          <c:tx>
            <c:v>Verformt:38</c:v>
          </c:tx>
          <c:spPr>
            <a:ln w="25400">
              <a:solidFill>
                <a:srgbClr val="000080"/>
              </a:solidFill>
              <a:prstDash val="solid"/>
            </a:ln>
          </c:spPr>
          <c:marker>
            <c:symbol val="none"/>
          </c:marker>
          <c:xVal>
            <c:numRef>
              <c:f>PlotData!$BB$41:$BL$41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PlotData!$BO$41:$BY$41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8-4B1B-4507-991D-858168B14A33}"/>
            </c:ext>
          </c:extLst>
        </c:ser>
        <c:ser>
          <c:idx val="99"/>
          <c:order val="153"/>
          <c:tx>
            <c:v>Verformt:39</c:v>
          </c:tx>
          <c:spPr>
            <a:ln w="25400">
              <a:solidFill>
                <a:srgbClr val="000080"/>
              </a:solidFill>
              <a:prstDash val="solid"/>
            </a:ln>
          </c:spPr>
          <c:marker>
            <c:symbol val="none"/>
          </c:marker>
          <c:xVal>
            <c:numRef>
              <c:f>PlotData!$BB$42:$BL$42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PlotData!$BO$42:$BY$42</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9-4B1B-4507-991D-858168B14A33}"/>
            </c:ext>
          </c:extLst>
        </c:ser>
        <c:ser>
          <c:idx val="100"/>
          <c:order val="154"/>
          <c:tx>
            <c:v>Verformt:40</c:v>
          </c:tx>
          <c:spPr>
            <a:ln w="25400">
              <a:solidFill>
                <a:srgbClr val="000080"/>
              </a:solidFill>
              <a:prstDash val="solid"/>
            </a:ln>
          </c:spPr>
          <c:marker>
            <c:symbol val="none"/>
          </c:marker>
          <c:xVal>
            <c:numRef>
              <c:f>PlotData!$BB$43:$BL$43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xVal>
          <c:yVal>
            <c:numRef>
              <c:f>PlotData!$BO$43:$BY$43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yVal>
          <c:smooth val="0"/>
          <c:extLst>
            <c:ext xmlns:c16="http://schemas.microsoft.com/office/drawing/2014/chart" uri="{C3380CC4-5D6E-409C-BE32-E72D297353CC}">
              <c16:uniqueId val="{0000009A-4B1B-4507-991D-858168B14A33}"/>
            </c:ext>
          </c:extLst>
        </c:ser>
        <c:ser>
          <c:idx val="101"/>
          <c:order val="155"/>
          <c:tx>
            <c:v>Rotzeigeru1</c:v>
          </c:tx>
          <c:spPr>
            <a:ln>
              <a:solidFill>
                <a:srgbClr val="8064A2">
                  <a:lumMod val="60000"/>
                  <a:lumOff val="40000"/>
                </a:srgbClr>
              </a:solidFill>
              <a:tailEnd type="triangle"/>
            </a:ln>
          </c:spPr>
          <c:marker>
            <c:symbol val="none"/>
          </c:marker>
          <c:xVal>
            <c:numRef>
              <c:f>Symbole!$Q$75:$R$75</c:f>
              <c:numCache>
                <c:formatCode>General</c:formatCode>
                <c:ptCount val="2"/>
                <c:pt idx="0">
                  <c:v>23.626678459402886</c:v>
                </c:pt>
                <c:pt idx="1">
                  <c:v>23.626678459402886</c:v>
                </c:pt>
              </c:numCache>
            </c:numRef>
          </c:xVal>
          <c:yVal>
            <c:numRef>
              <c:f>Symbole!$U$75:$V$75</c:f>
              <c:numCache>
                <c:formatCode>General</c:formatCode>
                <c:ptCount val="2"/>
                <c:pt idx="0">
                  <c:v>-46.105451176718191</c:v>
                </c:pt>
                <c:pt idx="1">
                  <c:v>-46.105451176718191</c:v>
                </c:pt>
              </c:numCache>
            </c:numRef>
          </c:yVal>
          <c:smooth val="0"/>
          <c:extLst>
            <c:ext xmlns:c16="http://schemas.microsoft.com/office/drawing/2014/chart" uri="{C3380CC4-5D6E-409C-BE32-E72D297353CC}">
              <c16:uniqueId val="{0000009B-4B1B-4507-991D-858168B14A33}"/>
            </c:ext>
          </c:extLst>
        </c:ser>
        <c:ser>
          <c:idx val="102"/>
          <c:order val="156"/>
          <c:tx>
            <c:v>Rotzeigeru2</c:v>
          </c:tx>
          <c:spPr>
            <a:ln>
              <a:solidFill>
                <a:srgbClr val="8064A2">
                  <a:lumMod val="60000"/>
                  <a:lumOff val="40000"/>
                </a:srgbClr>
              </a:solidFill>
              <a:tailEnd type="triangle"/>
            </a:ln>
          </c:spPr>
          <c:marker>
            <c:symbol val="none"/>
          </c:marker>
          <c:xVal>
            <c:numRef>
              <c:f>Symbole!$Q$76:$R$76</c:f>
              <c:numCache>
                <c:formatCode>General</c:formatCode>
                <c:ptCount val="2"/>
                <c:pt idx="0">
                  <c:v>100</c:v>
                </c:pt>
                <c:pt idx="1">
                  <c:v>100</c:v>
                </c:pt>
              </c:numCache>
            </c:numRef>
          </c:xVal>
          <c:yVal>
            <c:numRef>
              <c:f>Symbole!$U$76:$V$76</c:f>
              <c:numCache>
                <c:formatCode>General</c:formatCode>
                <c:ptCount val="2"/>
                <c:pt idx="0">
                  <c:v>20</c:v>
                </c:pt>
                <c:pt idx="1">
                  <c:v>20</c:v>
                </c:pt>
              </c:numCache>
            </c:numRef>
          </c:yVal>
          <c:smooth val="0"/>
          <c:extLst>
            <c:ext xmlns:c16="http://schemas.microsoft.com/office/drawing/2014/chart" uri="{C3380CC4-5D6E-409C-BE32-E72D297353CC}">
              <c16:uniqueId val="{0000009C-4B1B-4507-991D-858168B14A33}"/>
            </c:ext>
          </c:extLst>
        </c:ser>
        <c:ser>
          <c:idx val="103"/>
          <c:order val="157"/>
          <c:tx>
            <c:v>Rotzeigeru3</c:v>
          </c:tx>
          <c:spPr>
            <a:ln>
              <a:solidFill>
                <a:srgbClr val="8064A2">
                  <a:lumMod val="60000"/>
                  <a:lumOff val="40000"/>
                </a:srgbClr>
              </a:solidFill>
              <a:tailEnd type="triangle"/>
            </a:ln>
          </c:spPr>
          <c:marker>
            <c:symbol val="none"/>
          </c:marker>
          <c:xVal>
            <c:numRef>
              <c:f>Symbole!$Q$77:$R$77</c:f>
              <c:numCache>
                <c:formatCode>General</c:formatCode>
                <c:ptCount val="2"/>
                <c:pt idx="0">
                  <c:v>20</c:v>
                </c:pt>
                <c:pt idx="1">
                  <c:v>20</c:v>
                </c:pt>
              </c:numCache>
            </c:numRef>
          </c:xVal>
          <c:yVal>
            <c:numRef>
              <c:f>Symbole!$U$77:$V$77</c:f>
              <c:numCache>
                <c:formatCode>General</c:formatCode>
                <c:ptCount val="2"/>
                <c:pt idx="0">
                  <c:v>20</c:v>
                </c:pt>
                <c:pt idx="1">
                  <c:v>20</c:v>
                </c:pt>
              </c:numCache>
            </c:numRef>
          </c:yVal>
          <c:smooth val="0"/>
          <c:extLst>
            <c:ext xmlns:c16="http://schemas.microsoft.com/office/drawing/2014/chart" uri="{C3380CC4-5D6E-409C-BE32-E72D297353CC}">
              <c16:uniqueId val="{0000009D-4B1B-4507-991D-858168B14A33}"/>
            </c:ext>
          </c:extLst>
        </c:ser>
        <c:ser>
          <c:idx val="104"/>
          <c:order val="158"/>
          <c:tx>
            <c:v>Rotzeigeru4</c:v>
          </c:tx>
          <c:spPr>
            <a:ln>
              <a:solidFill>
                <a:srgbClr val="8064A2">
                  <a:lumMod val="60000"/>
                  <a:lumOff val="40000"/>
                </a:srgbClr>
              </a:solidFill>
              <a:tailEnd type="triangle"/>
            </a:ln>
          </c:spPr>
          <c:marker>
            <c:symbol val="none"/>
          </c:marker>
          <c:xVal>
            <c:numRef>
              <c:f>Symbole!$Q$78:$R$78</c:f>
              <c:numCache>
                <c:formatCode>General</c:formatCode>
                <c:ptCount val="2"/>
                <c:pt idx="0">
                  <c:v>60</c:v>
                </c:pt>
                <c:pt idx="1">
                  <c:v>60</c:v>
                </c:pt>
              </c:numCache>
            </c:numRef>
          </c:xVal>
          <c:yVal>
            <c:numRef>
              <c:f>Symbole!$U$78:$V$78</c:f>
              <c:numCache>
                <c:formatCode>General</c:formatCode>
                <c:ptCount val="2"/>
                <c:pt idx="0">
                  <c:v>-100</c:v>
                </c:pt>
                <c:pt idx="1">
                  <c:v>-100</c:v>
                </c:pt>
              </c:numCache>
            </c:numRef>
          </c:yVal>
          <c:smooth val="0"/>
          <c:extLst>
            <c:ext xmlns:c16="http://schemas.microsoft.com/office/drawing/2014/chart" uri="{C3380CC4-5D6E-409C-BE32-E72D297353CC}">
              <c16:uniqueId val="{0000009E-4B1B-4507-991D-858168B14A33}"/>
            </c:ext>
          </c:extLst>
        </c:ser>
        <c:ser>
          <c:idx val="105"/>
          <c:order val="159"/>
          <c:tx>
            <c:v>Rotzeigeru5</c:v>
          </c:tx>
          <c:spPr>
            <a:ln>
              <a:solidFill>
                <a:srgbClr val="8064A2">
                  <a:lumMod val="60000"/>
                  <a:lumOff val="40000"/>
                </a:srgbClr>
              </a:solidFill>
              <a:tailEnd type="triangle"/>
            </a:ln>
          </c:spPr>
          <c:marker>
            <c:symbol val="none"/>
          </c:marker>
          <c:xVal>
            <c:numRef>
              <c:f>Symbole!$Q$79:$R$79</c:f>
              <c:numCache>
                <c:formatCode>General</c:formatCode>
                <c:ptCount val="2"/>
                <c:pt idx="0">
                  <c:v>-50</c:v>
                </c:pt>
                <c:pt idx="1">
                  <c:v>-50</c:v>
                </c:pt>
              </c:numCache>
            </c:numRef>
          </c:xVal>
          <c:yVal>
            <c:numRef>
              <c:f>Symbole!$U$79:$V$79</c:f>
              <c:numCache>
                <c:formatCode>General</c:formatCode>
                <c:ptCount val="2"/>
                <c:pt idx="0">
                  <c:v>-70</c:v>
                </c:pt>
                <c:pt idx="1">
                  <c:v>-70</c:v>
                </c:pt>
              </c:numCache>
            </c:numRef>
          </c:yVal>
          <c:smooth val="0"/>
          <c:extLst>
            <c:ext xmlns:c16="http://schemas.microsoft.com/office/drawing/2014/chart" uri="{C3380CC4-5D6E-409C-BE32-E72D297353CC}">
              <c16:uniqueId val="{0000009F-4B1B-4507-991D-858168B14A33}"/>
            </c:ext>
          </c:extLst>
        </c:ser>
        <c:ser>
          <c:idx val="106"/>
          <c:order val="160"/>
          <c:tx>
            <c:v>Rotzeigeru6</c:v>
          </c:tx>
          <c:spPr>
            <a:ln>
              <a:solidFill>
                <a:srgbClr val="8064A2">
                  <a:lumMod val="60000"/>
                  <a:lumOff val="40000"/>
                </a:srgbClr>
              </a:solidFill>
              <a:tailEnd type="triangle"/>
            </a:ln>
          </c:spPr>
          <c:marker>
            <c:symbol val="none"/>
          </c:marker>
          <c:xVal>
            <c:numRef>
              <c:f>Symbole!$Q$80:$R$80</c:f>
              <c:numCache>
                <c:formatCode>General</c:formatCode>
                <c:ptCount val="2"/>
                <c:pt idx="0">
                  <c:v>-100</c:v>
                </c:pt>
                <c:pt idx="1">
                  <c:v>-100</c:v>
                </c:pt>
              </c:numCache>
            </c:numRef>
          </c:xVal>
          <c:yVal>
            <c:numRef>
              <c:f>Symbole!$U$80:$V$80</c:f>
              <c:numCache>
                <c:formatCode>General</c:formatCode>
                <c:ptCount val="2"/>
                <c:pt idx="0">
                  <c:v>100</c:v>
                </c:pt>
                <c:pt idx="1">
                  <c:v>100</c:v>
                </c:pt>
              </c:numCache>
            </c:numRef>
          </c:yVal>
          <c:smooth val="0"/>
          <c:extLst>
            <c:ext xmlns:c16="http://schemas.microsoft.com/office/drawing/2014/chart" uri="{C3380CC4-5D6E-409C-BE32-E72D297353CC}">
              <c16:uniqueId val="{000000A0-4B1B-4507-991D-858168B14A33}"/>
            </c:ext>
          </c:extLst>
        </c:ser>
        <c:ser>
          <c:idx val="107"/>
          <c:order val="161"/>
          <c:tx>
            <c:v>Rotzeigeru7</c:v>
          </c:tx>
          <c:spPr>
            <a:ln>
              <a:solidFill>
                <a:srgbClr val="8064A2">
                  <a:lumMod val="60000"/>
                  <a:lumOff val="40000"/>
                </a:srgbClr>
              </a:solidFill>
              <a:tailEnd type="triangle"/>
            </a:ln>
          </c:spPr>
          <c:marker>
            <c:symbol val="none"/>
          </c:marker>
          <c:xVal>
            <c:numRef>
              <c:f>Symbole!$Q$81:$R$81</c:f>
              <c:numCache>
                <c:formatCode>General</c:formatCode>
                <c:ptCount val="2"/>
                <c:pt idx="0">
                  <c:v>0</c:v>
                </c:pt>
                <c:pt idx="1">
                  <c:v>0</c:v>
                </c:pt>
              </c:numCache>
            </c:numRef>
          </c:xVal>
          <c:yVal>
            <c:numRef>
              <c:f>Symbole!$U$81:$V$81</c:f>
              <c:numCache>
                <c:formatCode>General</c:formatCode>
                <c:ptCount val="2"/>
                <c:pt idx="0">
                  <c:v>0</c:v>
                </c:pt>
                <c:pt idx="1">
                  <c:v>0</c:v>
                </c:pt>
              </c:numCache>
            </c:numRef>
          </c:yVal>
          <c:smooth val="0"/>
          <c:extLst>
            <c:ext xmlns:c16="http://schemas.microsoft.com/office/drawing/2014/chart" uri="{C3380CC4-5D6E-409C-BE32-E72D297353CC}">
              <c16:uniqueId val="{000000A1-4B1B-4507-991D-858168B14A33}"/>
            </c:ext>
          </c:extLst>
        </c:ser>
        <c:ser>
          <c:idx val="108"/>
          <c:order val="162"/>
          <c:tx>
            <c:v>Rotzeigeru8</c:v>
          </c:tx>
          <c:spPr>
            <a:ln>
              <a:solidFill>
                <a:srgbClr val="8064A2">
                  <a:lumMod val="60000"/>
                  <a:lumOff val="40000"/>
                </a:srgbClr>
              </a:solidFill>
              <a:tailEnd type="triangle"/>
            </a:ln>
          </c:spPr>
          <c:marker>
            <c:symbol val="none"/>
          </c:marker>
          <c:xVal>
            <c:numRef>
              <c:f>Symbole!$Q$82:$R$82</c:f>
              <c:numCache>
                <c:formatCode>General</c:formatCode>
                <c:ptCount val="2"/>
                <c:pt idx="0">
                  <c:v>0</c:v>
                </c:pt>
                <c:pt idx="1">
                  <c:v>0</c:v>
                </c:pt>
              </c:numCache>
            </c:numRef>
          </c:xVal>
          <c:yVal>
            <c:numRef>
              <c:f>Symbole!$U$82:$V$82</c:f>
              <c:numCache>
                <c:formatCode>General</c:formatCode>
                <c:ptCount val="2"/>
                <c:pt idx="0">
                  <c:v>0</c:v>
                </c:pt>
                <c:pt idx="1">
                  <c:v>0</c:v>
                </c:pt>
              </c:numCache>
            </c:numRef>
          </c:yVal>
          <c:smooth val="0"/>
          <c:extLst>
            <c:ext xmlns:c16="http://schemas.microsoft.com/office/drawing/2014/chart" uri="{C3380CC4-5D6E-409C-BE32-E72D297353CC}">
              <c16:uniqueId val="{000000A2-4B1B-4507-991D-858168B14A33}"/>
            </c:ext>
          </c:extLst>
        </c:ser>
        <c:ser>
          <c:idx val="109"/>
          <c:order val="163"/>
          <c:tx>
            <c:v>Rotzeigeru9</c:v>
          </c:tx>
          <c:spPr>
            <a:ln>
              <a:solidFill>
                <a:srgbClr val="8064A2">
                  <a:lumMod val="60000"/>
                  <a:lumOff val="40000"/>
                </a:srgbClr>
              </a:solidFill>
              <a:tailEnd type="triangle"/>
            </a:ln>
          </c:spPr>
          <c:marker>
            <c:symbol val="none"/>
          </c:marker>
          <c:xVal>
            <c:numRef>
              <c:f>Symbole!$Q$83:$R$83</c:f>
              <c:numCache>
                <c:formatCode>General</c:formatCode>
                <c:ptCount val="2"/>
                <c:pt idx="0">
                  <c:v>0</c:v>
                </c:pt>
                <c:pt idx="1">
                  <c:v>0</c:v>
                </c:pt>
              </c:numCache>
            </c:numRef>
          </c:xVal>
          <c:yVal>
            <c:numRef>
              <c:f>Symbole!$U$83:$V$83</c:f>
              <c:numCache>
                <c:formatCode>General</c:formatCode>
                <c:ptCount val="2"/>
                <c:pt idx="0">
                  <c:v>0</c:v>
                </c:pt>
                <c:pt idx="1">
                  <c:v>0</c:v>
                </c:pt>
              </c:numCache>
            </c:numRef>
          </c:yVal>
          <c:smooth val="0"/>
          <c:extLst>
            <c:ext xmlns:c16="http://schemas.microsoft.com/office/drawing/2014/chart" uri="{C3380CC4-5D6E-409C-BE32-E72D297353CC}">
              <c16:uniqueId val="{000000A3-4B1B-4507-991D-858168B14A33}"/>
            </c:ext>
          </c:extLst>
        </c:ser>
        <c:ser>
          <c:idx val="110"/>
          <c:order val="164"/>
          <c:tx>
            <c:v>Rotzeigeru10</c:v>
          </c:tx>
          <c:spPr>
            <a:ln>
              <a:solidFill>
                <a:srgbClr val="8064A2">
                  <a:lumMod val="60000"/>
                  <a:lumOff val="40000"/>
                </a:srgbClr>
              </a:solidFill>
              <a:tailEnd type="triangle"/>
            </a:ln>
          </c:spPr>
          <c:marker>
            <c:symbol val="none"/>
          </c:marker>
          <c:xVal>
            <c:numRef>
              <c:f>Symbole!$Q$84:$R$84</c:f>
              <c:numCache>
                <c:formatCode>General</c:formatCode>
                <c:ptCount val="2"/>
                <c:pt idx="0">
                  <c:v>0</c:v>
                </c:pt>
                <c:pt idx="1">
                  <c:v>0</c:v>
                </c:pt>
              </c:numCache>
            </c:numRef>
          </c:xVal>
          <c:yVal>
            <c:numRef>
              <c:f>Symbole!$U$84:$V$84</c:f>
              <c:numCache>
                <c:formatCode>General</c:formatCode>
                <c:ptCount val="2"/>
                <c:pt idx="0">
                  <c:v>0</c:v>
                </c:pt>
                <c:pt idx="1">
                  <c:v>0</c:v>
                </c:pt>
              </c:numCache>
            </c:numRef>
          </c:yVal>
          <c:smooth val="0"/>
          <c:extLst>
            <c:ext xmlns:c16="http://schemas.microsoft.com/office/drawing/2014/chart" uri="{C3380CC4-5D6E-409C-BE32-E72D297353CC}">
              <c16:uniqueId val="{000000A4-4B1B-4507-991D-858168B14A33}"/>
            </c:ext>
          </c:extLst>
        </c:ser>
        <c:ser>
          <c:idx val="111"/>
          <c:order val="165"/>
          <c:tx>
            <c:v>Rotzeigeru11</c:v>
          </c:tx>
          <c:spPr>
            <a:ln>
              <a:solidFill>
                <a:srgbClr val="8064A2">
                  <a:lumMod val="60000"/>
                  <a:lumOff val="40000"/>
                </a:srgbClr>
              </a:solidFill>
              <a:tailEnd type="triangle"/>
            </a:ln>
          </c:spPr>
          <c:marker>
            <c:symbol val="none"/>
          </c:marker>
          <c:xVal>
            <c:numRef>
              <c:f>Symbole!$Q$85:$R$85</c:f>
              <c:numCache>
                <c:formatCode>General</c:formatCode>
                <c:ptCount val="2"/>
                <c:pt idx="0">
                  <c:v>0</c:v>
                </c:pt>
                <c:pt idx="1">
                  <c:v>0</c:v>
                </c:pt>
              </c:numCache>
            </c:numRef>
          </c:xVal>
          <c:yVal>
            <c:numRef>
              <c:f>Symbole!$U$85:$V$85</c:f>
              <c:numCache>
                <c:formatCode>General</c:formatCode>
                <c:ptCount val="2"/>
                <c:pt idx="0">
                  <c:v>0</c:v>
                </c:pt>
                <c:pt idx="1">
                  <c:v>0</c:v>
                </c:pt>
              </c:numCache>
            </c:numRef>
          </c:yVal>
          <c:smooth val="0"/>
          <c:extLst>
            <c:ext xmlns:c16="http://schemas.microsoft.com/office/drawing/2014/chart" uri="{C3380CC4-5D6E-409C-BE32-E72D297353CC}">
              <c16:uniqueId val="{000000A5-4B1B-4507-991D-858168B14A33}"/>
            </c:ext>
          </c:extLst>
        </c:ser>
        <c:ser>
          <c:idx val="113"/>
          <c:order val="166"/>
          <c:tx>
            <c:v>Rotzeigeru12</c:v>
          </c:tx>
          <c:spPr>
            <a:ln>
              <a:solidFill>
                <a:srgbClr val="8064A2">
                  <a:lumMod val="60000"/>
                  <a:lumOff val="40000"/>
                </a:srgbClr>
              </a:solidFill>
              <a:tailEnd type="triangle"/>
            </a:ln>
          </c:spPr>
          <c:marker>
            <c:symbol val="none"/>
          </c:marker>
          <c:xVal>
            <c:numRef>
              <c:f>Symbole!$Q$86:$R$86</c:f>
              <c:numCache>
                <c:formatCode>General</c:formatCode>
                <c:ptCount val="2"/>
                <c:pt idx="0">
                  <c:v>0</c:v>
                </c:pt>
                <c:pt idx="1">
                  <c:v>0</c:v>
                </c:pt>
              </c:numCache>
            </c:numRef>
          </c:xVal>
          <c:yVal>
            <c:numRef>
              <c:f>Symbole!$U$86:$V$86</c:f>
              <c:numCache>
                <c:formatCode>General</c:formatCode>
                <c:ptCount val="2"/>
                <c:pt idx="0">
                  <c:v>0</c:v>
                </c:pt>
                <c:pt idx="1">
                  <c:v>0</c:v>
                </c:pt>
              </c:numCache>
            </c:numRef>
          </c:yVal>
          <c:smooth val="0"/>
          <c:extLst>
            <c:ext xmlns:c16="http://schemas.microsoft.com/office/drawing/2014/chart" uri="{C3380CC4-5D6E-409C-BE32-E72D297353CC}">
              <c16:uniqueId val="{000000A6-4B1B-4507-991D-858168B14A33}"/>
            </c:ext>
          </c:extLst>
        </c:ser>
        <c:ser>
          <c:idx val="112"/>
          <c:order val="167"/>
          <c:tx>
            <c:v>Rotzeigeru13</c:v>
          </c:tx>
          <c:spPr>
            <a:ln>
              <a:solidFill>
                <a:srgbClr val="8064A2">
                  <a:lumMod val="60000"/>
                  <a:lumOff val="40000"/>
                </a:srgbClr>
              </a:solidFill>
              <a:tailEnd type="triangle"/>
            </a:ln>
          </c:spPr>
          <c:marker>
            <c:symbol val="none"/>
          </c:marker>
          <c:xVal>
            <c:numRef>
              <c:f>Symbole!$Q$87:$R$87</c:f>
              <c:numCache>
                <c:formatCode>General</c:formatCode>
                <c:ptCount val="2"/>
                <c:pt idx="0">
                  <c:v>0</c:v>
                </c:pt>
                <c:pt idx="1">
                  <c:v>0</c:v>
                </c:pt>
              </c:numCache>
            </c:numRef>
          </c:xVal>
          <c:yVal>
            <c:numRef>
              <c:f>Symbole!$U$87:$V$87</c:f>
              <c:numCache>
                <c:formatCode>General</c:formatCode>
                <c:ptCount val="2"/>
                <c:pt idx="0">
                  <c:v>0</c:v>
                </c:pt>
                <c:pt idx="1">
                  <c:v>0</c:v>
                </c:pt>
              </c:numCache>
            </c:numRef>
          </c:yVal>
          <c:smooth val="0"/>
          <c:extLst>
            <c:ext xmlns:c16="http://schemas.microsoft.com/office/drawing/2014/chart" uri="{C3380CC4-5D6E-409C-BE32-E72D297353CC}">
              <c16:uniqueId val="{000000A7-4B1B-4507-991D-858168B14A33}"/>
            </c:ext>
          </c:extLst>
        </c:ser>
        <c:ser>
          <c:idx val="114"/>
          <c:order val="168"/>
          <c:tx>
            <c:v>Rotzeigeru14</c:v>
          </c:tx>
          <c:spPr>
            <a:ln>
              <a:solidFill>
                <a:srgbClr val="8064A2">
                  <a:lumMod val="60000"/>
                  <a:lumOff val="40000"/>
                </a:srgbClr>
              </a:solidFill>
              <a:tailEnd type="triangle"/>
            </a:ln>
          </c:spPr>
          <c:marker>
            <c:symbol val="none"/>
          </c:marker>
          <c:xVal>
            <c:numRef>
              <c:f>Symbole!$Q$88:$R$88</c:f>
              <c:numCache>
                <c:formatCode>General</c:formatCode>
                <c:ptCount val="2"/>
                <c:pt idx="0">
                  <c:v>0</c:v>
                </c:pt>
                <c:pt idx="1">
                  <c:v>0</c:v>
                </c:pt>
              </c:numCache>
            </c:numRef>
          </c:xVal>
          <c:yVal>
            <c:numRef>
              <c:f>Symbole!$U$88:$V$88</c:f>
              <c:numCache>
                <c:formatCode>General</c:formatCode>
                <c:ptCount val="2"/>
                <c:pt idx="0">
                  <c:v>0</c:v>
                </c:pt>
                <c:pt idx="1">
                  <c:v>0</c:v>
                </c:pt>
              </c:numCache>
            </c:numRef>
          </c:yVal>
          <c:smooth val="0"/>
          <c:extLst>
            <c:ext xmlns:c16="http://schemas.microsoft.com/office/drawing/2014/chart" uri="{C3380CC4-5D6E-409C-BE32-E72D297353CC}">
              <c16:uniqueId val="{000000A8-4B1B-4507-991D-858168B14A33}"/>
            </c:ext>
          </c:extLst>
        </c:ser>
        <c:ser>
          <c:idx val="115"/>
          <c:order val="169"/>
          <c:tx>
            <c:v>Rotzeigeru15</c:v>
          </c:tx>
          <c:spPr>
            <a:ln>
              <a:solidFill>
                <a:srgbClr val="8064A2">
                  <a:lumMod val="60000"/>
                  <a:lumOff val="40000"/>
                </a:srgbClr>
              </a:solidFill>
              <a:tailEnd type="triangle"/>
            </a:ln>
          </c:spPr>
          <c:marker>
            <c:symbol val="none"/>
          </c:marker>
          <c:xVal>
            <c:numRef>
              <c:f>Symbole!$Q$89:$R$89</c:f>
              <c:numCache>
                <c:formatCode>General</c:formatCode>
                <c:ptCount val="2"/>
                <c:pt idx="0">
                  <c:v>0</c:v>
                </c:pt>
                <c:pt idx="1">
                  <c:v>0</c:v>
                </c:pt>
              </c:numCache>
            </c:numRef>
          </c:xVal>
          <c:yVal>
            <c:numRef>
              <c:f>Symbole!$U$89:$V$89</c:f>
              <c:numCache>
                <c:formatCode>General</c:formatCode>
                <c:ptCount val="2"/>
                <c:pt idx="0">
                  <c:v>0</c:v>
                </c:pt>
                <c:pt idx="1">
                  <c:v>0</c:v>
                </c:pt>
              </c:numCache>
            </c:numRef>
          </c:yVal>
          <c:smooth val="0"/>
          <c:extLst>
            <c:ext xmlns:c16="http://schemas.microsoft.com/office/drawing/2014/chart" uri="{C3380CC4-5D6E-409C-BE32-E72D297353CC}">
              <c16:uniqueId val="{000000A9-4B1B-4507-991D-858168B14A33}"/>
            </c:ext>
          </c:extLst>
        </c:ser>
        <c:ser>
          <c:idx val="116"/>
          <c:order val="170"/>
          <c:tx>
            <c:v>Rotzeigeru16</c:v>
          </c:tx>
          <c:spPr>
            <a:ln>
              <a:solidFill>
                <a:srgbClr val="8064A2">
                  <a:lumMod val="60000"/>
                  <a:lumOff val="40000"/>
                </a:srgbClr>
              </a:solidFill>
              <a:tailEnd type="triangle"/>
            </a:ln>
          </c:spPr>
          <c:marker>
            <c:symbol val="none"/>
          </c:marker>
          <c:xVal>
            <c:numRef>
              <c:f>Symbole!$Q$90:$R$90</c:f>
              <c:numCache>
                <c:formatCode>General</c:formatCode>
                <c:ptCount val="2"/>
                <c:pt idx="0">
                  <c:v>0</c:v>
                </c:pt>
                <c:pt idx="1">
                  <c:v>0</c:v>
                </c:pt>
              </c:numCache>
            </c:numRef>
          </c:xVal>
          <c:yVal>
            <c:numRef>
              <c:f>Symbole!$U$90:$V$90</c:f>
              <c:numCache>
                <c:formatCode>General</c:formatCode>
                <c:ptCount val="2"/>
                <c:pt idx="0">
                  <c:v>0</c:v>
                </c:pt>
                <c:pt idx="1">
                  <c:v>0</c:v>
                </c:pt>
              </c:numCache>
            </c:numRef>
          </c:yVal>
          <c:smooth val="0"/>
          <c:extLst>
            <c:ext xmlns:c16="http://schemas.microsoft.com/office/drawing/2014/chart" uri="{C3380CC4-5D6E-409C-BE32-E72D297353CC}">
              <c16:uniqueId val="{000000AA-4B1B-4507-991D-858168B14A33}"/>
            </c:ext>
          </c:extLst>
        </c:ser>
        <c:ser>
          <c:idx val="117"/>
          <c:order val="171"/>
          <c:tx>
            <c:v>Rotzeigeru17</c:v>
          </c:tx>
          <c:spPr>
            <a:ln>
              <a:solidFill>
                <a:srgbClr val="8064A2">
                  <a:lumMod val="60000"/>
                  <a:lumOff val="40000"/>
                </a:srgbClr>
              </a:solidFill>
              <a:tailEnd type="triangle"/>
            </a:ln>
          </c:spPr>
          <c:marker>
            <c:symbol val="none"/>
          </c:marker>
          <c:xVal>
            <c:numRef>
              <c:f>Symbole!$Q$91:$R$91</c:f>
              <c:numCache>
                <c:formatCode>General</c:formatCode>
                <c:ptCount val="2"/>
                <c:pt idx="0">
                  <c:v>0</c:v>
                </c:pt>
                <c:pt idx="1">
                  <c:v>0</c:v>
                </c:pt>
              </c:numCache>
            </c:numRef>
          </c:xVal>
          <c:yVal>
            <c:numRef>
              <c:f>Symbole!$U$91:$V$91</c:f>
              <c:numCache>
                <c:formatCode>General</c:formatCode>
                <c:ptCount val="2"/>
                <c:pt idx="0">
                  <c:v>0</c:v>
                </c:pt>
                <c:pt idx="1">
                  <c:v>0</c:v>
                </c:pt>
              </c:numCache>
            </c:numRef>
          </c:yVal>
          <c:smooth val="0"/>
          <c:extLst>
            <c:ext xmlns:c16="http://schemas.microsoft.com/office/drawing/2014/chart" uri="{C3380CC4-5D6E-409C-BE32-E72D297353CC}">
              <c16:uniqueId val="{000000AB-4B1B-4507-991D-858168B14A33}"/>
            </c:ext>
          </c:extLst>
        </c:ser>
        <c:ser>
          <c:idx val="118"/>
          <c:order val="172"/>
          <c:tx>
            <c:v>Rotzeigeru18</c:v>
          </c:tx>
          <c:spPr>
            <a:ln>
              <a:solidFill>
                <a:srgbClr val="8064A2">
                  <a:lumMod val="60000"/>
                  <a:lumOff val="40000"/>
                </a:srgbClr>
              </a:solidFill>
              <a:tailEnd type="triangle"/>
            </a:ln>
          </c:spPr>
          <c:marker>
            <c:symbol val="none"/>
          </c:marker>
          <c:xVal>
            <c:numRef>
              <c:f>Symbole!$Q$92:$R$92</c:f>
              <c:numCache>
                <c:formatCode>General</c:formatCode>
                <c:ptCount val="2"/>
                <c:pt idx="0">
                  <c:v>0</c:v>
                </c:pt>
                <c:pt idx="1">
                  <c:v>0</c:v>
                </c:pt>
              </c:numCache>
            </c:numRef>
          </c:xVal>
          <c:yVal>
            <c:numRef>
              <c:f>Symbole!$U$92:$V$92</c:f>
              <c:numCache>
                <c:formatCode>General</c:formatCode>
                <c:ptCount val="2"/>
                <c:pt idx="0">
                  <c:v>0</c:v>
                </c:pt>
                <c:pt idx="1">
                  <c:v>0</c:v>
                </c:pt>
              </c:numCache>
            </c:numRef>
          </c:yVal>
          <c:smooth val="0"/>
          <c:extLst>
            <c:ext xmlns:c16="http://schemas.microsoft.com/office/drawing/2014/chart" uri="{C3380CC4-5D6E-409C-BE32-E72D297353CC}">
              <c16:uniqueId val="{000000AC-4B1B-4507-991D-858168B14A33}"/>
            </c:ext>
          </c:extLst>
        </c:ser>
        <c:ser>
          <c:idx val="119"/>
          <c:order val="173"/>
          <c:tx>
            <c:v>Rotzeigeru19</c:v>
          </c:tx>
          <c:spPr>
            <a:ln>
              <a:solidFill>
                <a:srgbClr val="8064A2">
                  <a:lumMod val="60000"/>
                  <a:lumOff val="40000"/>
                </a:srgbClr>
              </a:solidFill>
              <a:tailEnd type="triangle"/>
            </a:ln>
          </c:spPr>
          <c:marker>
            <c:symbol val="none"/>
          </c:marker>
          <c:xVal>
            <c:numRef>
              <c:f>Symbole!$Q$93:$R$93</c:f>
              <c:numCache>
                <c:formatCode>General</c:formatCode>
                <c:ptCount val="2"/>
                <c:pt idx="0">
                  <c:v>0</c:v>
                </c:pt>
                <c:pt idx="1">
                  <c:v>0</c:v>
                </c:pt>
              </c:numCache>
            </c:numRef>
          </c:xVal>
          <c:yVal>
            <c:numRef>
              <c:f>Symbole!$U$93:$V$93</c:f>
              <c:numCache>
                <c:formatCode>General</c:formatCode>
                <c:ptCount val="2"/>
                <c:pt idx="0">
                  <c:v>0</c:v>
                </c:pt>
                <c:pt idx="1">
                  <c:v>0</c:v>
                </c:pt>
              </c:numCache>
            </c:numRef>
          </c:yVal>
          <c:smooth val="0"/>
          <c:extLst>
            <c:ext xmlns:c16="http://schemas.microsoft.com/office/drawing/2014/chart" uri="{C3380CC4-5D6E-409C-BE32-E72D297353CC}">
              <c16:uniqueId val="{000000AD-4B1B-4507-991D-858168B14A33}"/>
            </c:ext>
          </c:extLst>
        </c:ser>
        <c:ser>
          <c:idx val="120"/>
          <c:order val="174"/>
          <c:tx>
            <c:v>Rotzeigeru20</c:v>
          </c:tx>
          <c:spPr>
            <a:ln>
              <a:solidFill>
                <a:srgbClr val="8064A2">
                  <a:lumMod val="60000"/>
                  <a:lumOff val="40000"/>
                </a:srgbClr>
              </a:solidFill>
              <a:tailEnd type="triangle"/>
            </a:ln>
          </c:spPr>
          <c:marker>
            <c:symbol val="none"/>
          </c:marker>
          <c:xVal>
            <c:numRef>
              <c:f>Symbole!$Q$94:$R$94</c:f>
              <c:numCache>
                <c:formatCode>General</c:formatCode>
                <c:ptCount val="2"/>
                <c:pt idx="0">
                  <c:v>0</c:v>
                </c:pt>
                <c:pt idx="1">
                  <c:v>0</c:v>
                </c:pt>
              </c:numCache>
            </c:numRef>
          </c:xVal>
          <c:yVal>
            <c:numRef>
              <c:f>Symbole!$U$94:$V$94</c:f>
              <c:numCache>
                <c:formatCode>General</c:formatCode>
                <c:ptCount val="2"/>
                <c:pt idx="0">
                  <c:v>0</c:v>
                </c:pt>
                <c:pt idx="1">
                  <c:v>0</c:v>
                </c:pt>
              </c:numCache>
            </c:numRef>
          </c:yVal>
          <c:smooth val="0"/>
          <c:extLst>
            <c:ext xmlns:c16="http://schemas.microsoft.com/office/drawing/2014/chart" uri="{C3380CC4-5D6E-409C-BE32-E72D297353CC}">
              <c16:uniqueId val="{000000AE-4B1B-4507-991D-858168B14A33}"/>
            </c:ext>
          </c:extLst>
        </c:ser>
        <c:ser>
          <c:idx val="121"/>
          <c:order val="175"/>
          <c:tx>
            <c:v>Rotzeigerw1</c:v>
          </c:tx>
          <c:spPr>
            <a:ln>
              <a:solidFill>
                <a:srgbClr val="8064A2">
                  <a:lumMod val="60000"/>
                  <a:lumOff val="40000"/>
                </a:srgbClr>
              </a:solidFill>
              <a:tailEnd type="triangle"/>
            </a:ln>
          </c:spPr>
          <c:marker>
            <c:symbol val="none"/>
          </c:marker>
          <c:xVal>
            <c:numRef>
              <c:f>Symbole!$S$75:$T$75</c:f>
              <c:numCache>
                <c:formatCode>General</c:formatCode>
                <c:ptCount val="2"/>
                <c:pt idx="0">
                  <c:v>23.626678459402886</c:v>
                </c:pt>
                <c:pt idx="1">
                  <c:v>23.626678459402886</c:v>
                </c:pt>
              </c:numCache>
            </c:numRef>
          </c:xVal>
          <c:yVal>
            <c:numRef>
              <c:f>Symbole!$W$75:$X$75</c:f>
              <c:numCache>
                <c:formatCode>General</c:formatCode>
                <c:ptCount val="2"/>
                <c:pt idx="0">
                  <c:v>-46.105451176718191</c:v>
                </c:pt>
                <c:pt idx="1">
                  <c:v>-46.105451176718191</c:v>
                </c:pt>
              </c:numCache>
            </c:numRef>
          </c:yVal>
          <c:smooth val="0"/>
          <c:extLst>
            <c:ext xmlns:c16="http://schemas.microsoft.com/office/drawing/2014/chart" uri="{C3380CC4-5D6E-409C-BE32-E72D297353CC}">
              <c16:uniqueId val="{000000AF-4B1B-4507-991D-858168B14A33}"/>
            </c:ext>
          </c:extLst>
        </c:ser>
        <c:ser>
          <c:idx val="122"/>
          <c:order val="176"/>
          <c:tx>
            <c:v>Rotzeigerw2</c:v>
          </c:tx>
          <c:spPr>
            <a:ln>
              <a:solidFill>
                <a:srgbClr val="8064A2">
                  <a:lumMod val="60000"/>
                  <a:lumOff val="40000"/>
                </a:srgbClr>
              </a:solidFill>
              <a:tailEnd type="triangle"/>
            </a:ln>
          </c:spPr>
          <c:marker>
            <c:symbol val="none"/>
          </c:marker>
          <c:xVal>
            <c:numRef>
              <c:f>Symbole!$S$76:$T$76</c:f>
              <c:numCache>
                <c:formatCode>General</c:formatCode>
                <c:ptCount val="2"/>
                <c:pt idx="0">
                  <c:v>100</c:v>
                </c:pt>
                <c:pt idx="1">
                  <c:v>100</c:v>
                </c:pt>
              </c:numCache>
            </c:numRef>
          </c:xVal>
          <c:yVal>
            <c:numRef>
              <c:f>Symbole!$W$76:$X$76</c:f>
              <c:numCache>
                <c:formatCode>General</c:formatCode>
                <c:ptCount val="2"/>
                <c:pt idx="0">
                  <c:v>20</c:v>
                </c:pt>
                <c:pt idx="1">
                  <c:v>20</c:v>
                </c:pt>
              </c:numCache>
            </c:numRef>
          </c:yVal>
          <c:smooth val="0"/>
          <c:extLst>
            <c:ext xmlns:c16="http://schemas.microsoft.com/office/drawing/2014/chart" uri="{C3380CC4-5D6E-409C-BE32-E72D297353CC}">
              <c16:uniqueId val="{000000B0-4B1B-4507-991D-858168B14A33}"/>
            </c:ext>
          </c:extLst>
        </c:ser>
        <c:ser>
          <c:idx val="123"/>
          <c:order val="177"/>
          <c:tx>
            <c:v>Rotzeigerw3</c:v>
          </c:tx>
          <c:spPr>
            <a:ln>
              <a:solidFill>
                <a:srgbClr val="8064A2">
                  <a:lumMod val="60000"/>
                  <a:lumOff val="40000"/>
                </a:srgbClr>
              </a:solidFill>
              <a:tailEnd type="triangle"/>
            </a:ln>
          </c:spPr>
          <c:marker>
            <c:symbol val="none"/>
          </c:marker>
          <c:xVal>
            <c:numRef>
              <c:f>Symbole!$S$77:$T$77</c:f>
              <c:numCache>
                <c:formatCode>General</c:formatCode>
                <c:ptCount val="2"/>
                <c:pt idx="0">
                  <c:v>20</c:v>
                </c:pt>
                <c:pt idx="1">
                  <c:v>20</c:v>
                </c:pt>
              </c:numCache>
            </c:numRef>
          </c:xVal>
          <c:yVal>
            <c:numRef>
              <c:f>Symbole!$W$77:$X$77</c:f>
              <c:numCache>
                <c:formatCode>General</c:formatCode>
                <c:ptCount val="2"/>
                <c:pt idx="0">
                  <c:v>20</c:v>
                </c:pt>
                <c:pt idx="1">
                  <c:v>20</c:v>
                </c:pt>
              </c:numCache>
            </c:numRef>
          </c:yVal>
          <c:smooth val="0"/>
          <c:extLst>
            <c:ext xmlns:c16="http://schemas.microsoft.com/office/drawing/2014/chart" uri="{C3380CC4-5D6E-409C-BE32-E72D297353CC}">
              <c16:uniqueId val="{000000B1-4B1B-4507-991D-858168B14A33}"/>
            </c:ext>
          </c:extLst>
        </c:ser>
        <c:ser>
          <c:idx val="124"/>
          <c:order val="178"/>
          <c:tx>
            <c:v>Rotzeigerw4</c:v>
          </c:tx>
          <c:spPr>
            <a:ln>
              <a:solidFill>
                <a:srgbClr val="8064A2">
                  <a:lumMod val="60000"/>
                  <a:lumOff val="40000"/>
                </a:srgbClr>
              </a:solidFill>
              <a:tailEnd type="triangle"/>
            </a:ln>
          </c:spPr>
          <c:marker>
            <c:symbol val="none"/>
          </c:marker>
          <c:xVal>
            <c:numRef>
              <c:f>Symbole!$S$78:$T$78</c:f>
              <c:numCache>
                <c:formatCode>General</c:formatCode>
                <c:ptCount val="2"/>
                <c:pt idx="0">
                  <c:v>60</c:v>
                </c:pt>
                <c:pt idx="1">
                  <c:v>60</c:v>
                </c:pt>
              </c:numCache>
            </c:numRef>
          </c:xVal>
          <c:yVal>
            <c:numRef>
              <c:f>Symbole!$W$78:$X$78</c:f>
              <c:numCache>
                <c:formatCode>General</c:formatCode>
                <c:ptCount val="2"/>
                <c:pt idx="0">
                  <c:v>-100</c:v>
                </c:pt>
                <c:pt idx="1">
                  <c:v>-100</c:v>
                </c:pt>
              </c:numCache>
            </c:numRef>
          </c:yVal>
          <c:smooth val="0"/>
          <c:extLst>
            <c:ext xmlns:c16="http://schemas.microsoft.com/office/drawing/2014/chart" uri="{C3380CC4-5D6E-409C-BE32-E72D297353CC}">
              <c16:uniqueId val="{000000B2-4B1B-4507-991D-858168B14A33}"/>
            </c:ext>
          </c:extLst>
        </c:ser>
        <c:ser>
          <c:idx val="125"/>
          <c:order val="179"/>
          <c:tx>
            <c:v>Rotzeigerw5</c:v>
          </c:tx>
          <c:spPr>
            <a:ln>
              <a:solidFill>
                <a:srgbClr val="8064A2">
                  <a:lumMod val="60000"/>
                  <a:lumOff val="40000"/>
                </a:srgbClr>
              </a:solidFill>
              <a:tailEnd type="triangle"/>
            </a:ln>
          </c:spPr>
          <c:marker>
            <c:symbol val="none"/>
          </c:marker>
          <c:xVal>
            <c:numRef>
              <c:f>Symbole!$S$79:$T$79</c:f>
              <c:numCache>
                <c:formatCode>General</c:formatCode>
                <c:ptCount val="2"/>
                <c:pt idx="0">
                  <c:v>-50</c:v>
                </c:pt>
                <c:pt idx="1">
                  <c:v>-50</c:v>
                </c:pt>
              </c:numCache>
            </c:numRef>
          </c:xVal>
          <c:yVal>
            <c:numRef>
              <c:f>Symbole!$W$79:$X$79</c:f>
              <c:numCache>
                <c:formatCode>General</c:formatCode>
                <c:ptCount val="2"/>
                <c:pt idx="0">
                  <c:v>-70</c:v>
                </c:pt>
                <c:pt idx="1">
                  <c:v>-70</c:v>
                </c:pt>
              </c:numCache>
            </c:numRef>
          </c:yVal>
          <c:smooth val="0"/>
          <c:extLst>
            <c:ext xmlns:c16="http://schemas.microsoft.com/office/drawing/2014/chart" uri="{C3380CC4-5D6E-409C-BE32-E72D297353CC}">
              <c16:uniqueId val="{000000B3-4B1B-4507-991D-858168B14A33}"/>
            </c:ext>
          </c:extLst>
        </c:ser>
        <c:ser>
          <c:idx val="126"/>
          <c:order val="180"/>
          <c:tx>
            <c:v>Rotzeigerw6</c:v>
          </c:tx>
          <c:spPr>
            <a:ln>
              <a:solidFill>
                <a:srgbClr val="8064A2">
                  <a:lumMod val="60000"/>
                  <a:lumOff val="40000"/>
                </a:srgbClr>
              </a:solidFill>
              <a:tailEnd type="triangle"/>
            </a:ln>
          </c:spPr>
          <c:marker>
            <c:symbol val="none"/>
          </c:marker>
          <c:xVal>
            <c:numRef>
              <c:f>Symbole!$S$80:$T$80</c:f>
              <c:numCache>
                <c:formatCode>General</c:formatCode>
                <c:ptCount val="2"/>
                <c:pt idx="0">
                  <c:v>-100</c:v>
                </c:pt>
                <c:pt idx="1">
                  <c:v>-100</c:v>
                </c:pt>
              </c:numCache>
            </c:numRef>
          </c:xVal>
          <c:yVal>
            <c:numRef>
              <c:f>Symbole!$W$80:$X$80</c:f>
              <c:numCache>
                <c:formatCode>General</c:formatCode>
                <c:ptCount val="2"/>
                <c:pt idx="0">
                  <c:v>100</c:v>
                </c:pt>
                <c:pt idx="1">
                  <c:v>100</c:v>
                </c:pt>
              </c:numCache>
            </c:numRef>
          </c:yVal>
          <c:smooth val="0"/>
          <c:extLst>
            <c:ext xmlns:c16="http://schemas.microsoft.com/office/drawing/2014/chart" uri="{C3380CC4-5D6E-409C-BE32-E72D297353CC}">
              <c16:uniqueId val="{000000B4-4B1B-4507-991D-858168B14A33}"/>
            </c:ext>
          </c:extLst>
        </c:ser>
        <c:ser>
          <c:idx val="127"/>
          <c:order val="181"/>
          <c:tx>
            <c:v>Rotzeigerw7</c:v>
          </c:tx>
          <c:spPr>
            <a:ln>
              <a:solidFill>
                <a:srgbClr val="8064A2">
                  <a:lumMod val="60000"/>
                  <a:lumOff val="40000"/>
                </a:srgbClr>
              </a:solidFill>
              <a:tailEnd type="triangle"/>
            </a:ln>
          </c:spPr>
          <c:marker>
            <c:symbol val="none"/>
          </c:marker>
          <c:xVal>
            <c:numRef>
              <c:f>Symbole!$S$81:$T$81</c:f>
              <c:numCache>
                <c:formatCode>General</c:formatCode>
                <c:ptCount val="2"/>
                <c:pt idx="0">
                  <c:v>0</c:v>
                </c:pt>
                <c:pt idx="1">
                  <c:v>0</c:v>
                </c:pt>
              </c:numCache>
            </c:numRef>
          </c:xVal>
          <c:yVal>
            <c:numRef>
              <c:f>Symbole!$W$81:$X$81</c:f>
              <c:numCache>
                <c:formatCode>General</c:formatCode>
                <c:ptCount val="2"/>
                <c:pt idx="0">
                  <c:v>0</c:v>
                </c:pt>
                <c:pt idx="1">
                  <c:v>0</c:v>
                </c:pt>
              </c:numCache>
            </c:numRef>
          </c:yVal>
          <c:smooth val="0"/>
          <c:extLst>
            <c:ext xmlns:c16="http://schemas.microsoft.com/office/drawing/2014/chart" uri="{C3380CC4-5D6E-409C-BE32-E72D297353CC}">
              <c16:uniqueId val="{000000B5-4B1B-4507-991D-858168B14A33}"/>
            </c:ext>
          </c:extLst>
        </c:ser>
        <c:ser>
          <c:idx val="128"/>
          <c:order val="182"/>
          <c:tx>
            <c:v>Rotzeigerw8</c:v>
          </c:tx>
          <c:spPr>
            <a:ln>
              <a:solidFill>
                <a:srgbClr val="8064A2">
                  <a:lumMod val="60000"/>
                  <a:lumOff val="40000"/>
                </a:srgbClr>
              </a:solidFill>
              <a:tailEnd type="triangle"/>
            </a:ln>
          </c:spPr>
          <c:marker>
            <c:symbol val="none"/>
          </c:marker>
          <c:xVal>
            <c:numRef>
              <c:f>Symbole!$S$82:$T$82</c:f>
              <c:numCache>
                <c:formatCode>General</c:formatCode>
                <c:ptCount val="2"/>
                <c:pt idx="0">
                  <c:v>0</c:v>
                </c:pt>
                <c:pt idx="1">
                  <c:v>0</c:v>
                </c:pt>
              </c:numCache>
            </c:numRef>
          </c:xVal>
          <c:yVal>
            <c:numRef>
              <c:f>Symbole!$W$82:$X$82</c:f>
              <c:numCache>
                <c:formatCode>General</c:formatCode>
                <c:ptCount val="2"/>
                <c:pt idx="0">
                  <c:v>0</c:v>
                </c:pt>
                <c:pt idx="1">
                  <c:v>0</c:v>
                </c:pt>
              </c:numCache>
            </c:numRef>
          </c:yVal>
          <c:smooth val="0"/>
          <c:extLst>
            <c:ext xmlns:c16="http://schemas.microsoft.com/office/drawing/2014/chart" uri="{C3380CC4-5D6E-409C-BE32-E72D297353CC}">
              <c16:uniqueId val="{000000B6-4B1B-4507-991D-858168B14A33}"/>
            </c:ext>
          </c:extLst>
        </c:ser>
        <c:ser>
          <c:idx val="129"/>
          <c:order val="183"/>
          <c:tx>
            <c:v>Rotzeigerw9</c:v>
          </c:tx>
          <c:spPr>
            <a:ln>
              <a:solidFill>
                <a:srgbClr val="8064A2">
                  <a:lumMod val="60000"/>
                  <a:lumOff val="40000"/>
                </a:srgbClr>
              </a:solidFill>
              <a:tailEnd type="triangle"/>
            </a:ln>
          </c:spPr>
          <c:marker>
            <c:symbol val="none"/>
          </c:marker>
          <c:xVal>
            <c:numRef>
              <c:f>Symbole!$S$83:$T$83</c:f>
              <c:numCache>
                <c:formatCode>General</c:formatCode>
                <c:ptCount val="2"/>
                <c:pt idx="0">
                  <c:v>0</c:v>
                </c:pt>
                <c:pt idx="1">
                  <c:v>0</c:v>
                </c:pt>
              </c:numCache>
            </c:numRef>
          </c:xVal>
          <c:yVal>
            <c:numRef>
              <c:f>Symbole!$W$83:$X$83</c:f>
              <c:numCache>
                <c:formatCode>General</c:formatCode>
                <c:ptCount val="2"/>
                <c:pt idx="0">
                  <c:v>0</c:v>
                </c:pt>
                <c:pt idx="1">
                  <c:v>0</c:v>
                </c:pt>
              </c:numCache>
            </c:numRef>
          </c:yVal>
          <c:smooth val="0"/>
          <c:extLst>
            <c:ext xmlns:c16="http://schemas.microsoft.com/office/drawing/2014/chart" uri="{C3380CC4-5D6E-409C-BE32-E72D297353CC}">
              <c16:uniqueId val="{000000B7-4B1B-4507-991D-858168B14A33}"/>
            </c:ext>
          </c:extLst>
        </c:ser>
        <c:ser>
          <c:idx val="130"/>
          <c:order val="184"/>
          <c:tx>
            <c:v>Rotzeigerw10</c:v>
          </c:tx>
          <c:spPr>
            <a:ln>
              <a:solidFill>
                <a:srgbClr val="8064A2">
                  <a:lumMod val="60000"/>
                  <a:lumOff val="40000"/>
                </a:srgbClr>
              </a:solidFill>
              <a:tailEnd type="triangle"/>
            </a:ln>
          </c:spPr>
          <c:marker>
            <c:symbol val="none"/>
          </c:marker>
          <c:xVal>
            <c:numRef>
              <c:f>Symbole!$S$84:$T$84</c:f>
              <c:numCache>
                <c:formatCode>General</c:formatCode>
                <c:ptCount val="2"/>
                <c:pt idx="0">
                  <c:v>0</c:v>
                </c:pt>
                <c:pt idx="1">
                  <c:v>0</c:v>
                </c:pt>
              </c:numCache>
            </c:numRef>
          </c:xVal>
          <c:yVal>
            <c:numRef>
              <c:f>Symbole!$W$84:$X$84</c:f>
              <c:numCache>
                <c:formatCode>General</c:formatCode>
                <c:ptCount val="2"/>
                <c:pt idx="0">
                  <c:v>0</c:v>
                </c:pt>
                <c:pt idx="1">
                  <c:v>0</c:v>
                </c:pt>
              </c:numCache>
            </c:numRef>
          </c:yVal>
          <c:smooth val="0"/>
          <c:extLst>
            <c:ext xmlns:c16="http://schemas.microsoft.com/office/drawing/2014/chart" uri="{C3380CC4-5D6E-409C-BE32-E72D297353CC}">
              <c16:uniqueId val="{000000B8-4B1B-4507-991D-858168B14A33}"/>
            </c:ext>
          </c:extLst>
        </c:ser>
        <c:ser>
          <c:idx val="131"/>
          <c:order val="185"/>
          <c:tx>
            <c:v>Rotzeigerw11</c:v>
          </c:tx>
          <c:spPr>
            <a:ln>
              <a:solidFill>
                <a:srgbClr val="8064A2">
                  <a:lumMod val="60000"/>
                  <a:lumOff val="40000"/>
                </a:srgbClr>
              </a:solidFill>
              <a:tailEnd type="triangle"/>
            </a:ln>
          </c:spPr>
          <c:marker>
            <c:symbol val="none"/>
          </c:marker>
          <c:xVal>
            <c:numRef>
              <c:f>Symbole!$S$85:$T$85</c:f>
              <c:numCache>
                <c:formatCode>General</c:formatCode>
                <c:ptCount val="2"/>
                <c:pt idx="0">
                  <c:v>0</c:v>
                </c:pt>
                <c:pt idx="1">
                  <c:v>0</c:v>
                </c:pt>
              </c:numCache>
            </c:numRef>
          </c:xVal>
          <c:yVal>
            <c:numRef>
              <c:f>Symbole!$W$85:$X$85</c:f>
              <c:numCache>
                <c:formatCode>General</c:formatCode>
                <c:ptCount val="2"/>
                <c:pt idx="0">
                  <c:v>0</c:v>
                </c:pt>
                <c:pt idx="1">
                  <c:v>0</c:v>
                </c:pt>
              </c:numCache>
            </c:numRef>
          </c:yVal>
          <c:smooth val="0"/>
          <c:extLst>
            <c:ext xmlns:c16="http://schemas.microsoft.com/office/drawing/2014/chart" uri="{C3380CC4-5D6E-409C-BE32-E72D297353CC}">
              <c16:uniqueId val="{000000B9-4B1B-4507-991D-858168B14A33}"/>
            </c:ext>
          </c:extLst>
        </c:ser>
        <c:ser>
          <c:idx val="132"/>
          <c:order val="186"/>
          <c:tx>
            <c:v>Rotzeigerw12</c:v>
          </c:tx>
          <c:spPr>
            <a:ln>
              <a:solidFill>
                <a:srgbClr val="8064A2">
                  <a:lumMod val="60000"/>
                  <a:lumOff val="40000"/>
                </a:srgbClr>
              </a:solidFill>
              <a:tailEnd type="triangle"/>
            </a:ln>
          </c:spPr>
          <c:marker>
            <c:symbol val="none"/>
          </c:marker>
          <c:xVal>
            <c:numRef>
              <c:f>Symbole!$S$86:$T$86</c:f>
              <c:numCache>
                <c:formatCode>General</c:formatCode>
                <c:ptCount val="2"/>
                <c:pt idx="0">
                  <c:v>0</c:v>
                </c:pt>
                <c:pt idx="1">
                  <c:v>0</c:v>
                </c:pt>
              </c:numCache>
            </c:numRef>
          </c:xVal>
          <c:yVal>
            <c:numRef>
              <c:f>Symbole!$W$86:$X$86</c:f>
              <c:numCache>
                <c:formatCode>General</c:formatCode>
                <c:ptCount val="2"/>
                <c:pt idx="0">
                  <c:v>0</c:v>
                </c:pt>
                <c:pt idx="1">
                  <c:v>0</c:v>
                </c:pt>
              </c:numCache>
            </c:numRef>
          </c:yVal>
          <c:smooth val="0"/>
          <c:extLst>
            <c:ext xmlns:c16="http://schemas.microsoft.com/office/drawing/2014/chart" uri="{C3380CC4-5D6E-409C-BE32-E72D297353CC}">
              <c16:uniqueId val="{000000BA-4B1B-4507-991D-858168B14A33}"/>
            </c:ext>
          </c:extLst>
        </c:ser>
        <c:ser>
          <c:idx val="133"/>
          <c:order val="187"/>
          <c:tx>
            <c:v>Rotzeigerw13</c:v>
          </c:tx>
          <c:spPr>
            <a:ln>
              <a:solidFill>
                <a:srgbClr val="8064A2">
                  <a:lumMod val="60000"/>
                  <a:lumOff val="40000"/>
                </a:srgbClr>
              </a:solidFill>
              <a:tailEnd type="triangle"/>
            </a:ln>
          </c:spPr>
          <c:marker>
            <c:symbol val="none"/>
          </c:marker>
          <c:xVal>
            <c:numRef>
              <c:f>Symbole!$S$87:$T$87</c:f>
              <c:numCache>
                <c:formatCode>General</c:formatCode>
                <c:ptCount val="2"/>
                <c:pt idx="0">
                  <c:v>0</c:v>
                </c:pt>
                <c:pt idx="1">
                  <c:v>0</c:v>
                </c:pt>
              </c:numCache>
            </c:numRef>
          </c:xVal>
          <c:yVal>
            <c:numRef>
              <c:f>Symbole!$W$87:$X$87</c:f>
              <c:numCache>
                <c:formatCode>General</c:formatCode>
                <c:ptCount val="2"/>
                <c:pt idx="0">
                  <c:v>0</c:v>
                </c:pt>
                <c:pt idx="1">
                  <c:v>0</c:v>
                </c:pt>
              </c:numCache>
            </c:numRef>
          </c:yVal>
          <c:smooth val="0"/>
          <c:extLst>
            <c:ext xmlns:c16="http://schemas.microsoft.com/office/drawing/2014/chart" uri="{C3380CC4-5D6E-409C-BE32-E72D297353CC}">
              <c16:uniqueId val="{000000BB-4B1B-4507-991D-858168B14A33}"/>
            </c:ext>
          </c:extLst>
        </c:ser>
        <c:ser>
          <c:idx val="134"/>
          <c:order val="188"/>
          <c:tx>
            <c:v>Rotzeigerw14</c:v>
          </c:tx>
          <c:spPr>
            <a:ln>
              <a:solidFill>
                <a:srgbClr val="8064A2">
                  <a:lumMod val="60000"/>
                  <a:lumOff val="40000"/>
                </a:srgbClr>
              </a:solidFill>
              <a:tailEnd type="triangle"/>
            </a:ln>
          </c:spPr>
          <c:marker>
            <c:symbol val="none"/>
          </c:marker>
          <c:xVal>
            <c:numRef>
              <c:f>Symbole!$S$88:$T$88</c:f>
              <c:numCache>
                <c:formatCode>General</c:formatCode>
                <c:ptCount val="2"/>
                <c:pt idx="0">
                  <c:v>0</c:v>
                </c:pt>
                <c:pt idx="1">
                  <c:v>0</c:v>
                </c:pt>
              </c:numCache>
            </c:numRef>
          </c:xVal>
          <c:yVal>
            <c:numRef>
              <c:f>Symbole!$W$88:$X$88</c:f>
              <c:numCache>
                <c:formatCode>General</c:formatCode>
                <c:ptCount val="2"/>
                <c:pt idx="0">
                  <c:v>0</c:v>
                </c:pt>
                <c:pt idx="1">
                  <c:v>0</c:v>
                </c:pt>
              </c:numCache>
            </c:numRef>
          </c:yVal>
          <c:smooth val="0"/>
          <c:extLst>
            <c:ext xmlns:c16="http://schemas.microsoft.com/office/drawing/2014/chart" uri="{C3380CC4-5D6E-409C-BE32-E72D297353CC}">
              <c16:uniqueId val="{000000BC-4B1B-4507-991D-858168B14A33}"/>
            </c:ext>
          </c:extLst>
        </c:ser>
        <c:ser>
          <c:idx val="135"/>
          <c:order val="189"/>
          <c:tx>
            <c:v>Rotzeigerw15</c:v>
          </c:tx>
          <c:spPr>
            <a:ln>
              <a:solidFill>
                <a:srgbClr val="8064A2">
                  <a:lumMod val="60000"/>
                  <a:lumOff val="40000"/>
                </a:srgbClr>
              </a:solidFill>
              <a:tailEnd type="triangle"/>
            </a:ln>
          </c:spPr>
          <c:marker>
            <c:symbol val="none"/>
          </c:marker>
          <c:xVal>
            <c:numRef>
              <c:f>Symbole!$S$89:$T$89</c:f>
              <c:numCache>
                <c:formatCode>General</c:formatCode>
                <c:ptCount val="2"/>
                <c:pt idx="0">
                  <c:v>0</c:v>
                </c:pt>
                <c:pt idx="1">
                  <c:v>0</c:v>
                </c:pt>
              </c:numCache>
            </c:numRef>
          </c:xVal>
          <c:yVal>
            <c:numRef>
              <c:f>Symbole!$W$89:$X$89</c:f>
              <c:numCache>
                <c:formatCode>General</c:formatCode>
                <c:ptCount val="2"/>
                <c:pt idx="0">
                  <c:v>0</c:v>
                </c:pt>
                <c:pt idx="1">
                  <c:v>0</c:v>
                </c:pt>
              </c:numCache>
            </c:numRef>
          </c:yVal>
          <c:smooth val="0"/>
          <c:extLst>
            <c:ext xmlns:c16="http://schemas.microsoft.com/office/drawing/2014/chart" uri="{C3380CC4-5D6E-409C-BE32-E72D297353CC}">
              <c16:uniqueId val="{000000BD-4B1B-4507-991D-858168B14A33}"/>
            </c:ext>
          </c:extLst>
        </c:ser>
        <c:ser>
          <c:idx val="136"/>
          <c:order val="190"/>
          <c:tx>
            <c:v>Rotzeigerw16</c:v>
          </c:tx>
          <c:spPr>
            <a:ln>
              <a:solidFill>
                <a:srgbClr val="8064A2">
                  <a:lumMod val="60000"/>
                  <a:lumOff val="40000"/>
                </a:srgbClr>
              </a:solidFill>
              <a:tailEnd type="triangle"/>
            </a:ln>
          </c:spPr>
          <c:marker>
            <c:symbol val="none"/>
          </c:marker>
          <c:xVal>
            <c:numRef>
              <c:f>Symbole!$S$90:$T$90</c:f>
              <c:numCache>
                <c:formatCode>General</c:formatCode>
                <c:ptCount val="2"/>
                <c:pt idx="0">
                  <c:v>0</c:v>
                </c:pt>
                <c:pt idx="1">
                  <c:v>0</c:v>
                </c:pt>
              </c:numCache>
            </c:numRef>
          </c:xVal>
          <c:yVal>
            <c:numRef>
              <c:f>Symbole!$W$90:$X$90</c:f>
              <c:numCache>
                <c:formatCode>General</c:formatCode>
                <c:ptCount val="2"/>
                <c:pt idx="0">
                  <c:v>0</c:v>
                </c:pt>
                <c:pt idx="1">
                  <c:v>0</c:v>
                </c:pt>
              </c:numCache>
            </c:numRef>
          </c:yVal>
          <c:smooth val="0"/>
          <c:extLst>
            <c:ext xmlns:c16="http://schemas.microsoft.com/office/drawing/2014/chart" uri="{C3380CC4-5D6E-409C-BE32-E72D297353CC}">
              <c16:uniqueId val="{000000BE-4B1B-4507-991D-858168B14A33}"/>
            </c:ext>
          </c:extLst>
        </c:ser>
        <c:ser>
          <c:idx val="137"/>
          <c:order val="191"/>
          <c:tx>
            <c:v>Rotzeigerw17</c:v>
          </c:tx>
          <c:spPr>
            <a:ln>
              <a:solidFill>
                <a:srgbClr val="8064A2">
                  <a:lumMod val="60000"/>
                  <a:lumOff val="40000"/>
                </a:srgbClr>
              </a:solidFill>
              <a:tailEnd type="triangle"/>
            </a:ln>
          </c:spPr>
          <c:marker>
            <c:symbol val="none"/>
          </c:marker>
          <c:xVal>
            <c:numRef>
              <c:f>Symbole!$S$91:$T$91</c:f>
              <c:numCache>
                <c:formatCode>General</c:formatCode>
                <c:ptCount val="2"/>
                <c:pt idx="0">
                  <c:v>0</c:v>
                </c:pt>
                <c:pt idx="1">
                  <c:v>0</c:v>
                </c:pt>
              </c:numCache>
            </c:numRef>
          </c:xVal>
          <c:yVal>
            <c:numRef>
              <c:f>Symbole!$W$91:$X$91</c:f>
              <c:numCache>
                <c:formatCode>General</c:formatCode>
                <c:ptCount val="2"/>
                <c:pt idx="0">
                  <c:v>0</c:v>
                </c:pt>
                <c:pt idx="1">
                  <c:v>0</c:v>
                </c:pt>
              </c:numCache>
            </c:numRef>
          </c:yVal>
          <c:smooth val="0"/>
          <c:extLst>
            <c:ext xmlns:c16="http://schemas.microsoft.com/office/drawing/2014/chart" uri="{C3380CC4-5D6E-409C-BE32-E72D297353CC}">
              <c16:uniqueId val="{000000BF-4B1B-4507-991D-858168B14A33}"/>
            </c:ext>
          </c:extLst>
        </c:ser>
        <c:ser>
          <c:idx val="138"/>
          <c:order val="192"/>
          <c:tx>
            <c:v>Rotzeigerw18</c:v>
          </c:tx>
          <c:spPr>
            <a:ln>
              <a:solidFill>
                <a:srgbClr val="8064A2">
                  <a:lumMod val="60000"/>
                  <a:lumOff val="40000"/>
                </a:srgbClr>
              </a:solidFill>
              <a:tailEnd type="triangle"/>
            </a:ln>
          </c:spPr>
          <c:marker>
            <c:symbol val="none"/>
          </c:marker>
          <c:xVal>
            <c:numRef>
              <c:f>Symbole!$S$92:$T$92</c:f>
              <c:numCache>
                <c:formatCode>General</c:formatCode>
                <c:ptCount val="2"/>
                <c:pt idx="0">
                  <c:v>0</c:v>
                </c:pt>
                <c:pt idx="1">
                  <c:v>0</c:v>
                </c:pt>
              </c:numCache>
            </c:numRef>
          </c:xVal>
          <c:yVal>
            <c:numRef>
              <c:f>Symbole!$W$92:$X$92</c:f>
              <c:numCache>
                <c:formatCode>General</c:formatCode>
                <c:ptCount val="2"/>
                <c:pt idx="0">
                  <c:v>0</c:v>
                </c:pt>
                <c:pt idx="1">
                  <c:v>0</c:v>
                </c:pt>
              </c:numCache>
            </c:numRef>
          </c:yVal>
          <c:smooth val="0"/>
          <c:extLst>
            <c:ext xmlns:c16="http://schemas.microsoft.com/office/drawing/2014/chart" uri="{C3380CC4-5D6E-409C-BE32-E72D297353CC}">
              <c16:uniqueId val="{000000C0-4B1B-4507-991D-858168B14A33}"/>
            </c:ext>
          </c:extLst>
        </c:ser>
        <c:ser>
          <c:idx val="139"/>
          <c:order val="193"/>
          <c:tx>
            <c:v>Rotzeigerw19</c:v>
          </c:tx>
          <c:spPr>
            <a:ln>
              <a:solidFill>
                <a:srgbClr val="8064A2">
                  <a:lumMod val="60000"/>
                  <a:lumOff val="40000"/>
                </a:srgbClr>
              </a:solidFill>
              <a:tailEnd type="triangle"/>
            </a:ln>
          </c:spPr>
          <c:marker>
            <c:symbol val="none"/>
          </c:marker>
          <c:xVal>
            <c:numRef>
              <c:f>Symbole!$S$93:$T$93</c:f>
              <c:numCache>
                <c:formatCode>General</c:formatCode>
                <c:ptCount val="2"/>
                <c:pt idx="0">
                  <c:v>0</c:v>
                </c:pt>
                <c:pt idx="1">
                  <c:v>0</c:v>
                </c:pt>
              </c:numCache>
            </c:numRef>
          </c:xVal>
          <c:yVal>
            <c:numRef>
              <c:f>Symbole!$W$93:$X$93</c:f>
              <c:numCache>
                <c:formatCode>General</c:formatCode>
                <c:ptCount val="2"/>
                <c:pt idx="0">
                  <c:v>0</c:v>
                </c:pt>
                <c:pt idx="1">
                  <c:v>0</c:v>
                </c:pt>
              </c:numCache>
            </c:numRef>
          </c:yVal>
          <c:smooth val="0"/>
          <c:extLst>
            <c:ext xmlns:c16="http://schemas.microsoft.com/office/drawing/2014/chart" uri="{C3380CC4-5D6E-409C-BE32-E72D297353CC}">
              <c16:uniqueId val="{000000C1-4B1B-4507-991D-858168B14A33}"/>
            </c:ext>
          </c:extLst>
        </c:ser>
        <c:ser>
          <c:idx val="140"/>
          <c:order val="194"/>
          <c:tx>
            <c:v>Rotzeigerw20</c:v>
          </c:tx>
          <c:spPr>
            <a:ln>
              <a:solidFill>
                <a:srgbClr val="8064A2">
                  <a:lumMod val="60000"/>
                  <a:lumOff val="40000"/>
                </a:srgbClr>
              </a:solidFill>
              <a:tailEnd type="triangle"/>
            </a:ln>
          </c:spPr>
          <c:marker>
            <c:symbol val="none"/>
          </c:marker>
          <c:xVal>
            <c:numRef>
              <c:f>Symbole!$S$94:$T$94</c:f>
              <c:numCache>
                <c:formatCode>General</c:formatCode>
                <c:ptCount val="2"/>
                <c:pt idx="0">
                  <c:v>0</c:v>
                </c:pt>
                <c:pt idx="1">
                  <c:v>0</c:v>
                </c:pt>
              </c:numCache>
            </c:numRef>
          </c:xVal>
          <c:yVal>
            <c:numRef>
              <c:f>Symbole!$W$94:$X$94</c:f>
              <c:numCache>
                <c:formatCode>General</c:formatCode>
                <c:ptCount val="2"/>
                <c:pt idx="0">
                  <c:v>0</c:v>
                </c:pt>
                <c:pt idx="1">
                  <c:v>0</c:v>
                </c:pt>
              </c:numCache>
            </c:numRef>
          </c:yVal>
          <c:smooth val="0"/>
          <c:extLst>
            <c:ext xmlns:c16="http://schemas.microsoft.com/office/drawing/2014/chart" uri="{C3380CC4-5D6E-409C-BE32-E72D297353CC}">
              <c16:uniqueId val="{000000C2-4B1B-4507-991D-858168B14A33}"/>
            </c:ext>
          </c:extLst>
        </c:ser>
        <c:ser>
          <c:idx val="141"/>
          <c:order val="195"/>
          <c:tx>
            <c:v>hor. Feder 1</c:v>
          </c:tx>
          <c:spPr>
            <a:ln w="25400" cap="rnd" cmpd="sng" algn="ctr">
              <a:solidFill>
                <a:srgbClr val="00B050"/>
              </a:solidFill>
              <a:prstDash val="solid"/>
              <a:round/>
              <a:headEnd type="none" w="med" len="med"/>
              <a:tailEnd type="none" w="med" len="med"/>
            </a:ln>
          </c:spPr>
          <c:marker>
            <c:symbol val="none"/>
          </c:marker>
          <c:xVal>
            <c:numRef>
              <c:f>Symbole!$AF$123:$AR$123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Symbole!$AS$123:$BE$123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3-4B1B-4507-991D-858168B14A33}"/>
            </c:ext>
          </c:extLst>
        </c:ser>
        <c:ser>
          <c:idx val="142"/>
          <c:order val="196"/>
          <c:tx>
            <c:v>hor. Feder 2</c:v>
          </c:tx>
          <c:spPr>
            <a:ln w="25400" cap="rnd" cmpd="sng" algn="ctr">
              <a:solidFill>
                <a:srgbClr val="00B050"/>
              </a:solidFill>
              <a:prstDash val="solid"/>
              <a:round/>
              <a:headEnd type="none" w="med" len="med"/>
              <a:tailEnd type="none" w="med" len="med"/>
            </a:ln>
          </c:spPr>
          <c:marker>
            <c:symbol val="none"/>
          </c:marker>
          <c:xVal>
            <c:numRef>
              <c:f>Symbole!$AF$124:$AR$124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Symbole!$AS$124:$BE$124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4-4B1B-4507-991D-858168B14A33}"/>
            </c:ext>
          </c:extLst>
        </c:ser>
        <c:ser>
          <c:idx val="143"/>
          <c:order val="197"/>
          <c:tx>
            <c:v>hor. Feder 3</c:v>
          </c:tx>
          <c:spPr>
            <a:ln w="25400" cap="rnd" cmpd="sng" algn="ctr">
              <a:solidFill>
                <a:srgbClr val="00B050"/>
              </a:solidFill>
              <a:prstDash val="solid"/>
              <a:round/>
              <a:headEnd type="none" w="med" len="med"/>
              <a:tailEnd type="none" w="med" len="med"/>
            </a:ln>
          </c:spPr>
          <c:marker>
            <c:symbol val="none"/>
          </c:marker>
          <c:xVal>
            <c:numRef>
              <c:f>Symbole!$AF$125:$AR$125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Symbole!$AS$125:$BE$125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5-4B1B-4507-991D-858168B14A33}"/>
            </c:ext>
          </c:extLst>
        </c:ser>
        <c:ser>
          <c:idx val="144"/>
          <c:order val="198"/>
          <c:tx>
            <c:v>hor. Feder 4</c:v>
          </c:tx>
          <c:spPr>
            <a:ln w="25400" cap="rnd" cmpd="sng" algn="ctr">
              <a:solidFill>
                <a:srgbClr val="00B050"/>
              </a:solidFill>
              <a:prstDash val="solid"/>
              <a:round/>
              <a:headEnd type="none" w="med" len="med"/>
              <a:tailEnd type="none" w="med" len="med"/>
            </a:ln>
          </c:spPr>
          <c:marker>
            <c:symbol val="none"/>
          </c:marker>
          <c:xVal>
            <c:numRef>
              <c:f>Symbole!$AF$126:$AR$126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Symbole!$AS$126:$BE$126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6-4B1B-4507-991D-858168B14A33}"/>
            </c:ext>
          </c:extLst>
        </c:ser>
        <c:ser>
          <c:idx val="145"/>
          <c:order val="199"/>
          <c:tx>
            <c:v>hor. Feder 5</c:v>
          </c:tx>
          <c:spPr>
            <a:ln w="25400" cap="rnd" cmpd="sng" algn="ctr">
              <a:solidFill>
                <a:srgbClr val="00B050"/>
              </a:solidFill>
              <a:prstDash val="solid"/>
              <a:round/>
              <a:headEnd type="none" w="med" len="med"/>
              <a:tailEnd type="none" w="med" len="med"/>
            </a:ln>
          </c:spPr>
          <c:marker>
            <c:symbol val="none"/>
          </c:marker>
          <c:xVal>
            <c:numRef>
              <c:f>Symbole!$AF$127:$AR$127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Symbole!$AS$127:$BE$127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7-4B1B-4507-991D-858168B14A33}"/>
            </c:ext>
          </c:extLst>
        </c:ser>
        <c:ser>
          <c:idx val="146"/>
          <c:order val="200"/>
          <c:tx>
            <c:v>hor. Feder 6</c:v>
          </c:tx>
          <c:spPr>
            <a:ln w="25400" cap="rnd" cmpd="sng" algn="ctr">
              <a:solidFill>
                <a:srgbClr val="00B050"/>
              </a:solidFill>
              <a:prstDash val="solid"/>
              <a:round/>
              <a:headEnd type="none" w="med" len="med"/>
              <a:tailEnd type="none" w="med" len="med"/>
            </a:ln>
          </c:spPr>
          <c:marker>
            <c:symbol val="none"/>
          </c:marker>
          <c:xVal>
            <c:numRef>
              <c:f>Symbole!$AF$128:$AR$128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Symbole!$AS$128:$BE$128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8-4B1B-4507-991D-858168B14A33}"/>
            </c:ext>
          </c:extLst>
        </c:ser>
        <c:ser>
          <c:idx val="147"/>
          <c:order val="201"/>
          <c:tx>
            <c:v>hor. Feder 7</c:v>
          </c:tx>
          <c:spPr>
            <a:ln w="25400" cap="rnd" cmpd="sng" algn="ctr">
              <a:solidFill>
                <a:srgbClr val="00B050"/>
              </a:solidFill>
              <a:prstDash val="solid"/>
              <a:round/>
              <a:headEnd type="none" w="med" len="med"/>
              <a:tailEnd type="none" w="med" len="med"/>
            </a:ln>
          </c:spPr>
          <c:marker>
            <c:symbol val="none"/>
          </c:marker>
          <c:xVal>
            <c:numRef>
              <c:f>Symbole!$AF$129:$AR$129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Symbole!$AS$129:$BE$129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9-4B1B-4507-991D-858168B14A33}"/>
            </c:ext>
          </c:extLst>
        </c:ser>
        <c:ser>
          <c:idx val="148"/>
          <c:order val="202"/>
          <c:tx>
            <c:v>hor. Feder 8</c:v>
          </c:tx>
          <c:spPr>
            <a:ln w="25400" cap="rnd" cmpd="sng" algn="ctr">
              <a:solidFill>
                <a:srgbClr val="00B050"/>
              </a:solidFill>
              <a:prstDash val="solid"/>
              <a:round/>
              <a:headEnd type="none" w="med" len="med"/>
              <a:tailEnd type="none" w="med" len="med"/>
            </a:ln>
          </c:spPr>
          <c:marker>
            <c:symbol val="none"/>
          </c:marker>
          <c:xVal>
            <c:numRef>
              <c:f>Symbole!$AF$130:$AR$130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Symbole!$AS$130:$BE$130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A-4B1B-4507-991D-858168B14A33}"/>
            </c:ext>
          </c:extLst>
        </c:ser>
        <c:ser>
          <c:idx val="149"/>
          <c:order val="203"/>
          <c:tx>
            <c:v>hor. Feder 9</c:v>
          </c:tx>
          <c:spPr>
            <a:ln w="25400" cap="rnd" cmpd="sng" algn="ctr">
              <a:solidFill>
                <a:srgbClr val="00B050"/>
              </a:solidFill>
              <a:prstDash val="solid"/>
              <a:round/>
              <a:headEnd type="none" w="med" len="med"/>
              <a:tailEnd type="none" w="med" len="med"/>
            </a:ln>
          </c:spPr>
          <c:marker>
            <c:symbol val="none"/>
          </c:marker>
          <c:xVal>
            <c:numRef>
              <c:f>Symbole!$AF$131:$AR$131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Symbole!$AS$131:$BE$131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B-4B1B-4507-991D-858168B14A33}"/>
            </c:ext>
          </c:extLst>
        </c:ser>
        <c:ser>
          <c:idx val="150"/>
          <c:order val="204"/>
          <c:tx>
            <c:v>hor. Feder 10</c:v>
          </c:tx>
          <c:spPr>
            <a:ln w="25400" cap="rnd" cmpd="sng" algn="ctr">
              <a:solidFill>
                <a:srgbClr val="00B050"/>
              </a:solidFill>
              <a:prstDash val="solid"/>
              <a:round/>
              <a:headEnd type="none" w="med" len="med"/>
              <a:tailEnd type="none" w="med" len="med"/>
            </a:ln>
          </c:spPr>
          <c:marker>
            <c:symbol val="none"/>
          </c:marker>
          <c:xVal>
            <c:numRef>
              <c:f>Symbole!$AF$132:$AR$132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Symbole!$AS$132:$BE$132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C-4B1B-4507-991D-858168B14A33}"/>
            </c:ext>
          </c:extLst>
        </c:ser>
        <c:ser>
          <c:idx val="151"/>
          <c:order val="205"/>
          <c:tx>
            <c:v>hor. Feder 11</c:v>
          </c:tx>
          <c:spPr>
            <a:ln w="25400" cap="rnd" cmpd="sng" algn="ctr">
              <a:solidFill>
                <a:srgbClr val="00B050"/>
              </a:solidFill>
              <a:prstDash val="solid"/>
              <a:round/>
              <a:headEnd type="none" w="med" len="med"/>
              <a:tailEnd type="none" w="med" len="med"/>
            </a:ln>
          </c:spPr>
          <c:marker>
            <c:symbol val="none"/>
          </c:marker>
          <c:xVal>
            <c:numRef>
              <c:f>Symbole!$AF$133:$AR$133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Symbole!$AS$133:$BE$133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D-4B1B-4507-991D-858168B14A33}"/>
            </c:ext>
          </c:extLst>
        </c:ser>
        <c:ser>
          <c:idx val="152"/>
          <c:order val="206"/>
          <c:tx>
            <c:v>hor. Feder 12</c:v>
          </c:tx>
          <c:spPr>
            <a:ln w="25400" cap="rnd" cmpd="sng" algn="ctr">
              <a:solidFill>
                <a:srgbClr val="00B050"/>
              </a:solidFill>
              <a:prstDash val="solid"/>
              <a:round/>
              <a:headEnd type="none" w="med" len="med"/>
              <a:tailEnd type="none" w="med" len="med"/>
            </a:ln>
          </c:spPr>
          <c:marker>
            <c:symbol val="none"/>
          </c:marker>
          <c:xVal>
            <c:numRef>
              <c:f>Symbole!$AF$134:$AR$134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Symbole!$AS$134:$BE$134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E-4B1B-4507-991D-858168B14A33}"/>
            </c:ext>
          </c:extLst>
        </c:ser>
        <c:ser>
          <c:idx val="153"/>
          <c:order val="207"/>
          <c:tx>
            <c:v>hor. Feder 13</c:v>
          </c:tx>
          <c:spPr>
            <a:ln w="25400" cap="rnd" cmpd="sng" algn="ctr">
              <a:solidFill>
                <a:srgbClr val="00B050"/>
              </a:solidFill>
              <a:prstDash val="solid"/>
              <a:round/>
              <a:headEnd type="none" w="med" len="med"/>
              <a:tailEnd type="none" w="med" len="med"/>
            </a:ln>
          </c:spPr>
          <c:marker>
            <c:symbol val="none"/>
          </c:marker>
          <c:xVal>
            <c:numRef>
              <c:f>Symbole!$AF$135:$AR$135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Symbole!$AS$135:$BE$135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CF-4B1B-4507-991D-858168B14A33}"/>
            </c:ext>
          </c:extLst>
        </c:ser>
        <c:ser>
          <c:idx val="154"/>
          <c:order val="208"/>
          <c:tx>
            <c:v>hor. Feder 14</c:v>
          </c:tx>
          <c:spPr>
            <a:ln w="25400" cap="rnd" cmpd="sng" algn="ctr">
              <a:solidFill>
                <a:srgbClr val="00B050"/>
              </a:solidFill>
              <a:prstDash val="solid"/>
              <a:round/>
              <a:headEnd type="none" w="med" len="med"/>
              <a:tailEnd type="none" w="med" len="med"/>
            </a:ln>
          </c:spPr>
          <c:marker>
            <c:symbol val="none"/>
          </c:marker>
          <c:xVal>
            <c:numRef>
              <c:f>Symbole!$AF$136:$AR$136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Symbole!$AS$136:$BE$136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0-4B1B-4507-991D-858168B14A33}"/>
            </c:ext>
          </c:extLst>
        </c:ser>
        <c:ser>
          <c:idx val="155"/>
          <c:order val="209"/>
          <c:tx>
            <c:v>hor. Feder 15</c:v>
          </c:tx>
          <c:spPr>
            <a:ln w="25400" cap="rnd" cmpd="sng" algn="ctr">
              <a:solidFill>
                <a:srgbClr val="00B050"/>
              </a:solidFill>
              <a:prstDash val="solid"/>
              <a:round/>
              <a:headEnd type="none" w="med" len="med"/>
              <a:tailEnd type="none" w="med" len="med"/>
            </a:ln>
          </c:spPr>
          <c:marker>
            <c:symbol val="none"/>
          </c:marker>
          <c:xVal>
            <c:numRef>
              <c:f>Symbole!$AF$137:$AR$137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Symbole!$AS$137:$BE$137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1-4B1B-4507-991D-858168B14A33}"/>
            </c:ext>
          </c:extLst>
        </c:ser>
        <c:ser>
          <c:idx val="156"/>
          <c:order val="210"/>
          <c:tx>
            <c:v>hor. Feder 16</c:v>
          </c:tx>
          <c:spPr>
            <a:ln w="25400" cap="rnd" cmpd="sng" algn="ctr">
              <a:solidFill>
                <a:srgbClr val="00B050"/>
              </a:solidFill>
              <a:prstDash val="solid"/>
              <a:round/>
              <a:headEnd type="none" w="med" len="med"/>
              <a:tailEnd type="none" w="med" len="med"/>
            </a:ln>
          </c:spPr>
          <c:marker>
            <c:symbol val="none"/>
          </c:marker>
          <c:xVal>
            <c:numRef>
              <c:f>Symbole!$AF$138:$AR$138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Symbole!$AS$138:$BE$138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2-4B1B-4507-991D-858168B14A33}"/>
            </c:ext>
          </c:extLst>
        </c:ser>
        <c:ser>
          <c:idx val="157"/>
          <c:order val="211"/>
          <c:tx>
            <c:v>hor. Feder 17</c:v>
          </c:tx>
          <c:spPr>
            <a:ln w="25400" cap="rnd" cmpd="sng" algn="ctr">
              <a:solidFill>
                <a:srgbClr val="00B050"/>
              </a:solidFill>
              <a:prstDash val="solid"/>
              <a:round/>
              <a:headEnd type="none" w="med" len="med"/>
              <a:tailEnd type="none" w="med" len="med"/>
            </a:ln>
          </c:spPr>
          <c:marker>
            <c:symbol val="none"/>
          </c:marker>
          <c:xVal>
            <c:numRef>
              <c:f>Symbole!$AF$139:$AR$139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Symbole!$AS$139:$BE$139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3-4B1B-4507-991D-858168B14A33}"/>
            </c:ext>
          </c:extLst>
        </c:ser>
        <c:ser>
          <c:idx val="158"/>
          <c:order val="212"/>
          <c:tx>
            <c:v>hor. Feder 18</c:v>
          </c:tx>
          <c:spPr>
            <a:ln w="25400" cap="rnd" cmpd="sng" algn="ctr">
              <a:solidFill>
                <a:srgbClr val="00B050"/>
              </a:solidFill>
              <a:prstDash val="solid"/>
              <a:round/>
              <a:headEnd type="none" w="med" len="med"/>
              <a:tailEnd type="none" w="med" len="med"/>
            </a:ln>
          </c:spPr>
          <c:marker>
            <c:symbol val="none"/>
          </c:marker>
          <c:xVal>
            <c:numRef>
              <c:f>Symbole!$AF$140:$AR$140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Symbole!$AS$140:$BE$140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4-4B1B-4507-991D-858168B14A33}"/>
            </c:ext>
          </c:extLst>
        </c:ser>
        <c:ser>
          <c:idx val="159"/>
          <c:order val="213"/>
          <c:tx>
            <c:v>hor. Feder 19</c:v>
          </c:tx>
          <c:spPr>
            <a:ln w="25400" cap="rnd" cmpd="sng" algn="ctr">
              <a:solidFill>
                <a:srgbClr val="00B050"/>
              </a:solidFill>
              <a:prstDash val="solid"/>
              <a:round/>
              <a:headEnd type="none" w="med" len="med"/>
              <a:tailEnd type="none" w="med" len="med"/>
            </a:ln>
          </c:spPr>
          <c:marker>
            <c:symbol val="none"/>
          </c:marker>
          <c:xVal>
            <c:numRef>
              <c:f>Symbole!$AF$141:$AR$141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Symbole!$AS$141:$BE$141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5-4B1B-4507-991D-858168B14A33}"/>
            </c:ext>
          </c:extLst>
        </c:ser>
        <c:ser>
          <c:idx val="160"/>
          <c:order val="214"/>
          <c:tx>
            <c:v>hor. Feder 20</c:v>
          </c:tx>
          <c:spPr>
            <a:ln w="25400" cap="rnd" cmpd="sng" algn="ctr">
              <a:solidFill>
                <a:srgbClr val="00B050"/>
              </a:solidFill>
              <a:prstDash val="solid"/>
              <a:round/>
              <a:headEnd type="none" w="med" len="med"/>
              <a:tailEnd type="none" w="med" len="med"/>
            </a:ln>
          </c:spPr>
          <c:marker>
            <c:symbol val="none"/>
          </c:marker>
          <c:xVal>
            <c:numRef>
              <c:f>Symbole!$AF$142:$AR$142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Symbole!$AS$142:$BE$142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6-4B1B-4507-991D-858168B14A33}"/>
            </c:ext>
          </c:extLst>
        </c:ser>
        <c:ser>
          <c:idx val="161"/>
          <c:order val="215"/>
          <c:tx>
            <c:v>ver. Feder 1</c:v>
          </c:tx>
          <c:spPr>
            <a:ln w="25400" cap="rnd" cmpd="sng" algn="ctr">
              <a:solidFill>
                <a:srgbClr val="00B050"/>
              </a:solidFill>
              <a:prstDash val="solid"/>
              <a:round/>
              <a:headEnd type="none" w="med" len="med"/>
              <a:tailEnd type="none" w="med" len="med"/>
            </a:ln>
          </c:spPr>
          <c:marker>
            <c:symbol val="none"/>
          </c:marker>
          <c:xVal>
            <c:numRef>
              <c:f>Symbole!$AF$99:$AR$99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Symbole!$AS$99:$BE$99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7-4B1B-4507-991D-858168B14A33}"/>
            </c:ext>
          </c:extLst>
        </c:ser>
        <c:ser>
          <c:idx val="162"/>
          <c:order val="216"/>
          <c:tx>
            <c:v>ver. Feder 2</c:v>
          </c:tx>
          <c:spPr>
            <a:ln w="25400" cap="rnd" cmpd="sng" algn="ctr">
              <a:solidFill>
                <a:srgbClr val="00B050"/>
              </a:solidFill>
              <a:prstDash val="solid"/>
              <a:round/>
              <a:headEnd type="none" w="med" len="med"/>
              <a:tailEnd type="none" w="med" len="med"/>
            </a:ln>
          </c:spPr>
          <c:marker>
            <c:symbol val="none"/>
          </c:marker>
          <c:xVal>
            <c:numRef>
              <c:f>Symbole!$AF$100:$AR$100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Symbole!$AS$100:$BE$100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8-4B1B-4507-991D-858168B14A33}"/>
            </c:ext>
          </c:extLst>
        </c:ser>
        <c:ser>
          <c:idx val="163"/>
          <c:order val="217"/>
          <c:tx>
            <c:v>ver. Feder 3</c:v>
          </c:tx>
          <c:spPr>
            <a:ln w="25400" cap="rnd" cmpd="sng" algn="ctr">
              <a:solidFill>
                <a:srgbClr val="00B050"/>
              </a:solidFill>
              <a:prstDash val="solid"/>
              <a:round/>
              <a:headEnd type="none" w="med" len="med"/>
              <a:tailEnd type="none" w="med" len="med"/>
            </a:ln>
          </c:spPr>
          <c:marker>
            <c:symbol val="none"/>
          </c:marker>
          <c:xVal>
            <c:numRef>
              <c:f>Symbole!$AF$101:$AR$101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Symbole!$AS$101:$BE$101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9-4B1B-4507-991D-858168B14A33}"/>
            </c:ext>
          </c:extLst>
        </c:ser>
        <c:ser>
          <c:idx val="164"/>
          <c:order val="218"/>
          <c:tx>
            <c:v>ver. Feder 4</c:v>
          </c:tx>
          <c:spPr>
            <a:ln w="25400" cap="rnd" cmpd="sng" algn="ctr">
              <a:solidFill>
                <a:srgbClr val="00B050"/>
              </a:solidFill>
              <a:prstDash val="solid"/>
              <a:round/>
              <a:headEnd type="none" w="med" len="med"/>
              <a:tailEnd type="none" w="med" len="med"/>
            </a:ln>
          </c:spPr>
          <c:marker>
            <c:symbol val="none"/>
          </c:marker>
          <c:xVal>
            <c:numRef>
              <c:f>Symbole!$AF$102:$AR$102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Symbole!$AS$102:$BE$102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A-4B1B-4507-991D-858168B14A33}"/>
            </c:ext>
          </c:extLst>
        </c:ser>
        <c:ser>
          <c:idx val="165"/>
          <c:order val="219"/>
          <c:tx>
            <c:v>ver. Feder 5</c:v>
          </c:tx>
          <c:spPr>
            <a:ln w="25400" cap="rnd" cmpd="sng" algn="ctr">
              <a:solidFill>
                <a:srgbClr val="00B050"/>
              </a:solidFill>
              <a:prstDash val="solid"/>
              <a:round/>
              <a:headEnd type="none" w="med" len="med"/>
              <a:tailEnd type="none" w="med" len="med"/>
            </a:ln>
          </c:spPr>
          <c:marker>
            <c:symbol val="none"/>
          </c:marker>
          <c:xVal>
            <c:numRef>
              <c:f>Symbole!$AF$103:$AR$103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Symbole!$AS$103:$BE$103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B-4B1B-4507-991D-858168B14A33}"/>
            </c:ext>
          </c:extLst>
        </c:ser>
        <c:ser>
          <c:idx val="166"/>
          <c:order val="220"/>
          <c:tx>
            <c:v>ver. Feder 6</c:v>
          </c:tx>
          <c:spPr>
            <a:ln w="25400" cap="rnd" cmpd="sng" algn="ctr">
              <a:solidFill>
                <a:srgbClr val="00B050"/>
              </a:solidFill>
              <a:prstDash val="solid"/>
              <a:round/>
              <a:headEnd type="none" w="med" len="med"/>
              <a:tailEnd type="none" w="med" len="med"/>
            </a:ln>
          </c:spPr>
          <c:marker>
            <c:symbol val="none"/>
          </c:marker>
          <c:xVal>
            <c:numRef>
              <c:f>Symbole!$AF$104:$AR$104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Symbole!$AS$104:$BE$104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C-4B1B-4507-991D-858168B14A33}"/>
            </c:ext>
          </c:extLst>
        </c:ser>
        <c:ser>
          <c:idx val="167"/>
          <c:order val="221"/>
          <c:tx>
            <c:v>ver. Feder 7</c:v>
          </c:tx>
          <c:spPr>
            <a:ln w="25400" cap="rnd" cmpd="sng" algn="ctr">
              <a:solidFill>
                <a:srgbClr val="00B050"/>
              </a:solidFill>
              <a:prstDash val="solid"/>
              <a:round/>
              <a:headEnd type="none" w="med" len="med"/>
              <a:tailEnd type="none" w="med" len="med"/>
            </a:ln>
          </c:spPr>
          <c:marker>
            <c:symbol val="none"/>
          </c:marker>
          <c:xVal>
            <c:numRef>
              <c:f>Symbole!$AF$105:$AR$105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Symbole!$AS$105:$BE$105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D-4B1B-4507-991D-858168B14A33}"/>
            </c:ext>
          </c:extLst>
        </c:ser>
        <c:ser>
          <c:idx val="168"/>
          <c:order val="222"/>
          <c:tx>
            <c:v>ver. Feder 8</c:v>
          </c:tx>
          <c:spPr>
            <a:ln w="25400" cap="rnd" cmpd="sng" algn="ctr">
              <a:solidFill>
                <a:srgbClr val="00B050"/>
              </a:solidFill>
              <a:prstDash val="solid"/>
              <a:round/>
              <a:headEnd type="none" w="med" len="med"/>
              <a:tailEnd type="none" w="med" len="med"/>
            </a:ln>
          </c:spPr>
          <c:marker>
            <c:symbol val="none"/>
          </c:marker>
          <c:xVal>
            <c:numRef>
              <c:f>Symbole!$AF$106:$AR$106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Symbole!$AS$106:$BE$106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E-4B1B-4507-991D-858168B14A33}"/>
            </c:ext>
          </c:extLst>
        </c:ser>
        <c:ser>
          <c:idx val="169"/>
          <c:order val="223"/>
          <c:tx>
            <c:v>ver. Feder 9</c:v>
          </c:tx>
          <c:spPr>
            <a:ln w="25400" cap="rnd" cmpd="sng" algn="ctr">
              <a:solidFill>
                <a:srgbClr val="00B050"/>
              </a:solidFill>
              <a:prstDash val="solid"/>
              <a:round/>
              <a:headEnd type="none" w="med" len="med"/>
              <a:tailEnd type="none" w="med" len="med"/>
            </a:ln>
          </c:spPr>
          <c:marker>
            <c:symbol val="none"/>
          </c:marker>
          <c:xVal>
            <c:numRef>
              <c:f>Symbole!$AF$107:$AR$107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Symbole!$AS$107:$BE$107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DF-4B1B-4507-991D-858168B14A33}"/>
            </c:ext>
          </c:extLst>
        </c:ser>
        <c:ser>
          <c:idx val="170"/>
          <c:order val="224"/>
          <c:tx>
            <c:v>ver. Feder 10</c:v>
          </c:tx>
          <c:spPr>
            <a:ln w="25400" cap="rnd" cmpd="sng" algn="ctr">
              <a:solidFill>
                <a:srgbClr val="00B050"/>
              </a:solidFill>
              <a:prstDash val="solid"/>
              <a:round/>
              <a:headEnd type="none" w="med" len="med"/>
              <a:tailEnd type="none" w="med" len="med"/>
            </a:ln>
          </c:spPr>
          <c:marker>
            <c:symbol val="none"/>
          </c:marker>
          <c:xVal>
            <c:numRef>
              <c:f>Symbole!$AF$108:$AR$108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Symbole!$AS$108:$BE$108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0-4B1B-4507-991D-858168B14A33}"/>
            </c:ext>
          </c:extLst>
        </c:ser>
        <c:ser>
          <c:idx val="171"/>
          <c:order val="225"/>
          <c:tx>
            <c:v>ver. Feder 11</c:v>
          </c:tx>
          <c:spPr>
            <a:ln w="25400" cap="rnd" cmpd="sng" algn="ctr">
              <a:solidFill>
                <a:srgbClr val="00B050"/>
              </a:solidFill>
              <a:prstDash val="solid"/>
              <a:round/>
              <a:headEnd type="none" w="med" len="med"/>
              <a:tailEnd type="none" w="med" len="med"/>
            </a:ln>
          </c:spPr>
          <c:marker>
            <c:symbol val="none"/>
          </c:marker>
          <c:xVal>
            <c:numRef>
              <c:f>Symbole!$AF$109:$AR$109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Symbole!$AS$109:$BE$109</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1-4B1B-4507-991D-858168B14A33}"/>
            </c:ext>
          </c:extLst>
        </c:ser>
        <c:ser>
          <c:idx val="172"/>
          <c:order val="226"/>
          <c:tx>
            <c:v>ver. Feder 12</c:v>
          </c:tx>
          <c:spPr>
            <a:ln w="25400" cap="rnd" cmpd="sng" algn="ctr">
              <a:solidFill>
                <a:srgbClr val="00B050"/>
              </a:solidFill>
              <a:prstDash val="solid"/>
              <a:round/>
              <a:headEnd type="none" w="med" len="med"/>
              <a:tailEnd type="none" w="med" len="med"/>
            </a:ln>
          </c:spPr>
          <c:marker>
            <c:symbol val="none"/>
          </c:marker>
          <c:xVal>
            <c:numRef>
              <c:f>Symbole!$AF$110:$AR$110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Symbole!$AS$110:$BE$110</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2-4B1B-4507-991D-858168B14A33}"/>
            </c:ext>
          </c:extLst>
        </c:ser>
        <c:ser>
          <c:idx val="173"/>
          <c:order val="227"/>
          <c:tx>
            <c:v>ver. Feder 13</c:v>
          </c:tx>
          <c:spPr>
            <a:ln w="25400" cap="rnd" cmpd="sng" algn="ctr">
              <a:solidFill>
                <a:srgbClr val="00B050"/>
              </a:solidFill>
              <a:prstDash val="solid"/>
              <a:round/>
              <a:headEnd type="none" w="med" len="med"/>
              <a:tailEnd type="none" w="med" len="med"/>
            </a:ln>
          </c:spPr>
          <c:marker>
            <c:symbol val="none"/>
          </c:marker>
          <c:xVal>
            <c:numRef>
              <c:f>Symbole!$AF$111:$AR$111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Symbole!$AS$111:$BE$111</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3-4B1B-4507-991D-858168B14A33}"/>
            </c:ext>
          </c:extLst>
        </c:ser>
        <c:ser>
          <c:idx val="174"/>
          <c:order val="228"/>
          <c:tx>
            <c:v>ver. Feder 14</c:v>
          </c:tx>
          <c:spPr>
            <a:ln w="25400" cap="rnd" cmpd="sng" algn="ctr">
              <a:solidFill>
                <a:srgbClr val="00B050"/>
              </a:solidFill>
              <a:prstDash val="solid"/>
              <a:round/>
              <a:headEnd type="none" w="med" len="med"/>
              <a:tailEnd type="none" w="med" len="med"/>
            </a:ln>
          </c:spPr>
          <c:marker>
            <c:symbol val="none"/>
          </c:marker>
          <c:xVal>
            <c:numRef>
              <c:f>Symbole!$AF$112:$AR$112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Symbole!$AS$112:$BE$112</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4-4B1B-4507-991D-858168B14A33}"/>
            </c:ext>
          </c:extLst>
        </c:ser>
        <c:ser>
          <c:idx val="175"/>
          <c:order val="229"/>
          <c:tx>
            <c:v>ver. Feder 15</c:v>
          </c:tx>
          <c:spPr>
            <a:ln w="25400" cap="rnd" cmpd="sng" algn="ctr">
              <a:solidFill>
                <a:srgbClr val="00B050"/>
              </a:solidFill>
              <a:prstDash val="solid"/>
              <a:round/>
              <a:headEnd type="none" w="med" len="med"/>
              <a:tailEnd type="none" w="med" len="med"/>
            </a:ln>
          </c:spPr>
          <c:marker>
            <c:symbol val="none"/>
          </c:marker>
          <c:xVal>
            <c:numRef>
              <c:f>Symbole!$AF$113:$AR$113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Symbole!$AS$113:$BE$113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5-4B1B-4507-991D-858168B14A33}"/>
            </c:ext>
          </c:extLst>
        </c:ser>
        <c:ser>
          <c:idx val="176"/>
          <c:order val="230"/>
          <c:tx>
            <c:v>ver. Feder 16</c:v>
          </c:tx>
          <c:spPr>
            <a:ln w="25400" cap="rnd" cmpd="sng" algn="ctr">
              <a:solidFill>
                <a:srgbClr val="00B050"/>
              </a:solidFill>
              <a:prstDash val="solid"/>
              <a:round/>
              <a:headEnd type="none" w="med" len="med"/>
              <a:tailEnd type="none" w="med" len="med"/>
            </a:ln>
          </c:spPr>
          <c:marker>
            <c:symbol val="none"/>
          </c:marker>
          <c:xVal>
            <c:numRef>
              <c:f>Symbole!$AF$114:$AR$114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Symbole!$AS$114:$BE$114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6-4B1B-4507-991D-858168B14A33}"/>
            </c:ext>
          </c:extLst>
        </c:ser>
        <c:ser>
          <c:idx val="177"/>
          <c:order val="231"/>
          <c:tx>
            <c:v>ver. Feder 17</c:v>
          </c:tx>
          <c:spPr>
            <a:ln w="25400" cap="rnd" cmpd="sng" algn="ctr">
              <a:solidFill>
                <a:srgbClr val="00B050"/>
              </a:solidFill>
              <a:prstDash val="solid"/>
              <a:round/>
              <a:headEnd type="none" w="med" len="med"/>
              <a:tailEnd type="none" w="med" len="med"/>
            </a:ln>
          </c:spPr>
          <c:marker>
            <c:symbol val="none"/>
          </c:marker>
          <c:xVal>
            <c:numRef>
              <c:f>Symbole!$AF$115:$AR$115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Symbole!$AS$115:$BE$115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7-4B1B-4507-991D-858168B14A33}"/>
            </c:ext>
          </c:extLst>
        </c:ser>
        <c:ser>
          <c:idx val="178"/>
          <c:order val="232"/>
          <c:tx>
            <c:v>ver. Feder 18</c:v>
          </c:tx>
          <c:spPr>
            <a:ln w="25400" cap="rnd" cmpd="sng" algn="ctr">
              <a:solidFill>
                <a:srgbClr val="00B050"/>
              </a:solidFill>
              <a:prstDash val="solid"/>
              <a:round/>
              <a:headEnd type="none" w="med" len="med"/>
              <a:tailEnd type="none" w="med" len="med"/>
            </a:ln>
          </c:spPr>
          <c:marker>
            <c:symbol val="none"/>
          </c:marker>
          <c:xVal>
            <c:numRef>
              <c:f>Symbole!$AF$116:$AR$116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Symbole!$AS$116:$BE$116</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8-4B1B-4507-991D-858168B14A33}"/>
            </c:ext>
          </c:extLst>
        </c:ser>
        <c:ser>
          <c:idx val="179"/>
          <c:order val="233"/>
          <c:tx>
            <c:v>ver. Feder 19</c:v>
          </c:tx>
          <c:spPr>
            <a:ln w="25400" cap="rnd" cmpd="sng" algn="ctr">
              <a:solidFill>
                <a:srgbClr val="00B050"/>
              </a:solidFill>
              <a:prstDash val="solid"/>
              <a:round/>
              <a:headEnd type="none" w="med" len="med"/>
              <a:tailEnd type="none" w="med" len="med"/>
            </a:ln>
          </c:spPr>
          <c:marker>
            <c:symbol val="none"/>
          </c:marker>
          <c:xVal>
            <c:numRef>
              <c:f>Symbole!$AF$117:$AR$117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Symbole!$AS$117:$BE$117</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9-4B1B-4507-991D-858168B14A33}"/>
            </c:ext>
          </c:extLst>
        </c:ser>
        <c:ser>
          <c:idx val="180"/>
          <c:order val="234"/>
          <c:tx>
            <c:v>ver. Feder 20</c:v>
          </c:tx>
          <c:spPr>
            <a:ln w="25400" cap="rnd" cmpd="sng" algn="ctr">
              <a:solidFill>
                <a:srgbClr val="00B050"/>
              </a:solidFill>
              <a:prstDash val="solid"/>
              <a:round/>
              <a:headEnd type="none" w="med" len="med"/>
              <a:tailEnd type="none" w="med" len="med"/>
            </a:ln>
          </c:spPr>
          <c:marker>
            <c:symbol val="none"/>
          </c:marker>
          <c:xVal>
            <c:numRef>
              <c:f>Symbole!$AF$118:$AR$118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xVal>
          <c:yVal>
            <c:numRef>
              <c:f>Symbole!$AS$118:$BE$118</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EA-4B1B-4507-991D-858168B14A33}"/>
            </c:ext>
          </c:extLst>
        </c:ser>
        <c:ser>
          <c:idx val="181"/>
          <c:order val="235"/>
          <c:tx>
            <c:v>Drehfeder 1</c:v>
          </c:tx>
          <c:spPr>
            <a:ln w="25400" cap="rnd" cmpd="sng" algn="ctr">
              <a:solidFill>
                <a:srgbClr val="00B050"/>
              </a:solidFill>
              <a:prstDash val="solid"/>
              <a:round/>
              <a:headEnd type="none" w="med" len="med"/>
              <a:tailEnd type="none" w="med" len="med"/>
            </a:ln>
          </c:spPr>
          <c:marker>
            <c:symbol val="none"/>
          </c:marker>
          <c:xVal>
            <c:numRef>
              <c:f>Symbole!$AL$147:$BQ$147</c:f>
              <c:numCache>
                <c:formatCode>General</c:formatCode>
                <c:ptCount val="32"/>
                <c:pt idx="0">
                  <c:v>23.626678459402886</c:v>
                </c:pt>
                <c:pt idx="1">
                  <c:v>23.626678459402886</c:v>
                </c:pt>
                <c:pt idx="2">
                  <c:v>23.626678459402886</c:v>
                </c:pt>
                <c:pt idx="3">
                  <c:v>23.626678459402886</c:v>
                </c:pt>
                <c:pt idx="4">
                  <c:v>23.626678459402886</c:v>
                </c:pt>
                <c:pt idx="5">
                  <c:v>23.626678459402886</c:v>
                </c:pt>
                <c:pt idx="6">
                  <c:v>23.626678459402886</c:v>
                </c:pt>
                <c:pt idx="7">
                  <c:v>23.626678459402886</c:v>
                </c:pt>
                <c:pt idx="8">
                  <c:v>23.626678459402886</c:v>
                </c:pt>
                <c:pt idx="9">
                  <c:v>23.626678459402886</c:v>
                </c:pt>
                <c:pt idx="10">
                  <c:v>23.626678459402886</c:v>
                </c:pt>
                <c:pt idx="11">
                  <c:v>23.626678459402886</c:v>
                </c:pt>
                <c:pt idx="12">
                  <c:v>23.626678459402886</c:v>
                </c:pt>
                <c:pt idx="13">
                  <c:v>23.626678459402886</c:v>
                </c:pt>
                <c:pt idx="14">
                  <c:v>23.626678459402886</c:v>
                </c:pt>
                <c:pt idx="15">
                  <c:v>23.626678459402886</c:v>
                </c:pt>
                <c:pt idx="16">
                  <c:v>23.626678459402886</c:v>
                </c:pt>
                <c:pt idx="17">
                  <c:v>23.626678459402886</c:v>
                </c:pt>
                <c:pt idx="18">
                  <c:v>23.626678459402886</c:v>
                </c:pt>
                <c:pt idx="19">
                  <c:v>23.626678459402886</c:v>
                </c:pt>
                <c:pt idx="20">
                  <c:v>23.626678459402886</c:v>
                </c:pt>
                <c:pt idx="21">
                  <c:v>23.626678459402886</c:v>
                </c:pt>
                <c:pt idx="22">
                  <c:v>23.626678459402886</c:v>
                </c:pt>
                <c:pt idx="23">
                  <c:v>23.626678459402886</c:v>
                </c:pt>
                <c:pt idx="24">
                  <c:v>23.626678459402886</c:v>
                </c:pt>
                <c:pt idx="25">
                  <c:v>23.626678459402886</c:v>
                </c:pt>
                <c:pt idx="26">
                  <c:v>23.626678459402886</c:v>
                </c:pt>
                <c:pt idx="27">
                  <c:v>23.626678459402886</c:v>
                </c:pt>
                <c:pt idx="28">
                  <c:v>23.626678459402886</c:v>
                </c:pt>
                <c:pt idx="29">
                  <c:v>23.626678459402886</c:v>
                </c:pt>
                <c:pt idx="30">
                  <c:v>23.626678459402886</c:v>
                </c:pt>
                <c:pt idx="31">
                  <c:v>23.626678459402886</c:v>
                </c:pt>
              </c:numCache>
            </c:numRef>
          </c:xVal>
          <c:yVal>
            <c:numRef>
              <c:f>Symbole!$AL$171:$BQ$171</c:f>
              <c:numCache>
                <c:formatCode>General</c:formatCode>
                <c:ptCount val="32"/>
                <c:pt idx="0">
                  <c:v>-46.105451176718191</c:v>
                </c:pt>
                <c:pt idx="1">
                  <c:v>-46.105451176718191</c:v>
                </c:pt>
                <c:pt idx="2">
                  <c:v>-46.105451176718191</c:v>
                </c:pt>
                <c:pt idx="3">
                  <c:v>-46.105451176718191</c:v>
                </c:pt>
                <c:pt idx="4">
                  <c:v>-46.105451176718191</c:v>
                </c:pt>
                <c:pt idx="5">
                  <c:v>-46.105451176718191</c:v>
                </c:pt>
                <c:pt idx="6">
                  <c:v>-46.105451176718191</c:v>
                </c:pt>
                <c:pt idx="7">
                  <c:v>-46.105451176718191</c:v>
                </c:pt>
                <c:pt idx="8">
                  <c:v>-46.105451176718191</c:v>
                </c:pt>
                <c:pt idx="9">
                  <c:v>-46.105451176718191</c:v>
                </c:pt>
                <c:pt idx="10">
                  <c:v>-46.105451176718191</c:v>
                </c:pt>
                <c:pt idx="11">
                  <c:v>-46.105451176718191</c:v>
                </c:pt>
                <c:pt idx="12">
                  <c:v>-46.105451176718191</c:v>
                </c:pt>
                <c:pt idx="13">
                  <c:v>-46.105451176718191</c:v>
                </c:pt>
                <c:pt idx="14">
                  <c:v>-46.105451176718191</c:v>
                </c:pt>
                <c:pt idx="15">
                  <c:v>-46.105451176718191</c:v>
                </c:pt>
                <c:pt idx="16">
                  <c:v>-46.105451176718191</c:v>
                </c:pt>
                <c:pt idx="17">
                  <c:v>-46.105451176718191</c:v>
                </c:pt>
                <c:pt idx="18">
                  <c:v>-46.105451176718191</c:v>
                </c:pt>
                <c:pt idx="19">
                  <c:v>-46.105451176718191</c:v>
                </c:pt>
                <c:pt idx="20">
                  <c:v>-46.105451176718191</c:v>
                </c:pt>
                <c:pt idx="21">
                  <c:v>-46.105451176718191</c:v>
                </c:pt>
                <c:pt idx="22">
                  <c:v>-46.105451176718191</c:v>
                </c:pt>
                <c:pt idx="23">
                  <c:v>-46.105451176718191</c:v>
                </c:pt>
                <c:pt idx="24">
                  <c:v>-46.105451176718191</c:v>
                </c:pt>
                <c:pt idx="25">
                  <c:v>-46.105451176718191</c:v>
                </c:pt>
                <c:pt idx="26">
                  <c:v>-46.105451176718191</c:v>
                </c:pt>
                <c:pt idx="27">
                  <c:v>-46.105451176718191</c:v>
                </c:pt>
                <c:pt idx="28">
                  <c:v>-46.105451176718191</c:v>
                </c:pt>
                <c:pt idx="29">
                  <c:v>-46.105451176718191</c:v>
                </c:pt>
                <c:pt idx="30">
                  <c:v>-46.105451176718191</c:v>
                </c:pt>
                <c:pt idx="31">
                  <c:v>-46.105451176718191</c:v>
                </c:pt>
              </c:numCache>
            </c:numRef>
          </c:yVal>
          <c:smooth val="0"/>
          <c:extLst>
            <c:ext xmlns:c16="http://schemas.microsoft.com/office/drawing/2014/chart" uri="{C3380CC4-5D6E-409C-BE32-E72D297353CC}">
              <c16:uniqueId val="{000000EB-4B1B-4507-991D-858168B14A33}"/>
            </c:ext>
          </c:extLst>
        </c:ser>
        <c:ser>
          <c:idx val="182"/>
          <c:order val="236"/>
          <c:tx>
            <c:v>Drehfeder 2</c:v>
          </c:tx>
          <c:spPr>
            <a:ln w="25400" cap="rnd" cmpd="sng" algn="ctr">
              <a:solidFill>
                <a:srgbClr val="00B050"/>
              </a:solidFill>
              <a:prstDash val="solid"/>
              <a:round/>
              <a:headEnd type="none" w="med" len="med"/>
              <a:tailEnd type="none" w="med" len="med"/>
            </a:ln>
          </c:spPr>
          <c:marker>
            <c:symbol val="none"/>
          </c:marker>
          <c:xVal>
            <c:numRef>
              <c:f>Symbole!$AL$148:$BQ$148</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xVal>
          <c:yVal>
            <c:numRef>
              <c:f>Symbole!$AL$172:$BQ$172</c:f>
              <c:numCache>
                <c:formatCode>General</c:formatCode>
                <c:ptCount val="32"/>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numCache>
            </c:numRef>
          </c:yVal>
          <c:smooth val="0"/>
          <c:extLst>
            <c:ext xmlns:c16="http://schemas.microsoft.com/office/drawing/2014/chart" uri="{C3380CC4-5D6E-409C-BE32-E72D297353CC}">
              <c16:uniqueId val="{000000EC-4B1B-4507-991D-858168B14A33}"/>
            </c:ext>
          </c:extLst>
        </c:ser>
        <c:ser>
          <c:idx val="183"/>
          <c:order val="237"/>
          <c:tx>
            <c:v>Drehfeder 3</c:v>
          </c:tx>
          <c:spPr>
            <a:ln w="25400" cap="rnd" cmpd="sng" algn="ctr">
              <a:solidFill>
                <a:srgbClr val="00B050"/>
              </a:solidFill>
              <a:prstDash val="solid"/>
              <a:round/>
              <a:headEnd type="none" w="med" len="med"/>
              <a:tailEnd type="none" w="med" len="med"/>
            </a:ln>
          </c:spPr>
          <c:marker>
            <c:symbol val="none"/>
          </c:marker>
          <c:xVal>
            <c:numRef>
              <c:f>Symbole!$AL$149:$BQ$149</c:f>
              <c:numCache>
                <c:formatCode>General</c:formatCode>
                <c:ptCount val="32"/>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numCache>
            </c:numRef>
          </c:xVal>
          <c:yVal>
            <c:numRef>
              <c:f>Symbole!$AL$173:$BQ$173</c:f>
              <c:numCache>
                <c:formatCode>General</c:formatCode>
                <c:ptCount val="32"/>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numCache>
            </c:numRef>
          </c:yVal>
          <c:smooth val="0"/>
          <c:extLst>
            <c:ext xmlns:c16="http://schemas.microsoft.com/office/drawing/2014/chart" uri="{C3380CC4-5D6E-409C-BE32-E72D297353CC}">
              <c16:uniqueId val="{000000ED-4B1B-4507-991D-858168B14A33}"/>
            </c:ext>
          </c:extLst>
        </c:ser>
        <c:ser>
          <c:idx val="184"/>
          <c:order val="238"/>
          <c:tx>
            <c:v>Drehfeder 4</c:v>
          </c:tx>
          <c:spPr>
            <a:ln w="25400" cap="rnd" cmpd="sng" algn="ctr">
              <a:solidFill>
                <a:srgbClr val="00B050"/>
              </a:solidFill>
              <a:prstDash val="solid"/>
              <a:round/>
              <a:headEnd type="none" w="med" len="med"/>
              <a:tailEnd type="none" w="med" len="med"/>
            </a:ln>
          </c:spPr>
          <c:marker>
            <c:symbol val="none"/>
          </c:marker>
          <c:xVal>
            <c:numRef>
              <c:f>Symbole!$AL$150:$BQ$150</c:f>
              <c:numCache>
                <c:formatCode>General</c:formatCode>
                <c:ptCount val="32"/>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pt idx="16">
                  <c:v>60</c:v>
                </c:pt>
                <c:pt idx="17">
                  <c:v>60</c:v>
                </c:pt>
                <c:pt idx="18">
                  <c:v>60</c:v>
                </c:pt>
                <c:pt idx="19">
                  <c:v>60</c:v>
                </c:pt>
                <c:pt idx="20">
                  <c:v>60</c:v>
                </c:pt>
                <c:pt idx="21">
                  <c:v>60</c:v>
                </c:pt>
                <c:pt idx="22">
                  <c:v>60</c:v>
                </c:pt>
                <c:pt idx="23">
                  <c:v>60</c:v>
                </c:pt>
                <c:pt idx="24">
                  <c:v>60</c:v>
                </c:pt>
                <c:pt idx="25">
                  <c:v>60</c:v>
                </c:pt>
                <c:pt idx="26">
                  <c:v>60</c:v>
                </c:pt>
                <c:pt idx="27">
                  <c:v>60</c:v>
                </c:pt>
                <c:pt idx="28">
                  <c:v>60</c:v>
                </c:pt>
                <c:pt idx="29">
                  <c:v>60</c:v>
                </c:pt>
                <c:pt idx="30">
                  <c:v>60</c:v>
                </c:pt>
                <c:pt idx="31">
                  <c:v>60</c:v>
                </c:pt>
              </c:numCache>
            </c:numRef>
          </c:xVal>
          <c:yVal>
            <c:numRef>
              <c:f>Symbole!$AL$174:$BQ$174</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yVal>
          <c:smooth val="0"/>
          <c:extLst>
            <c:ext xmlns:c16="http://schemas.microsoft.com/office/drawing/2014/chart" uri="{C3380CC4-5D6E-409C-BE32-E72D297353CC}">
              <c16:uniqueId val="{000000EE-4B1B-4507-991D-858168B14A33}"/>
            </c:ext>
          </c:extLst>
        </c:ser>
        <c:ser>
          <c:idx val="185"/>
          <c:order val="239"/>
          <c:tx>
            <c:v>Drehfeder 5</c:v>
          </c:tx>
          <c:spPr>
            <a:ln w="25400" cap="rnd" cmpd="sng" algn="ctr">
              <a:solidFill>
                <a:srgbClr val="00B050"/>
              </a:solidFill>
              <a:prstDash val="solid"/>
              <a:round/>
              <a:headEnd type="none" w="med" len="med"/>
              <a:tailEnd type="none" w="med" len="med"/>
            </a:ln>
          </c:spPr>
          <c:marker>
            <c:symbol val="none"/>
          </c:marker>
          <c:xVal>
            <c:numRef>
              <c:f>Symbole!$AL$151:$BQ$151</c:f>
              <c:numCache>
                <c:formatCode>General</c:formatCode>
                <c:ptCount val="32"/>
                <c:pt idx="0">
                  <c:v>-50</c:v>
                </c:pt>
                <c:pt idx="1">
                  <c:v>-50</c:v>
                </c:pt>
                <c:pt idx="2">
                  <c:v>-50</c:v>
                </c:pt>
                <c:pt idx="3">
                  <c:v>-50</c:v>
                </c:pt>
                <c:pt idx="4">
                  <c:v>-50</c:v>
                </c:pt>
                <c:pt idx="5">
                  <c:v>-50</c:v>
                </c:pt>
                <c:pt idx="6">
                  <c:v>-50</c:v>
                </c:pt>
                <c:pt idx="7">
                  <c:v>-50</c:v>
                </c:pt>
                <c:pt idx="8">
                  <c:v>-50</c:v>
                </c:pt>
                <c:pt idx="9">
                  <c:v>-50</c:v>
                </c:pt>
                <c:pt idx="10">
                  <c:v>-50</c:v>
                </c:pt>
                <c:pt idx="11">
                  <c:v>-50</c:v>
                </c:pt>
                <c:pt idx="12">
                  <c:v>-50</c:v>
                </c:pt>
                <c:pt idx="13">
                  <c:v>-50</c:v>
                </c:pt>
                <c:pt idx="14">
                  <c:v>-50</c:v>
                </c:pt>
                <c:pt idx="15">
                  <c:v>-50</c:v>
                </c:pt>
                <c:pt idx="16">
                  <c:v>-50</c:v>
                </c:pt>
                <c:pt idx="17">
                  <c:v>-50</c:v>
                </c:pt>
                <c:pt idx="18">
                  <c:v>-50</c:v>
                </c:pt>
                <c:pt idx="19">
                  <c:v>-50</c:v>
                </c:pt>
                <c:pt idx="20">
                  <c:v>-50</c:v>
                </c:pt>
                <c:pt idx="21">
                  <c:v>-50</c:v>
                </c:pt>
                <c:pt idx="22">
                  <c:v>-50</c:v>
                </c:pt>
                <c:pt idx="23">
                  <c:v>-50</c:v>
                </c:pt>
                <c:pt idx="24">
                  <c:v>-50</c:v>
                </c:pt>
                <c:pt idx="25">
                  <c:v>-50</c:v>
                </c:pt>
                <c:pt idx="26">
                  <c:v>-50</c:v>
                </c:pt>
                <c:pt idx="27">
                  <c:v>-50</c:v>
                </c:pt>
                <c:pt idx="28">
                  <c:v>-50</c:v>
                </c:pt>
                <c:pt idx="29">
                  <c:v>-50</c:v>
                </c:pt>
                <c:pt idx="30">
                  <c:v>-50</c:v>
                </c:pt>
                <c:pt idx="31">
                  <c:v>-50</c:v>
                </c:pt>
              </c:numCache>
            </c:numRef>
          </c:xVal>
          <c:yVal>
            <c:numRef>
              <c:f>Symbole!$AL$175:$BQ$175</c:f>
              <c:numCache>
                <c:formatCode>General</c:formatCode>
                <c:ptCount val="32"/>
                <c:pt idx="0">
                  <c:v>-70</c:v>
                </c:pt>
                <c:pt idx="1">
                  <c:v>-70</c:v>
                </c:pt>
                <c:pt idx="2">
                  <c:v>-70</c:v>
                </c:pt>
                <c:pt idx="3">
                  <c:v>-70</c:v>
                </c:pt>
                <c:pt idx="4">
                  <c:v>-70</c:v>
                </c:pt>
                <c:pt idx="5">
                  <c:v>-70</c:v>
                </c:pt>
                <c:pt idx="6">
                  <c:v>-70</c:v>
                </c:pt>
                <c:pt idx="7">
                  <c:v>-70</c:v>
                </c:pt>
                <c:pt idx="8">
                  <c:v>-70</c:v>
                </c:pt>
                <c:pt idx="9">
                  <c:v>-70</c:v>
                </c:pt>
                <c:pt idx="10">
                  <c:v>-70</c:v>
                </c:pt>
                <c:pt idx="11">
                  <c:v>-70</c:v>
                </c:pt>
                <c:pt idx="12">
                  <c:v>-70</c:v>
                </c:pt>
                <c:pt idx="13">
                  <c:v>-70</c:v>
                </c:pt>
                <c:pt idx="14">
                  <c:v>-70</c:v>
                </c:pt>
                <c:pt idx="15">
                  <c:v>-70</c:v>
                </c:pt>
                <c:pt idx="16">
                  <c:v>-70</c:v>
                </c:pt>
                <c:pt idx="17">
                  <c:v>-70</c:v>
                </c:pt>
                <c:pt idx="18">
                  <c:v>-70</c:v>
                </c:pt>
                <c:pt idx="19">
                  <c:v>-70</c:v>
                </c:pt>
                <c:pt idx="20">
                  <c:v>-70</c:v>
                </c:pt>
                <c:pt idx="21">
                  <c:v>-70</c:v>
                </c:pt>
                <c:pt idx="22">
                  <c:v>-70</c:v>
                </c:pt>
                <c:pt idx="23">
                  <c:v>-70</c:v>
                </c:pt>
                <c:pt idx="24">
                  <c:v>-70</c:v>
                </c:pt>
                <c:pt idx="25">
                  <c:v>-70</c:v>
                </c:pt>
                <c:pt idx="26">
                  <c:v>-70</c:v>
                </c:pt>
                <c:pt idx="27">
                  <c:v>-70</c:v>
                </c:pt>
                <c:pt idx="28">
                  <c:v>-70</c:v>
                </c:pt>
                <c:pt idx="29">
                  <c:v>-70</c:v>
                </c:pt>
                <c:pt idx="30">
                  <c:v>-70</c:v>
                </c:pt>
                <c:pt idx="31">
                  <c:v>-70</c:v>
                </c:pt>
              </c:numCache>
            </c:numRef>
          </c:yVal>
          <c:smooth val="0"/>
          <c:extLst>
            <c:ext xmlns:c16="http://schemas.microsoft.com/office/drawing/2014/chart" uri="{C3380CC4-5D6E-409C-BE32-E72D297353CC}">
              <c16:uniqueId val="{000000EF-4B1B-4507-991D-858168B14A33}"/>
            </c:ext>
          </c:extLst>
        </c:ser>
        <c:ser>
          <c:idx val="186"/>
          <c:order val="240"/>
          <c:tx>
            <c:v>Drehfeder 6</c:v>
          </c:tx>
          <c:spPr>
            <a:ln w="25400" cap="rnd" cmpd="sng" algn="ctr">
              <a:solidFill>
                <a:srgbClr val="00B050"/>
              </a:solidFill>
              <a:prstDash val="solid"/>
              <a:round/>
              <a:headEnd type="none" w="med" len="med"/>
              <a:tailEnd type="none" w="med" len="med"/>
            </a:ln>
          </c:spPr>
          <c:marker>
            <c:symbol val="none"/>
          </c:marker>
          <c:xVal>
            <c:numRef>
              <c:f>Symbole!$AL$152:$BQ$152</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xVal>
          <c:yVal>
            <c:numRef>
              <c:f>Symbole!$AL$176:$BQ$176</c:f>
              <c:numCache>
                <c:formatCode>General</c:formatCode>
                <c:ptCount val="32"/>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numCache>
            </c:numRef>
          </c:yVal>
          <c:smooth val="0"/>
          <c:extLst>
            <c:ext xmlns:c16="http://schemas.microsoft.com/office/drawing/2014/chart" uri="{C3380CC4-5D6E-409C-BE32-E72D297353CC}">
              <c16:uniqueId val="{000000F0-4B1B-4507-991D-858168B14A33}"/>
            </c:ext>
          </c:extLst>
        </c:ser>
        <c:ser>
          <c:idx val="187"/>
          <c:order val="241"/>
          <c:tx>
            <c:v>Drehfeder 7</c:v>
          </c:tx>
          <c:spPr>
            <a:ln w="25400" cap="rnd" cmpd="sng" algn="ctr">
              <a:solidFill>
                <a:srgbClr val="00B050"/>
              </a:solidFill>
              <a:prstDash val="solid"/>
              <a:round/>
              <a:headEnd type="none" w="med" len="med"/>
              <a:tailEnd type="none" w="med" len="med"/>
            </a:ln>
          </c:spPr>
          <c:marker>
            <c:symbol val="none"/>
          </c:marker>
          <c:xVal>
            <c:numRef>
              <c:f>Symbole!$AL$153:$BQ$153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Symbole!$AL$177:$BQ$177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1-4B1B-4507-991D-858168B14A33}"/>
            </c:ext>
          </c:extLst>
        </c:ser>
        <c:ser>
          <c:idx val="188"/>
          <c:order val="242"/>
          <c:tx>
            <c:v>Drehfeder 8</c:v>
          </c:tx>
          <c:spPr>
            <a:ln w="25400" cap="rnd" cmpd="sng" algn="ctr">
              <a:solidFill>
                <a:srgbClr val="00B050"/>
              </a:solidFill>
              <a:prstDash val="solid"/>
              <a:round/>
              <a:headEnd type="none" w="med" len="med"/>
              <a:tailEnd type="none" w="med" len="med"/>
            </a:ln>
          </c:spPr>
          <c:marker>
            <c:symbol val="none"/>
          </c:marker>
          <c:xVal>
            <c:numRef>
              <c:f>Symbole!$AL$154:$BQ$154</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Symbole!$AL$178:$BQ$178</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2-4B1B-4507-991D-858168B14A33}"/>
            </c:ext>
          </c:extLst>
        </c:ser>
        <c:ser>
          <c:idx val="189"/>
          <c:order val="243"/>
          <c:tx>
            <c:v>Drehfeder 9</c:v>
          </c:tx>
          <c:spPr>
            <a:ln w="25400" cap="rnd" cmpd="sng" algn="ctr">
              <a:solidFill>
                <a:srgbClr val="00B050"/>
              </a:solidFill>
              <a:prstDash val="solid"/>
              <a:round/>
              <a:headEnd type="none" w="med" len="med"/>
              <a:tailEnd type="none" w="med" len="med"/>
            </a:ln>
          </c:spPr>
          <c:marker>
            <c:symbol val="none"/>
          </c:marker>
          <c:xVal>
            <c:numRef>
              <c:f>Symbole!$AL$155:$BQ$155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Symbole!$AL$179:$BQ$179</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3-4B1B-4507-991D-858168B14A33}"/>
            </c:ext>
          </c:extLst>
        </c:ser>
        <c:ser>
          <c:idx val="190"/>
          <c:order val="244"/>
          <c:tx>
            <c:v>Drehfeder 10</c:v>
          </c:tx>
          <c:spPr>
            <a:ln w="25400" cap="rnd" cmpd="sng" algn="ctr">
              <a:solidFill>
                <a:srgbClr val="00B050"/>
              </a:solidFill>
              <a:prstDash val="solid"/>
              <a:round/>
              <a:headEnd type="none" w="med" len="med"/>
              <a:tailEnd type="none" w="med" len="med"/>
            </a:ln>
          </c:spPr>
          <c:marker>
            <c:symbol val="none"/>
          </c:marker>
          <c:xVal>
            <c:numRef>
              <c:f>Symbole!$AL$156:$BQ$156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Symbole!$AL$180:$BQ$180</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4-4B1B-4507-991D-858168B14A33}"/>
            </c:ext>
          </c:extLst>
        </c:ser>
        <c:ser>
          <c:idx val="191"/>
          <c:order val="245"/>
          <c:tx>
            <c:v>Drehfeder 11</c:v>
          </c:tx>
          <c:spPr>
            <a:ln w="25400" cap="rnd" cmpd="sng" algn="ctr">
              <a:solidFill>
                <a:srgbClr val="00B050"/>
              </a:solidFill>
              <a:prstDash val="solid"/>
              <a:round/>
              <a:headEnd type="none" w="med" len="med"/>
              <a:tailEnd type="none" w="med" len="med"/>
            </a:ln>
          </c:spPr>
          <c:marker>
            <c:symbol val="none"/>
          </c:marker>
          <c:xVal>
            <c:numRef>
              <c:f>Symbole!$AL$157:$BQ$157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Symbole!$AL$181:$BQ$181</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5-4B1B-4507-991D-858168B14A33}"/>
            </c:ext>
          </c:extLst>
        </c:ser>
        <c:ser>
          <c:idx val="192"/>
          <c:order val="246"/>
          <c:tx>
            <c:v>Drehfeder 12</c:v>
          </c:tx>
          <c:spPr>
            <a:ln w="25400" cap="rnd" cmpd="sng" algn="ctr">
              <a:solidFill>
                <a:srgbClr val="00B050"/>
              </a:solidFill>
              <a:prstDash val="solid"/>
              <a:round/>
              <a:headEnd type="none" w="med" len="med"/>
              <a:tailEnd type="none" w="med" len="med"/>
            </a:ln>
          </c:spPr>
          <c:marker>
            <c:symbol val="none"/>
          </c:marker>
          <c:xVal>
            <c:numRef>
              <c:f>Symbole!$AL$158:$BQ$158</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Symbole!$AL$182:$BQ$182</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6-4B1B-4507-991D-858168B14A33}"/>
            </c:ext>
          </c:extLst>
        </c:ser>
        <c:ser>
          <c:idx val="193"/>
          <c:order val="247"/>
          <c:tx>
            <c:v>Drehfeder 13</c:v>
          </c:tx>
          <c:spPr>
            <a:ln w="25400" cap="rnd" cmpd="sng" algn="ctr">
              <a:solidFill>
                <a:srgbClr val="00B050"/>
              </a:solidFill>
              <a:prstDash val="solid"/>
              <a:round/>
              <a:headEnd type="none" w="med" len="med"/>
              <a:tailEnd type="none" w="med" len="med"/>
            </a:ln>
          </c:spPr>
          <c:marker>
            <c:symbol val="none"/>
          </c:marker>
          <c:xVal>
            <c:numRef>
              <c:f>Symbole!$AL$159:$BQ$159</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Symbole!$AL$183:$BQ$183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7-4B1B-4507-991D-858168B14A33}"/>
            </c:ext>
          </c:extLst>
        </c:ser>
        <c:ser>
          <c:idx val="194"/>
          <c:order val="248"/>
          <c:tx>
            <c:v>Drehfeder 14</c:v>
          </c:tx>
          <c:spPr>
            <a:ln w="25400" cap="rnd" cmpd="sng" algn="ctr">
              <a:solidFill>
                <a:srgbClr val="00B050"/>
              </a:solidFill>
              <a:prstDash val="solid"/>
              <a:round/>
              <a:headEnd type="none" w="med" len="med"/>
              <a:tailEnd type="none" w="med" len="med"/>
            </a:ln>
          </c:spPr>
          <c:marker>
            <c:symbol val="none"/>
          </c:marker>
          <c:xVal>
            <c:numRef>
              <c:f>Symbole!$AL$160:$BQ$160</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Symbole!$AL$184:$BQ$184</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8-4B1B-4507-991D-858168B14A33}"/>
            </c:ext>
          </c:extLst>
        </c:ser>
        <c:ser>
          <c:idx val="195"/>
          <c:order val="249"/>
          <c:tx>
            <c:v>Drehfeder 15</c:v>
          </c:tx>
          <c:spPr>
            <a:ln w="25400" cap="rnd" cmpd="sng" algn="ctr">
              <a:solidFill>
                <a:srgbClr val="00B050"/>
              </a:solidFill>
              <a:prstDash val="solid"/>
              <a:round/>
              <a:headEnd type="none" w="med" len="med"/>
              <a:tailEnd type="none" w="med" len="med"/>
            </a:ln>
          </c:spPr>
          <c:marker>
            <c:symbol val="none"/>
          </c:marker>
          <c:xVal>
            <c:numRef>
              <c:f>Symbole!$AL$161:$BQ$161</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Symbole!$AL$185:$BQ$185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9-4B1B-4507-991D-858168B14A33}"/>
            </c:ext>
          </c:extLst>
        </c:ser>
        <c:ser>
          <c:idx val="196"/>
          <c:order val="250"/>
          <c:tx>
            <c:v>Drehfeder 16</c:v>
          </c:tx>
          <c:spPr>
            <a:ln w="25400" cap="rnd" cmpd="sng" algn="ctr">
              <a:solidFill>
                <a:srgbClr val="00B050"/>
              </a:solidFill>
              <a:prstDash val="solid"/>
              <a:round/>
              <a:headEnd type="none" w="med" len="med"/>
              <a:tailEnd type="none" w="med" len="med"/>
            </a:ln>
          </c:spPr>
          <c:marker>
            <c:symbol val="none"/>
          </c:marker>
          <c:xVal>
            <c:numRef>
              <c:f>Symbole!$AL$162:$BQ$162</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Symbole!$AL$186:$BQ$186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A-4B1B-4507-991D-858168B14A33}"/>
            </c:ext>
          </c:extLst>
        </c:ser>
        <c:ser>
          <c:idx val="197"/>
          <c:order val="251"/>
          <c:tx>
            <c:v>Drehfeder 17</c:v>
          </c:tx>
          <c:spPr>
            <a:ln w="25400" cap="rnd" cmpd="sng" algn="ctr">
              <a:solidFill>
                <a:srgbClr val="00B050"/>
              </a:solidFill>
              <a:prstDash val="solid"/>
              <a:round/>
              <a:headEnd type="none" w="med" len="med"/>
              <a:tailEnd type="none" w="med" len="med"/>
            </a:ln>
          </c:spPr>
          <c:marker>
            <c:symbol val="none"/>
          </c:marker>
          <c:xVal>
            <c:numRef>
              <c:f>Symbole!$AL$163:$BQ$163</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Symbole!$AL$187:$BQ$187</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B-4B1B-4507-991D-858168B14A33}"/>
            </c:ext>
          </c:extLst>
        </c:ser>
        <c:ser>
          <c:idx val="198"/>
          <c:order val="252"/>
          <c:tx>
            <c:v>Drehfeder 18</c:v>
          </c:tx>
          <c:spPr>
            <a:ln w="25400" cap="rnd" cmpd="sng" algn="ctr">
              <a:solidFill>
                <a:srgbClr val="00B050"/>
              </a:solidFill>
              <a:prstDash val="solid"/>
              <a:round/>
              <a:headEnd type="none" w="med" len="med"/>
              <a:tailEnd type="none" w="med" len="med"/>
            </a:ln>
          </c:spPr>
          <c:marker>
            <c:symbol val="none"/>
          </c:marker>
          <c:xVal>
            <c:numRef>
              <c:f>Symbole!$AL$164:$BQ$164</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Symbole!$AL$188:$BQ$188</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C-4B1B-4507-991D-858168B14A33}"/>
            </c:ext>
          </c:extLst>
        </c:ser>
        <c:ser>
          <c:idx val="199"/>
          <c:order val="253"/>
          <c:tx>
            <c:v>Drehfeder 19</c:v>
          </c:tx>
          <c:spPr>
            <a:ln w="25400" cap="rnd" cmpd="sng" algn="ctr">
              <a:solidFill>
                <a:srgbClr val="00B050"/>
              </a:solidFill>
              <a:prstDash val="solid"/>
              <a:round/>
              <a:headEnd type="none" w="med" len="med"/>
              <a:tailEnd type="none" w="med" len="med"/>
            </a:ln>
          </c:spPr>
          <c:marker>
            <c:symbol val="none"/>
          </c:marker>
          <c:xVal>
            <c:numRef>
              <c:f>Symbole!$AL$165:$BQ$165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Symbole!$AL$189:$BQ$189</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D-4B1B-4507-991D-858168B14A33}"/>
            </c:ext>
          </c:extLst>
        </c:ser>
        <c:ser>
          <c:idx val="200"/>
          <c:order val="254"/>
          <c:tx>
            <c:v>Drehfeder 20</c:v>
          </c:tx>
          <c:spPr>
            <a:ln w="25400" cap="rnd" cmpd="sng" algn="ctr">
              <a:solidFill>
                <a:srgbClr val="00B050"/>
              </a:solidFill>
              <a:prstDash val="solid"/>
              <a:round/>
              <a:headEnd type="none" w="med" len="med"/>
              <a:tailEnd type="none" w="med" len="med"/>
            </a:ln>
          </c:spPr>
          <c:marker>
            <c:symbol val="none"/>
          </c:marker>
          <c:xVal>
            <c:numRef>
              <c:f>Symbole!$AL$166:$BQ$166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xVal>
          <c:yVal>
            <c:numRef>
              <c:f>Symbole!$AL$190:$BQ$190</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yVal>
          <c:smooth val="0"/>
          <c:extLst>
            <c:ext xmlns:c16="http://schemas.microsoft.com/office/drawing/2014/chart" uri="{C3380CC4-5D6E-409C-BE32-E72D297353CC}">
              <c16:uniqueId val="{000000FE-4B1B-4507-991D-858168B14A33}"/>
            </c:ext>
          </c:extLst>
        </c:ser>
        <c:dLbls>
          <c:showLegendKey val="0"/>
          <c:showVal val="0"/>
          <c:showCatName val="0"/>
          <c:showSerName val="0"/>
          <c:showPercent val="0"/>
          <c:showBubbleSize val="0"/>
        </c:dLbls>
        <c:axId val="519127904"/>
        <c:axId val="519118888"/>
      </c:scatterChart>
      <c:valAx>
        <c:axId val="519127904"/>
        <c:scaling>
          <c:orientation val="minMax"/>
        </c:scaling>
        <c:delete val="1"/>
        <c:axPos val="b"/>
        <c:numFmt formatCode="General" sourceLinked="1"/>
        <c:majorTickMark val="none"/>
        <c:minorTickMark val="none"/>
        <c:tickLblPos val="none"/>
        <c:crossAx val="519118888"/>
        <c:crosses val="max"/>
        <c:crossBetween val="midCat"/>
        <c:majorUnit val="1.0000000000000004E-6"/>
      </c:valAx>
      <c:valAx>
        <c:axId val="519118888"/>
        <c:scaling>
          <c:orientation val="maxMin"/>
        </c:scaling>
        <c:delete val="1"/>
        <c:axPos val="r"/>
        <c:numFmt formatCode="General" sourceLinked="1"/>
        <c:majorTickMark val="out"/>
        <c:minorTickMark val="none"/>
        <c:tickLblPos val="nextTo"/>
        <c:crossAx val="519127904"/>
        <c:crosses val="max"/>
        <c:crossBetween val="midCat"/>
        <c:majorUnit val="1.0000000000000004E-6"/>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DE"/>
    </a:p>
  </c:txPr>
  <c:printSettings>
    <c:headerFooter alignWithMargins="0"/>
    <c:pageMargins b="0.98425196899999956" l="0.78740157499999996" r="0.78740157499999996" t="0.98425196899999956" header="0.49212598450000206" footer="0.49212598450000206"/>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2.2289042045807554E-2"/>
          <c:y val="1.4514612936709853E-2"/>
          <c:w val="0.95945446873636275"/>
          <c:h val="0.96210377553367188"/>
        </c:manualLayout>
      </c:layout>
      <c:scatterChart>
        <c:scatterStyle val="lineMarker"/>
        <c:varyColors val="0"/>
        <c:ser>
          <c:idx val="20"/>
          <c:order val="0"/>
          <c:tx>
            <c:v>BoundingBox21</c:v>
          </c:tx>
          <c:spPr>
            <a:ln w="12700">
              <a:solidFill>
                <a:srgbClr val="C0C0C0"/>
              </a:solidFill>
              <a:prstDash val="solid"/>
            </a:ln>
          </c:spPr>
          <c:marker>
            <c:symbol val="none"/>
          </c:marker>
          <c:xVal>
            <c:numRef>
              <c:f>PlotN!$BH$6:$BH$10</c:f>
              <c:numCache>
                <c:formatCode>General</c:formatCode>
                <c:ptCount val="5"/>
                <c:pt idx="0">
                  <c:v>-159.4</c:v>
                </c:pt>
                <c:pt idx="1">
                  <c:v>142.6</c:v>
                </c:pt>
                <c:pt idx="2">
                  <c:v>142.6</c:v>
                </c:pt>
                <c:pt idx="3">
                  <c:v>-159.4</c:v>
                </c:pt>
                <c:pt idx="4">
                  <c:v>-159.4</c:v>
                </c:pt>
              </c:numCache>
            </c:numRef>
          </c:xVal>
          <c:yVal>
            <c:numRef>
              <c:f>PlotN!$BI$6:$BI$10</c:f>
              <c:numCache>
                <c:formatCode>General</c:formatCode>
                <c:ptCount val="5"/>
                <c:pt idx="0">
                  <c:v>131.1</c:v>
                </c:pt>
                <c:pt idx="1">
                  <c:v>131.1</c:v>
                </c:pt>
                <c:pt idx="2">
                  <c:v>-170.9</c:v>
                </c:pt>
                <c:pt idx="3">
                  <c:v>-170.9</c:v>
                </c:pt>
                <c:pt idx="4">
                  <c:v>131.1</c:v>
                </c:pt>
              </c:numCache>
            </c:numRef>
          </c:yVal>
          <c:smooth val="0"/>
          <c:extLst>
            <c:ext xmlns:c16="http://schemas.microsoft.com/office/drawing/2014/chart" uri="{C3380CC4-5D6E-409C-BE32-E72D297353CC}">
              <c16:uniqueId val="{00000000-D4B8-4C43-92F8-42AF3AA9D683}"/>
            </c:ext>
          </c:extLst>
        </c:ser>
        <c:ser>
          <c:idx val="0"/>
          <c:order val="1"/>
          <c:tx>
            <c:v>Normalkraft1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2-D4B8-4C43-92F8-42AF3AA9D683}"/>
              </c:ext>
            </c:extLst>
          </c:dPt>
          <c:xVal>
            <c:numRef>
              <c:f>PlotN!$AB$3:$AO$3</c:f>
              <c:numCache>
                <c:formatCode>General</c:formatCode>
                <c:ptCount val="14"/>
                <c:pt idx="0">
                  <c:v>17.712736838392548</c:v>
                </c:pt>
                <c:pt idx="1">
                  <c:v>25.712736838392548</c:v>
                </c:pt>
                <c:pt idx="2">
                  <c:v>33.712736838392544</c:v>
                </c:pt>
                <c:pt idx="3">
                  <c:v>41.712736838392544</c:v>
                </c:pt>
                <c:pt idx="4">
                  <c:v>49.712736838392544</c:v>
                </c:pt>
                <c:pt idx="5">
                  <c:v>57.712736838392544</c:v>
                </c:pt>
                <c:pt idx="6">
                  <c:v>65.712736838392544</c:v>
                </c:pt>
                <c:pt idx="7">
                  <c:v>73.712736838392544</c:v>
                </c:pt>
                <c:pt idx="8">
                  <c:v>81.712736838392544</c:v>
                </c:pt>
                <c:pt idx="9">
                  <c:v>89.712736838392544</c:v>
                </c:pt>
                <c:pt idx="10">
                  <c:v>97.712736838392544</c:v>
                </c:pt>
                <c:pt idx="11">
                  <c:v>100</c:v>
                </c:pt>
                <c:pt idx="12">
                  <c:v>20</c:v>
                </c:pt>
                <c:pt idx="13">
                  <c:v>17.712736838392548</c:v>
                </c:pt>
              </c:numCache>
            </c:numRef>
          </c:xVal>
          <c:yVal>
            <c:numRef>
              <c:f>PlotN!$AR$3:$BE$3</c:f>
              <c:numCache>
                <c:formatCode>General</c:formatCode>
                <c:ptCount val="14"/>
                <c:pt idx="0">
                  <c:v>-36.950315784523397</c:v>
                </c:pt>
                <c:pt idx="1">
                  <c:v>-30.950315784523397</c:v>
                </c:pt>
                <c:pt idx="2">
                  <c:v>-24.950315784523397</c:v>
                </c:pt>
                <c:pt idx="3">
                  <c:v>-18.950315784523397</c:v>
                </c:pt>
                <c:pt idx="4">
                  <c:v>-12.950315784523395</c:v>
                </c:pt>
                <c:pt idx="5">
                  <c:v>-6.9503157845233954</c:v>
                </c:pt>
                <c:pt idx="6">
                  <c:v>-0.95031578452339538</c:v>
                </c:pt>
                <c:pt idx="7">
                  <c:v>5.0496842154766046</c:v>
                </c:pt>
                <c:pt idx="8">
                  <c:v>11.049684215476605</c:v>
                </c:pt>
                <c:pt idx="9">
                  <c:v>17.049684215476603</c:v>
                </c:pt>
                <c:pt idx="10">
                  <c:v>23.049684215476603</c:v>
                </c:pt>
                <c:pt idx="11">
                  <c:v>20</c:v>
                </c:pt>
                <c:pt idx="12">
                  <c:v>-40</c:v>
                </c:pt>
                <c:pt idx="13">
                  <c:v>-36.950315784523397</c:v>
                </c:pt>
              </c:numCache>
            </c:numRef>
          </c:yVal>
          <c:smooth val="0"/>
          <c:extLst>
            <c:ext xmlns:c16="http://schemas.microsoft.com/office/drawing/2014/chart" uri="{C3380CC4-5D6E-409C-BE32-E72D297353CC}">
              <c16:uniqueId val="{00000003-D4B8-4C43-92F8-42AF3AA9D683}"/>
            </c:ext>
          </c:extLst>
        </c:ser>
        <c:ser>
          <c:idx val="1"/>
          <c:order val="2"/>
          <c:tx>
            <c:v>Normalkraft2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5-D4B8-4C43-92F8-42AF3AA9D683}"/>
              </c:ext>
            </c:extLst>
          </c:dPt>
          <c:xVal>
            <c:numRef>
              <c:f>PlotN!$AB$4:$AO$4</c:f>
              <c:numCache>
                <c:formatCode>General</c:formatCode>
                <c:ptCount val="14"/>
                <c:pt idx="0">
                  <c:v>-30.911688245431421</c:v>
                </c:pt>
                <c:pt idx="1">
                  <c:v>-30.911688245431421</c:v>
                </c:pt>
                <c:pt idx="2">
                  <c:v>-30.911688245431421</c:v>
                </c:pt>
                <c:pt idx="3">
                  <c:v>-30.911688245431421</c:v>
                </c:pt>
                <c:pt idx="4">
                  <c:v>-30.911688245431421</c:v>
                </c:pt>
                <c:pt idx="5">
                  <c:v>-30.911688245431421</c:v>
                </c:pt>
                <c:pt idx="6">
                  <c:v>-30.911688245431421</c:v>
                </c:pt>
                <c:pt idx="7">
                  <c:v>-30.911688245431421</c:v>
                </c:pt>
                <c:pt idx="8">
                  <c:v>-30.911688245431421</c:v>
                </c:pt>
                <c:pt idx="9">
                  <c:v>-30.911688245431421</c:v>
                </c:pt>
                <c:pt idx="10">
                  <c:v>-30.911688245431421</c:v>
                </c:pt>
                <c:pt idx="11">
                  <c:v>20</c:v>
                </c:pt>
                <c:pt idx="12">
                  <c:v>20</c:v>
                </c:pt>
                <c:pt idx="13">
                  <c:v>-30.911688245431421</c:v>
                </c:pt>
              </c:numCache>
            </c:numRef>
          </c:xVal>
          <c:yVal>
            <c:numRef>
              <c:f>PlotN!$AR$4:$BE$4</c:f>
              <c:numCache>
                <c:formatCode>General</c:formatCode>
                <c:ptCount val="14"/>
                <c:pt idx="0">
                  <c:v>-40</c:v>
                </c:pt>
                <c:pt idx="1">
                  <c:v>-34</c:v>
                </c:pt>
                <c:pt idx="2">
                  <c:v>-28</c:v>
                </c:pt>
                <c:pt idx="3">
                  <c:v>-22</c:v>
                </c:pt>
                <c:pt idx="4">
                  <c:v>-16</c:v>
                </c:pt>
                <c:pt idx="5">
                  <c:v>-10</c:v>
                </c:pt>
                <c:pt idx="6">
                  <c:v>-4</c:v>
                </c:pt>
                <c:pt idx="7">
                  <c:v>2</c:v>
                </c:pt>
                <c:pt idx="8">
                  <c:v>8</c:v>
                </c:pt>
                <c:pt idx="9">
                  <c:v>14</c:v>
                </c:pt>
                <c:pt idx="10">
                  <c:v>20</c:v>
                </c:pt>
                <c:pt idx="11">
                  <c:v>20</c:v>
                </c:pt>
                <c:pt idx="12">
                  <c:v>-40</c:v>
                </c:pt>
                <c:pt idx="13">
                  <c:v>-40</c:v>
                </c:pt>
              </c:numCache>
            </c:numRef>
          </c:yVal>
          <c:smooth val="0"/>
          <c:extLst>
            <c:ext xmlns:c16="http://schemas.microsoft.com/office/drawing/2014/chart" uri="{C3380CC4-5D6E-409C-BE32-E72D297353CC}">
              <c16:uniqueId val="{00000006-D4B8-4C43-92F8-42AF3AA9D683}"/>
            </c:ext>
          </c:extLst>
        </c:ser>
        <c:ser>
          <c:idx val="2"/>
          <c:order val="3"/>
          <c:tx>
            <c:v>Normalkraft3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8-D4B8-4C43-92F8-42AF3AA9D683}"/>
              </c:ext>
            </c:extLst>
          </c:dPt>
          <c:xVal>
            <c:numRef>
              <c:f>PlotN!$AB$5:$AO$5</c:f>
              <c:numCache>
                <c:formatCode>General</c:formatCode>
                <c:ptCount val="14"/>
                <c:pt idx="0">
                  <c:v>-20.94048912849</c:v>
                </c:pt>
                <c:pt idx="1">
                  <c:v>-16.94048912849</c:v>
                </c:pt>
                <c:pt idx="2">
                  <c:v>-12.94048912849</c:v>
                </c:pt>
                <c:pt idx="3">
                  <c:v>-8.9404891284900003</c:v>
                </c:pt>
                <c:pt idx="4">
                  <c:v>-4.9404891284900003</c:v>
                </c:pt>
                <c:pt idx="5">
                  <c:v>-0.94048912849000033</c:v>
                </c:pt>
                <c:pt idx="6">
                  <c:v>3.0595108715099997</c:v>
                </c:pt>
                <c:pt idx="7">
                  <c:v>7.0595108715099997</c:v>
                </c:pt>
                <c:pt idx="8">
                  <c:v>11.05951087151</c:v>
                </c:pt>
                <c:pt idx="9">
                  <c:v>15.05951087151</c:v>
                </c:pt>
                <c:pt idx="10">
                  <c:v>19.05951087151</c:v>
                </c:pt>
                <c:pt idx="11">
                  <c:v>60</c:v>
                </c:pt>
                <c:pt idx="12">
                  <c:v>20</c:v>
                </c:pt>
                <c:pt idx="13">
                  <c:v>-20.94048912849</c:v>
                </c:pt>
              </c:numCache>
            </c:numRef>
          </c:xVal>
          <c:yVal>
            <c:numRef>
              <c:f>PlotN!$AR$5:$BE$5</c:f>
              <c:numCache>
                <c:formatCode>General</c:formatCode>
                <c:ptCount val="14"/>
                <c:pt idx="0">
                  <c:v>-67.293659418993329</c:v>
                </c:pt>
                <c:pt idx="1">
                  <c:v>-73.293659418993329</c:v>
                </c:pt>
                <c:pt idx="2">
                  <c:v>-79.293659418993329</c:v>
                </c:pt>
                <c:pt idx="3">
                  <c:v>-85.293659418993329</c:v>
                </c:pt>
                <c:pt idx="4">
                  <c:v>-91.293659418993329</c:v>
                </c:pt>
                <c:pt idx="5">
                  <c:v>-97.293659418993329</c:v>
                </c:pt>
                <c:pt idx="6">
                  <c:v>-103.29365941899333</c:v>
                </c:pt>
                <c:pt idx="7">
                  <c:v>-109.29365941899333</c:v>
                </c:pt>
                <c:pt idx="8">
                  <c:v>-115.29365941899333</c:v>
                </c:pt>
                <c:pt idx="9">
                  <c:v>-121.29365941899333</c:v>
                </c:pt>
                <c:pt idx="10">
                  <c:v>-127.29365941899333</c:v>
                </c:pt>
                <c:pt idx="11">
                  <c:v>-100</c:v>
                </c:pt>
                <c:pt idx="12">
                  <c:v>-40</c:v>
                </c:pt>
                <c:pt idx="13">
                  <c:v>-67.293659418993329</c:v>
                </c:pt>
              </c:numCache>
            </c:numRef>
          </c:yVal>
          <c:smooth val="0"/>
          <c:extLst>
            <c:ext xmlns:c16="http://schemas.microsoft.com/office/drawing/2014/chart" uri="{C3380CC4-5D6E-409C-BE32-E72D297353CC}">
              <c16:uniqueId val="{00000009-D4B8-4C43-92F8-42AF3AA9D683}"/>
            </c:ext>
          </c:extLst>
        </c:ser>
        <c:ser>
          <c:idx val="3"/>
          <c:order val="4"/>
          <c:tx>
            <c:v>Normalkraft4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B-D4B8-4C43-92F8-42AF3AA9D683}"/>
              </c:ext>
            </c:extLst>
          </c:dPt>
          <c:xVal>
            <c:numRef>
              <c:f>PlotN!$AB$6:$AO$6</c:f>
              <c:numCache>
                <c:formatCode>General</c:formatCode>
                <c:ptCount val="14"/>
                <c:pt idx="0">
                  <c:v>22.40255849316744</c:v>
                </c:pt>
                <c:pt idx="1">
                  <c:v>15.40255849316744</c:v>
                </c:pt>
                <c:pt idx="2">
                  <c:v>8.4025584931674402</c:v>
                </c:pt>
                <c:pt idx="3">
                  <c:v>1.4025584931674402</c:v>
                </c:pt>
                <c:pt idx="4">
                  <c:v>-5.5974415068325598</c:v>
                </c:pt>
                <c:pt idx="5">
                  <c:v>-12.59744150683256</c:v>
                </c:pt>
                <c:pt idx="6">
                  <c:v>-19.59744150683256</c:v>
                </c:pt>
                <c:pt idx="7">
                  <c:v>-26.59744150683256</c:v>
                </c:pt>
                <c:pt idx="8">
                  <c:v>-33.59744150683256</c:v>
                </c:pt>
                <c:pt idx="9">
                  <c:v>-40.59744150683256</c:v>
                </c:pt>
                <c:pt idx="10">
                  <c:v>-47.59744150683256</c:v>
                </c:pt>
                <c:pt idx="11">
                  <c:v>-50</c:v>
                </c:pt>
                <c:pt idx="12">
                  <c:v>20</c:v>
                </c:pt>
                <c:pt idx="13">
                  <c:v>22.40255849316744</c:v>
                </c:pt>
              </c:numCache>
            </c:numRef>
          </c:xVal>
          <c:yVal>
            <c:numRef>
              <c:f>PlotN!$AR$6:$BE$6</c:f>
              <c:numCache>
                <c:formatCode>General</c:formatCode>
                <c:ptCount val="14"/>
                <c:pt idx="0">
                  <c:v>-45.605969817390694</c:v>
                </c:pt>
                <c:pt idx="1">
                  <c:v>-48.605969817390694</c:v>
                </c:pt>
                <c:pt idx="2">
                  <c:v>-51.605969817390694</c:v>
                </c:pt>
                <c:pt idx="3">
                  <c:v>-54.605969817390694</c:v>
                </c:pt>
                <c:pt idx="4">
                  <c:v>-57.605969817390694</c:v>
                </c:pt>
                <c:pt idx="5">
                  <c:v>-60.605969817390694</c:v>
                </c:pt>
                <c:pt idx="6">
                  <c:v>-63.605969817390694</c:v>
                </c:pt>
                <c:pt idx="7">
                  <c:v>-66.605969817390687</c:v>
                </c:pt>
                <c:pt idx="8">
                  <c:v>-69.605969817390687</c:v>
                </c:pt>
                <c:pt idx="9">
                  <c:v>-72.605969817390687</c:v>
                </c:pt>
                <c:pt idx="10">
                  <c:v>-75.605969817390687</c:v>
                </c:pt>
                <c:pt idx="11">
                  <c:v>-70</c:v>
                </c:pt>
                <c:pt idx="12">
                  <c:v>-40</c:v>
                </c:pt>
                <c:pt idx="13">
                  <c:v>-45.605969817390694</c:v>
                </c:pt>
              </c:numCache>
            </c:numRef>
          </c:yVal>
          <c:smooth val="0"/>
          <c:extLst>
            <c:ext xmlns:c16="http://schemas.microsoft.com/office/drawing/2014/chart" uri="{C3380CC4-5D6E-409C-BE32-E72D297353CC}">
              <c16:uniqueId val="{0000000C-D4B8-4C43-92F8-42AF3AA9D683}"/>
            </c:ext>
          </c:extLst>
        </c:ser>
        <c:ser>
          <c:idx val="4"/>
          <c:order val="5"/>
          <c:tx>
            <c:v>Normalkraft5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E-D4B8-4C43-92F8-42AF3AA9D683}"/>
              </c:ext>
            </c:extLst>
          </c:dPt>
          <c:xVal>
            <c:numRef>
              <c:f>PlotN!$AB$7:$AO$7</c:f>
              <c:numCache>
                <c:formatCode>General</c:formatCode>
                <c:ptCount val="14"/>
                <c:pt idx="0">
                  <c:v>5.5875294816709253</c:v>
                </c:pt>
                <c:pt idx="1">
                  <c:v>-6.4124705183290747</c:v>
                </c:pt>
                <c:pt idx="2">
                  <c:v>-18.412470518329073</c:v>
                </c:pt>
                <c:pt idx="3">
                  <c:v>-30.412470518329073</c:v>
                </c:pt>
                <c:pt idx="4">
                  <c:v>-42.412470518329073</c:v>
                </c:pt>
                <c:pt idx="5">
                  <c:v>-54.412470518329073</c:v>
                </c:pt>
                <c:pt idx="6">
                  <c:v>-66.412470518329073</c:v>
                </c:pt>
                <c:pt idx="7">
                  <c:v>-78.412470518329073</c:v>
                </c:pt>
                <c:pt idx="8">
                  <c:v>-90.412470518329073</c:v>
                </c:pt>
                <c:pt idx="9">
                  <c:v>-102.41247051832907</c:v>
                </c:pt>
                <c:pt idx="10">
                  <c:v>-114.41247051832907</c:v>
                </c:pt>
                <c:pt idx="11">
                  <c:v>-100</c:v>
                </c:pt>
                <c:pt idx="12">
                  <c:v>20</c:v>
                </c:pt>
                <c:pt idx="13">
                  <c:v>5.5875294816709253</c:v>
                </c:pt>
              </c:numCache>
            </c:numRef>
          </c:xVal>
          <c:yVal>
            <c:numRef>
              <c:f>PlotN!$AR$7:$BE$7</c:f>
              <c:numCache>
                <c:formatCode>General</c:formatCode>
                <c:ptCount val="14"/>
                <c:pt idx="0">
                  <c:v>-52.353546158567781</c:v>
                </c:pt>
                <c:pt idx="1">
                  <c:v>-38.353546158567781</c:v>
                </c:pt>
                <c:pt idx="2">
                  <c:v>-24.353546158567777</c:v>
                </c:pt>
                <c:pt idx="3">
                  <c:v>-10.353546158567777</c:v>
                </c:pt>
                <c:pt idx="4">
                  <c:v>3.6464538414322227</c:v>
                </c:pt>
                <c:pt idx="5">
                  <c:v>17.646453841432223</c:v>
                </c:pt>
                <c:pt idx="6">
                  <c:v>31.646453841432223</c:v>
                </c:pt>
                <c:pt idx="7">
                  <c:v>45.646453841432219</c:v>
                </c:pt>
                <c:pt idx="8">
                  <c:v>59.646453841432219</c:v>
                </c:pt>
                <c:pt idx="9">
                  <c:v>73.646453841432219</c:v>
                </c:pt>
                <c:pt idx="10">
                  <c:v>87.646453841432219</c:v>
                </c:pt>
                <c:pt idx="11">
                  <c:v>100</c:v>
                </c:pt>
                <c:pt idx="12">
                  <c:v>-40</c:v>
                </c:pt>
                <c:pt idx="13">
                  <c:v>-52.353546158567781</c:v>
                </c:pt>
              </c:numCache>
            </c:numRef>
          </c:yVal>
          <c:smooth val="0"/>
          <c:extLst>
            <c:ext xmlns:c16="http://schemas.microsoft.com/office/drawing/2014/chart" uri="{C3380CC4-5D6E-409C-BE32-E72D297353CC}">
              <c16:uniqueId val="{0000000F-D4B8-4C43-92F8-42AF3AA9D683}"/>
            </c:ext>
          </c:extLst>
        </c:ser>
        <c:ser>
          <c:idx val="5"/>
          <c:order val="6"/>
          <c:tx>
            <c:v>Normalkraft6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1-D4B8-4C43-92F8-42AF3AA9D683}"/>
              </c:ext>
            </c:extLst>
          </c:dPt>
          <c:xVal>
            <c:numRef>
              <c:f>PlotN!$AB$8:$AO$8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PlotN!$AR$8:$BE$8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2-D4B8-4C43-92F8-42AF3AA9D683}"/>
            </c:ext>
          </c:extLst>
        </c:ser>
        <c:ser>
          <c:idx val="6"/>
          <c:order val="7"/>
          <c:tx>
            <c:v>Normalkraft7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4-D4B8-4C43-92F8-42AF3AA9D683}"/>
              </c:ext>
            </c:extLst>
          </c:dPt>
          <c:xVal>
            <c:numRef>
              <c:f>PlotN!$AB$9:$AO$9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PlotN!$AR$9:$BE$9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5-D4B8-4C43-92F8-42AF3AA9D683}"/>
            </c:ext>
          </c:extLst>
        </c:ser>
        <c:ser>
          <c:idx val="7"/>
          <c:order val="8"/>
          <c:tx>
            <c:v>Normalkraft8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7-D4B8-4C43-92F8-42AF3AA9D683}"/>
              </c:ext>
            </c:extLst>
          </c:dPt>
          <c:xVal>
            <c:numRef>
              <c:f>PlotN!$AB$10:$AO$10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PlotN!$AR$10:$BE$10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8-D4B8-4C43-92F8-42AF3AA9D683}"/>
            </c:ext>
          </c:extLst>
        </c:ser>
        <c:ser>
          <c:idx val="8"/>
          <c:order val="9"/>
          <c:tx>
            <c:v>Normalkraft9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A-D4B8-4C43-92F8-42AF3AA9D683}"/>
              </c:ext>
            </c:extLst>
          </c:dPt>
          <c:xVal>
            <c:numRef>
              <c:f>PlotN!$AB$11:$AO$11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PlotN!$AR$11:$BE$11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B-D4B8-4C43-92F8-42AF3AA9D683}"/>
            </c:ext>
          </c:extLst>
        </c:ser>
        <c:ser>
          <c:idx val="9"/>
          <c:order val="10"/>
          <c:tx>
            <c:v>Normalkraft10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D-D4B8-4C43-92F8-42AF3AA9D683}"/>
              </c:ext>
            </c:extLst>
          </c:dPt>
          <c:xVal>
            <c:numRef>
              <c:f>PlotN!$AB$12:$AO$12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PlotN!$AR$12:$BE$12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E-D4B8-4C43-92F8-42AF3AA9D683}"/>
            </c:ext>
          </c:extLst>
        </c:ser>
        <c:ser>
          <c:idx val="10"/>
          <c:order val="11"/>
          <c:tx>
            <c:v>Normalkraft11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0-D4B8-4C43-92F8-42AF3AA9D683}"/>
              </c:ext>
            </c:extLst>
          </c:dPt>
          <c:xVal>
            <c:numRef>
              <c:f>PlotN!$AB$13:$AO$13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PlotN!$AR$13:$BE$13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1-D4B8-4C43-92F8-42AF3AA9D683}"/>
            </c:ext>
          </c:extLst>
        </c:ser>
        <c:ser>
          <c:idx val="11"/>
          <c:order val="12"/>
          <c:tx>
            <c:v>Normalkraft12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3-D4B8-4C43-92F8-42AF3AA9D683}"/>
              </c:ext>
            </c:extLst>
          </c:dPt>
          <c:xVal>
            <c:numRef>
              <c:f>PlotN!$AB$14:$AO$14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PlotN!$AR$14:$BE$14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4-D4B8-4C43-92F8-42AF3AA9D683}"/>
            </c:ext>
          </c:extLst>
        </c:ser>
        <c:ser>
          <c:idx val="12"/>
          <c:order val="13"/>
          <c:tx>
            <c:v>Normalkraft13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6-D4B8-4C43-92F8-42AF3AA9D683}"/>
              </c:ext>
            </c:extLst>
          </c:dPt>
          <c:xVal>
            <c:numRef>
              <c:f>PlotN!$AB$15:$AO$15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PlotN!$AR$15:$BE$15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7-D4B8-4C43-92F8-42AF3AA9D683}"/>
            </c:ext>
          </c:extLst>
        </c:ser>
        <c:ser>
          <c:idx val="13"/>
          <c:order val="14"/>
          <c:tx>
            <c:v>Normalkraft14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9-D4B8-4C43-92F8-42AF3AA9D683}"/>
              </c:ext>
            </c:extLst>
          </c:dPt>
          <c:xVal>
            <c:numRef>
              <c:f>PlotN!$AB$16:$AO$16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PlotN!$AR$16:$BE$16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A-D4B8-4C43-92F8-42AF3AA9D683}"/>
            </c:ext>
          </c:extLst>
        </c:ser>
        <c:ser>
          <c:idx val="14"/>
          <c:order val="15"/>
          <c:tx>
            <c:v>Normalkraft15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C-D4B8-4C43-92F8-42AF3AA9D683}"/>
              </c:ext>
            </c:extLst>
          </c:dPt>
          <c:xVal>
            <c:numRef>
              <c:f>PlotN!$AB$17:$AO$17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PlotN!$AR$17:$BE$17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D-D4B8-4C43-92F8-42AF3AA9D683}"/>
            </c:ext>
          </c:extLst>
        </c:ser>
        <c:ser>
          <c:idx val="15"/>
          <c:order val="16"/>
          <c:tx>
            <c:v>Normalkraft16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F-D4B8-4C43-92F8-42AF3AA9D683}"/>
              </c:ext>
            </c:extLst>
          </c:dPt>
          <c:xVal>
            <c:numRef>
              <c:f>PlotN!$AB$18:$AO$18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PlotN!$AR$18:$BE$18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0-D4B8-4C43-92F8-42AF3AA9D683}"/>
            </c:ext>
          </c:extLst>
        </c:ser>
        <c:ser>
          <c:idx val="16"/>
          <c:order val="17"/>
          <c:tx>
            <c:v>Normalkraft17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2-D4B8-4C43-92F8-42AF3AA9D683}"/>
              </c:ext>
            </c:extLst>
          </c:dPt>
          <c:xVal>
            <c:numRef>
              <c:f>PlotN!$AB$19:$AO$19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PlotN!$AR$19:$BE$19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3-D4B8-4C43-92F8-42AF3AA9D683}"/>
            </c:ext>
          </c:extLst>
        </c:ser>
        <c:ser>
          <c:idx val="17"/>
          <c:order val="18"/>
          <c:tx>
            <c:v>Normalkraft18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5-D4B8-4C43-92F8-42AF3AA9D683}"/>
              </c:ext>
            </c:extLst>
          </c:dPt>
          <c:xVal>
            <c:numRef>
              <c:f>PlotN!$AB$20:$AO$20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PlotN!$AR$20:$BE$20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6-D4B8-4C43-92F8-42AF3AA9D683}"/>
            </c:ext>
          </c:extLst>
        </c:ser>
        <c:ser>
          <c:idx val="18"/>
          <c:order val="19"/>
          <c:tx>
            <c:v>Normalkraft19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8-D4B8-4C43-92F8-42AF3AA9D683}"/>
              </c:ext>
            </c:extLst>
          </c:dPt>
          <c:xVal>
            <c:numRef>
              <c:f>PlotN!$AB$21:$AO$21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PlotN!$AR$21:$BE$21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9-D4B8-4C43-92F8-42AF3AA9D683}"/>
            </c:ext>
          </c:extLst>
        </c:ser>
        <c:ser>
          <c:idx val="19"/>
          <c:order val="20"/>
          <c:tx>
            <c:v>Normalkraft20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B-D4B8-4C43-92F8-42AF3AA9D683}"/>
              </c:ext>
            </c:extLst>
          </c:dPt>
          <c:xVal>
            <c:numRef>
              <c:f>PlotN!$AB$22:$AO$22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PlotN!$AR$22:$BE$22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C-D4B8-4C43-92F8-42AF3AA9D683}"/>
            </c:ext>
          </c:extLst>
        </c:ser>
        <c:ser>
          <c:idx val="21"/>
          <c:order val="21"/>
          <c:tx>
            <c:v>Normalkraft21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E-D4B8-4C43-92F8-42AF3AA9D683}"/>
              </c:ext>
            </c:extLst>
          </c:dPt>
          <c:xVal>
            <c:numRef>
              <c:f>PlotN!$AB$23:$AO$23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PlotN!$AR$23:$BE$23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F-D4B8-4C43-92F8-42AF3AA9D683}"/>
            </c:ext>
          </c:extLst>
        </c:ser>
        <c:ser>
          <c:idx val="22"/>
          <c:order val="22"/>
          <c:tx>
            <c:v>Normalkraft22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1-D4B8-4C43-92F8-42AF3AA9D683}"/>
              </c:ext>
            </c:extLst>
          </c:dPt>
          <c:xVal>
            <c:numRef>
              <c:f>PlotN!$AB$24:$AO$24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PlotN!$AR$24:$BE$24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2-D4B8-4C43-92F8-42AF3AA9D683}"/>
            </c:ext>
          </c:extLst>
        </c:ser>
        <c:ser>
          <c:idx val="23"/>
          <c:order val="23"/>
          <c:tx>
            <c:v>Normalkraft23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4-D4B8-4C43-92F8-42AF3AA9D683}"/>
              </c:ext>
            </c:extLst>
          </c:dPt>
          <c:xVal>
            <c:numRef>
              <c:f>PlotN!$AB$25:$AO$25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PlotN!$AR$25:$BE$25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5-D4B8-4C43-92F8-42AF3AA9D683}"/>
            </c:ext>
          </c:extLst>
        </c:ser>
        <c:ser>
          <c:idx val="24"/>
          <c:order val="24"/>
          <c:tx>
            <c:v>Normalkraft24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7-D4B8-4C43-92F8-42AF3AA9D683}"/>
              </c:ext>
            </c:extLst>
          </c:dPt>
          <c:xVal>
            <c:numRef>
              <c:f>PlotN!$AB$26:$AO$26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PlotN!$AR$26:$BE$26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8-D4B8-4C43-92F8-42AF3AA9D683}"/>
            </c:ext>
          </c:extLst>
        </c:ser>
        <c:ser>
          <c:idx val="25"/>
          <c:order val="25"/>
          <c:tx>
            <c:v>Normalkraft25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A-D4B8-4C43-92F8-42AF3AA9D683}"/>
              </c:ext>
            </c:extLst>
          </c:dPt>
          <c:xVal>
            <c:numRef>
              <c:f>PlotN!$AB$27:$AO$27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PlotN!$AR$27:$BE$27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B-D4B8-4C43-92F8-42AF3AA9D683}"/>
            </c:ext>
          </c:extLst>
        </c:ser>
        <c:ser>
          <c:idx val="26"/>
          <c:order val="26"/>
          <c:tx>
            <c:v>Normalkraft26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D-D4B8-4C43-92F8-42AF3AA9D683}"/>
              </c:ext>
            </c:extLst>
          </c:dPt>
          <c:xVal>
            <c:numRef>
              <c:f>PlotN!$AB$28:$AO$28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PlotN!$AR$28:$BE$28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E-D4B8-4C43-92F8-42AF3AA9D683}"/>
            </c:ext>
          </c:extLst>
        </c:ser>
        <c:ser>
          <c:idx val="27"/>
          <c:order val="27"/>
          <c:tx>
            <c:v>Normalkraft27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0-D4B8-4C43-92F8-42AF3AA9D683}"/>
              </c:ext>
            </c:extLst>
          </c:dPt>
          <c:xVal>
            <c:numRef>
              <c:f>PlotN!$AB$29:$AO$29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PlotN!$AR$29:$BE$29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1-D4B8-4C43-92F8-42AF3AA9D683}"/>
            </c:ext>
          </c:extLst>
        </c:ser>
        <c:ser>
          <c:idx val="28"/>
          <c:order val="28"/>
          <c:tx>
            <c:v>Normalkraft28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3-D4B8-4C43-92F8-42AF3AA9D683}"/>
              </c:ext>
            </c:extLst>
          </c:dPt>
          <c:xVal>
            <c:numRef>
              <c:f>PlotN!$AB$30:$AO$30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PlotN!$AR$30:$BE$30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4-D4B8-4C43-92F8-42AF3AA9D683}"/>
            </c:ext>
          </c:extLst>
        </c:ser>
        <c:ser>
          <c:idx val="29"/>
          <c:order val="29"/>
          <c:tx>
            <c:v>Normalkraft29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6-D4B8-4C43-92F8-42AF3AA9D683}"/>
              </c:ext>
            </c:extLst>
          </c:dPt>
          <c:xVal>
            <c:numRef>
              <c:f>PlotN!$AB$31:$AO$31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PlotN!$AR$31:$BE$31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7-D4B8-4C43-92F8-42AF3AA9D683}"/>
            </c:ext>
          </c:extLst>
        </c:ser>
        <c:ser>
          <c:idx val="30"/>
          <c:order val="30"/>
          <c:tx>
            <c:v>Normalkraft30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9-D4B8-4C43-92F8-42AF3AA9D683}"/>
              </c:ext>
            </c:extLst>
          </c:dPt>
          <c:xVal>
            <c:numRef>
              <c:f>PlotN!$AB$32:$AO$32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PlotN!$AR$32:$BE$32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A-D4B8-4C43-92F8-42AF3AA9D683}"/>
            </c:ext>
          </c:extLst>
        </c:ser>
        <c:ser>
          <c:idx val="31"/>
          <c:order val="31"/>
          <c:tx>
            <c:v>Normalkraft31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C-D4B8-4C43-92F8-42AF3AA9D683}"/>
              </c:ext>
            </c:extLst>
          </c:dPt>
          <c:xVal>
            <c:numRef>
              <c:f>PlotN!$AB$33:$AO$33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PlotN!$AR$33:$BE$33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D-D4B8-4C43-92F8-42AF3AA9D683}"/>
            </c:ext>
          </c:extLst>
        </c:ser>
        <c:ser>
          <c:idx val="32"/>
          <c:order val="32"/>
          <c:tx>
            <c:v>Normalkraft32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F-D4B8-4C43-92F8-42AF3AA9D683}"/>
              </c:ext>
            </c:extLst>
          </c:dPt>
          <c:xVal>
            <c:numRef>
              <c:f>PlotN!$AB$34:$AO$34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PlotN!$AR$34:$BE$34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0-D4B8-4C43-92F8-42AF3AA9D683}"/>
            </c:ext>
          </c:extLst>
        </c:ser>
        <c:ser>
          <c:idx val="33"/>
          <c:order val="33"/>
          <c:tx>
            <c:v>Normalkraft33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2-D4B8-4C43-92F8-42AF3AA9D683}"/>
              </c:ext>
            </c:extLst>
          </c:dPt>
          <c:xVal>
            <c:numRef>
              <c:f>PlotN!$AB$35:$AO$35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PlotN!$AR$35:$BE$35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3-D4B8-4C43-92F8-42AF3AA9D683}"/>
            </c:ext>
          </c:extLst>
        </c:ser>
        <c:ser>
          <c:idx val="34"/>
          <c:order val="34"/>
          <c:tx>
            <c:v>Normalkraft34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5-D4B8-4C43-92F8-42AF3AA9D683}"/>
              </c:ext>
            </c:extLst>
          </c:dPt>
          <c:xVal>
            <c:numRef>
              <c:f>PlotN!$AB$36:$AO$36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PlotN!$AR$36:$BE$36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6-D4B8-4C43-92F8-42AF3AA9D683}"/>
            </c:ext>
          </c:extLst>
        </c:ser>
        <c:ser>
          <c:idx val="35"/>
          <c:order val="35"/>
          <c:tx>
            <c:v>Normalkraft35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8-D4B8-4C43-92F8-42AF3AA9D683}"/>
              </c:ext>
            </c:extLst>
          </c:dPt>
          <c:xVal>
            <c:numRef>
              <c:f>PlotN!$AB$37:$AO$37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PlotN!$AR$37:$BE$37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9-D4B8-4C43-92F8-42AF3AA9D683}"/>
            </c:ext>
          </c:extLst>
        </c:ser>
        <c:ser>
          <c:idx val="36"/>
          <c:order val="36"/>
          <c:tx>
            <c:v>Normalkraft36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B-D4B8-4C43-92F8-42AF3AA9D683}"/>
              </c:ext>
            </c:extLst>
          </c:dPt>
          <c:xVal>
            <c:numRef>
              <c:f>PlotN!$AB$38:$AO$38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PlotN!$AR$38:$BE$38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C-D4B8-4C43-92F8-42AF3AA9D683}"/>
            </c:ext>
          </c:extLst>
        </c:ser>
        <c:ser>
          <c:idx val="37"/>
          <c:order val="37"/>
          <c:tx>
            <c:v>Normalkraft37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E-D4B8-4C43-92F8-42AF3AA9D683}"/>
              </c:ext>
            </c:extLst>
          </c:dPt>
          <c:xVal>
            <c:numRef>
              <c:f>PlotN!$AB$39:$AO$39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PlotN!$AR$39:$BE$39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F-D4B8-4C43-92F8-42AF3AA9D683}"/>
            </c:ext>
          </c:extLst>
        </c:ser>
        <c:ser>
          <c:idx val="38"/>
          <c:order val="38"/>
          <c:tx>
            <c:v>Normalkraft38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1-D4B8-4C43-92F8-42AF3AA9D683}"/>
              </c:ext>
            </c:extLst>
          </c:dPt>
          <c:xVal>
            <c:numRef>
              <c:f>PlotN!$AB$40:$AO$40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PlotN!$AR$40:$BE$40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2-D4B8-4C43-92F8-42AF3AA9D683}"/>
            </c:ext>
          </c:extLst>
        </c:ser>
        <c:ser>
          <c:idx val="39"/>
          <c:order val="39"/>
          <c:tx>
            <c:v>Normalkraft39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4-D4B8-4C43-92F8-42AF3AA9D683}"/>
              </c:ext>
            </c:extLst>
          </c:dPt>
          <c:xVal>
            <c:numRef>
              <c:f>PlotN!$AB$41:$AO$41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PlotN!$AR$41:$BE$41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5-D4B8-4C43-92F8-42AF3AA9D683}"/>
            </c:ext>
          </c:extLst>
        </c:ser>
        <c:ser>
          <c:idx val="40"/>
          <c:order val="40"/>
          <c:tx>
            <c:v>Normalkraft40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7-D4B8-4C43-92F8-42AF3AA9D683}"/>
              </c:ext>
            </c:extLst>
          </c:dPt>
          <c:xVal>
            <c:numRef>
              <c:f>PlotN!$AB$42:$AO$42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PlotN!$AR$42:$BE$42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8-D4B8-4C43-92F8-42AF3AA9D683}"/>
            </c:ext>
          </c:extLst>
        </c:ser>
        <c:dLbls>
          <c:showLegendKey val="0"/>
          <c:showVal val="0"/>
          <c:showCatName val="0"/>
          <c:showSerName val="0"/>
          <c:showPercent val="0"/>
          <c:showBubbleSize val="0"/>
        </c:dLbls>
        <c:axId val="519128296"/>
        <c:axId val="519129080"/>
      </c:scatterChart>
      <c:valAx>
        <c:axId val="519128296"/>
        <c:scaling>
          <c:orientation val="minMax"/>
        </c:scaling>
        <c:delete val="1"/>
        <c:axPos val="b"/>
        <c:numFmt formatCode="General" sourceLinked="1"/>
        <c:majorTickMark val="in"/>
        <c:minorTickMark val="out"/>
        <c:tickLblPos val="none"/>
        <c:crossAx val="519129080"/>
        <c:crosses val="max"/>
        <c:crossBetween val="midCat"/>
        <c:majorUnit val="1.0000000000000004E-6"/>
      </c:valAx>
      <c:valAx>
        <c:axId val="519129080"/>
        <c:scaling>
          <c:orientation val="maxMin"/>
        </c:scaling>
        <c:delete val="1"/>
        <c:axPos val="r"/>
        <c:numFmt formatCode="General" sourceLinked="1"/>
        <c:majorTickMark val="out"/>
        <c:minorTickMark val="none"/>
        <c:tickLblPos val="none"/>
        <c:crossAx val="519128296"/>
        <c:crosses val="max"/>
        <c:crossBetween val="midCat"/>
        <c:majorUnit val="1.0000000000000004E-6"/>
      </c:valAx>
      <c:spPr>
        <a:solidFill>
          <a:srgbClr val="C0C0C0"/>
        </a:solidFill>
        <a:ln w="25400">
          <a:solidFill>
            <a:sysClr val="window" lastClr="FFFFFF">
              <a:lumMod val="65000"/>
            </a:sysClr>
          </a:solidFill>
          <a:prstDash val="solid"/>
        </a:ln>
      </c:spPr>
    </c:plotArea>
    <c:plotVisOnly val="1"/>
    <c:dispBlanksAs val="gap"/>
    <c:showDLblsOverMax val="0"/>
  </c:chart>
  <c:spPr>
    <a:solidFill>
      <a:srgbClr val="FFFFFF"/>
    </a:solidFill>
    <a:ln w="1905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DE"/>
    </a:p>
  </c:txPr>
  <c:printSettings>
    <c:headerFooter alignWithMargins="0"/>
    <c:pageMargins b="0.98425196899999956" l="0.78740157499999996" r="0.78740157499999996" t="0.98425196899999956" header="0.49212598450000195" footer="0.4921259845000019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1.7272528433945757E-2"/>
          <c:y val="1.4288347835798264E-2"/>
          <c:w val="0.95945446873636275"/>
          <c:h val="0.96441605379053008"/>
        </c:manualLayout>
      </c:layout>
      <c:scatterChart>
        <c:scatterStyle val="lineMarker"/>
        <c:varyColors val="0"/>
        <c:ser>
          <c:idx val="20"/>
          <c:order val="0"/>
          <c:tx>
            <c:v>BoundingBox21</c:v>
          </c:tx>
          <c:spPr>
            <a:ln w="12700">
              <a:solidFill>
                <a:srgbClr val="C0C0C0"/>
              </a:solidFill>
              <a:prstDash val="solid"/>
            </a:ln>
          </c:spPr>
          <c:marker>
            <c:symbol val="none"/>
          </c:marker>
          <c:xVal>
            <c:numRef>
              <c:f>PlotQ!$BH$6:$BH$9</c:f>
              <c:numCache>
                <c:formatCode>General</c:formatCode>
                <c:ptCount val="4"/>
                <c:pt idx="0">
                  <c:v>-143.58249491473265</c:v>
                </c:pt>
                <c:pt idx="1">
                  <c:v>128.62300978451162</c:v>
                </c:pt>
                <c:pt idx="2">
                  <c:v>128.62300978451162</c:v>
                </c:pt>
                <c:pt idx="3">
                  <c:v>-143.58249491473265</c:v>
                </c:pt>
              </c:numCache>
            </c:numRef>
          </c:xVal>
          <c:yVal>
            <c:numRef>
              <c:f>PlotQ!$BI$6:$BI$9</c:f>
              <c:numCache>
                <c:formatCode>General</c:formatCode>
                <c:ptCount val="4"/>
                <c:pt idx="0">
                  <c:v>136.69819891454716</c:v>
                </c:pt>
                <c:pt idx="1">
                  <c:v>136.69819891454716</c:v>
                </c:pt>
                <c:pt idx="2">
                  <c:v>-135.50730578469711</c:v>
                </c:pt>
                <c:pt idx="3">
                  <c:v>-135.50730578469711</c:v>
                </c:pt>
              </c:numCache>
            </c:numRef>
          </c:yVal>
          <c:smooth val="0"/>
          <c:extLst>
            <c:ext xmlns:c16="http://schemas.microsoft.com/office/drawing/2014/chart" uri="{C3380CC4-5D6E-409C-BE32-E72D297353CC}">
              <c16:uniqueId val="{00000000-403F-4CC5-8988-742488D35043}"/>
            </c:ext>
          </c:extLst>
        </c:ser>
        <c:ser>
          <c:idx val="0"/>
          <c:order val="1"/>
          <c:tx>
            <c:v>Querkraft1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2-403F-4CC5-8988-742488D35043}"/>
              </c:ext>
            </c:extLst>
          </c:dPt>
          <c:xVal>
            <c:numRef>
              <c:f>PlotQ!$AB$3:$AO$3</c:f>
              <c:numCache>
                <c:formatCode>General</c:formatCode>
                <c:ptCount val="14"/>
                <c:pt idx="0">
                  <c:v>8.9136147590934005</c:v>
                </c:pt>
                <c:pt idx="1">
                  <c:v>16.913614759093399</c:v>
                </c:pt>
                <c:pt idx="2">
                  <c:v>24.913614759093399</c:v>
                </c:pt>
                <c:pt idx="3">
                  <c:v>32.913614759093399</c:v>
                </c:pt>
                <c:pt idx="4">
                  <c:v>40.913614759093399</c:v>
                </c:pt>
                <c:pt idx="5">
                  <c:v>48.913614759093399</c:v>
                </c:pt>
                <c:pt idx="6">
                  <c:v>56.913614759093399</c:v>
                </c:pt>
                <c:pt idx="7">
                  <c:v>64.913614759093406</c:v>
                </c:pt>
                <c:pt idx="8">
                  <c:v>72.913614759093406</c:v>
                </c:pt>
                <c:pt idx="9">
                  <c:v>80.913614759093406</c:v>
                </c:pt>
                <c:pt idx="10">
                  <c:v>88.913614759093406</c:v>
                </c:pt>
                <c:pt idx="11">
                  <c:v>100</c:v>
                </c:pt>
                <c:pt idx="12">
                  <c:v>20</c:v>
                </c:pt>
                <c:pt idx="13">
                  <c:v>8.9136147590934005</c:v>
                </c:pt>
              </c:numCache>
            </c:numRef>
          </c:xVal>
          <c:yVal>
            <c:numRef>
              <c:f>PlotQ!$AR$3:$BE$3</c:f>
              <c:numCache>
                <c:formatCode>General</c:formatCode>
                <c:ptCount val="14"/>
                <c:pt idx="0">
                  <c:v>-25.218153012124532</c:v>
                </c:pt>
                <c:pt idx="1">
                  <c:v>-19.218153012124532</c:v>
                </c:pt>
                <c:pt idx="2">
                  <c:v>-13.218153012124533</c:v>
                </c:pt>
                <c:pt idx="3">
                  <c:v>-7.2181530121245334</c:v>
                </c:pt>
                <c:pt idx="4">
                  <c:v>-1.2181530121245334</c:v>
                </c:pt>
                <c:pt idx="5">
                  <c:v>4.7818469878754666</c:v>
                </c:pt>
                <c:pt idx="6">
                  <c:v>10.781846987875467</c:v>
                </c:pt>
                <c:pt idx="7">
                  <c:v>16.781846987875468</c:v>
                </c:pt>
                <c:pt idx="8">
                  <c:v>22.781846987875468</c:v>
                </c:pt>
                <c:pt idx="9">
                  <c:v>28.781846987875468</c:v>
                </c:pt>
                <c:pt idx="10">
                  <c:v>34.781846987875468</c:v>
                </c:pt>
                <c:pt idx="11">
                  <c:v>20</c:v>
                </c:pt>
                <c:pt idx="12">
                  <c:v>-40</c:v>
                </c:pt>
                <c:pt idx="13">
                  <c:v>-25.218153012124532</c:v>
                </c:pt>
              </c:numCache>
            </c:numRef>
          </c:yVal>
          <c:smooth val="0"/>
          <c:extLst>
            <c:ext xmlns:c16="http://schemas.microsoft.com/office/drawing/2014/chart" uri="{C3380CC4-5D6E-409C-BE32-E72D297353CC}">
              <c16:uniqueId val="{00000003-403F-4CC5-8988-742488D35043}"/>
            </c:ext>
          </c:extLst>
        </c:ser>
        <c:ser>
          <c:idx val="1"/>
          <c:order val="2"/>
          <c:tx>
            <c:v>Querkraft2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5-403F-4CC5-8988-742488D35043}"/>
              </c:ext>
            </c:extLst>
          </c:dPt>
          <c:xVal>
            <c:numRef>
              <c:f>PlotQ!$AB$4:$AO$4</c:f>
              <c:numCache>
                <c:formatCode>General</c:formatCode>
                <c:ptCount val="14"/>
                <c:pt idx="0">
                  <c:v>-30.911688245431421</c:v>
                </c:pt>
                <c:pt idx="1">
                  <c:v>-30.911688245431421</c:v>
                </c:pt>
                <c:pt idx="2">
                  <c:v>-30.911688245431421</c:v>
                </c:pt>
                <c:pt idx="3">
                  <c:v>-30.911688245431421</c:v>
                </c:pt>
                <c:pt idx="4">
                  <c:v>-30.911688245431421</c:v>
                </c:pt>
                <c:pt idx="5">
                  <c:v>-30.911688245431421</c:v>
                </c:pt>
                <c:pt idx="6">
                  <c:v>-30.911688245431421</c:v>
                </c:pt>
                <c:pt idx="7">
                  <c:v>-30.911688245431421</c:v>
                </c:pt>
                <c:pt idx="8">
                  <c:v>-30.911688245431421</c:v>
                </c:pt>
                <c:pt idx="9">
                  <c:v>-30.911688245431421</c:v>
                </c:pt>
                <c:pt idx="10">
                  <c:v>-30.911688245431421</c:v>
                </c:pt>
                <c:pt idx="11">
                  <c:v>20</c:v>
                </c:pt>
                <c:pt idx="12">
                  <c:v>20</c:v>
                </c:pt>
                <c:pt idx="13">
                  <c:v>-30.911688245431421</c:v>
                </c:pt>
              </c:numCache>
            </c:numRef>
          </c:xVal>
          <c:yVal>
            <c:numRef>
              <c:f>PlotQ!$AR$4:$BE$4</c:f>
              <c:numCache>
                <c:formatCode>General</c:formatCode>
                <c:ptCount val="14"/>
                <c:pt idx="0">
                  <c:v>-40</c:v>
                </c:pt>
                <c:pt idx="1">
                  <c:v>-34</c:v>
                </c:pt>
                <c:pt idx="2">
                  <c:v>-28</c:v>
                </c:pt>
                <c:pt idx="3">
                  <c:v>-22</c:v>
                </c:pt>
                <c:pt idx="4">
                  <c:v>-16</c:v>
                </c:pt>
                <c:pt idx="5">
                  <c:v>-10</c:v>
                </c:pt>
                <c:pt idx="6">
                  <c:v>-4</c:v>
                </c:pt>
                <c:pt idx="7">
                  <c:v>2</c:v>
                </c:pt>
                <c:pt idx="8">
                  <c:v>8</c:v>
                </c:pt>
                <c:pt idx="9">
                  <c:v>14</c:v>
                </c:pt>
                <c:pt idx="10">
                  <c:v>20</c:v>
                </c:pt>
                <c:pt idx="11">
                  <c:v>20</c:v>
                </c:pt>
                <c:pt idx="12">
                  <c:v>-40</c:v>
                </c:pt>
                <c:pt idx="13">
                  <c:v>-40</c:v>
                </c:pt>
              </c:numCache>
            </c:numRef>
          </c:yVal>
          <c:smooth val="0"/>
          <c:extLst>
            <c:ext xmlns:c16="http://schemas.microsoft.com/office/drawing/2014/chart" uri="{C3380CC4-5D6E-409C-BE32-E72D297353CC}">
              <c16:uniqueId val="{00000006-403F-4CC5-8988-742488D35043}"/>
            </c:ext>
          </c:extLst>
        </c:ser>
        <c:ser>
          <c:idx val="2"/>
          <c:order val="3"/>
          <c:tx>
            <c:v>Querkraft3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8-403F-4CC5-8988-742488D35043}"/>
              </c:ext>
            </c:extLst>
          </c:dPt>
          <c:xVal>
            <c:numRef>
              <c:f>PlotQ!$AB$5:$AO$5</c:f>
              <c:numCache>
                <c:formatCode>General</c:formatCode>
                <c:ptCount val="14"/>
                <c:pt idx="0">
                  <c:v>48.027625239379567</c:v>
                </c:pt>
                <c:pt idx="1">
                  <c:v>52.027625239379567</c:v>
                </c:pt>
                <c:pt idx="2">
                  <c:v>56.027625239379567</c:v>
                </c:pt>
                <c:pt idx="3">
                  <c:v>60.027625239379567</c:v>
                </c:pt>
                <c:pt idx="4">
                  <c:v>64.027625239379574</c:v>
                </c:pt>
                <c:pt idx="5">
                  <c:v>68.027625239379574</c:v>
                </c:pt>
                <c:pt idx="6">
                  <c:v>72.027625239379574</c:v>
                </c:pt>
                <c:pt idx="7">
                  <c:v>76.027625239379574</c:v>
                </c:pt>
                <c:pt idx="8">
                  <c:v>80.027625239379574</c:v>
                </c:pt>
                <c:pt idx="9">
                  <c:v>84.027625239379574</c:v>
                </c:pt>
                <c:pt idx="10">
                  <c:v>88.027625239379574</c:v>
                </c:pt>
                <c:pt idx="11">
                  <c:v>60</c:v>
                </c:pt>
                <c:pt idx="12">
                  <c:v>20</c:v>
                </c:pt>
                <c:pt idx="13">
                  <c:v>48.027625239379567</c:v>
                </c:pt>
              </c:numCache>
            </c:numRef>
          </c:xVal>
          <c:yVal>
            <c:numRef>
              <c:f>PlotQ!$AR$5:$BE$5</c:f>
              <c:numCache>
                <c:formatCode>General</c:formatCode>
                <c:ptCount val="14"/>
                <c:pt idx="0">
                  <c:v>-21.314916507080291</c:v>
                </c:pt>
                <c:pt idx="1">
                  <c:v>-27.314916507080291</c:v>
                </c:pt>
                <c:pt idx="2">
                  <c:v>-33.314916507080291</c:v>
                </c:pt>
                <c:pt idx="3">
                  <c:v>-39.314916507080291</c:v>
                </c:pt>
                <c:pt idx="4">
                  <c:v>-45.314916507080291</c:v>
                </c:pt>
                <c:pt idx="5">
                  <c:v>-51.314916507080291</c:v>
                </c:pt>
                <c:pt idx="6">
                  <c:v>-57.314916507080291</c:v>
                </c:pt>
                <c:pt idx="7">
                  <c:v>-63.314916507080291</c:v>
                </c:pt>
                <c:pt idx="8">
                  <c:v>-69.314916507080284</c:v>
                </c:pt>
                <c:pt idx="9">
                  <c:v>-75.314916507080284</c:v>
                </c:pt>
                <c:pt idx="10">
                  <c:v>-81.314916507080284</c:v>
                </c:pt>
                <c:pt idx="11">
                  <c:v>-100</c:v>
                </c:pt>
                <c:pt idx="12">
                  <c:v>-40</c:v>
                </c:pt>
                <c:pt idx="13">
                  <c:v>-21.314916507080291</c:v>
                </c:pt>
              </c:numCache>
            </c:numRef>
          </c:yVal>
          <c:smooth val="0"/>
          <c:extLst>
            <c:ext xmlns:c16="http://schemas.microsoft.com/office/drawing/2014/chart" uri="{C3380CC4-5D6E-409C-BE32-E72D297353CC}">
              <c16:uniqueId val="{00000009-403F-4CC5-8988-742488D35043}"/>
            </c:ext>
          </c:extLst>
        </c:ser>
        <c:ser>
          <c:idx val="3"/>
          <c:order val="4"/>
          <c:tx>
            <c:v>Querkraft4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B-403F-4CC5-8988-742488D35043}"/>
              </c:ext>
            </c:extLst>
          </c:dPt>
          <c:xVal>
            <c:numRef>
              <c:f>PlotQ!$AB$6:$AO$6</c:f>
              <c:numCache>
                <c:formatCode>General</c:formatCode>
                <c:ptCount val="14"/>
                <c:pt idx="0">
                  <c:v>30.923988699295698</c:v>
                </c:pt>
                <c:pt idx="1">
                  <c:v>23.923988699295698</c:v>
                </c:pt>
                <c:pt idx="2">
                  <c:v>16.923988699295698</c:v>
                </c:pt>
                <c:pt idx="3">
                  <c:v>9.9239886992957</c:v>
                </c:pt>
                <c:pt idx="4">
                  <c:v>2.9239886992957</c:v>
                </c:pt>
                <c:pt idx="5">
                  <c:v>-4.0760113007043</c:v>
                </c:pt>
                <c:pt idx="6">
                  <c:v>-11.0760113007043</c:v>
                </c:pt>
                <c:pt idx="7">
                  <c:v>-18.076011300704302</c:v>
                </c:pt>
                <c:pt idx="8">
                  <c:v>-25.076011300704302</c:v>
                </c:pt>
                <c:pt idx="9">
                  <c:v>-32.076011300704302</c:v>
                </c:pt>
                <c:pt idx="10">
                  <c:v>-39.076011300704302</c:v>
                </c:pt>
                <c:pt idx="11">
                  <c:v>-50</c:v>
                </c:pt>
                <c:pt idx="12">
                  <c:v>20</c:v>
                </c:pt>
                <c:pt idx="13">
                  <c:v>30.923988699295698</c:v>
                </c:pt>
              </c:numCache>
            </c:numRef>
          </c:xVal>
          <c:yVal>
            <c:numRef>
              <c:f>PlotQ!$AR$6:$BE$6</c:f>
              <c:numCache>
                <c:formatCode>General</c:formatCode>
                <c:ptCount val="14"/>
                <c:pt idx="0">
                  <c:v>-65.489306965023303</c:v>
                </c:pt>
                <c:pt idx="1">
                  <c:v>-68.489306965023303</c:v>
                </c:pt>
                <c:pt idx="2">
                  <c:v>-71.489306965023303</c:v>
                </c:pt>
                <c:pt idx="3">
                  <c:v>-74.489306965023303</c:v>
                </c:pt>
                <c:pt idx="4">
                  <c:v>-77.489306965023303</c:v>
                </c:pt>
                <c:pt idx="5">
                  <c:v>-80.489306965023303</c:v>
                </c:pt>
                <c:pt idx="6">
                  <c:v>-83.489306965023303</c:v>
                </c:pt>
                <c:pt idx="7">
                  <c:v>-86.489306965023303</c:v>
                </c:pt>
                <c:pt idx="8">
                  <c:v>-89.489306965023303</c:v>
                </c:pt>
                <c:pt idx="9">
                  <c:v>-92.489306965023303</c:v>
                </c:pt>
                <c:pt idx="10">
                  <c:v>-95.489306965023303</c:v>
                </c:pt>
                <c:pt idx="11">
                  <c:v>-70</c:v>
                </c:pt>
                <c:pt idx="12">
                  <c:v>-40</c:v>
                </c:pt>
                <c:pt idx="13">
                  <c:v>-65.489306965023303</c:v>
                </c:pt>
              </c:numCache>
            </c:numRef>
          </c:yVal>
          <c:smooth val="0"/>
          <c:extLst>
            <c:ext xmlns:c16="http://schemas.microsoft.com/office/drawing/2014/chart" uri="{C3380CC4-5D6E-409C-BE32-E72D297353CC}">
              <c16:uniqueId val="{0000000C-403F-4CC5-8988-742488D35043}"/>
            </c:ext>
          </c:extLst>
        </c:ser>
        <c:ser>
          <c:idx val="4"/>
          <c:order val="5"/>
          <c:tx>
            <c:v>Querkraft5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E-403F-4CC5-8988-742488D35043}"/>
              </c:ext>
            </c:extLst>
          </c:dPt>
          <c:xVal>
            <c:numRef>
              <c:f>PlotQ!$AB$7:$AO$7</c:f>
              <c:numCache>
                <c:formatCode>General</c:formatCode>
                <c:ptCount val="14"/>
                <c:pt idx="0">
                  <c:v>16.126900110685586</c:v>
                </c:pt>
                <c:pt idx="1">
                  <c:v>4.1269001106855869</c:v>
                </c:pt>
                <c:pt idx="2">
                  <c:v>-7.8730998893144131</c:v>
                </c:pt>
                <c:pt idx="3">
                  <c:v>-19.873099889314414</c:v>
                </c:pt>
                <c:pt idx="4">
                  <c:v>-31.873099889314414</c:v>
                </c:pt>
                <c:pt idx="5">
                  <c:v>-43.87309988931441</c:v>
                </c:pt>
                <c:pt idx="6">
                  <c:v>-55.87309988931441</c:v>
                </c:pt>
                <c:pt idx="7">
                  <c:v>-67.873099889314418</c:v>
                </c:pt>
                <c:pt idx="8">
                  <c:v>-79.873099889314418</c:v>
                </c:pt>
                <c:pt idx="9">
                  <c:v>-91.873099889314418</c:v>
                </c:pt>
                <c:pt idx="10">
                  <c:v>-103.87309988931442</c:v>
                </c:pt>
                <c:pt idx="11">
                  <c:v>-100</c:v>
                </c:pt>
                <c:pt idx="12">
                  <c:v>20</c:v>
                </c:pt>
                <c:pt idx="13">
                  <c:v>16.126900110685586</c:v>
                </c:pt>
              </c:numCache>
            </c:numRef>
          </c:xVal>
          <c:yVal>
            <c:numRef>
              <c:f>PlotQ!$AR$7:$BE$7</c:f>
              <c:numCache>
                <c:formatCode>General</c:formatCode>
                <c:ptCount val="14"/>
                <c:pt idx="0">
                  <c:v>-43.319799905126636</c:v>
                </c:pt>
                <c:pt idx="1">
                  <c:v>-29.31979990512664</c:v>
                </c:pt>
                <c:pt idx="2">
                  <c:v>-15.31979990512664</c:v>
                </c:pt>
                <c:pt idx="3">
                  <c:v>-1.3197999051266396</c:v>
                </c:pt>
                <c:pt idx="4">
                  <c:v>12.68020009487336</c:v>
                </c:pt>
                <c:pt idx="5">
                  <c:v>26.68020009487336</c:v>
                </c:pt>
                <c:pt idx="6">
                  <c:v>40.680200094873364</c:v>
                </c:pt>
                <c:pt idx="7">
                  <c:v>54.680200094873364</c:v>
                </c:pt>
                <c:pt idx="8">
                  <c:v>68.680200094873356</c:v>
                </c:pt>
                <c:pt idx="9">
                  <c:v>82.680200094873356</c:v>
                </c:pt>
                <c:pt idx="10">
                  <c:v>96.680200094873356</c:v>
                </c:pt>
                <c:pt idx="11">
                  <c:v>100</c:v>
                </c:pt>
                <c:pt idx="12">
                  <c:v>-40</c:v>
                </c:pt>
                <c:pt idx="13">
                  <c:v>-43.319799905126636</c:v>
                </c:pt>
              </c:numCache>
            </c:numRef>
          </c:yVal>
          <c:smooth val="0"/>
          <c:extLst>
            <c:ext xmlns:c16="http://schemas.microsoft.com/office/drawing/2014/chart" uri="{C3380CC4-5D6E-409C-BE32-E72D297353CC}">
              <c16:uniqueId val="{0000000F-403F-4CC5-8988-742488D35043}"/>
            </c:ext>
          </c:extLst>
        </c:ser>
        <c:ser>
          <c:idx val="5"/>
          <c:order val="6"/>
          <c:tx>
            <c:v>Querkraft6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1-403F-4CC5-8988-742488D35043}"/>
              </c:ext>
            </c:extLst>
          </c:dPt>
          <c:xVal>
            <c:numRef>
              <c:f>PlotQ!$AB$8:$AO$8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PlotQ!$AR$8:$BE$8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2-403F-4CC5-8988-742488D35043}"/>
            </c:ext>
          </c:extLst>
        </c:ser>
        <c:ser>
          <c:idx val="6"/>
          <c:order val="7"/>
          <c:tx>
            <c:v>Querkraft7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4-403F-4CC5-8988-742488D35043}"/>
              </c:ext>
            </c:extLst>
          </c:dPt>
          <c:xVal>
            <c:numRef>
              <c:f>PlotQ!$AB$9:$AO$9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PlotQ!$AR$9:$BE$9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5-403F-4CC5-8988-742488D35043}"/>
            </c:ext>
          </c:extLst>
        </c:ser>
        <c:ser>
          <c:idx val="7"/>
          <c:order val="8"/>
          <c:tx>
            <c:v>Querkraft8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7-403F-4CC5-8988-742488D35043}"/>
              </c:ext>
            </c:extLst>
          </c:dPt>
          <c:xVal>
            <c:numRef>
              <c:f>PlotQ!$AB$10:$AO$10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PlotQ!$AR$10:$BE$10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8-403F-4CC5-8988-742488D35043}"/>
            </c:ext>
          </c:extLst>
        </c:ser>
        <c:ser>
          <c:idx val="8"/>
          <c:order val="9"/>
          <c:tx>
            <c:v>Querkraft9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A-403F-4CC5-8988-742488D35043}"/>
              </c:ext>
            </c:extLst>
          </c:dPt>
          <c:xVal>
            <c:numRef>
              <c:f>PlotQ!$AB$11:$AO$11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PlotQ!$AR$11:$BE$11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B-403F-4CC5-8988-742488D35043}"/>
            </c:ext>
          </c:extLst>
        </c:ser>
        <c:ser>
          <c:idx val="9"/>
          <c:order val="10"/>
          <c:tx>
            <c:v>Querkraft10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D-403F-4CC5-8988-742488D35043}"/>
              </c:ext>
            </c:extLst>
          </c:dPt>
          <c:xVal>
            <c:numRef>
              <c:f>PlotQ!$AB$12:$AO$12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PlotQ!$AR$12:$BE$12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E-403F-4CC5-8988-742488D35043}"/>
            </c:ext>
          </c:extLst>
        </c:ser>
        <c:ser>
          <c:idx val="10"/>
          <c:order val="11"/>
          <c:tx>
            <c:v>Querkraft11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0-403F-4CC5-8988-742488D35043}"/>
              </c:ext>
            </c:extLst>
          </c:dPt>
          <c:xVal>
            <c:numRef>
              <c:f>PlotQ!$AB$13:$AO$13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PlotQ!$AR$13:$BE$13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1-403F-4CC5-8988-742488D35043}"/>
            </c:ext>
          </c:extLst>
        </c:ser>
        <c:ser>
          <c:idx val="11"/>
          <c:order val="12"/>
          <c:tx>
            <c:v>Querkraft12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3-403F-4CC5-8988-742488D35043}"/>
              </c:ext>
            </c:extLst>
          </c:dPt>
          <c:xVal>
            <c:numRef>
              <c:f>PlotQ!$AB$14:$AO$14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PlotQ!$AR$14:$BE$14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4-403F-4CC5-8988-742488D35043}"/>
            </c:ext>
          </c:extLst>
        </c:ser>
        <c:ser>
          <c:idx val="12"/>
          <c:order val="13"/>
          <c:tx>
            <c:v>Querkraft13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6-403F-4CC5-8988-742488D35043}"/>
              </c:ext>
            </c:extLst>
          </c:dPt>
          <c:xVal>
            <c:numRef>
              <c:f>PlotQ!$AB$15:$AO$15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PlotQ!$AR$15:$BE$15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7-403F-4CC5-8988-742488D35043}"/>
            </c:ext>
          </c:extLst>
        </c:ser>
        <c:ser>
          <c:idx val="13"/>
          <c:order val="14"/>
          <c:tx>
            <c:v>Querkraft14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9-403F-4CC5-8988-742488D35043}"/>
              </c:ext>
            </c:extLst>
          </c:dPt>
          <c:xVal>
            <c:numRef>
              <c:f>PlotQ!$AB$16:$AO$16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PlotQ!$AR$16:$BE$16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A-403F-4CC5-8988-742488D35043}"/>
            </c:ext>
          </c:extLst>
        </c:ser>
        <c:ser>
          <c:idx val="14"/>
          <c:order val="15"/>
          <c:tx>
            <c:v>Querkraft15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C-403F-4CC5-8988-742488D35043}"/>
              </c:ext>
            </c:extLst>
          </c:dPt>
          <c:xVal>
            <c:numRef>
              <c:f>PlotQ!$AB$17:$AO$17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PlotQ!$AR$17:$BE$17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D-403F-4CC5-8988-742488D35043}"/>
            </c:ext>
          </c:extLst>
        </c:ser>
        <c:ser>
          <c:idx val="15"/>
          <c:order val="16"/>
          <c:tx>
            <c:v>Querkraft16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F-403F-4CC5-8988-742488D35043}"/>
              </c:ext>
            </c:extLst>
          </c:dPt>
          <c:xVal>
            <c:numRef>
              <c:f>PlotQ!$AB$18:$AO$18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PlotQ!$AR$18:$BE$18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0-403F-4CC5-8988-742488D35043}"/>
            </c:ext>
          </c:extLst>
        </c:ser>
        <c:ser>
          <c:idx val="16"/>
          <c:order val="17"/>
          <c:tx>
            <c:v>Querkraft17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2-403F-4CC5-8988-742488D35043}"/>
              </c:ext>
            </c:extLst>
          </c:dPt>
          <c:xVal>
            <c:numRef>
              <c:f>PlotQ!$AB$19:$AO$19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PlotQ!$AR$19:$BE$19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3-403F-4CC5-8988-742488D35043}"/>
            </c:ext>
          </c:extLst>
        </c:ser>
        <c:ser>
          <c:idx val="17"/>
          <c:order val="18"/>
          <c:tx>
            <c:v>Querkraft18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5-403F-4CC5-8988-742488D35043}"/>
              </c:ext>
            </c:extLst>
          </c:dPt>
          <c:xVal>
            <c:numRef>
              <c:f>PlotQ!$AB$20:$AO$20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PlotQ!$AR$20:$BE$20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6-403F-4CC5-8988-742488D35043}"/>
            </c:ext>
          </c:extLst>
        </c:ser>
        <c:ser>
          <c:idx val="18"/>
          <c:order val="19"/>
          <c:tx>
            <c:v>Querkraft19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8-403F-4CC5-8988-742488D35043}"/>
              </c:ext>
            </c:extLst>
          </c:dPt>
          <c:xVal>
            <c:numRef>
              <c:f>PlotQ!$AB$21:$AO$21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PlotQ!$AR$21:$BE$21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9-403F-4CC5-8988-742488D35043}"/>
            </c:ext>
          </c:extLst>
        </c:ser>
        <c:ser>
          <c:idx val="19"/>
          <c:order val="20"/>
          <c:tx>
            <c:v>Querkraft20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B-403F-4CC5-8988-742488D35043}"/>
              </c:ext>
            </c:extLst>
          </c:dPt>
          <c:xVal>
            <c:numRef>
              <c:f>PlotQ!$AB$22:$AO$22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PlotQ!$AR$22:$BE$22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C-403F-4CC5-8988-742488D35043}"/>
            </c:ext>
          </c:extLst>
        </c:ser>
        <c:ser>
          <c:idx val="21"/>
          <c:order val="21"/>
          <c:tx>
            <c:v>Querkraft21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E-403F-4CC5-8988-742488D35043}"/>
              </c:ext>
            </c:extLst>
          </c:dPt>
          <c:xVal>
            <c:numRef>
              <c:f>PlotQ!$AB$23:$AO$23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PlotQ!$AR$23:$BE$23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F-403F-4CC5-8988-742488D35043}"/>
            </c:ext>
          </c:extLst>
        </c:ser>
        <c:ser>
          <c:idx val="22"/>
          <c:order val="22"/>
          <c:tx>
            <c:v>Querkraft22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1-403F-4CC5-8988-742488D35043}"/>
              </c:ext>
            </c:extLst>
          </c:dPt>
          <c:xVal>
            <c:numRef>
              <c:f>PlotQ!$AB$24:$AO$24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PlotQ!$AR$24:$BE$24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2-403F-4CC5-8988-742488D35043}"/>
            </c:ext>
          </c:extLst>
        </c:ser>
        <c:ser>
          <c:idx val="23"/>
          <c:order val="23"/>
          <c:tx>
            <c:v>Querkraft23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4-403F-4CC5-8988-742488D35043}"/>
              </c:ext>
            </c:extLst>
          </c:dPt>
          <c:xVal>
            <c:numRef>
              <c:f>PlotQ!$AB$25:$AO$25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PlotQ!$AR$25:$BE$25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5-403F-4CC5-8988-742488D35043}"/>
            </c:ext>
          </c:extLst>
        </c:ser>
        <c:ser>
          <c:idx val="24"/>
          <c:order val="24"/>
          <c:tx>
            <c:v>Querkraft24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7-403F-4CC5-8988-742488D35043}"/>
              </c:ext>
            </c:extLst>
          </c:dPt>
          <c:xVal>
            <c:numRef>
              <c:f>PlotQ!$AB$26:$AO$26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PlotQ!$AR$26:$BE$26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8-403F-4CC5-8988-742488D35043}"/>
            </c:ext>
          </c:extLst>
        </c:ser>
        <c:ser>
          <c:idx val="25"/>
          <c:order val="25"/>
          <c:tx>
            <c:v>Querkraft25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A-403F-4CC5-8988-742488D35043}"/>
              </c:ext>
            </c:extLst>
          </c:dPt>
          <c:xVal>
            <c:numRef>
              <c:f>PlotQ!$AB$27:$AO$27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PlotQ!$AR$27:$BE$27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B-403F-4CC5-8988-742488D35043}"/>
            </c:ext>
          </c:extLst>
        </c:ser>
        <c:ser>
          <c:idx val="26"/>
          <c:order val="26"/>
          <c:tx>
            <c:v>Querkraft26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D-403F-4CC5-8988-742488D35043}"/>
              </c:ext>
            </c:extLst>
          </c:dPt>
          <c:xVal>
            <c:numRef>
              <c:f>PlotQ!$AB$28:$AO$28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PlotQ!$AR$28:$BE$28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E-403F-4CC5-8988-742488D35043}"/>
            </c:ext>
          </c:extLst>
        </c:ser>
        <c:ser>
          <c:idx val="27"/>
          <c:order val="27"/>
          <c:tx>
            <c:v>Querkraft27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0-403F-4CC5-8988-742488D35043}"/>
              </c:ext>
            </c:extLst>
          </c:dPt>
          <c:xVal>
            <c:numRef>
              <c:f>PlotQ!$AB$29:$AO$29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PlotQ!$AR$29:$BE$29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1-403F-4CC5-8988-742488D35043}"/>
            </c:ext>
          </c:extLst>
        </c:ser>
        <c:ser>
          <c:idx val="28"/>
          <c:order val="28"/>
          <c:tx>
            <c:v>Querkraft28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3-403F-4CC5-8988-742488D35043}"/>
              </c:ext>
            </c:extLst>
          </c:dPt>
          <c:xVal>
            <c:numRef>
              <c:f>PlotQ!$AB$30:$AO$30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PlotQ!$AR$30:$BE$30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4-403F-4CC5-8988-742488D35043}"/>
            </c:ext>
          </c:extLst>
        </c:ser>
        <c:ser>
          <c:idx val="29"/>
          <c:order val="29"/>
          <c:tx>
            <c:v>Querkraft29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6-403F-4CC5-8988-742488D35043}"/>
              </c:ext>
            </c:extLst>
          </c:dPt>
          <c:xVal>
            <c:numRef>
              <c:f>PlotQ!$AB$31:$AO$31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PlotQ!$AR$31:$BE$31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7-403F-4CC5-8988-742488D35043}"/>
            </c:ext>
          </c:extLst>
        </c:ser>
        <c:ser>
          <c:idx val="30"/>
          <c:order val="30"/>
          <c:tx>
            <c:v>Querkraft30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9-403F-4CC5-8988-742488D35043}"/>
              </c:ext>
            </c:extLst>
          </c:dPt>
          <c:xVal>
            <c:numRef>
              <c:f>PlotQ!$AB$32:$AO$32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PlotQ!$AR$32:$BE$32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A-403F-4CC5-8988-742488D35043}"/>
            </c:ext>
          </c:extLst>
        </c:ser>
        <c:ser>
          <c:idx val="31"/>
          <c:order val="31"/>
          <c:tx>
            <c:v>Querkraft31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C-403F-4CC5-8988-742488D35043}"/>
              </c:ext>
            </c:extLst>
          </c:dPt>
          <c:xVal>
            <c:numRef>
              <c:f>PlotQ!$AB$33:$AO$33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PlotQ!$AR$33:$BE$33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D-403F-4CC5-8988-742488D35043}"/>
            </c:ext>
          </c:extLst>
        </c:ser>
        <c:ser>
          <c:idx val="32"/>
          <c:order val="32"/>
          <c:tx>
            <c:v>Querkraft32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F-403F-4CC5-8988-742488D35043}"/>
              </c:ext>
            </c:extLst>
          </c:dPt>
          <c:xVal>
            <c:numRef>
              <c:f>PlotQ!$AB$34:$AO$34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PlotQ!$AR$34:$BE$34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0-403F-4CC5-8988-742488D35043}"/>
            </c:ext>
          </c:extLst>
        </c:ser>
        <c:ser>
          <c:idx val="33"/>
          <c:order val="33"/>
          <c:tx>
            <c:v>Querkraft33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2-403F-4CC5-8988-742488D35043}"/>
              </c:ext>
            </c:extLst>
          </c:dPt>
          <c:xVal>
            <c:numRef>
              <c:f>PlotQ!$AB$35:$AO$35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PlotQ!$AR$35:$BE$35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3-403F-4CC5-8988-742488D35043}"/>
            </c:ext>
          </c:extLst>
        </c:ser>
        <c:ser>
          <c:idx val="34"/>
          <c:order val="34"/>
          <c:tx>
            <c:v>Querkraft34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5-403F-4CC5-8988-742488D35043}"/>
              </c:ext>
            </c:extLst>
          </c:dPt>
          <c:xVal>
            <c:numRef>
              <c:f>PlotQ!$AB$36:$AO$36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PlotQ!$AR$36:$BE$36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6-403F-4CC5-8988-742488D35043}"/>
            </c:ext>
          </c:extLst>
        </c:ser>
        <c:ser>
          <c:idx val="35"/>
          <c:order val="35"/>
          <c:tx>
            <c:v>Querkraft35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8-403F-4CC5-8988-742488D35043}"/>
              </c:ext>
            </c:extLst>
          </c:dPt>
          <c:xVal>
            <c:numRef>
              <c:f>PlotQ!$AB$37:$AO$37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PlotQ!$AR$37:$BE$37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9-403F-4CC5-8988-742488D35043}"/>
            </c:ext>
          </c:extLst>
        </c:ser>
        <c:ser>
          <c:idx val="36"/>
          <c:order val="36"/>
          <c:tx>
            <c:v>Querkraft36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B-403F-4CC5-8988-742488D35043}"/>
              </c:ext>
            </c:extLst>
          </c:dPt>
          <c:xVal>
            <c:numRef>
              <c:f>PlotQ!$AB$38:$AO$38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PlotQ!$AR$38:$BE$38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C-403F-4CC5-8988-742488D35043}"/>
            </c:ext>
          </c:extLst>
        </c:ser>
        <c:ser>
          <c:idx val="37"/>
          <c:order val="37"/>
          <c:tx>
            <c:v>Querkraft37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E-403F-4CC5-8988-742488D35043}"/>
              </c:ext>
            </c:extLst>
          </c:dPt>
          <c:xVal>
            <c:numRef>
              <c:f>PlotQ!$AB$39:$AO$39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PlotQ!$AR$39:$BE$39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F-403F-4CC5-8988-742488D35043}"/>
            </c:ext>
          </c:extLst>
        </c:ser>
        <c:ser>
          <c:idx val="38"/>
          <c:order val="38"/>
          <c:tx>
            <c:v>Querkraft38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1-403F-4CC5-8988-742488D35043}"/>
              </c:ext>
            </c:extLst>
          </c:dPt>
          <c:xVal>
            <c:numRef>
              <c:f>PlotQ!$AB$40:$AO$40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PlotQ!$AR$40:$BE$40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2-403F-4CC5-8988-742488D35043}"/>
            </c:ext>
          </c:extLst>
        </c:ser>
        <c:ser>
          <c:idx val="39"/>
          <c:order val="39"/>
          <c:tx>
            <c:v>Querkraft39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4-403F-4CC5-8988-742488D35043}"/>
              </c:ext>
            </c:extLst>
          </c:dPt>
          <c:xVal>
            <c:numRef>
              <c:f>PlotQ!$AB$41:$AO$41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PlotQ!$AR$41:$BE$41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5-403F-4CC5-8988-742488D35043}"/>
            </c:ext>
          </c:extLst>
        </c:ser>
        <c:ser>
          <c:idx val="40"/>
          <c:order val="40"/>
          <c:tx>
            <c:v>Querkraft40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7-403F-4CC5-8988-742488D35043}"/>
              </c:ext>
            </c:extLst>
          </c:dPt>
          <c:xVal>
            <c:numRef>
              <c:f>PlotQ!$AB$42:$AO$42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PlotQ!$AR$42:$BE$42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8-403F-4CC5-8988-742488D35043}"/>
            </c:ext>
          </c:extLst>
        </c:ser>
        <c:dLbls>
          <c:showLegendKey val="0"/>
          <c:showVal val="0"/>
          <c:showCatName val="0"/>
          <c:showSerName val="0"/>
          <c:showPercent val="0"/>
          <c:showBubbleSize val="0"/>
        </c:dLbls>
        <c:axId val="519119672"/>
        <c:axId val="519122808"/>
      </c:scatterChart>
      <c:valAx>
        <c:axId val="519119672"/>
        <c:scaling>
          <c:orientation val="minMax"/>
        </c:scaling>
        <c:delete val="1"/>
        <c:axPos val="b"/>
        <c:numFmt formatCode="General" sourceLinked="1"/>
        <c:majorTickMark val="out"/>
        <c:minorTickMark val="none"/>
        <c:tickLblPos val="none"/>
        <c:crossAx val="519122808"/>
        <c:crosses val="max"/>
        <c:crossBetween val="midCat"/>
        <c:majorUnit val="1.0000000000000005E-2"/>
      </c:valAx>
      <c:valAx>
        <c:axId val="519122808"/>
        <c:scaling>
          <c:orientation val="maxMin"/>
        </c:scaling>
        <c:delete val="1"/>
        <c:axPos val="r"/>
        <c:numFmt formatCode="General" sourceLinked="1"/>
        <c:majorTickMark val="out"/>
        <c:minorTickMark val="none"/>
        <c:tickLblPos val="none"/>
        <c:crossAx val="519119672"/>
        <c:crosses val="max"/>
        <c:crossBetween val="midCat"/>
        <c:majorUnit val="1.0000000000000005E-2"/>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DE"/>
    </a:p>
  </c:txPr>
  <c:printSettings>
    <c:headerFooter alignWithMargins="0"/>
    <c:pageMargins b="0.98425196899999956" l="0.78740157499999996" r="0.78740157499999996" t="0.98425196899999956" header="0.49212598450000195" footer="0.4921259845000019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2.5113884069576046E-2"/>
          <c:y val="1.7171991808748354E-2"/>
          <c:w val="0.95202872846339748"/>
          <c:h val="0.96399149760477876"/>
        </c:manualLayout>
      </c:layout>
      <c:scatterChart>
        <c:scatterStyle val="lineMarker"/>
        <c:varyColors val="0"/>
        <c:ser>
          <c:idx val="20"/>
          <c:order val="0"/>
          <c:tx>
            <c:v>BoundingBox21</c:v>
          </c:tx>
          <c:spPr>
            <a:ln w="12700">
              <a:solidFill>
                <a:srgbClr val="C0C0C0"/>
              </a:solidFill>
              <a:prstDash val="solid"/>
            </a:ln>
          </c:spPr>
          <c:marker>
            <c:symbol val="none"/>
          </c:marker>
          <c:xVal>
            <c:numRef>
              <c:f>PlotM!$BH$6:$BH$9</c:f>
              <c:numCache>
                <c:formatCode>General</c:formatCode>
                <c:ptCount val="4"/>
                <c:pt idx="0">
                  <c:v>-141.42135623730951</c:v>
                </c:pt>
                <c:pt idx="1">
                  <c:v>141.42135623730951</c:v>
                </c:pt>
                <c:pt idx="2">
                  <c:v>141.42135623730951</c:v>
                </c:pt>
                <c:pt idx="3">
                  <c:v>-141.42135623730951</c:v>
                </c:pt>
              </c:numCache>
              <c:extLst xmlns:c15="http://schemas.microsoft.com/office/drawing/2012/chart"/>
            </c:numRef>
          </c:xVal>
          <c:yVal>
            <c:numRef>
              <c:f>PlotM!$BI$6:$BI$9</c:f>
              <c:numCache>
                <c:formatCode>General</c:formatCode>
                <c:ptCount val="4"/>
                <c:pt idx="0">
                  <c:v>141.42135623730951</c:v>
                </c:pt>
                <c:pt idx="1">
                  <c:v>141.42135623730951</c:v>
                </c:pt>
                <c:pt idx="2">
                  <c:v>-141.42135623730951</c:v>
                </c:pt>
                <c:pt idx="3">
                  <c:v>-141.42135623730951</c:v>
                </c:pt>
              </c:numCache>
              <c:extLst xmlns:c15="http://schemas.microsoft.com/office/drawing/2012/chart"/>
            </c:numRef>
          </c:yVal>
          <c:smooth val="0"/>
          <c:extLst>
            <c:ext xmlns:c16="http://schemas.microsoft.com/office/drawing/2014/chart" uri="{C3380CC4-5D6E-409C-BE32-E72D297353CC}">
              <c16:uniqueId val="{00000000-DB1A-42BE-94C8-4B98F16F9008}"/>
            </c:ext>
          </c:extLst>
        </c:ser>
        <c:ser>
          <c:idx val="0"/>
          <c:order val="1"/>
          <c:tx>
            <c:v>Moment1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2-DB1A-42BE-94C8-4B98F16F9008}"/>
              </c:ext>
            </c:extLst>
          </c:dPt>
          <c:xVal>
            <c:numRef>
              <c:f>PlotM!$AB$3:$AO$3</c:f>
              <c:numCache>
                <c:formatCode>General</c:formatCode>
                <c:ptCount val="14"/>
                <c:pt idx="0">
                  <c:v>38.477308734844343</c:v>
                </c:pt>
                <c:pt idx="1">
                  <c:v>44.629577861359905</c:v>
                </c:pt>
                <c:pt idx="2">
                  <c:v>50.781846987875475</c:v>
                </c:pt>
                <c:pt idx="3">
                  <c:v>56.934116114391038</c:v>
                </c:pt>
                <c:pt idx="4">
                  <c:v>63.086385240906608</c:v>
                </c:pt>
                <c:pt idx="5">
                  <c:v>69.238654367422171</c:v>
                </c:pt>
                <c:pt idx="6">
                  <c:v>75.390923493937734</c:v>
                </c:pt>
                <c:pt idx="7">
                  <c:v>81.543192620453311</c:v>
                </c:pt>
                <c:pt idx="8">
                  <c:v>87.695461746968874</c:v>
                </c:pt>
                <c:pt idx="9">
                  <c:v>93.847730873484437</c:v>
                </c:pt>
                <c:pt idx="10">
                  <c:v>100</c:v>
                </c:pt>
                <c:pt idx="11">
                  <c:v>100</c:v>
                </c:pt>
                <c:pt idx="12">
                  <c:v>20</c:v>
                </c:pt>
                <c:pt idx="13">
                  <c:v>38.477308734844343</c:v>
                </c:pt>
              </c:numCache>
            </c:numRef>
          </c:xVal>
          <c:yVal>
            <c:numRef>
              <c:f>PlotM!$AR$3:$BE$3</c:f>
              <c:numCache>
                <c:formatCode>General</c:formatCode>
                <c:ptCount val="14"/>
                <c:pt idx="0">
                  <c:v>-64.636411646459123</c:v>
                </c:pt>
                <c:pt idx="1">
                  <c:v>-56.172770481813217</c:v>
                </c:pt>
                <c:pt idx="2">
                  <c:v>-47.709129317167303</c:v>
                </c:pt>
                <c:pt idx="3">
                  <c:v>-39.245488152521389</c:v>
                </c:pt>
                <c:pt idx="4">
                  <c:v>-30.781846987875475</c:v>
                </c:pt>
                <c:pt idx="5">
                  <c:v>-22.318205823229562</c:v>
                </c:pt>
                <c:pt idx="6">
                  <c:v>-13.854564658583653</c:v>
                </c:pt>
                <c:pt idx="7">
                  <c:v>-5.3909234939377413</c:v>
                </c:pt>
                <c:pt idx="8">
                  <c:v>3.0727176707081734</c:v>
                </c:pt>
                <c:pt idx="9">
                  <c:v>11.536358835354084</c:v>
                </c:pt>
                <c:pt idx="10">
                  <c:v>20</c:v>
                </c:pt>
                <c:pt idx="11">
                  <c:v>20</c:v>
                </c:pt>
                <c:pt idx="12">
                  <c:v>-40</c:v>
                </c:pt>
                <c:pt idx="13">
                  <c:v>-64.636411646459123</c:v>
                </c:pt>
              </c:numCache>
            </c:numRef>
          </c:yVal>
          <c:smooth val="0"/>
          <c:extLst>
            <c:ext xmlns:c16="http://schemas.microsoft.com/office/drawing/2014/chart" uri="{C3380CC4-5D6E-409C-BE32-E72D297353CC}">
              <c16:uniqueId val="{00000003-DB1A-42BE-94C8-4B98F16F9008}"/>
            </c:ext>
          </c:extLst>
        </c:ser>
        <c:ser>
          <c:idx val="1"/>
          <c:order val="2"/>
          <c:tx>
            <c:v>Moment2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5-DB1A-42BE-94C8-4B98F16F9008}"/>
              </c:ext>
            </c:extLst>
          </c:dPt>
          <c:xVal>
            <c:numRef>
              <c:f>PlotM!$AB$4:$AO$4</c:f>
              <c:numCache>
                <c:formatCode>General</c:formatCode>
                <c:ptCount val="14"/>
                <c:pt idx="0">
                  <c:v>70.911688245431435</c:v>
                </c:pt>
                <c:pt idx="1">
                  <c:v>65.820519420888303</c:v>
                </c:pt>
                <c:pt idx="2">
                  <c:v>60.729350596345142</c:v>
                </c:pt>
                <c:pt idx="3">
                  <c:v>55.638181771801996</c:v>
                </c:pt>
                <c:pt idx="4">
                  <c:v>50.547012947258864</c:v>
                </c:pt>
                <c:pt idx="5">
                  <c:v>45.455844122715718</c:v>
                </c:pt>
                <c:pt idx="6">
                  <c:v>40.364675298172571</c:v>
                </c:pt>
                <c:pt idx="7">
                  <c:v>35.273506473629432</c:v>
                </c:pt>
                <c:pt idx="8">
                  <c:v>30.182337649086293</c:v>
                </c:pt>
                <c:pt idx="9">
                  <c:v>25.091168824543146</c:v>
                </c:pt>
                <c:pt idx="10">
                  <c:v>20</c:v>
                </c:pt>
                <c:pt idx="11">
                  <c:v>20</c:v>
                </c:pt>
                <c:pt idx="12">
                  <c:v>20</c:v>
                </c:pt>
                <c:pt idx="13">
                  <c:v>70.911688245431435</c:v>
                </c:pt>
              </c:numCache>
            </c:numRef>
          </c:xVal>
          <c:yVal>
            <c:numRef>
              <c:f>PlotM!$AR$4:$BE$4</c:f>
              <c:numCache>
                <c:formatCode>General</c:formatCode>
                <c:ptCount val="14"/>
                <c:pt idx="0">
                  <c:v>-40</c:v>
                </c:pt>
                <c:pt idx="1">
                  <c:v>-34</c:v>
                </c:pt>
                <c:pt idx="2">
                  <c:v>-28</c:v>
                </c:pt>
                <c:pt idx="3">
                  <c:v>-22</c:v>
                </c:pt>
                <c:pt idx="4">
                  <c:v>-16</c:v>
                </c:pt>
                <c:pt idx="5">
                  <c:v>-10</c:v>
                </c:pt>
                <c:pt idx="6">
                  <c:v>-4</c:v>
                </c:pt>
                <c:pt idx="7">
                  <c:v>2</c:v>
                </c:pt>
                <c:pt idx="8">
                  <c:v>8</c:v>
                </c:pt>
                <c:pt idx="9">
                  <c:v>14</c:v>
                </c:pt>
                <c:pt idx="10">
                  <c:v>20</c:v>
                </c:pt>
                <c:pt idx="11">
                  <c:v>20</c:v>
                </c:pt>
                <c:pt idx="12">
                  <c:v>-40</c:v>
                </c:pt>
                <c:pt idx="13">
                  <c:v>-40</c:v>
                </c:pt>
              </c:numCache>
            </c:numRef>
          </c:yVal>
          <c:smooth val="0"/>
          <c:extLst>
            <c:ext xmlns:c16="http://schemas.microsoft.com/office/drawing/2014/chart" uri="{C3380CC4-5D6E-409C-BE32-E72D297353CC}">
              <c16:uniqueId val="{00000006-DB1A-42BE-94C8-4B98F16F9008}"/>
            </c:ext>
          </c:extLst>
        </c:ser>
        <c:ser>
          <c:idx val="2"/>
          <c:order val="3"/>
          <c:tx>
            <c:v>Moment3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8-DB1A-42BE-94C8-4B98F16F9008}"/>
              </c:ext>
            </c:extLst>
          </c:dPt>
          <c:xVal>
            <c:numRef>
              <c:f>PlotM!$AB$5:$AO$5</c:f>
              <c:numCache>
                <c:formatCode>General</c:formatCode>
                <c:ptCount val="14"/>
                <c:pt idx="0">
                  <c:v>-13.685013310023898</c:v>
                </c:pt>
                <c:pt idx="1">
                  <c:v>-6.316511979021513</c:v>
                </c:pt>
                <c:pt idx="2">
                  <c:v>1.051989351980879</c:v>
                </c:pt>
                <c:pt idx="3">
                  <c:v>8.4204906829832673</c:v>
                </c:pt>
                <c:pt idx="4">
                  <c:v>15.788992013985659</c:v>
                </c:pt>
                <c:pt idx="5">
                  <c:v>23.157493344988051</c:v>
                </c:pt>
                <c:pt idx="6">
                  <c:v>30.525994675990439</c:v>
                </c:pt>
                <c:pt idx="7">
                  <c:v>37.894496006992824</c:v>
                </c:pt>
                <c:pt idx="8">
                  <c:v>45.262997337995216</c:v>
                </c:pt>
                <c:pt idx="9">
                  <c:v>52.631498668997608</c:v>
                </c:pt>
                <c:pt idx="10">
                  <c:v>60</c:v>
                </c:pt>
                <c:pt idx="11">
                  <c:v>60</c:v>
                </c:pt>
                <c:pt idx="12">
                  <c:v>20</c:v>
                </c:pt>
                <c:pt idx="13">
                  <c:v>-13.685013310023898</c:v>
                </c:pt>
              </c:numCache>
            </c:numRef>
          </c:xVal>
          <c:yVal>
            <c:numRef>
              <c:f>PlotM!$AR$5:$BE$5</c:f>
              <c:numCache>
                <c:formatCode>General</c:formatCode>
                <c:ptCount val="14"/>
                <c:pt idx="0">
                  <c:v>-62.456675540015937</c:v>
                </c:pt>
                <c:pt idx="1">
                  <c:v>-66.211007986014337</c:v>
                </c:pt>
                <c:pt idx="2">
                  <c:v>-69.965340432012752</c:v>
                </c:pt>
                <c:pt idx="3">
                  <c:v>-73.719672878011153</c:v>
                </c:pt>
                <c:pt idx="4">
                  <c:v>-77.474005324009553</c:v>
                </c:pt>
                <c:pt idx="5">
                  <c:v>-81.228337770007968</c:v>
                </c:pt>
                <c:pt idx="6">
                  <c:v>-84.982670216006369</c:v>
                </c:pt>
                <c:pt idx="7">
                  <c:v>-88.737002662004784</c:v>
                </c:pt>
                <c:pt idx="8">
                  <c:v>-92.491335108003184</c:v>
                </c:pt>
                <c:pt idx="9">
                  <c:v>-96.245667554001599</c:v>
                </c:pt>
                <c:pt idx="10">
                  <c:v>-100</c:v>
                </c:pt>
                <c:pt idx="11">
                  <c:v>-100</c:v>
                </c:pt>
                <c:pt idx="12">
                  <c:v>-40</c:v>
                </c:pt>
                <c:pt idx="13">
                  <c:v>-62.456675540015937</c:v>
                </c:pt>
              </c:numCache>
            </c:numRef>
          </c:yVal>
          <c:smooth val="0"/>
          <c:extLst>
            <c:ext xmlns:c16="http://schemas.microsoft.com/office/drawing/2014/chart" uri="{C3380CC4-5D6E-409C-BE32-E72D297353CC}">
              <c16:uniqueId val="{00000009-DB1A-42BE-94C8-4B98F16F9008}"/>
            </c:ext>
          </c:extLst>
        </c:ser>
        <c:ser>
          <c:idx val="3"/>
          <c:order val="4"/>
          <c:tx>
            <c:v>Moment4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B-DB1A-42BE-94C8-4B98F16F9008}"/>
              </c:ext>
            </c:extLst>
          </c:dPt>
          <c:xVal>
            <c:numRef>
              <c:f>PlotM!$AB$6:$AO$6</c:f>
              <c:numCache>
                <c:formatCode>General</c:formatCode>
                <c:ptCount val="14"/>
                <c:pt idx="0">
                  <c:v>6.1342301091904226</c:v>
                </c:pt>
                <c:pt idx="1">
                  <c:v>0.52080709827137994</c:v>
                </c:pt>
                <c:pt idx="2">
                  <c:v>-5.0926159126476644</c:v>
                </c:pt>
                <c:pt idx="3">
                  <c:v>-10.706038923566705</c:v>
                </c:pt>
                <c:pt idx="4">
                  <c:v>-16.319461934485748</c:v>
                </c:pt>
                <c:pt idx="5">
                  <c:v>-21.932884945404787</c:v>
                </c:pt>
                <c:pt idx="6">
                  <c:v>-27.546307956323833</c:v>
                </c:pt>
                <c:pt idx="7">
                  <c:v>-33.159730967242872</c:v>
                </c:pt>
                <c:pt idx="8">
                  <c:v>-38.773153978161915</c:v>
                </c:pt>
                <c:pt idx="9">
                  <c:v>-44.386576989080957</c:v>
                </c:pt>
                <c:pt idx="10">
                  <c:v>-50</c:v>
                </c:pt>
                <c:pt idx="11">
                  <c:v>-50</c:v>
                </c:pt>
                <c:pt idx="12">
                  <c:v>20</c:v>
                </c:pt>
                <c:pt idx="13">
                  <c:v>6.1342301091904226</c:v>
                </c:pt>
              </c:numCache>
            </c:numRef>
          </c:xVal>
          <c:yVal>
            <c:numRef>
              <c:f>PlotM!$AR$6:$BE$6</c:f>
              <c:numCache>
                <c:formatCode>General</c:formatCode>
                <c:ptCount val="14"/>
                <c:pt idx="0">
                  <c:v>-7.6465369214443228</c:v>
                </c:pt>
                <c:pt idx="1">
                  <c:v>-13.881883229299891</c:v>
                </c:pt>
                <c:pt idx="2">
                  <c:v>-20.117229537155449</c:v>
                </c:pt>
                <c:pt idx="3">
                  <c:v>-26.352575845011025</c:v>
                </c:pt>
                <c:pt idx="4">
                  <c:v>-32.587922152866589</c:v>
                </c:pt>
                <c:pt idx="5">
                  <c:v>-38.823268460722161</c:v>
                </c:pt>
                <c:pt idx="6">
                  <c:v>-45.058614768577726</c:v>
                </c:pt>
                <c:pt idx="7">
                  <c:v>-51.293961076433291</c:v>
                </c:pt>
                <c:pt idx="8">
                  <c:v>-57.529307384288856</c:v>
                </c:pt>
                <c:pt idx="9">
                  <c:v>-63.764653692144428</c:v>
                </c:pt>
                <c:pt idx="10">
                  <c:v>-70</c:v>
                </c:pt>
                <c:pt idx="11">
                  <c:v>-70</c:v>
                </c:pt>
                <c:pt idx="12">
                  <c:v>-40</c:v>
                </c:pt>
                <c:pt idx="13">
                  <c:v>-7.6465369214443228</c:v>
                </c:pt>
              </c:numCache>
            </c:numRef>
          </c:yVal>
          <c:smooth val="0"/>
          <c:extLst>
            <c:ext xmlns:c16="http://schemas.microsoft.com/office/drawing/2014/chart" uri="{C3380CC4-5D6E-409C-BE32-E72D297353CC}">
              <c16:uniqueId val="{0000000C-DB1A-42BE-94C8-4B98F16F9008}"/>
            </c:ext>
          </c:extLst>
        </c:ser>
        <c:ser>
          <c:idx val="4"/>
          <c:order val="5"/>
          <c:tx>
            <c:v>Moment5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E-DB1A-42BE-94C8-4B98F16F9008}"/>
              </c:ext>
            </c:extLst>
          </c:dPt>
          <c:xVal>
            <c:numRef>
              <c:f>PlotM!$AB$7:$AO$7</c:f>
              <c:numCache>
                <c:formatCode>General</c:formatCode>
                <c:ptCount val="14"/>
                <c:pt idx="0">
                  <c:v>31.902738872356792</c:v>
                </c:pt>
                <c:pt idx="1">
                  <c:v>18.71246498512112</c:v>
                </c:pt>
                <c:pt idx="2">
                  <c:v>5.5221910978854378</c:v>
                </c:pt>
                <c:pt idx="3">
                  <c:v>-7.6680827893502403</c:v>
                </c:pt>
                <c:pt idx="4">
                  <c:v>-20.85835667658592</c:v>
                </c:pt>
                <c:pt idx="5">
                  <c:v>-34.048630563821604</c:v>
                </c:pt>
                <c:pt idx="6">
                  <c:v>-47.23890445105728</c:v>
                </c:pt>
                <c:pt idx="7">
                  <c:v>-60.429178338292957</c:v>
                </c:pt>
                <c:pt idx="8">
                  <c:v>-73.619452225528633</c:v>
                </c:pt>
                <c:pt idx="9">
                  <c:v>-86.809726112764324</c:v>
                </c:pt>
                <c:pt idx="10">
                  <c:v>-100</c:v>
                </c:pt>
                <c:pt idx="11">
                  <c:v>-100</c:v>
                </c:pt>
                <c:pt idx="12">
                  <c:v>20</c:v>
                </c:pt>
                <c:pt idx="13">
                  <c:v>31.902738872356792</c:v>
                </c:pt>
              </c:numCache>
            </c:numRef>
          </c:xVal>
          <c:yVal>
            <c:numRef>
              <c:f>PlotM!$AR$7:$BE$7</c:f>
              <c:numCache>
                <c:formatCode>General</c:formatCode>
                <c:ptCount val="14"/>
                <c:pt idx="0">
                  <c:v>-29.797652395122746</c:v>
                </c:pt>
                <c:pt idx="1">
                  <c:v>-16.817887155610471</c:v>
                </c:pt>
                <c:pt idx="2">
                  <c:v>-3.8381219160981956</c:v>
                </c:pt>
                <c:pt idx="3">
                  <c:v>9.1416433234140779</c:v>
                </c:pt>
                <c:pt idx="4">
                  <c:v>22.121408562926351</c:v>
                </c:pt>
                <c:pt idx="5">
                  <c:v>35.101173802438623</c:v>
                </c:pt>
                <c:pt idx="6">
                  <c:v>48.080939041950899</c:v>
                </c:pt>
                <c:pt idx="7">
                  <c:v>61.060704281463174</c:v>
                </c:pt>
                <c:pt idx="8">
                  <c:v>74.040469520975449</c:v>
                </c:pt>
                <c:pt idx="9">
                  <c:v>87.020234760487725</c:v>
                </c:pt>
                <c:pt idx="10">
                  <c:v>100</c:v>
                </c:pt>
                <c:pt idx="11">
                  <c:v>100</c:v>
                </c:pt>
                <c:pt idx="12">
                  <c:v>-40</c:v>
                </c:pt>
                <c:pt idx="13">
                  <c:v>-29.797652395122746</c:v>
                </c:pt>
              </c:numCache>
            </c:numRef>
          </c:yVal>
          <c:smooth val="0"/>
          <c:extLst>
            <c:ext xmlns:c16="http://schemas.microsoft.com/office/drawing/2014/chart" uri="{C3380CC4-5D6E-409C-BE32-E72D297353CC}">
              <c16:uniqueId val="{0000000F-DB1A-42BE-94C8-4B98F16F9008}"/>
            </c:ext>
          </c:extLst>
        </c:ser>
        <c:ser>
          <c:idx val="5"/>
          <c:order val="6"/>
          <c:tx>
            <c:v>Moment6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1-DB1A-42BE-94C8-4B98F16F9008}"/>
              </c:ext>
            </c:extLst>
          </c:dPt>
          <c:xVal>
            <c:numRef>
              <c:f>PlotM!$AB$8:$AO$8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PlotM!$AR$8:$BE$8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2-DB1A-42BE-94C8-4B98F16F9008}"/>
            </c:ext>
          </c:extLst>
        </c:ser>
        <c:ser>
          <c:idx val="6"/>
          <c:order val="7"/>
          <c:tx>
            <c:v>Moment7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4-DB1A-42BE-94C8-4B98F16F9008}"/>
              </c:ext>
            </c:extLst>
          </c:dPt>
          <c:xVal>
            <c:numRef>
              <c:f>PlotM!$AB$9:$AO$9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PlotM!$AR$9:$BE$9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5-DB1A-42BE-94C8-4B98F16F9008}"/>
            </c:ext>
          </c:extLst>
        </c:ser>
        <c:ser>
          <c:idx val="7"/>
          <c:order val="8"/>
          <c:tx>
            <c:v>Moment8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7-DB1A-42BE-94C8-4B98F16F9008}"/>
              </c:ext>
            </c:extLst>
          </c:dPt>
          <c:xVal>
            <c:numRef>
              <c:f>PlotM!$AB$10:$AO$10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PlotM!$AR$10:$BE$10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8-DB1A-42BE-94C8-4B98F16F9008}"/>
            </c:ext>
          </c:extLst>
        </c:ser>
        <c:ser>
          <c:idx val="8"/>
          <c:order val="9"/>
          <c:tx>
            <c:v>Moment9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A-DB1A-42BE-94C8-4B98F16F9008}"/>
              </c:ext>
            </c:extLst>
          </c:dPt>
          <c:xVal>
            <c:numRef>
              <c:f>PlotM!$AB$11:$AO$11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PlotM!$AR$11:$BE$11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B-DB1A-42BE-94C8-4B98F16F9008}"/>
            </c:ext>
          </c:extLst>
        </c:ser>
        <c:ser>
          <c:idx val="9"/>
          <c:order val="10"/>
          <c:tx>
            <c:v>Moment10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D-DB1A-42BE-94C8-4B98F16F9008}"/>
              </c:ext>
            </c:extLst>
          </c:dPt>
          <c:xVal>
            <c:numRef>
              <c:f>PlotM!$AB$12:$AO$12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PlotM!$AR$12:$BE$12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E-DB1A-42BE-94C8-4B98F16F9008}"/>
            </c:ext>
          </c:extLst>
        </c:ser>
        <c:ser>
          <c:idx val="10"/>
          <c:order val="11"/>
          <c:tx>
            <c:v>Moment11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0-DB1A-42BE-94C8-4B98F16F9008}"/>
              </c:ext>
            </c:extLst>
          </c:dPt>
          <c:xVal>
            <c:numRef>
              <c:f>PlotM!$AB$13:$AO$13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PlotM!$AR$13:$BE$13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1-DB1A-42BE-94C8-4B98F16F9008}"/>
            </c:ext>
          </c:extLst>
        </c:ser>
        <c:ser>
          <c:idx val="11"/>
          <c:order val="12"/>
          <c:tx>
            <c:v>Moment12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3-DB1A-42BE-94C8-4B98F16F9008}"/>
              </c:ext>
            </c:extLst>
          </c:dPt>
          <c:xVal>
            <c:numRef>
              <c:f>PlotM!$AB$14:$AO$14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PlotM!$AR$14:$BE$14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4-DB1A-42BE-94C8-4B98F16F9008}"/>
            </c:ext>
          </c:extLst>
        </c:ser>
        <c:ser>
          <c:idx val="12"/>
          <c:order val="13"/>
          <c:tx>
            <c:v>Moment13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6-DB1A-42BE-94C8-4B98F16F9008}"/>
              </c:ext>
            </c:extLst>
          </c:dPt>
          <c:xVal>
            <c:numRef>
              <c:f>PlotM!$AB$15:$AO$15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PlotM!$AR$15:$BE$15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7-DB1A-42BE-94C8-4B98F16F9008}"/>
            </c:ext>
          </c:extLst>
        </c:ser>
        <c:ser>
          <c:idx val="13"/>
          <c:order val="14"/>
          <c:tx>
            <c:v>Moment14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9-DB1A-42BE-94C8-4B98F16F9008}"/>
              </c:ext>
            </c:extLst>
          </c:dPt>
          <c:xVal>
            <c:numRef>
              <c:f>PlotM!$AB$16:$AO$16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PlotM!$AR$16:$BE$16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A-DB1A-42BE-94C8-4B98F16F9008}"/>
            </c:ext>
          </c:extLst>
        </c:ser>
        <c:ser>
          <c:idx val="14"/>
          <c:order val="15"/>
          <c:tx>
            <c:v>Moment15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C-DB1A-42BE-94C8-4B98F16F9008}"/>
              </c:ext>
            </c:extLst>
          </c:dPt>
          <c:xVal>
            <c:numRef>
              <c:f>PlotM!$AB$17:$AO$17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PlotM!$AR$17:$BE$17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D-DB1A-42BE-94C8-4B98F16F9008}"/>
            </c:ext>
          </c:extLst>
        </c:ser>
        <c:ser>
          <c:idx val="15"/>
          <c:order val="16"/>
          <c:tx>
            <c:v>Moment16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F-DB1A-42BE-94C8-4B98F16F9008}"/>
              </c:ext>
            </c:extLst>
          </c:dPt>
          <c:xVal>
            <c:numRef>
              <c:f>PlotM!$AB$18:$AO$18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PlotM!$AR$18:$BE$18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0-DB1A-42BE-94C8-4B98F16F9008}"/>
            </c:ext>
          </c:extLst>
        </c:ser>
        <c:ser>
          <c:idx val="16"/>
          <c:order val="17"/>
          <c:tx>
            <c:v>Moment17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2-DB1A-42BE-94C8-4B98F16F9008}"/>
              </c:ext>
            </c:extLst>
          </c:dPt>
          <c:xVal>
            <c:numRef>
              <c:f>PlotM!$AB$19:$AO$19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PlotM!$AR$19:$BE$19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3-DB1A-42BE-94C8-4B98F16F9008}"/>
            </c:ext>
          </c:extLst>
        </c:ser>
        <c:ser>
          <c:idx val="17"/>
          <c:order val="18"/>
          <c:tx>
            <c:v>Moment18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5-DB1A-42BE-94C8-4B98F16F9008}"/>
              </c:ext>
            </c:extLst>
          </c:dPt>
          <c:xVal>
            <c:numRef>
              <c:f>PlotM!$AB$20:$AO$20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PlotM!$AR$20:$BE$20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6-DB1A-42BE-94C8-4B98F16F9008}"/>
            </c:ext>
          </c:extLst>
        </c:ser>
        <c:ser>
          <c:idx val="18"/>
          <c:order val="19"/>
          <c:tx>
            <c:v>Moment19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8-DB1A-42BE-94C8-4B98F16F9008}"/>
              </c:ext>
            </c:extLst>
          </c:dPt>
          <c:xVal>
            <c:numRef>
              <c:f>PlotM!$AB$21:$AO$21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PlotM!$AR$21:$BE$21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9-DB1A-42BE-94C8-4B98F16F9008}"/>
            </c:ext>
          </c:extLst>
        </c:ser>
        <c:ser>
          <c:idx val="19"/>
          <c:order val="20"/>
          <c:tx>
            <c:v>Moment20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B-DB1A-42BE-94C8-4B98F16F9008}"/>
              </c:ext>
            </c:extLst>
          </c:dPt>
          <c:xVal>
            <c:numRef>
              <c:f>PlotM!$AB$22:$AO$22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PlotM!$AR$22:$BE$22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C-DB1A-42BE-94C8-4B98F16F9008}"/>
            </c:ext>
          </c:extLst>
        </c:ser>
        <c:ser>
          <c:idx val="21"/>
          <c:order val="21"/>
          <c:tx>
            <c:v>Moment21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E-DB1A-42BE-94C8-4B98F16F9008}"/>
              </c:ext>
            </c:extLst>
          </c:dPt>
          <c:xVal>
            <c:numRef>
              <c:f>PlotM!$AB$23:$AO$23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PlotM!$AR$23:$BE$23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F-DB1A-42BE-94C8-4B98F16F9008}"/>
            </c:ext>
          </c:extLst>
        </c:ser>
        <c:ser>
          <c:idx val="22"/>
          <c:order val="22"/>
          <c:tx>
            <c:v>Moment22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1-DB1A-42BE-94C8-4B98F16F9008}"/>
              </c:ext>
            </c:extLst>
          </c:dPt>
          <c:xVal>
            <c:numRef>
              <c:f>PlotM!$AB$24:$AO$24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PlotM!$AR$24:$BE$24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2-DB1A-42BE-94C8-4B98F16F9008}"/>
            </c:ext>
          </c:extLst>
        </c:ser>
        <c:ser>
          <c:idx val="23"/>
          <c:order val="23"/>
          <c:tx>
            <c:v>Moment23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4-DB1A-42BE-94C8-4B98F16F9008}"/>
              </c:ext>
            </c:extLst>
          </c:dPt>
          <c:xVal>
            <c:numRef>
              <c:f>PlotM!$AB$25:$AO$25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PlotM!$AR$25:$BE$25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5-DB1A-42BE-94C8-4B98F16F9008}"/>
            </c:ext>
          </c:extLst>
        </c:ser>
        <c:ser>
          <c:idx val="24"/>
          <c:order val="24"/>
          <c:tx>
            <c:v>Moment24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7-DB1A-42BE-94C8-4B98F16F9008}"/>
              </c:ext>
            </c:extLst>
          </c:dPt>
          <c:xVal>
            <c:numRef>
              <c:f>PlotM!$AB$26:$AO$26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PlotM!$AR$26:$BE$26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8-DB1A-42BE-94C8-4B98F16F9008}"/>
            </c:ext>
          </c:extLst>
        </c:ser>
        <c:ser>
          <c:idx val="25"/>
          <c:order val="25"/>
          <c:tx>
            <c:v>Moment25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A-DB1A-42BE-94C8-4B98F16F9008}"/>
              </c:ext>
            </c:extLst>
          </c:dPt>
          <c:xVal>
            <c:numRef>
              <c:f>PlotM!$AB$27:$AO$27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PlotM!$AR$27:$BE$27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B-DB1A-42BE-94C8-4B98F16F9008}"/>
            </c:ext>
          </c:extLst>
        </c:ser>
        <c:ser>
          <c:idx val="26"/>
          <c:order val="26"/>
          <c:tx>
            <c:v>Moment26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D-DB1A-42BE-94C8-4B98F16F9008}"/>
              </c:ext>
            </c:extLst>
          </c:dPt>
          <c:xVal>
            <c:numRef>
              <c:f>PlotM!$AB$28:$AO$28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PlotM!$AR$28:$BE$28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E-DB1A-42BE-94C8-4B98F16F9008}"/>
            </c:ext>
          </c:extLst>
        </c:ser>
        <c:ser>
          <c:idx val="27"/>
          <c:order val="27"/>
          <c:tx>
            <c:v>Moment27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0-DB1A-42BE-94C8-4B98F16F9008}"/>
              </c:ext>
            </c:extLst>
          </c:dPt>
          <c:xVal>
            <c:numRef>
              <c:f>PlotM!$AB$29:$AO$29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PlotM!$AR$29:$BE$29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1-DB1A-42BE-94C8-4B98F16F9008}"/>
            </c:ext>
          </c:extLst>
        </c:ser>
        <c:ser>
          <c:idx val="28"/>
          <c:order val="28"/>
          <c:tx>
            <c:v>Moment28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3-DB1A-42BE-94C8-4B98F16F9008}"/>
              </c:ext>
            </c:extLst>
          </c:dPt>
          <c:xVal>
            <c:numRef>
              <c:f>PlotM!$AB$30:$AO$30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PlotM!$AR$30:$BE$30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4-DB1A-42BE-94C8-4B98F16F9008}"/>
            </c:ext>
          </c:extLst>
        </c:ser>
        <c:ser>
          <c:idx val="29"/>
          <c:order val="29"/>
          <c:tx>
            <c:v>Moment29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6-DB1A-42BE-94C8-4B98F16F9008}"/>
              </c:ext>
            </c:extLst>
          </c:dPt>
          <c:xVal>
            <c:numRef>
              <c:f>PlotM!$AB$31:$AO$31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PlotM!$AR$31:$BE$31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7-DB1A-42BE-94C8-4B98F16F9008}"/>
            </c:ext>
          </c:extLst>
        </c:ser>
        <c:ser>
          <c:idx val="30"/>
          <c:order val="30"/>
          <c:tx>
            <c:v>Moment30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9-DB1A-42BE-94C8-4B98F16F9008}"/>
              </c:ext>
            </c:extLst>
          </c:dPt>
          <c:xVal>
            <c:numRef>
              <c:f>PlotM!$AB$32:$AO$32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PlotM!$AR$32:$BE$32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A-DB1A-42BE-94C8-4B98F16F9008}"/>
            </c:ext>
          </c:extLst>
        </c:ser>
        <c:ser>
          <c:idx val="31"/>
          <c:order val="31"/>
          <c:tx>
            <c:v>Moment31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C-DB1A-42BE-94C8-4B98F16F9008}"/>
              </c:ext>
            </c:extLst>
          </c:dPt>
          <c:xVal>
            <c:numRef>
              <c:f>PlotM!$AB$33:$AO$33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PlotM!$AR$33:$BE$33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D-DB1A-42BE-94C8-4B98F16F9008}"/>
            </c:ext>
          </c:extLst>
        </c:ser>
        <c:ser>
          <c:idx val="32"/>
          <c:order val="32"/>
          <c:tx>
            <c:v>Moment32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F-DB1A-42BE-94C8-4B98F16F9008}"/>
              </c:ext>
            </c:extLst>
          </c:dPt>
          <c:xVal>
            <c:numRef>
              <c:f>PlotM!$AB$34:$AO$34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PlotM!$AR$34:$BE$34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0-DB1A-42BE-94C8-4B98F16F9008}"/>
            </c:ext>
          </c:extLst>
        </c:ser>
        <c:ser>
          <c:idx val="33"/>
          <c:order val="33"/>
          <c:tx>
            <c:v>Moment33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2-DB1A-42BE-94C8-4B98F16F9008}"/>
              </c:ext>
            </c:extLst>
          </c:dPt>
          <c:xVal>
            <c:numRef>
              <c:f>PlotM!$AB$35:$AO$35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PlotM!$AR$35:$BE$35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3-DB1A-42BE-94C8-4B98F16F9008}"/>
            </c:ext>
          </c:extLst>
        </c:ser>
        <c:ser>
          <c:idx val="34"/>
          <c:order val="34"/>
          <c:tx>
            <c:v>Moment34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5-DB1A-42BE-94C8-4B98F16F9008}"/>
              </c:ext>
            </c:extLst>
          </c:dPt>
          <c:xVal>
            <c:numRef>
              <c:f>PlotM!$AB$36:$AO$36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PlotM!$AR$36:$BE$36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6-DB1A-42BE-94C8-4B98F16F9008}"/>
            </c:ext>
          </c:extLst>
        </c:ser>
        <c:ser>
          <c:idx val="35"/>
          <c:order val="35"/>
          <c:tx>
            <c:v>Moment35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8-DB1A-42BE-94C8-4B98F16F9008}"/>
              </c:ext>
            </c:extLst>
          </c:dPt>
          <c:xVal>
            <c:numRef>
              <c:f>PlotM!$AB$37:$AO$37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PlotM!$AR$37:$BE$37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9-DB1A-42BE-94C8-4B98F16F9008}"/>
            </c:ext>
          </c:extLst>
        </c:ser>
        <c:ser>
          <c:idx val="36"/>
          <c:order val="36"/>
          <c:tx>
            <c:v>Moment36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B-DB1A-42BE-94C8-4B98F16F9008}"/>
              </c:ext>
            </c:extLst>
          </c:dPt>
          <c:xVal>
            <c:numRef>
              <c:f>PlotM!$AB$38:$AO$38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PlotM!$AR$38:$BE$38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C-DB1A-42BE-94C8-4B98F16F9008}"/>
            </c:ext>
          </c:extLst>
        </c:ser>
        <c:ser>
          <c:idx val="37"/>
          <c:order val="37"/>
          <c:tx>
            <c:v>Moment37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E-DB1A-42BE-94C8-4B98F16F9008}"/>
              </c:ext>
            </c:extLst>
          </c:dPt>
          <c:xVal>
            <c:numRef>
              <c:f>PlotM!$AB$39:$AO$39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PlotM!$AR$39:$BE$39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F-DB1A-42BE-94C8-4B98F16F9008}"/>
            </c:ext>
          </c:extLst>
        </c:ser>
        <c:ser>
          <c:idx val="38"/>
          <c:order val="38"/>
          <c:tx>
            <c:v>Moment38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1-DB1A-42BE-94C8-4B98F16F9008}"/>
              </c:ext>
            </c:extLst>
          </c:dPt>
          <c:xVal>
            <c:numRef>
              <c:f>PlotM!$AB$40:$AO$40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PlotM!$AR$40:$BE$40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2-DB1A-42BE-94C8-4B98F16F9008}"/>
            </c:ext>
          </c:extLst>
        </c:ser>
        <c:ser>
          <c:idx val="39"/>
          <c:order val="39"/>
          <c:tx>
            <c:v>Moment39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4-DB1A-42BE-94C8-4B98F16F9008}"/>
              </c:ext>
            </c:extLst>
          </c:dPt>
          <c:xVal>
            <c:numRef>
              <c:f>PlotM!$AB$41:$AO$41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PlotM!$AR$41:$BE$41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5-DB1A-42BE-94C8-4B98F16F9008}"/>
            </c:ext>
          </c:extLst>
        </c:ser>
        <c:ser>
          <c:idx val="40"/>
          <c:order val="40"/>
          <c:tx>
            <c:v>Moment40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7-DB1A-42BE-94C8-4B98F16F9008}"/>
              </c:ext>
            </c:extLst>
          </c:dPt>
          <c:xVal>
            <c:numRef>
              <c:f>PlotM!$AB$42:$AO$42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PlotM!$AR$42:$BE$42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8-DB1A-42BE-94C8-4B98F16F9008}"/>
            </c:ext>
          </c:extLst>
        </c:ser>
        <c:dLbls>
          <c:showLegendKey val="0"/>
          <c:showVal val="0"/>
          <c:showCatName val="0"/>
          <c:showSerName val="0"/>
          <c:showPercent val="0"/>
          <c:showBubbleSize val="0"/>
        </c:dLbls>
        <c:axId val="519123984"/>
        <c:axId val="519125160"/>
        <c:extLst/>
      </c:scatterChart>
      <c:valAx>
        <c:axId val="519123984"/>
        <c:scaling>
          <c:orientation val="minMax"/>
        </c:scaling>
        <c:delete val="1"/>
        <c:axPos val="b"/>
        <c:numFmt formatCode="General" sourceLinked="1"/>
        <c:majorTickMark val="out"/>
        <c:minorTickMark val="none"/>
        <c:tickLblPos val="none"/>
        <c:crossAx val="519125160"/>
        <c:crosses val="max"/>
        <c:crossBetween val="midCat"/>
        <c:majorUnit val="1.0000000000000005E-2"/>
      </c:valAx>
      <c:valAx>
        <c:axId val="519125160"/>
        <c:scaling>
          <c:orientation val="maxMin"/>
        </c:scaling>
        <c:delete val="1"/>
        <c:axPos val="r"/>
        <c:numFmt formatCode="General" sourceLinked="1"/>
        <c:majorTickMark val="out"/>
        <c:minorTickMark val="none"/>
        <c:tickLblPos val="none"/>
        <c:crossAx val="519123984"/>
        <c:crosses val="max"/>
        <c:crossBetween val="midCat"/>
        <c:majorUnit val="1.0000000000000005E-2"/>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DE"/>
    </a:p>
  </c:txPr>
  <c:printSettings>
    <c:headerFooter alignWithMargins="0"/>
    <c:pageMargins b="0.98425196899999956" l="0.78740157499999996" r="0.78740157499999996" t="0.98425196899999956" header="0.49212598450000195" footer="0.4921259845000019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1619545743048357E-2"/>
          <c:y val="1.6559842004507233E-2"/>
          <c:w val="0.96893385484688699"/>
          <c:h val="0.97012777235202463"/>
        </c:manualLayout>
      </c:layout>
      <c:scatterChart>
        <c:scatterStyle val="lineMarker"/>
        <c:varyColors val="0"/>
        <c:ser>
          <c:idx val="20"/>
          <c:order val="0"/>
          <c:tx>
            <c:v>BoundingBox21</c:v>
          </c:tx>
          <c:spPr>
            <a:ln w="12700">
              <a:solidFill>
                <a:srgbClr val="C0C0C0"/>
              </a:solidFill>
              <a:prstDash val="solid"/>
            </a:ln>
          </c:spPr>
          <c:marker>
            <c:symbol val="none"/>
          </c:marker>
          <c:xVal>
            <c:numRef>
              <c:f>PlotU!$BH$6:$BH$9</c:f>
              <c:numCache>
                <c:formatCode>General</c:formatCode>
                <c:ptCount val="4"/>
                <c:pt idx="0">
                  <c:v>-142.7025940230013</c:v>
                </c:pt>
                <c:pt idx="1">
                  <c:v>146.93914328573672</c:v>
                </c:pt>
                <c:pt idx="2">
                  <c:v>146.93914328573672</c:v>
                </c:pt>
                <c:pt idx="3">
                  <c:v>-142.7025940230013</c:v>
                </c:pt>
              </c:numCache>
            </c:numRef>
          </c:xVal>
          <c:yVal>
            <c:numRef>
              <c:f>PlotU!$BI$6:$BI$9</c:f>
              <c:numCache>
                <c:formatCode>General</c:formatCode>
                <c:ptCount val="4"/>
                <c:pt idx="0">
                  <c:v>144.8303091443961</c:v>
                </c:pt>
                <c:pt idx="1">
                  <c:v>144.8303091443961</c:v>
                </c:pt>
                <c:pt idx="2">
                  <c:v>-144.81142816434192</c:v>
                </c:pt>
                <c:pt idx="3">
                  <c:v>-144.81142816434192</c:v>
                </c:pt>
              </c:numCache>
            </c:numRef>
          </c:yVal>
          <c:smooth val="0"/>
          <c:extLst>
            <c:ext xmlns:c16="http://schemas.microsoft.com/office/drawing/2014/chart" uri="{C3380CC4-5D6E-409C-BE32-E72D297353CC}">
              <c16:uniqueId val="{00000000-5CC6-4B77-B85D-B3B8CB03BF0B}"/>
            </c:ext>
          </c:extLst>
        </c:ser>
        <c:ser>
          <c:idx val="0"/>
          <c:order val="1"/>
          <c:tx>
            <c:v>Querverschiebung1</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02-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4-5CC6-4B77-B85D-B3B8CB03BF0B}"/>
              </c:ext>
            </c:extLst>
          </c:dPt>
          <c:dPt>
            <c:idx val="13"/>
            <c:bubble3D val="0"/>
            <c:spPr>
              <a:ln w="12700">
                <a:noFill/>
                <a:prstDash val="solid"/>
              </a:ln>
            </c:spPr>
            <c:extLst>
              <c:ext xmlns:c16="http://schemas.microsoft.com/office/drawing/2014/chart" uri="{C3380CC4-5D6E-409C-BE32-E72D297353CC}">
                <c16:uniqueId val="{00000006-5CC6-4B77-B85D-B3B8CB03BF0B}"/>
              </c:ext>
            </c:extLst>
          </c:dPt>
          <c:xVal>
            <c:numRef>
              <c:f>PlotU!$AB$3:$AO$3</c:f>
              <c:numCache>
                <c:formatCode>General</c:formatCode>
                <c:ptCount val="14"/>
                <c:pt idx="0">
                  <c:v>28.983782037947861</c:v>
                </c:pt>
                <c:pt idx="1">
                  <c:v>52.083872352032301</c:v>
                </c:pt>
                <c:pt idx="2">
                  <c:v>70.131814713102244</c:v>
                </c:pt>
                <c:pt idx="3">
                  <c:v>83.688958893714869</c:v>
                </c:pt>
                <c:pt idx="4">
                  <c:v>93.316654666427326</c:v>
                </c:pt>
                <c:pt idx="5">
                  <c:v>99.576251803796794</c:v>
                </c:pt>
                <c:pt idx="6">
                  <c:v>103.02910007838044</c:v>
                </c:pt>
                <c:pt idx="7">
                  <c:v>104.23654926273541</c:v>
                </c:pt>
                <c:pt idx="8">
                  <c:v>103.75994912941889</c:v>
                </c:pt>
                <c:pt idx="9">
                  <c:v>102.16064945098803</c:v>
                </c:pt>
                <c:pt idx="10">
                  <c:v>100.00000000000001</c:v>
                </c:pt>
                <c:pt idx="11">
                  <c:v>100</c:v>
                </c:pt>
                <c:pt idx="12">
                  <c:v>20</c:v>
                </c:pt>
                <c:pt idx="13">
                  <c:v>28.983782037947861</c:v>
                </c:pt>
              </c:numCache>
            </c:numRef>
          </c:xVal>
          <c:yVal>
            <c:numRef>
              <c:f>PlotU!$AR$3:$BE$3</c:f>
              <c:numCache>
                <c:formatCode>General</c:formatCode>
                <c:ptCount val="14"/>
                <c:pt idx="0">
                  <c:v>-55.124043454351153</c:v>
                </c:pt>
                <c:pt idx="1">
                  <c:v>-68.942930466088342</c:v>
                </c:pt>
                <c:pt idx="2">
                  <c:v>-76.025620207139525</c:v>
                </c:pt>
                <c:pt idx="3">
                  <c:v>-77.120579040914294</c:v>
                </c:pt>
                <c:pt idx="4">
                  <c:v>-72.976273330822167</c:v>
                </c:pt>
                <c:pt idx="5">
                  <c:v>-64.341169440272722</c:v>
                </c:pt>
                <c:pt idx="6">
                  <c:v>-51.963733732675514</c:v>
                </c:pt>
                <c:pt idx="7">
                  <c:v>-36.592432571440078</c:v>
                </c:pt>
                <c:pt idx="8">
                  <c:v>-18.975732319975982</c:v>
                </c:pt>
                <c:pt idx="9">
                  <c:v>0.13790065830722575</c:v>
                </c:pt>
                <c:pt idx="10">
                  <c:v>19.999999999999986</c:v>
                </c:pt>
                <c:pt idx="11">
                  <c:v>20</c:v>
                </c:pt>
                <c:pt idx="12">
                  <c:v>-40</c:v>
                </c:pt>
                <c:pt idx="13">
                  <c:v>-55.124043454351153</c:v>
                </c:pt>
              </c:numCache>
            </c:numRef>
          </c:yVal>
          <c:smooth val="0"/>
          <c:extLst>
            <c:ext xmlns:c16="http://schemas.microsoft.com/office/drawing/2014/chart" uri="{C3380CC4-5D6E-409C-BE32-E72D297353CC}">
              <c16:uniqueId val="{00000007-5CC6-4B77-B85D-B3B8CB03BF0B}"/>
            </c:ext>
          </c:extLst>
        </c:ser>
        <c:ser>
          <c:idx val="1"/>
          <c:order val="2"/>
          <c:tx>
            <c:v>Querverschiebung2</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09-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B-5CC6-4B77-B85D-B3B8CB03BF0B}"/>
              </c:ext>
            </c:extLst>
          </c:dPt>
          <c:dPt>
            <c:idx val="13"/>
            <c:bubble3D val="0"/>
            <c:spPr>
              <a:ln w="12700">
                <a:noFill/>
                <a:prstDash val="solid"/>
              </a:ln>
            </c:spPr>
            <c:extLst>
              <c:ext xmlns:c16="http://schemas.microsoft.com/office/drawing/2014/chart" uri="{C3380CC4-5D6E-409C-BE32-E72D297353CC}">
                <c16:uniqueId val="{0000000D-5CC6-4B77-B85D-B3B8CB03BF0B}"/>
              </c:ext>
            </c:extLst>
          </c:dPt>
          <c:xVal>
            <c:numRef>
              <c:f>PlotU!$AB$4:$AO$4</c:f>
              <c:numCache>
                <c:formatCode>General</c:formatCode>
                <c:ptCount val="14"/>
                <c:pt idx="0">
                  <c:v>28.983782037947861</c:v>
                </c:pt>
                <c:pt idx="1">
                  <c:v>43.95477416178224</c:v>
                </c:pt>
                <c:pt idx="2">
                  <c:v>53.914386182154765</c:v>
                </c:pt>
                <c:pt idx="3">
                  <c:v>59.419438110561224</c:v>
                </c:pt>
                <c:pt idx="4">
                  <c:v>61.026749958497348</c:v>
                </c:pt>
                <c:pt idx="5">
                  <c:v>59.293141737458932</c:v>
                </c:pt>
                <c:pt idx="6">
                  <c:v>54.775433458941706</c:v>
                </c:pt>
                <c:pt idx="7">
                  <c:v>48.030445134441436</c:v>
                </c:pt>
                <c:pt idx="8">
                  <c:v>39.614996775453903</c:v>
                </c:pt>
                <c:pt idx="9">
                  <c:v>30.085908393474838</c:v>
                </c:pt>
                <c:pt idx="10">
                  <c:v>20.000000000000011</c:v>
                </c:pt>
                <c:pt idx="11">
                  <c:v>20</c:v>
                </c:pt>
                <c:pt idx="12">
                  <c:v>20</c:v>
                </c:pt>
                <c:pt idx="13">
                  <c:v>28.983782037947861</c:v>
                </c:pt>
              </c:numCache>
            </c:numRef>
          </c:xVal>
          <c:yVal>
            <c:numRef>
              <c:f>PlotU!$AR$4:$BE$4</c:f>
              <c:numCache>
                <c:formatCode>General</c:formatCode>
                <c:ptCount val="14"/>
                <c:pt idx="0">
                  <c:v>-55.124043454351153</c:v>
                </c:pt>
                <c:pt idx="1">
                  <c:v>-47.611639108916037</c:v>
                </c:pt>
                <c:pt idx="2">
                  <c:v>-40.099234763480922</c:v>
                </c:pt>
                <c:pt idx="3">
                  <c:v>-32.586830418045807</c:v>
                </c:pt>
                <c:pt idx="4">
                  <c:v>-25.074426072610692</c:v>
                </c:pt>
                <c:pt idx="5">
                  <c:v>-17.562021727175576</c:v>
                </c:pt>
                <c:pt idx="6">
                  <c:v>-10.049617381740461</c:v>
                </c:pt>
                <c:pt idx="7">
                  <c:v>-2.5372130363053458</c:v>
                </c:pt>
                <c:pt idx="8">
                  <c:v>4.9751913091297677</c:v>
                </c:pt>
                <c:pt idx="9">
                  <c:v>12.487595654564883</c:v>
                </c:pt>
                <c:pt idx="10">
                  <c:v>20</c:v>
                </c:pt>
                <c:pt idx="11">
                  <c:v>20</c:v>
                </c:pt>
                <c:pt idx="12">
                  <c:v>-40</c:v>
                </c:pt>
                <c:pt idx="13">
                  <c:v>-55.124043454351153</c:v>
                </c:pt>
              </c:numCache>
            </c:numRef>
          </c:yVal>
          <c:smooth val="0"/>
          <c:extLst>
            <c:ext xmlns:c16="http://schemas.microsoft.com/office/drawing/2014/chart" uri="{C3380CC4-5D6E-409C-BE32-E72D297353CC}">
              <c16:uniqueId val="{0000000E-5CC6-4B77-B85D-B3B8CB03BF0B}"/>
            </c:ext>
          </c:extLst>
        </c:ser>
        <c:ser>
          <c:idx val="2"/>
          <c:order val="3"/>
          <c:tx>
            <c:v>Querverschiebung3</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10-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2-5CC6-4B77-B85D-B3B8CB03BF0B}"/>
              </c:ext>
            </c:extLst>
          </c:dPt>
          <c:dPt>
            <c:idx val="13"/>
            <c:bubble3D val="0"/>
            <c:spPr>
              <a:ln w="12700">
                <a:noFill/>
                <a:prstDash val="solid"/>
              </a:ln>
            </c:spPr>
            <c:extLst>
              <c:ext xmlns:c16="http://schemas.microsoft.com/office/drawing/2014/chart" uri="{C3380CC4-5D6E-409C-BE32-E72D297353CC}">
                <c16:uniqueId val="{00000014-5CC6-4B77-B85D-B3B8CB03BF0B}"/>
              </c:ext>
            </c:extLst>
          </c:dPt>
          <c:xVal>
            <c:numRef>
              <c:f>PlotU!$AB$5:$AO$5</c:f>
              <c:numCache>
                <c:formatCode>General</c:formatCode>
                <c:ptCount val="14"/>
                <c:pt idx="0">
                  <c:v>28.983782037947861</c:v>
                </c:pt>
                <c:pt idx="1">
                  <c:v>16.919099638931435</c:v>
                </c:pt>
                <c:pt idx="2">
                  <c:v>9.6437764594586923</c:v>
                </c:pt>
                <c:pt idx="3">
                  <c:v>6.625661475135864</c:v>
                </c:pt>
                <c:pt idx="4">
                  <c:v>7.3326036615692587</c:v>
                </c:pt>
                <c:pt idx="5">
                  <c:v>11.232451994365071</c:v>
                </c:pt>
                <c:pt idx="6">
                  <c:v>17.793055449129611</c:v>
                </c:pt>
                <c:pt idx="7">
                  <c:v>26.482263001469107</c:v>
                </c:pt>
                <c:pt idx="8">
                  <c:v>36.767923626989834</c:v>
                </c:pt>
                <c:pt idx="9">
                  <c:v>48.117886301298043</c:v>
                </c:pt>
                <c:pt idx="10">
                  <c:v>59.999999999999993</c:v>
                </c:pt>
                <c:pt idx="11">
                  <c:v>60</c:v>
                </c:pt>
                <c:pt idx="12">
                  <c:v>20</c:v>
                </c:pt>
                <c:pt idx="13">
                  <c:v>28.983782037947861</c:v>
                </c:pt>
              </c:numCache>
            </c:numRef>
          </c:xVal>
          <c:yVal>
            <c:numRef>
              <c:f>PlotU!$AR$5:$BE$5</c:f>
              <c:numCache>
                <c:formatCode>General</c:formatCode>
                <c:ptCount val="14"/>
                <c:pt idx="0">
                  <c:v>-55.124043454351153</c:v>
                </c:pt>
                <c:pt idx="1">
                  <c:v>-69.722508572397132</c:v>
                </c:pt>
                <c:pt idx="2">
                  <c:v>-81.128067544080665</c:v>
                </c:pt>
                <c:pt idx="3">
                  <c:v>-89.695487718997569</c:v>
                </c:pt>
                <c:pt idx="4">
                  <c:v>-95.779536446743663</c:v>
                </c:pt>
                <c:pt idx="5">
                  <c:v>-99.734981076914821</c:v>
                </c:pt>
                <c:pt idx="6">
                  <c:v>-101.91658895910682</c:v>
                </c:pt>
                <c:pt idx="7">
                  <c:v>-102.67912744291552</c:v>
                </c:pt>
                <c:pt idx="8">
                  <c:v>-102.37736387793673</c:v>
                </c:pt>
                <c:pt idx="9">
                  <c:v>-101.36606561376628</c:v>
                </c:pt>
                <c:pt idx="10">
                  <c:v>-100.00000000000001</c:v>
                </c:pt>
                <c:pt idx="11">
                  <c:v>-100</c:v>
                </c:pt>
                <c:pt idx="12">
                  <c:v>-40</c:v>
                </c:pt>
                <c:pt idx="13">
                  <c:v>-55.124043454351153</c:v>
                </c:pt>
              </c:numCache>
            </c:numRef>
          </c:yVal>
          <c:smooth val="0"/>
          <c:extLst>
            <c:ext xmlns:c16="http://schemas.microsoft.com/office/drawing/2014/chart" uri="{C3380CC4-5D6E-409C-BE32-E72D297353CC}">
              <c16:uniqueId val="{00000015-5CC6-4B77-B85D-B3B8CB03BF0B}"/>
            </c:ext>
          </c:extLst>
        </c:ser>
        <c:ser>
          <c:idx val="3"/>
          <c:order val="4"/>
          <c:tx>
            <c:v>Querverschiebung4</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17-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9-5CC6-4B77-B85D-B3B8CB03BF0B}"/>
              </c:ext>
            </c:extLst>
          </c:dPt>
          <c:dPt>
            <c:idx val="13"/>
            <c:bubble3D val="0"/>
            <c:spPr>
              <a:ln w="12700">
                <a:noFill/>
                <a:prstDash val="solid"/>
              </a:ln>
            </c:spPr>
            <c:extLst>
              <c:ext xmlns:c16="http://schemas.microsoft.com/office/drawing/2014/chart" uri="{C3380CC4-5D6E-409C-BE32-E72D297353CC}">
                <c16:uniqueId val="{0000001B-5CC6-4B77-B85D-B3B8CB03BF0B}"/>
              </c:ext>
            </c:extLst>
          </c:dPt>
          <c:xVal>
            <c:numRef>
              <c:f>PlotU!$AB$6:$AO$6</c:f>
              <c:numCache>
                <c:formatCode>General</c:formatCode>
                <c:ptCount val="14"/>
                <c:pt idx="0">
                  <c:v>28.983782037947861</c:v>
                </c:pt>
                <c:pt idx="1">
                  <c:v>14.12215880591746</c:v>
                </c:pt>
                <c:pt idx="2">
                  <c:v>1.4594550564877817</c:v>
                </c:pt>
                <c:pt idx="3">
                  <c:v>-9.2486535972968174</c:v>
                </c:pt>
                <c:pt idx="4">
                  <c:v>-18.246491542391958</c:v>
                </c:pt>
                <c:pt idx="5">
                  <c:v>-25.778383165753294</c:v>
                </c:pt>
                <c:pt idx="6">
                  <c:v>-32.088652854336445</c:v>
                </c:pt>
                <c:pt idx="7">
                  <c:v>-37.421624995097062</c:v>
                </c:pt>
                <c:pt idx="8">
                  <c:v>-42.021623974990767</c:v>
                </c:pt>
                <c:pt idx="9">
                  <c:v>-46.1329741809732</c:v>
                </c:pt>
                <c:pt idx="10">
                  <c:v>-50</c:v>
                </c:pt>
                <c:pt idx="11">
                  <c:v>-50</c:v>
                </c:pt>
                <c:pt idx="12">
                  <c:v>20</c:v>
                </c:pt>
                <c:pt idx="13">
                  <c:v>28.983782037947861</c:v>
                </c:pt>
              </c:numCache>
            </c:numRef>
          </c:xVal>
          <c:yVal>
            <c:numRef>
              <c:f>PlotU!$AR$6:$BE$6</c:f>
              <c:numCache>
                <c:formatCode>General</c:formatCode>
                <c:ptCount val="14"/>
                <c:pt idx="0">
                  <c:v>-55.124043454351145</c:v>
                </c:pt>
                <c:pt idx="1">
                  <c:v>-40.364067376366272</c:v>
                </c:pt>
                <c:pt idx="2">
                  <c:v>-30.73490342444974</c:v>
                </c:pt>
                <c:pt idx="3">
                  <c:v>-25.666461362371724</c:v>
                </c:pt>
                <c:pt idx="4">
                  <c:v>-24.588650953902455</c:v>
                </c:pt>
                <c:pt idx="5">
                  <c:v>-26.931381962812058</c:v>
                </c:pt>
                <c:pt idx="6">
                  <c:v>-32.124564152870747</c:v>
                </c:pt>
                <c:pt idx="7">
                  <c:v>-39.598107287848698</c:v>
                </c:pt>
                <c:pt idx="8">
                  <c:v>-48.781921131516107</c:v>
                </c:pt>
                <c:pt idx="9">
                  <c:v>-59.105915447643142</c:v>
                </c:pt>
                <c:pt idx="10">
                  <c:v>-69.999999999999986</c:v>
                </c:pt>
                <c:pt idx="11">
                  <c:v>-70</c:v>
                </c:pt>
                <c:pt idx="12">
                  <c:v>-40</c:v>
                </c:pt>
                <c:pt idx="13">
                  <c:v>-55.124043454351145</c:v>
                </c:pt>
              </c:numCache>
            </c:numRef>
          </c:yVal>
          <c:smooth val="0"/>
          <c:extLst>
            <c:ext xmlns:c16="http://schemas.microsoft.com/office/drawing/2014/chart" uri="{C3380CC4-5D6E-409C-BE32-E72D297353CC}">
              <c16:uniqueId val="{0000001C-5CC6-4B77-B85D-B3B8CB03BF0B}"/>
            </c:ext>
          </c:extLst>
        </c:ser>
        <c:ser>
          <c:idx val="4"/>
          <c:order val="5"/>
          <c:tx>
            <c:v>Querverschiebung5</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1E-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0-5CC6-4B77-B85D-B3B8CB03BF0B}"/>
              </c:ext>
            </c:extLst>
          </c:dPt>
          <c:dPt>
            <c:idx val="13"/>
            <c:bubble3D val="0"/>
            <c:spPr>
              <a:ln w="12700">
                <a:noFill/>
                <a:prstDash val="solid"/>
              </a:ln>
            </c:spPr>
            <c:extLst>
              <c:ext xmlns:c16="http://schemas.microsoft.com/office/drawing/2014/chart" uri="{C3380CC4-5D6E-409C-BE32-E72D297353CC}">
                <c16:uniqueId val="{00000022-5CC6-4B77-B85D-B3B8CB03BF0B}"/>
              </c:ext>
            </c:extLst>
          </c:dPt>
          <c:xVal>
            <c:numRef>
              <c:f>PlotU!$AB$7:$AO$7</c:f>
              <c:numCache>
                <c:formatCode>General</c:formatCode>
                <c:ptCount val="14"/>
                <c:pt idx="0">
                  <c:v>28.983782037947861</c:v>
                </c:pt>
                <c:pt idx="1">
                  <c:v>51.125518491502376</c:v>
                </c:pt>
                <c:pt idx="2">
                  <c:v>62.201955579578168</c:v>
                </c:pt>
                <c:pt idx="3">
                  <c:v>63.442571009450646</c:v>
                </c:pt>
                <c:pt idx="4">
                  <c:v>56.076842488395201</c:v>
                </c:pt>
                <c:pt idx="5">
                  <c:v>41.334247723687312</c:v>
                </c:pt>
                <c:pt idx="6">
                  <c:v>20.44426442260233</c:v>
                </c:pt>
                <c:pt idx="7">
                  <c:v>-5.3636297075842947</c:v>
                </c:pt>
                <c:pt idx="8">
                  <c:v>-34.859956959597163</c:v>
                </c:pt>
                <c:pt idx="9">
                  <c:v>-66.81523962616086</c:v>
                </c:pt>
                <c:pt idx="10">
                  <c:v>-99.999999999999972</c:v>
                </c:pt>
                <c:pt idx="11">
                  <c:v>-100</c:v>
                </c:pt>
                <c:pt idx="12">
                  <c:v>20</c:v>
                </c:pt>
                <c:pt idx="13">
                  <c:v>28.983782037947861</c:v>
                </c:pt>
              </c:numCache>
            </c:numRef>
          </c:xVal>
          <c:yVal>
            <c:numRef>
              <c:f>PlotU!$AR$7:$BE$7</c:f>
              <c:numCache>
                <c:formatCode>General</c:formatCode>
                <c:ptCount val="14"/>
                <c:pt idx="0">
                  <c:v>-55.124043454351153</c:v>
                </c:pt>
                <c:pt idx="1">
                  <c:v>-9.5772551169023465</c:v>
                </c:pt>
                <c:pt idx="2">
                  <c:v>26.48499090727897</c:v>
                </c:pt>
                <c:pt idx="3">
                  <c:v>54.116532653000313</c:v>
                </c:pt>
                <c:pt idx="4">
                  <c:v>74.371208155069155</c:v>
                </c:pt>
                <c:pt idx="5">
                  <c:v>88.30285544829303</c:v>
                </c:pt>
                <c:pt idx="6">
                  <c:v>96.965312567479415</c:v>
                </c:pt>
                <c:pt idx="7">
                  <c:v>101.41241754743581</c:v>
                </c:pt>
                <c:pt idx="8">
                  <c:v>102.69800842296971</c:v>
                </c:pt>
                <c:pt idx="9">
                  <c:v>101.87592322888861</c:v>
                </c:pt>
                <c:pt idx="10">
                  <c:v>100.00000000000001</c:v>
                </c:pt>
                <c:pt idx="11">
                  <c:v>100</c:v>
                </c:pt>
                <c:pt idx="12">
                  <c:v>-40</c:v>
                </c:pt>
                <c:pt idx="13">
                  <c:v>-55.124043454351153</c:v>
                </c:pt>
              </c:numCache>
            </c:numRef>
          </c:yVal>
          <c:smooth val="0"/>
          <c:extLst>
            <c:ext xmlns:c16="http://schemas.microsoft.com/office/drawing/2014/chart" uri="{C3380CC4-5D6E-409C-BE32-E72D297353CC}">
              <c16:uniqueId val="{00000023-5CC6-4B77-B85D-B3B8CB03BF0B}"/>
            </c:ext>
          </c:extLst>
        </c:ser>
        <c:ser>
          <c:idx val="5"/>
          <c:order val="6"/>
          <c:tx>
            <c:v>Querverschiebung6</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25-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7-5CC6-4B77-B85D-B3B8CB03BF0B}"/>
              </c:ext>
            </c:extLst>
          </c:dPt>
          <c:dPt>
            <c:idx val="13"/>
            <c:bubble3D val="0"/>
            <c:spPr>
              <a:ln w="12700">
                <a:noFill/>
                <a:prstDash val="solid"/>
              </a:ln>
            </c:spPr>
            <c:extLst>
              <c:ext xmlns:c16="http://schemas.microsoft.com/office/drawing/2014/chart" uri="{C3380CC4-5D6E-409C-BE32-E72D297353CC}">
                <c16:uniqueId val="{00000029-5CC6-4B77-B85D-B3B8CB03BF0B}"/>
              </c:ext>
            </c:extLst>
          </c:dPt>
          <c:xVal>
            <c:numRef>
              <c:f>PlotU!$AB$8:$AO$8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PlotU!$AR$8:$BE$8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A-5CC6-4B77-B85D-B3B8CB03BF0B}"/>
            </c:ext>
          </c:extLst>
        </c:ser>
        <c:ser>
          <c:idx val="6"/>
          <c:order val="7"/>
          <c:tx>
            <c:v>Querverschiebung7</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2C-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E-5CC6-4B77-B85D-B3B8CB03BF0B}"/>
              </c:ext>
            </c:extLst>
          </c:dPt>
          <c:dPt>
            <c:idx val="13"/>
            <c:bubble3D val="0"/>
            <c:spPr>
              <a:ln w="12700">
                <a:noFill/>
                <a:prstDash val="solid"/>
              </a:ln>
            </c:spPr>
            <c:extLst>
              <c:ext xmlns:c16="http://schemas.microsoft.com/office/drawing/2014/chart" uri="{C3380CC4-5D6E-409C-BE32-E72D297353CC}">
                <c16:uniqueId val="{00000030-5CC6-4B77-B85D-B3B8CB03BF0B}"/>
              </c:ext>
            </c:extLst>
          </c:dPt>
          <c:xVal>
            <c:numRef>
              <c:f>PlotU!$AB$9:$AO$9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PlotU!$AR$9:$BE$9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1-5CC6-4B77-B85D-B3B8CB03BF0B}"/>
            </c:ext>
          </c:extLst>
        </c:ser>
        <c:ser>
          <c:idx val="7"/>
          <c:order val="8"/>
          <c:tx>
            <c:v>Querverschiebung8</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33-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5-5CC6-4B77-B85D-B3B8CB03BF0B}"/>
              </c:ext>
            </c:extLst>
          </c:dPt>
          <c:dPt>
            <c:idx val="13"/>
            <c:bubble3D val="0"/>
            <c:spPr>
              <a:ln w="12700">
                <a:noFill/>
                <a:prstDash val="solid"/>
              </a:ln>
            </c:spPr>
            <c:extLst>
              <c:ext xmlns:c16="http://schemas.microsoft.com/office/drawing/2014/chart" uri="{C3380CC4-5D6E-409C-BE32-E72D297353CC}">
                <c16:uniqueId val="{00000037-5CC6-4B77-B85D-B3B8CB03BF0B}"/>
              </c:ext>
            </c:extLst>
          </c:dPt>
          <c:xVal>
            <c:numRef>
              <c:f>PlotU!$AB$10:$AO$10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PlotU!$AR$10:$BE$10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8-5CC6-4B77-B85D-B3B8CB03BF0B}"/>
            </c:ext>
          </c:extLst>
        </c:ser>
        <c:ser>
          <c:idx val="8"/>
          <c:order val="9"/>
          <c:tx>
            <c:v>Querverschiebung9</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3A-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C-5CC6-4B77-B85D-B3B8CB03BF0B}"/>
              </c:ext>
            </c:extLst>
          </c:dPt>
          <c:dPt>
            <c:idx val="13"/>
            <c:bubble3D val="0"/>
            <c:spPr>
              <a:ln w="12700">
                <a:noFill/>
                <a:prstDash val="solid"/>
              </a:ln>
            </c:spPr>
            <c:extLst>
              <c:ext xmlns:c16="http://schemas.microsoft.com/office/drawing/2014/chart" uri="{C3380CC4-5D6E-409C-BE32-E72D297353CC}">
                <c16:uniqueId val="{0000003E-5CC6-4B77-B85D-B3B8CB03BF0B}"/>
              </c:ext>
            </c:extLst>
          </c:dPt>
          <c:xVal>
            <c:numRef>
              <c:f>PlotU!$AB$11:$AO$11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PlotU!$AR$11:$BE$11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F-5CC6-4B77-B85D-B3B8CB03BF0B}"/>
            </c:ext>
          </c:extLst>
        </c:ser>
        <c:ser>
          <c:idx val="9"/>
          <c:order val="10"/>
          <c:tx>
            <c:v>Querverschiebung10</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41-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3-5CC6-4B77-B85D-B3B8CB03BF0B}"/>
              </c:ext>
            </c:extLst>
          </c:dPt>
          <c:dPt>
            <c:idx val="13"/>
            <c:bubble3D val="0"/>
            <c:spPr>
              <a:ln w="12700">
                <a:noFill/>
                <a:prstDash val="solid"/>
              </a:ln>
            </c:spPr>
            <c:extLst>
              <c:ext xmlns:c16="http://schemas.microsoft.com/office/drawing/2014/chart" uri="{C3380CC4-5D6E-409C-BE32-E72D297353CC}">
                <c16:uniqueId val="{00000045-5CC6-4B77-B85D-B3B8CB03BF0B}"/>
              </c:ext>
            </c:extLst>
          </c:dPt>
          <c:xVal>
            <c:numRef>
              <c:f>PlotU!$AB$12:$AO$12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PlotU!$AR$12:$BE$12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6-5CC6-4B77-B85D-B3B8CB03BF0B}"/>
            </c:ext>
          </c:extLst>
        </c:ser>
        <c:ser>
          <c:idx val="10"/>
          <c:order val="11"/>
          <c:tx>
            <c:v>Querverschiebung11</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48-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A-5CC6-4B77-B85D-B3B8CB03BF0B}"/>
              </c:ext>
            </c:extLst>
          </c:dPt>
          <c:dPt>
            <c:idx val="13"/>
            <c:bubble3D val="0"/>
            <c:spPr>
              <a:ln w="12700">
                <a:noFill/>
                <a:prstDash val="solid"/>
              </a:ln>
            </c:spPr>
            <c:extLst>
              <c:ext xmlns:c16="http://schemas.microsoft.com/office/drawing/2014/chart" uri="{C3380CC4-5D6E-409C-BE32-E72D297353CC}">
                <c16:uniqueId val="{0000004C-5CC6-4B77-B85D-B3B8CB03BF0B}"/>
              </c:ext>
            </c:extLst>
          </c:dPt>
          <c:xVal>
            <c:numRef>
              <c:f>PlotU!$AB$13:$AO$13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PlotU!$AR$13:$BE$13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D-5CC6-4B77-B85D-B3B8CB03BF0B}"/>
            </c:ext>
          </c:extLst>
        </c:ser>
        <c:ser>
          <c:idx val="11"/>
          <c:order val="12"/>
          <c:tx>
            <c:v>Querverschiebung12</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4F-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1-5CC6-4B77-B85D-B3B8CB03BF0B}"/>
              </c:ext>
            </c:extLst>
          </c:dPt>
          <c:dPt>
            <c:idx val="13"/>
            <c:bubble3D val="0"/>
            <c:spPr>
              <a:ln w="12700">
                <a:noFill/>
                <a:prstDash val="solid"/>
              </a:ln>
            </c:spPr>
            <c:extLst>
              <c:ext xmlns:c16="http://schemas.microsoft.com/office/drawing/2014/chart" uri="{C3380CC4-5D6E-409C-BE32-E72D297353CC}">
                <c16:uniqueId val="{00000053-5CC6-4B77-B85D-B3B8CB03BF0B}"/>
              </c:ext>
            </c:extLst>
          </c:dPt>
          <c:xVal>
            <c:numRef>
              <c:f>PlotU!$AB$14:$AO$14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PlotU!$AR$14:$BE$14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4-5CC6-4B77-B85D-B3B8CB03BF0B}"/>
            </c:ext>
          </c:extLst>
        </c:ser>
        <c:ser>
          <c:idx val="12"/>
          <c:order val="13"/>
          <c:tx>
            <c:v>Querverschiebung13</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56-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8-5CC6-4B77-B85D-B3B8CB03BF0B}"/>
              </c:ext>
            </c:extLst>
          </c:dPt>
          <c:dPt>
            <c:idx val="13"/>
            <c:bubble3D val="0"/>
            <c:spPr>
              <a:ln w="12700">
                <a:noFill/>
                <a:prstDash val="solid"/>
              </a:ln>
            </c:spPr>
            <c:extLst>
              <c:ext xmlns:c16="http://schemas.microsoft.com/office/drawing/2014/chart" uri="{C3380CC4-5D6E-409C-BE32-E72D297353CC}">
                <c16:uniqueId val="{0000005A-5CC6-4B77-B85D-B3B8CB03BF0B}"/>
              </c:ext>
            </c:extLst>
          </c:dPt>
          <c:xVal>
            <c:numRef>
              <c:f>PlotU!$AB$15:$AO$15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PlotU!$AR$15:$BE$15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B-5CC6-4B77-B85D-B3B8CB03BF0B}"/>
            </c:ext>
          </c:extLst>
        </c:ser>
        <c:ser>
          <c:idx val="13"/>
          <c:order val="14"/>
          <c:tx>
            <c:v>Querverschiebung14</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5D-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F-5CC6-4B77-B85D-B3B8CB03BF0B}"/>
              </c:ext>
            </c:extLst>
          </c:dPt>
          <c:dPt>
            <c:idx val="13"/>
            <c:bubble3D val="0"/>
            <c:spPr>
              <a:ln w="12700">
                <a:noFill/>
                <a:prstDash val="solid"/>
              </a:ln>
            </c:spPr>
            <c:extLst>
              <c:ext xmlns:c16="http://schemas.microsoft.com/office/drawing/2014/chart" uri="{C3380CC4-5D6E-409C-BE32-E72D297353CC}">
                <c16:uniqueId val="{00000061-5CC6-4B77-B85D-B3B8CB03BF0B}"/>
              </c:ext>
            </c:extLst>
          </c:dPt>
          <c:xVal>
            <c:numRef>
              <c:f>PlotU!$AB$16:$AO$16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PlotU!$AR$16:$BE$16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2-5CC6-4B77-B85D-B3B8CB03BF0B}"/>
            </c:ext>
          </c:extLst>
        </c:ser>
        <c:ser>
          <c:idx val="14"/>
          <c:order val="15"/>
          <c:tx>
            <c:v>Querverschiebung15</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64-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6-5CC6-4B77-B85D-B3B8CB03BF0B}"/>
              </c:ext>
            </c:extLst>
          </c:dPt>
          <c:dPt>
            <c:idx val="13"/>
            <c:bubble3D val="0"/>
            <c:spPr>
              <a:ln w="12700">
                <a:noFill/>
                <a:prstDash val="solid"/>
              </a:ln>
            </c:spPr>
            <c:extLst>
              <c:ext xmlns:c16="http://schemas.microsoft.com/office/drawing/2014/chart" uri="{C3380CC4-5D6E-409C-BE32-E72D297353CC}">
                <c16:uniqueId val="{00000068-5CC6-4B77-B85D-B3B8CB03BF0B}"/>
              </c:ext>
            </c:extLst>
          </c:dPt>
          <c:xVal>
            <c:numRef>
              <c:f>PlotU!$AB$17:$AO$17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PlotU!$AR$17:$BE$17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9-5CC6-4B77-B85D-B3B8CB03BF0B}"/>
            </c:ext>
          </c:extLst>
        </c:ser>
        <c:ser>
          <c:idx val="15"/>
          <c:order val="16"/>
          <c:tx>
            <c:v>Querverschiebung16</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6B-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D-5CC6-4B77-B85D-B3B8CB03BF0B}"/>
              </c:ext>
            </c:extLst>
          </c:dPt>
          <c:dPt>
            <c:idx val="13"/>
            <c:bubble3D val="0"/>
            <c:spPr>
              <a:ln w="12700">
                <a:noFill/>
                <a:prstDash val="solid"/>
              </a:ln>
            </c:spPr>
            <c:extLst>
              <c:ext xmlns:c16="http://schemas.microsoft.com/office/drawing/2014/chart" uri="{C3380CC4-5D6E-409C-BE32-E72D297353CC}">
                <c16:uniqueId val="{0000006F-5CC6-4B77-B85D-B3B8CB03BF0B}"/>
              </c:ext>
            </c:extLst>
          </c:dPt>
          <c:xVal>
            <c:numRef>
              <c:f>PlotU!$AB$18:$AO$18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PlotU!$AR$18:$BE$18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0-5CC6-4B77-B85D-B3B8CB03BF0B}"/>
            </c:ext>
          </c:extLst>
        </c:ser>
        <c:ser>
          <c:idx val="16"/>
          <c:order val="17"/>
          <c:tx>
            <c:v>Querverschiebung17</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72-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4-5CC6-4B77-B85D-B3B8CB03BF0B}"/>
              </c:ext>
            </c:extLst>
          </c:dPt>
          <c:dPt>
            <c:idx val="13"/>
            <c:bubble3D val="0"/>
            <c:spPr>
              <a:ln w="12700">
                <a:noFill/>
                <a:prstDash val="solid"/>
              </a:ln>
            </c:spPr>
            <c:extLst>
              <c:ext xmlns:c16="http://schemas.microsoft.com/office/drawing/2014/chart" uri="{C3380CC4-5D6E-409C-BE32-E72D297353CC}">
                <c16:uniqueId val="{00000076-5CC6-4B77-B85D-B3B8CB03BF0B}"/>
              </c:ext>
            </c:extLst>
          </c:dPt>
          <c:xVal>
            <c:numRef>
              <c:f>PlotU!$AB$19:$AO$19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PlotU!$AR$19:$BE$19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7-5CC6-4B77-B85D-B3B8CB03BF0B}"/>
            </c:ext>
          </c:extLst>
        </c:ser>
        <c:ser>
          <c:idx val="17"/>
          <c:order val="18"/>
          <c:tx>
            <c:v>Querverschiebung18</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79-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B-5CC6-4B77-B85D-B3B8CB03BF0B}"/>
              </c:ext>
            </c:extLst>
          </c:dPt>
          <c:dPt>
            <c:idx val="13"/>
            <c:bubble3D val="0"/>
            <c:spPr>
              <a:ln w="12700">
                <a:noFill/>
                <a:prstDash val="solid"/>
              </a:ln>
            </c:spPr>
            <c:extLst>
              <c:ext xmlns:c16="http://schemas.microsoft.com/office/drawing/2014/chart" uri="{C3380CC4-5D6E-409C-BE32-E72D297353CC}">
                <c16:uniqueId val="{0000007D-5CC6-4B77-B85D-B3B8CB03BF0B}"/>
              </c:ext>
            </c:extLst>
          </c:dPt>
          <c:xVal>
            <c:numRef>
              <c:f>PlotU!$AB$20:$AO$20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PlotU!$AR$20:$BE$20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E-5CC6-4B77-B85D-B3B8CB03BF0B}"/>
            </c:ext>
          </c:extLst>
        </c:ser>
        <c:ser>
          <c:idx val="18"/>
          <c:order val="19"/>
          <c:tx>
            <c:v>Querverschiebung19</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80-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82-5CC6-4B77-B85D-B3B8CB03BF0B}"/>
              </c:ext>
            </c:extLst>
          </c:dPt>
          <c:dPt>
            <c:idx val="13"/>
            <c:bubble3D val="0"/>
            <c:spPr>
              <a:ln w="12700">
                <a:noFill/>
                <a:prstDash val="solid"/>
              </a:ln>
            </c:spPr>
            <c:extLst>
              <c:ext xmlns:c16="http://schemas.microsoft.com/office/drawing/2014/chart" uri="{C3380CC4-5D6E-409C-BE32-E72D297353CC}">
                <c16:uniqueId val="{00000084-5CC6-4B77-B85D-B3B8CB03BF0B}"/>
              </c:ext>
            </c:extLst>
          </c:dPt>
          <c:xVal>
            <c:numRef>
              <c:f>PlotU!$AB$21:$AO$21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PlotU!$AR$21:$BE$21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85-5CC6-4B77-B85D-B3B8CB03BF0B}"/>
            </c:ext>
          </c:extLst>
        </c:ser>
        <c:ser>
          <c:idx val="19"/>
          <c:order val="20"/>
          <c:tx>
            <c:v>Querverschiebung20</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87-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89-5CC6-4B77-B85D-B3B8CB03BF0B}"/>
              </c:ext>
            </c:extLst>
          </c:dPt>
          <c:dPt>
            <c:idx val="13"/>
            <c:bubble3D val="0"/>
            <c:spPr>
              <a:ln w="12700">
                <a:noFill/>
                <a:prstDash val="solid"/>
              </a:ln>
            </c:spPr>
            <c:extLst>
              <c:ext xmlns:c16="http://schemas.microsoft.com/office/drawing/2014/chart" uri="{C3380CC4-5D6E-409C-BE32-E72D297353CC}">
                <c16:uniqueId val="{0000008B-5CC6-4B77-B85D-B3B8CB03BF0B}"/>
              </c:ext>
            </c:extLst>
          </c:dPt>
          <c:xVal>
            <c:numRef>
              <c:f>PlotU!$AB$22:$AO$22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PlotU!$AR$22:$BE$22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8C-5CC6-4B77-B85D-B3B8CB03BF0B}"/>
            </c:ext>
          </c:extLst>
        </c:ser>
        <c:ser>
          <c:idx val="21"/>
          <c:order val="21"/>
          <c:tx>
            <c:v>Querverschiebung21</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8E-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90-5CC6-4B77-B85D-B3B8CB03BF0B}"/>
              </c:ext>
            </c:extLst>
          </c:dPt>
          <c:dPt>
            <c:idx val="13"/>
            <c:bubble3D val="0"/>
            <c:spPr>
              <a:ln w="12700">
                <a:noFill/>
                <a:prstDash val="solid"/>
              </a:ln>
            </c:spPr>
            <c:extLst>
              <c:ext xmlns:c16="http://schemas.microsoft.com/office/drawing/2014/chart" uri="{C3380CC4-5D6E-409C-BE32-E72D297353CC}">
                <c16:uniqueId val="{00000092-5CC6-4B77-B85D-B3B8CB03BF0B}"/>
              </c:ext>
            </c:extLst>
          </c:dPt>
          <c:xVal>
            <c:numRef>
              <c:f>PlotU!$AB$23:$AO$23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PlotU!$AR$23:$BE$23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93-5CC6-4B77-B85D-B3B8CB03BF0B}"/>
            </c:ext>
          </c:extLst>
        </c:ser>
        <c:ser>
          <c:idx val="22"/>
          <c:order val="22"/>
          <c:tx>
            <c:v>Querverschiebung22</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95-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97-5CC6-4B77-B85D-B3B8CB03BF0B}"/>
              </c:ext>
            </c:extLst>
          </c:dPt>
          <c:dPt>
            <c:idx val="13"/>
            <c:bubble3D val="0"/>
            <c:spPr>
              <a:ln w="12700">
                <a:noFill/>
                <a:prstDash val="solid"/>
              </a:ln>
            </c:spPr>
            <c:extLst>
              <c:ext xmlns:c16="http://schemas.microsoft.com/office/drawing/2014/chart" uri="{C3380CC4-5D6E-409C-BE32-E72D297353CC}">
                <c16:uniqueId val="{00000099-5CC6-4B77-B85D-B3B8CB03BF0B}"/>
              </c:ext>
            </c:extLst>
          </c:dPt>
          <c:xVal>
            <c:numRef>
              <c:f>PlotU!$AB$24:$AO$24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PlotU!$AR$24:$BE$24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9A-5CC6-4B77-B85D-B3B8CB03BF0B}"/>
            </c:ext>
          </c:extLst>
        </c:ser>
        <c:ser>
          <c:idx val="23"/>
          <c:order val="23"/>
          <c:tx>
            <c:v>Querverschiebung23</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9C-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9E-5CC6-4B77-B85D-B3B8CB03BF0B}"/>
              </c:ext>
            </c:extLst>
          </c:dPt>
          <c:dPt>
            <c:idx val="13"/>
            <c:bubble3D val="0"/>
            <c:spPr>
              <a:ln w="12700">
                <a:noFill/>
                <a:prstDash val="solid"/>
              </a:ln>
            </c:spPr>
            <c:extLst>
              <c:ext xmlns:c16="http://schemas.microsoft.com/office/drawing/2014/chart" uri="{C3380CC4-5D6E-409C-BE32-E72D297353CC}">
                <c16:uniqueId val="{000000A0-5CC6-4B77-B85D-B3B8CB03BF0B}"/>
              </c:ext>
            </c:extLst>
          </c:dPt>
          <c:xVal>
            <c:numRef>
              <c:f>PlotU!$AB$25:$AO$25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PlotU!$AR$25:$BE$25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A1-5CC6-4B77-B85D-B3B8CB03BF0B}"/>
            </c:ext>
          </c:extLst>
        </c:ser>
        <c:ser>
          <c:idx val="24"/>
          <c:order val="24"/>
          <c:tx>
            <c:v>Querverschiebung24</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A3-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A5-5CC6-4B77-B85D-B3B8CB03BF0B}"/>
              </c:ext>
            </c:extLst>
          </c:dPt>
          <c:dPt>
            <c:idx val="13"/>
            <c:bubble3D val="0"/>
            <c:spPr>
              <a:ln w="12700">
                <a:noFill/>
                <a:prstDash val="solid"/>
              </a:ln>
            </c:spPr>
            <c:extLst>
              <c:ext xmlns:c16="http://schemas.microsoft.com/office/drawing/2014/chart" uri="{C3380CC4-5D6E-409C-BE32-E72D297353CC}">
                <c16:uniqueId val="{000000A7-5CC6-4B77-B85D-B3B8CB03BF0B}"/>
              </c:ext>
            </c:extLst>
          </c:dPt>
          <c:xVal>
            <c:numRef>
              <c:f>PlotU!$AB$26:$AO$26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PlotU!$AR$26:$BE$26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A8-5CC6-4B77-B85D-B3B8CB03BF0B}"/>
            </c:ext>
          </c:extLst>
        </c:ser>
        <c:ser>
          <c:idx val="25"/>
          <c:order val="25"/>
          <c:tx>
            <c:v>Querverschiebung25</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AA-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AC-5CC6-4B77-B85D-B3B8CB03BF0B}"/>
              </c:ext>
            </c:extLst>
          </c:dPt>
          <c:dPt>
            <c:idx val="13"/>
            <c:bubble3D val="0"/>
            <c:spPr>
              <a:ln w="12700">
                <a:noFill/>
                <a:prstDash val="solid"/>
              </a:ln>
            </c:spPr>
            <c:extLst>
              <c:ext xmlns:c16="http://schemas.microsoft.com/office/drawing/2014/chart" uri="{C3380CC4-5D6E-409C-BE32-E72D297353CC}">
                <c16:uniqueId val="{000000AE-5CC6-4B77-B85D-B3B8CB03BF0B}"/>
              </c:ext>
            </c:extLst>
          </c:dPt>
          <c:xVal>
            <c:numRef>
              <c:f>PlotU!$AB$27:$AO$27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PlotU!$AR$27:$BE$27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AF-5CC6-4B77-B85D-B3B8CB03BF0B}"/>
            </c:ext>
          </c:extLst>
        </c:ser>
        <c:ser>
          <c:idx val="26"/>
          <c:order val="26"/>
          <c:tx>
            <c:v>Querverschiebung26</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B1-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B3-5CC6-4B77-B85D-B3B8CB03BF0B}"/>
              </c:ext>
            </c:extLst>
          </c:dPt>
          <c:dPt>
            <c:idx val="13"/>
            <c:bubble3D val="0"/>
            <c:spPr>
              <a:ln w="12700">
                <a:noFill/>
                <a:prstDash val="solid"/>
              </a:ln>
            </c:spPr>
            <c:extLst>
              <c:ext xmlns:c16="http://schemas.microsoft.com/office/drawing/2014/chart" uri="{C3380CC4-5D6E-409C-BE32-E72D297353CC}">
                <c16:uniqueId val="{000000B5-5CC6-4B77-B85D-B3B8CB03BF0B}"/>
              </c:ext>
            </c:extLst>
          </c:dPt>
          <c:xVal>
            <c:numRef>
              <c:f>PlotU!$AB$28:$AO$28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PlotU!$AR$28:$BE$28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B6-5CC6-4B77-B85D-B3B8CB03BF0B}"/>
            </c:ext>
          </c:extLst>
        </c:ser>
        <c:ser>
          <c:idx val="27"/>
          <c:order val="27"/>
          <c:tx>
            <c:v>Querverschiebung27</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B8-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BA-5CC6-4B77-B85D-B3B8CB03BF0B}"/>
              </c:ext>
            </c:extLst>
          </c:dPt>
          <c:dPt>
            <c:idx val="13"/>
            <c:bubble3D val="0"/>
            <c:spPr>
              <a:ln w="12700">
                <a:noFill/>
                <a:prstDash val="solid"/>
              </a:ln>
            </c:spPr>
            <c:extLst>
              <c:ext xmlns:c16="http://schemas.microsoft.com/office/drawing/2014/chart" uri="{C3380CC4-5D6E-409C-BE32-E72D297353CC}">
                <c16:uniqueId val="{000000BC-5CC6-4B77-B85D-B3B8CB03BF0B}"/>
              </c:ext>
            </c:extLst>
          </c:dPt>
          <c:xVal>
            <c:numRef>
              <c:f>PlotU!$AB$29:$AO$29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PlotU!$AR$29:$BE$29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BD-5CC6-4B77-B85D-B3B8CB03BF0B}"/>
            </c:ext>
          </c:extLst>
        </c:ser>
        <c:ser>
          <c:idx val="28"/>
          <c:order val="28"/>
          <c:tx>
            <c:v>Querverschiebung28</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BF-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C1-5CC6-4B77-B85D-B3B8CB03BF0B}"/>
              </c:ext>
            </c:extLst>
          </c:dPt>
          <c:dPt>
            <c:idx val="13"/>
            <c:bubble3D val="0"/>
            <c:spPr>
              <a:ln w="12700">
                <a:noFill/>
                <a:prstDash val="solid"/>
              </a:ln>
            </c:spPr>
            <c:extLst>
              <c:ext xmlns:c16="http://schemas.microsoft.com/office/drawing/2014/chart" uri="{C3380CC4-5D6E-409C-BE32-E72D297353CC}">
                <c16:uniqueId val="{000000C3-5CC6-4B77-B85D-B3B8CB03BF0B}"/>
              </c:ext>
            </c:extLst>
          </c:dPt>
          <c:xVal>
            <c:numRef>
              <c:f>PlotU!$AB$30:$AO$30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PlotU!$AR$30:$BE$30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C4-5CC6-4B77-B85D-B3B8CB03BF0B}"/>
            </c:ext>
          </c:extLst>
        </c:ser>
        <c:ser>
          <c:idx val="29"/>
          <c:order val="29"/>
          <c:tx>
            <c:v>Querverschiebung29</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C6-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C8-5CC6-4B77-B85D-B3B8CB03BF0B}"/>
              </c:ext>
            </c:extLst>
          </c:dPt>
          <c:dPt>
            <c:idx val="13"/>
            <c:bubble3D val="0"/>
            <c:spPr>
              <a:ln w="12700">
                <a:noFill/>
                <a:prstDash val="solid"/>
              </a:ln>
            </c:spPr>
            <c:extLst>
              <c:ext xmlns:c16="http://schemas.microsoft.com/office/drawing/2014/chart" uri="{C3380CC4-5D6E-409C-BE32-E72D297353CC}">
                <c16:uniqueId val="{000000CA-5CC6-4B77-B85D-B3B8CB03BF0B}"/>
              </c:ext>
            </c:extLst>
          </c:dPt>
          <c:xVal>
            <c:numRef>
              <c:f>PlotU!$AB$31:$AO$31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PlotU!$AR$31:$BE$31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CB-5CC6-4B77-B85D-B3B8CB03BF0B}"/>
            </c:ext>
          </c:extLst>
        </c:ser>
        <c:ser>
          <c:idx val="30"/>
          <c:order val="30"/>
          <c:tx>
            <c:v>Querverschiebung30</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CD-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CF-5CC6-4B77-B85D-B3B8CB03BF0B}"/>
              </c:ext>
            </c:extLst>
          </c:dPt>
          <c:dPt>
            <c:idx val="13"/>
            <c:bubble3D val="0"/>
            <c:spPr>
              <a:ln w="12700">
                <a:noFill/>
                <a:prstDash val="solid"/>
              </a:ln>
            </c:spPr>
            <c:extLst>
              <c:ext xmlns:c16="http://schemas.microsoft.com/office/drawing/2014/chart" uri="{C3380CC4-5D6E-409C-BE32-E72D297353CC}">
                <c16:uniqueId val="{000000D1-5CC6-4B77-B85D-B3B8CB03BF0B}"/>
              </c:ext>
            </c:extLst>
          </c:dPt>
          <c:xVal>
            <c:numRef>
              <c:f>PlotU!$AB$32:$AO$32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PlotU!$AR$32:$BE$32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D2-5CC6-4B77-B85D-B3B8CB03BF0B}"/>
            </c:ext>
          </c:extLst>
        </c:ser>
        <c:ser>
          <c:idx val="31"/>
          <c:order val="31"/>
          <c:tx>
            <c:v>Querverschiebung31</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D4-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D6-5CC6-4B77-B85D-B3B8CB03BF0B}"/>
              </c:ext>
            </c:extLst>
          </c:dPt>
          <c:dPt>
            <c:idx val="13"/>
            <c:bubble3D val="0"/>
            <c:spPr>
              <a:ln w="12700">
                <a:noFill/>
                <a:prstDash val="solid"/>
              </a:ln>
            </c:spPr>
            <c:extLst>
              <c:ext xmlns:c16="http://schemas.microsoft.com/office/drawing/2014/chart" uri="{C3380CC4-5D6E-409C-BE32-E72D297353CC}">
                <c16:uniqueId val="{000000D8-5CC6-4B77-B85D-B3B8CB03BF0B}"/>
              </c:ext>
            </c:extLst>
          </c:dPt>
          <c:xVal>
            <c:numRef>
              <c:f>PlotU!$AB$33:$AO$33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PlotU!$AR$33:$BE$33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D9-5CC6-4B77-B85D-B3B8CB03BF0B}"/>
            </c:ext>
          </c:extLst>
        </c:ser>
        <c:ser>
          <c:idx val="32"/>
          <c:order val="32"/>
          <c:tx>
            <c:v>Querverschiebung32</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DB-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DD-5CC6-4B77-B85D-B3B8CB03BF0B}"/>
              </c:ext>
            </c:extLst>
          </c:dPt>
          <c:dPt>
            <c:idx val="13"/>
            <c:bubble3D val="0"/>
            <c:spPr>
              <a:ln w="12700">
                <a:noFill/>
                <a:prstDash val="solid"/>
              </a:ln>
            </c:spPr>
            <c:extLst>
              <c:ext xmlns:c16="http://schemas.microsoft.com/office/drawing/2014/chart" uri="{C3380CC4-5D6E-409C-BE32-E72D297353CC}">
                <c16:uniqueId val="{000000DF-5CC6-4B77-B85D-B3B8CB03BF0B}"/>
              </c:ext>
            </c:extLst>
          </c:dPt>
          <c:xVal>
            <c:numRef>
              <c:f>PlotU!$AB$34:$AO$34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PlotU!$AR$34:$BE$34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E0-5CC6-4B77-B85D-B3B8CB03BF0B}"/>
            </c:ext>
          </c:extLst>
        </c:ser>
        <c:ser>
          <c:idx val="33"/>
          <c:order val="33"/>
          <c:tx>
            <c:v>Querverschiebung33</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E2-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E4-5CC6-4B77-B85D-B3B8CB03BF0B}"/>
              </c:ext>
            </c:extLst>
          </c:dPt>
          <c:dPt>
            <c:idx val="13"/>
            <c:bubble3D val="0"/>
            <c:spPr>
              <a:ln w="12700">
                <a:noFill/>
                <a:prstDash val="solid"/>
              </a:ln>
            </c:spPr>
            <c:extLst>
              <c:ext xmlns:c16="http://schemas.microsoft.com/office/drawing/2014/chart" uri="{C3380CC4-5D6E-409C-BE32-E72D297353CC}">
                <c16:uniqueId val="{000000E6-5CC6-4B77-B85D-B3B8CB03BF0B}"/>
              </c:ext>
            </c:extLst>
          </c:dPt>
          <c:xVal>
            <c:numRef>
              <c:f>PlotU!$AB$35:$AO$35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PlotU!$AR$35:$BE$35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E7-5CC6-4B77-B85D-B3B8CB03BF0B}"/>
            </c:ext>
          </c:extLst>
        </c:ser>
        <c:ser>
          <c:idx val="34"/>
          <c:order val="34"/>
          <c:tx>
            <c:v>Querverschiebung34</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E9-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EB-5CC6-4B77-B85D-B3B8CB03BF0B}"/>
              </c:ext>
            </c:extLst>
          </c:dPt>
          <c:dPt>
            <c:idx val="13"/>
            <c:bubble3D val="0"/>
            <c:spPr>
              <a:ln w="12700">
                <a:noFill/>
                <a:prstDash val="solid"/>
              </a:ln>
            </c:spPr>
            <c:extLst>
              <c:ext xmlns:c16="http://schemas.microsoft.com/office/drawing/2014/chart" uri="{C3380CC4-5D6E-409C-BE32-E72D297353CC}">
                <c16:uniqueId val="{000000ED-5CC6-4B77-B85D-B3B8CB03BF0B}"/>
              </c:ext>
            </c:extLst>
          </c:dPt>
          <c:xVal>
            <c:numRef>
              <c:f>PlotU!$AB$36:$AO$36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PlotU!$AR$36:$BE$36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EE-5CC6-4B77-B85D-B3B8CB03BF0B}"/>
            </c:ext>
          </c:extLst>
        </c:ser>
        <c:ser>
          <c:idx val="35"/>
          <c:order val="35"/>
          <c:tx>
            <c:v>Querverschiebung35</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F0-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F2-5CC6-4B77-B85D-B3B8CB03BF0B}"/>
              </c:ext>
            </c:extLst>
          </c:dPt>
          <c:dPt>
            <c:idx val="13"/>
            <c:bubble3D val="0"/>
            <c:spPr>
              <a:ln w="12700">
                <a:noFill/>
                <a:prstDash val="solid"/>
              </a:ln>
            </c:spPr>
            <c:extLst>
              <c:ext xmlns:c16="http://schemas.microsoft.com/office/drawing/2014/chart" uri="{C3380CC4-5D6E-409C-BE32-E72D297353CC}">
                <c16:uniqueId val="{000000F4-5CC6-4B77-B85D-B3B8CB03BF0B}"/>
              </c:ext>
            </c:extLst>
          </c:dPt>
          <c:xVal>
            <c:numRef>
              <c:f>PlotU!$AB$37:$AO$37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PlotU!$AR$37:$BE$37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F5-5CC6-4B77-B85D-B3B8CB03BF0B}"/>
            </c:ext>
          </c:extLst>
        </c:ser>
        <c:ser>
          <c:idx val="36"/>
          <c:order val="36"/>
          <c:tx>
            <c:v>Querverschiebung36</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F7-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F9-5CC6-4B77-B85D-B3B8CB03BF0B}"/>
              </c:ext>
            </c:extLst>
          </c:dPt>
          <c:dPt>
            <c:idx val="13"/>
            <c:bubble3D val="0"/>
            <c:spPr>
              <a:ln w="12700">
                <a:noFill/>
                <a:prstDash val="solid"/>
              </a:ln>
            </c:spPr>
            <c:extLst>
              <c:ext xmlns:c16="http://schemas.microsoft.com/office/drawing/2014/chart" uri="{C3380CC4-5D6E-409C-BE32-E72D297353CC}">
                <c16:uniqueId val="{000000FB-5CC6-4B77-B85D-B3B8CB03BF0B}"/>
              </c:ext>
            </c:extLst>
          </c:dPt>
          <c:xVal>
            <c:numRef>
              <c:f>PlotU!$AB$38:$AO$38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PlotU!$AR$38:$BE$38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FC-5CC6-4B77-B85D-B3B8CB03BF0B}"/>
            </c:ext>
          </c:extLst>
        </c:ser>
        <c:ser>
          <c:idx val="37"/>
          <c:order val="37"/>
          <c:tx>
            <c:v>Querverschiebung37</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0FE-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100-5CC6-4B77-B85D-B3B8CB03BF0B}"/>
              </c:ext>
            </c:extLst>
          </c:dPt>
          <c:dPt>
            <c:idx val="13"/>
            <c:bubble3D val="0"/>
            <c:spPr>
              <a:ln w="12700">
                <a:noFill/>
                <a:prstDash val="solid"/>
              </a:ln>
            </c:spPr>
            <c:extLst>
              <c:ext xmlns:c16="http://schemas.microsoft.com/office/drawing/2014/chart" uri="{C3380CC4-5D6E-409C-BE32-E72D297353CC}">
                <c16:uniqueId val="{00000102-5CC6-4B77-B85D-B3B8CB03BF0B}"/>
              </c:ext>
            </c:extLst>
          </c:dPt>
          <c:xVal>
            <c:numRef>
              <c:f>PlotU!$AB$39:$AO$39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PlotU!$AR$39:$BE$39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103-5CC6-4B77-B85D-B3B8CB03BF0B}"/>
            </c:ext>
          </c:extLst>
        </c:ser>
        <c:ser>
          <c:idx val="38"/>
          <c:order val="38"/>
          <c:tx>
            <c:v>Querverschiebung38</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105-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107-5CC6-4B77-B85D-B3B8CB03BF0B}"/>
              </c:ext>
            </c:extLst>
          </c:dPt>
          <c:dPt>
            <c:idx val="13"/>
            <c:bubble3D val="0"/>
            <c:spPr>
              <a:ln w="12700">
                <a:noFill/>
                <a:prstDash val="solid"/>
              </a:ln>
            </c:spPr>
            <c:extLst>
              <c:ext xmlns:c16="http://schemas.microsoft.com/office/drawing/2014/chart" uri="{C3380CC4-5D6E-409C-BE32-E72D297353CC}">
                <c16:uniqueId val="{00000109-5CC6-4B77-B85D-B3B8CB03BF0B}"/>
              </c:ext>
            </c:extLst>
          </c:dPt>
          <c:xVal>
            <c:numRef>
              <c:f>PlotU!$AB$40:$AO$40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PlotU!$AR$40:$BE$40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10A-5CC6-4B77-B85D-B3B8CB03BF0B}"/>
            </c:ext>
          </c:extLst>
        </c:ser>
        <c:ser>
          <c:idx val="39"/>
          <c:order val="39"/>
          <c:tx>
            <c:v>Querverschiebung39</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10C-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10E-5CC6-4B77-B85D-B3B8CB03BF0B}"/>
              </c:ext>
            </c:extLst>
          </c:dPt>
          <c:dPt>
            <c:idx val="13"/>
            <c:bubble3D val="0"/>
            <c:spPr>
              <a:ln w="12700">
                <a:noFill/>
                <a:prstDash val="solid"/>
              </a:ln>
            </c:spPr>
            <c:extLst>
              <c:ext xmlns:c16="http://schemas.microsoft.com/office/drawing/2014/chart" uri="{C3380CC4-5D6E-409C-BE32-E72D297353CC}">
                <c16:uniqueId val="{00000110-5CC6-4B77-B85D-B3B8CB03BF0B}"/>
              </c:ext>
            </c:extLst>
          </c:dPt>
          <c:xVal>
            <c:numRef>
              <c:f>PlotU!$AB$41:$AO$41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PlotU!$AR$41:$BE$41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111-5CC6-4B77-B85D-B3B8CB03BF0B}"/>
            </c:ext>
          </c:extLst>
        </c:ser>
        <c:ser>
          <c:idx val="40"/>
          <c:order val="40"/>
          <c:tx>
            <c:v>Querverschiebung40</c:v>
          </c:tx>
          <c:spPr>
            <a:ln w="12700">
              <a:solidFill>
                <a:srgbClr val="000080"/>
              </a:solidFill>
              <a:prstDash val="solid"/>
            </a:ln>
          </c:spPr>
          <c:marker>
            <c:symbol val="none"/>
          </c:marker>
          <c:dPt>
            <c:idx val="11"/>
            <c:bubble3D val="0"/>
            <c:spPr>
              <a:ln w="12700">
                <a:noFill/>
                <a:prstDash val="solid"/>
              </a:ln>
            </c:spPr>
            <c:extLst>
              <c:ext xmlns:c16="http://schemas.microsoft.com/office/drawing/2014/chart" uri="{C3380CC4-5D6E-409C-BE32-E72D297353CC}">
                <c16:uniqueId val="{00000113-5CC6-4B77-B85D-B3B8CB03BF0B}"/>
              </c:ext>
            </c:extLst>
          </c:dPt>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115-5CC6-4B77-B85D-B3B8CB03BF0B}"/>
              </c:ext>
            </c:extLst>
          </c:dPt>
          <c:dPt>
            <c:idx val="13"/>
            <c:bubble3D val="0"/>
            <c:spPr>
              <a:ln w="12700">
                <a:noFill/>
                <a:prstDash val="solid"/>
              </a:ln>
            </c:spPr>
            <c:extLst>
              <c:ext xmlns:c16="http://schemas.microsoft.com/office/drawing/2014/chart" uri="{C3380CC4-5D6E-409C-BE32-E72D297353CC}">
                <c16:uniqueId val="{00000117-5CC6-4B77-B85D-B3B8CB03BF0B}"/>
              </c:ext>
            </c:extLst>
          </c:dPt>
          <c:xVal>
            <c:numRef>
              <c:f>PlotU!$AB$42:$AO$42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PlotU!$AR$42:$BE$42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118-5CC6-4B77-B85D-B3B8CB03BF0B}"/>
            </c:ext>
          </c:extLst>
        </c:ser>
        <c:dLbls>
          <c:showLegendKey val="0"/>
          <c:showVal val="0"/>
          <c:showCatName val="0"/>
          <c:showSerName val="0"/>
          <c:showPercent val="0"/>
          <c:showBubbleSize val="0"/>
        </c:dLbls>
        <c:axId val="519130648"/>
        <c:axId val="519128688"/>
      </c:scatterChart>
      <c:valAx>
        <c:axId val="519130648"/>
        <c:scaling>
          <c:orientation val="minMax"/>
        </c:scaling>
        <c:delete val="1"/>
        <c:axPos val="b"/>
        <c:numFmt formatCode="General" sourceLinked="1"/>
        <c:majorTickMark val="out"/>
        <c:minorTickMark val="none"/>
        <c:tickLblPos val="none"/>
        <c:crossAx val="519128688"/>
        <c:crosses val="max"/>
        <c:crossBetween val="midCat"/>
        <c:majorUnit val="1.0000000000000005E-2"/>
      </c:valAx>
      <c:valAx>
        <c:axId val="519128688"/>
        <c:scaling>
          <c:orientation val="maxMin"/>
        </c:scaling>
        <c:delete val="1"/>
        <c:axPos val="r"/>
        <c:numFmt formatCode="General" sourceLinked="1"/>
        <c:majorTickMark val="out"/>
        <c:minorTickMark val="none"/>
        <c:tickLblPos val="none"/>
        <c:crossAx val="519130648"/>
        <c:crosses val="max"/>
        <c:crossBetween val="midCat"/>
        <c:majorUnit val="1.0000000000000005E-2"/>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DE"/>
    </a:p>
  </c:txPr>
  <c:printSettings>
    <c:headerFooter alignWithMargins="0"/>
    <c:pageMargins b="0.98425196899999956" l="0.78740157499999996" r="0.78740157499999996" t="0.98425196899999956" header="0.49212598450000206" footer="0.49212598450000206"/>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2.5113884069576053E-2"/>
          <c:y val="2.1991268002795182E-2"/>
          <c:w val="0.95202872846339748"/>
          <c:h val="0.96399149760477876"/>
        </c:manualLayout>
      </c:layout>
      <c:scatterChart>
        <c:scatterStyle val="lineMarker"/>
        <c:varyColors val="0"/>
        <c:ser>
          <c:idx val="20"/>
          <c:order val="0"/>
          <c:tx>
            <c:v>BoundingBox21</c:v>
          </c:tx>
          <c:spPr>
            <a:ln w="12700">
              <a:solidFill>
                <a:srgbClr val="C0C0C0"/>
              </a:solidFill>
              <a:prstDash val="solid"/>
            </a:ln>
          </c:spPr>
          <c:marker>
            <c:symbol val="none"/>
          </c:marker>
          <c:xVal>
            <c:numRef>
              <c:f>PlotS!$BH$6:$BH$9</c:f>
              <c:numCache>
                <c:formatCode>General</c:formatCode>
                <c:ptCount val="4"/>
                <c:pt idx="0">
                  <c:v>-141.42135623730951</c:v>
                </c:pt>
                <c:pt idx="1">
                  <c:v>141.42135623730951</c:v>
                </c:pt>
                <c:pt idx="2">
                  <c:v>141.42135623730951</c:v>
                </c:pt>
                <c:pt idx="3">
                  <c:v>-141.42135623730951</c:v>
                </c:pt>
              </c:numCache>
            </c:numRef>
          </c:xVal>
          <c:yVal>
            <c:numRef>
              <c:f>PlotS!$BI$6:$BI$9</c:f>
              <c:numCache>
                <c:formatCode>General</c:formatCode>
                <c:ptCount val="4"/>
                <c:pt idx="0">
                  <c:v>141.42135623730951</c:v>
                </c:pt>
                <c:pt idx="1">
                  <c:v>141.42135623730951</c:v>
                </c:pt>
                <c:pt idx="2">
                  <c:v>-141.42135623730951</c:v>
                </c:pt>
                <c:pt idx="3">
                  <c:v>-141.42135623730951</c:v>
                </c:pt>
              </c:numCache>
            </c:numRef>
          </c:yVal>
          <c:smooth val="0"/>
          <c:extLst>
            <c:ext xmlns:c16="http://schemas.microsoft.com/office/drawing/2014/chart" uri="{C3380CC4-5D6E-409C-BE32-E72D297353CC}">
              <c16:uniqueId val="{00000000-A22E-4679-9376-42F2E6BA2BAA}"/>
            </c:ext>
          </c:extLst>
        </c:ser>
        <c:ser>
          <c:idx val="41"/>
          <c:order val="1"/>
          <c:tx>
            <c:v>SensA1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2-A22E-4679-9376-42F2E6BA2BAA}"/>
              </c:ext>
            </c:extLst>
          </c:dPt>
          <c:xVal>
            <c:numRef>
              <c:f>PlotS!$AB$3:$AO$3</c:f>
              <c:numCache>
                <c:formatCode>General</c:formatCode>
                <c:ptCount val="14"/>
                <c:pt idx="0">
                  <c:v>20</c:v>
                </c:pt>
                <c:pt idx="1">
                  <c:v>28</c:v>
                </c:pt>
                <c:pt idx="2">
                  <c:v>36</c:v>
                </c:pt>
                <c:pt idx="3">
                  <c:v>44</c:v>
                </c:pt>
                <c:pt idx="4">
                  <c:v>52</c:v>
                </c:pt>
                <c:pt idx="5">
                  <c:v>60</c:v>
                </c:pt>
                <c:pt idx="6">
                  <c:v>68</c:v>
                </c:pt>
                <c:pt idx="7">
                  <c:v>76</c:v>
                </c:pt>
                <c:pt idx="8">
                  <c:v>84</c:v>
                </c:pt>
                <c:pt idx="9">
                  <c:v>92</c:v>
                </c:pt>
                <c:pt idx="10">
                  <c:v>100</c:v>
                </c:pt>
                <c:pt idx="11">
                  <c:v>100</c:v>
                </c:pt>
                <c:pt idx="12">
                  <c:v>20</c:v>
                </c:pt>
                <c:pt idx="13">
                  <c:v>20</c:v>
                </c:pt>
              </c:numCache>
            </c:numRef>
          </c:xVal>
          <c:yVal>
            <c:numRef>
              <c:f>PlotS!$AR$3:$BE$3</c:f>
              <c:numCache>
                <c:formatCode>General</c:formatCode>
                <c:ptCount val="14"/>
                <c:pt idx="0">
                  <c:v>-40</c:v>
                </c:pt>
                <c:pt idx="1">
                  <c:v>-34</c:v>
                </c:pt>
                <c:pt idx="2">
                  <c:v>-28</c:v>
                </c:pt>
                <c:pt idx="3">
                  <c:v>-22</c:v>
                </c:pt>
                <c:pt idx="4">
                  <c:v>-16</c:v>
                </c:pt>
                <c:pt idx="5">
                  <c:v>-10</c:v>
                </c:pt>
                <c:pt idx="6">
                  <c:v>-4</c:v>
                </c:pt>
                <c:pt idx="7">
                  <c:v>2</c:v>
                </c:pt>
                <c:pt idx="8">
                  <c:v>8</c:v>
                </c:pt>
                <c:pt idx="9">
                  <c:v>14</c:v>
                </c:pt>
                <c:pt idx="10">
                  <c:v>20</c:v>
                </c:pt>
                <c:pt idx="11">
                  <c:v>20</c:v>
                </c:pt>
                <c:pt idx="12">
                  <c:v>-40</c:v>
                </c:pt>
                <c:pt idx="13">
                  <c:v>-40</c:v>
                </c:pt>
              </c:numCache>
            </c:numRef>
          </c:yVal>
          <c:smooth val="0"/>
          <c:extLst>
            <c:ext xmlns:c16="http://schemas.microsoft.com/office/drawing/2014/chart" uri="{C3380CC4-5D6E-409C-BE32-E72D297353CC}">
              <c16:uniqueId val="{00000003-A22E-4679-9376-42F2E6BA2BAA}"/>
            </c:ext>
          </c:extLst>
        </c:ser>
        <c:ser>
          <c:idx val="42"/>
          <c:order val="2"/>
          <c:tx>
            <c:v>SensA2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5-A22E-4679-9376-42F2E6BA2BAA}"/>
              </c:ext>
            </c:extLst>
          </c:dPt>
          <c:xVal>
            <c:numRef>
              <c:f>PlotS!$AB$4:$AO$4</c:f>
              <c:numCache>
                <c:formatCode>General</c:formatCode>
                <c:ptCount val="14"/>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numCache>
            </c:numRef>
          </c:xVal>
          <c:yVal>
            <c:numRef>
              <c:f>PlotS!$AR$4:$BE$4</c:f>
              <c:numCache>
                <c:formatCode>General</c:formatCode>
                <c:ptCount val="14"/>
                <c:pt idx="0">
                  <c:v>-40</c:v>
                </c:pt>
                <c:pt idx="1">
                  <c:v>-34</c:v>
                </c:pt>
                <c:pt idx="2">
                  <c:v>-28</c:v>
                </c:pt>
                <c:pt idx="3">
                  <c:v>-22</c:v>
                </c:pt>
                <c:pt idx="4">
                  <c:v>-16</c:v>
                </c:pt>
                <c:pt idx="5">
                  <c:v>-10</c:v>
                </c:pt>
                <c:pt idx="6">
                  <c:v>-4</c:v>
                </c:pt>
                <c:pt idx="7">
                  <c:v>2</c:v>
                </c:pt>
                <c:pt idx="8">
                  <c:v>8</c:v>
                </c:pt>
                <c:pt idx="9">
                  <c:v>14</c:v>
                </c:pt>
                <c:pt idx="10">
                  <c:v>20</c:v>
                </c:pt>
                <c:pt idx="11">
                  <c:v>20</c:v>
                </c:pt>
                <c:pt idx="12">
                  <c:v>-40</c:v>
                </c:pt>
                <c:pt idx="13">
                  <c:v>-40</c:v>
                </c:pt>
              </c:numCache>
            </c:numRef>
          </c:yVal>
          <c:smooth val="0"/>
          <c:extLst>
            <c:ext xmlns:c16="http://schemas.microsoft.com/office/drawing/2014/chart" uri="{C3380CC4-5D6E-409C-BE32-E72D297353CC}">
              <c16:uniqueId val="{00000006-A22E-4679-9376-42F2E6BA2BAA}"/>
            </c:ext>
          </c:extLst>
        </c:ser>
        <c:ser>
          <c:idx val="43"/>
          <c:order val="3"/>
          <c:tx>
            <c:v>SensA3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8-A22E-4679-9376-42F2E6BA2BAA}"/>
              </c:ext>
            </c:extLst>
          </c:dPt>
          <c:xVal>
            <c:numRef>
              <c:f>PlotS!$AB$5:$AO$5</c:f>
              <c:numCache>
                <c:formatCode>General</c:formatCode>
                <c:ptCount val="14"/>
                <c:pt idx="0">
                  <c:v>20</c:v>
                </c:pt>
                <c:pt idx="1">
                  <c:v>24</c:v>
                </c:pt>
                <c:pt idx="2">
                  <c:v>28</c:v>
                </c:pt>
                <c:pt idx="3">
                  <c:v>32</c:v>
                </c:pt>
                <c:pt idx="4">
                  <c:v>36</c:v>
                </c:pt>
                <c:pt idx="5">
                  <c:v>40</c:v>
                </c:pt>
                <c:pt idx="6">
                  <c:v>44</c:v>
                </c:pt>
                <c:pt idx="7">
                  <c:v>48</c:v>
                </c:pt>
                <c:pt idx="8">
                  <c:v>52</c:v>
                </c:pt>
                <c:pt idx="9">
                  <c:v>56</c:v>
                </c:pt>
                <c:pt idx="10">
                  <c:v>60</c:v>
                </c:pt>
                <c:pt idx="11">
                  <c:v>60</c:v>
                </c:pt>
                <c:pt idx="12">
                  <c:v>20</c:v>
                </c:pt>
                <c:pt idx="13">
                  <c:v>20</c:v>
                </c:pt>
              </c:numCache>
            </c:numRef>
          </c:xVal>
          <c:yVal>
            <c:numRef>
              <c:f>PlotS!$AR$5:$BE$5</c:f>
              <c:numCache>
                <c:formatCode>General</c:formatCode>
                <c:ptCount val="14"/>
                <c:pt idx="0">
                  <c:v>-40</c:v>
                </c:pt>
                <c:pt idx="1">
                  <c:v>-46</c:v>
                </c:pt>
                <c:pt idx="2">
                  <c:v>-52</c:v>
                </c:pt>
                <c:pt idx="3">
                  <c:v>-58</c:v>
                </c:pt>
                <c:pt idx="4">
                  <c:v>-64</c:v>
                </c:pt>
                <c:pt idx="5">
                  <c:v>-70</c:v>
                </c:pt>
                <c:pt idx="6">
                  <c:v>-76</c:v>
                </c:pt>
                <c:pt idx="7">
                  <c:v>-82</c:v>
                </c:pt>
                <c:pt idx="8">
                  <c:v>-88</c:v>
                </c:pt>
                <c:pt idx="9">
                  <c:v>-94</c:v>
                </c:pt>
                <c:pt idx="10">
                  <c:v>-100</c:v>
                </c:pt>
                <c:pt idx="11">
                  <c:v>-100</c:v>
                </c:pt>
                <c:pt idx="12">
                  <c:v>-40</c:v>
                </c:pt>
                <c:pt idx="13">
                  <c:v>-40</c:v>
                </c:pt>
              </c:numCache>
            </c:numRef>
          </c:yVal>
          <c:smooth val="0"/>
          <c:extLst>
            <c:ext xmlns:c16="http://schemas.microsoft.com/office/drawing/2014/chart" uri="{C3380CC4-5D6E-409C-BE32-E72D297353CC}">
              <c16:uniqueId val="{00000009-A22E-4679-9376-42F2E6BA2BAA}"/>
            </c:ext>
          </c:extLst>
        </c:ser>
        <c:ser>
          <c:idx val="44"/>
          <c:order val="4"/>
          <c:tx>
            <c:v>SensA4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B-A22E-4679-9376-42F2E6BA2BAA}"/>
              </c:ext>
            </c:extLst>
          </c:dPt>
          <c:xVal>
            <c:numRef>
              <c:f>PlotS!$AB$6:$AO$6</c:f>
              <c:numCache>
                <c:formatCode>General</c:formatCode>
                <c:ptCount val="14"/>
                <c:pt idx="0">
                  <c:v>20</c:v>
                </c:pt>
                <c:pt idx="1">
                  <c:v>13</c:v>
                </c:pt>
                <c:pt idx="2">
                  <c:v>6</c:v>
                </c:pt>
                <c:pt idx="3">
                  <c:v>-1</c:v>
                </c:pt>
                <c:pt idx="4">
                  <c:v>-8</c:v>
                </c:pt>
                <c:pt idx="5">
                  <c:v>-15</c:v>
                </c:pt>
                <c:pt idx="6">
                  <c:v>-22</c:v>
                </c:pt>
                <c:pt idx="7">
                  <c:v>-29</c:v>
                </c:pt>
                <c:pt idx="8">
                  <c:v>-36</c:v>
                </c:pt>
                <c:pt idx="9">
                  <c:v>-43</c:v>
                </c:pt>
                <c:pt idx="10">
                  <c:v>-50</c:v>
                </c:pt>
                <c:pt idx="11">
                  <c:v>-50</c:v>
                </c:pt>
                <c:pt idx="12">
                  <c:v>20</c:v>
                </c:pt>
                <c:pt idx="13">
                  <c:v>20</c:v>
                </c:pt>
              </c:numCache>
            </c:numRef>
          </c:xVal>
          <c:yVal>
            <c:numRef>
              <c:f>PlotS!$AR$6:$BE$6</c:f>
              <c:numCache>
                <c:formatCode>General</c:formatCode>
                <c:ptCount val="14"/>
                <c:pt idx="0">
                  <c:v>-40</c:v>
                </c:pt>
                <c:pt idx="1">
                  <c:v>-43</c:v>
                </c:pt>
                <c:pt idx="2">
                  <c:v>-46</c:v>
                </c:pt>
                <c:pt idx="3">
                  <c:v>-49</c:v>
                </c:pt>
                <c:pt idx="4">
                  <c:v>-52</c:v>
                </c:pt>
                <c:pt idx="5">
                  <c:v>-55</c:v>
                </c:pt>
                <c:pt idx="6">
                  <c:v>-58</c:v>
                </c:pt>
                <c:pt idx="7">
                  <c:v>-61</c:v>
                </c:pt>
                <c:pt idx="8">
                  <c:v>-64</c:v>
                </c:pt>
                <c:pt idx="9">
                  <c:v>-67</c:v>
                </c:pt>
                <c:pt idx="10">
                  <c:v>-70</c:v>
                </c:pt>
                <c:pt idx="11">
                  <c:v>-70</c:v>
                </c:pt>
                <c:pt idx="12">
                  <c:v>-40</c:v>
                </c:pt>
                <c:pt idx="13">
                  <c:v>-40</c:v>
                </c:pt>
              </c:numCache>
            </c:numRef>
          </c:yVal>
          <c:smooth val="0"/>
          <c:extLst>
            <c:ext xmlns:c16="http://schemas.microsoft.com/office/drawing/2014/chart" uri="{C3380CC4-5D6E-409C-BE32-E72D297353CC}">
              <c16:uniqueId val="{0000000C-A22E-4679-9376-42F2E6BA2BAA}"/>
            </c:ext>
          </c:extLst>
        </c:ser>
        <c:ser>
          <c:idx val="45"/>
          <c:order val="5"/>
          <c:tx>
            <c:v>SensA5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0E-A22E-4679-9376-42F2E6BA2BAA}"/>
              </c:ext>
            </c:extLst>
          </c:dPt>
          <c:xVal>
            <c:numRef>
              <c:f>PlotS!$AB$7:$AO$7</c:f>
              <c:numCache>
                <c:formatCode>General</c:formatCode>
                <c:ptCount val="14"/>
                <c:pt idx="0">
                  <c:v>20</c:v>
                </c:pt>
                <c:pt idx="1">
                  <c:v>8</c:v>
                </c:pt>
                <c:pt idx="2">
                  <c:v>-4</c:v>
                </c:pt>
                <c:pt idx="3">
                  <c:v>-16</c:v>
                </c:pt>
                <c:pt idx="4">
                  <c:v>-28</c:v>
                </c:pt>
                <c:pt idx="5">
                  <c:v>-40</c:v>
                </c:pt>
                <c:pt idx="6">
                  <c:v>-52</c:v>
                </c:pt>
                <c:pt idx="7">
                  <c:v>-64</c:v>
                </c:pt>
                <c:pt idx="8">
                  <c:v>-76</c:v>
                </c:pt>
                <c:pt idx="9">
                  <c:v>-88</c:v>
                </c:pt>
                <c:pt idx="10">
                  <c:v>-100</c:v>
                </c:pt>
                <c:pt idx="11">
                  <c:v>-100</c:v>
                </c:pt>
                <c:pt idx="12">
                  <c:v>20</c:v>
                </c:pt>
                <c:pt idx="13">
                  <c:v>20</c:v>
                </c:pt>
              </c:numCache>
            </c:numRef>
          </c:xVal>
          <c:yVal>
            <c:numRef>
              <c:f>PlotS!$AR$7:$BE$7</c:f>
              <c:numCache>
                <c:formatCode>General</c:formatCode>
                <c:ptCount val="14"/>
                <c:pt idx="0">
                  <c:v>-40</c:v>
                </c:pt>
                <c:pt idx="1">
                  <c:v>-26</c:v>
                </c:pt>
                <c:pt idx="2">
                  <c:v>-12</c:v>
                </c:pt>
                <c:pt idx="3">
                  <c:v>2</c:v>
                </c:pt>
                <c:pt idx="4">
                  <c:v>16</c:v>
                </c:pt>
                <c:pt idx="5">
                  <c:v>30</c:v>
                </c:pt>
                <c:pt idx="6">
                  <c:v>44</c:v>
                </c:pt>
                <c:pt idx="7">
                  <c:v>58</c:v>
                </c:pt>
                <c:pt idx="8">
                  <c:v>72</c:v>
                </c:pt>
                <c:pt idx="9">
                  <c:v>86</c:v>
                </c:pt>
                <c:pt idx="10">
                  <c:v>100</c:v>
                </c:pt>
                <c:pt idx="11">
                  <c:v>100</c:v>
                </c:pt>
                <c:pt idx="12">
                  <c:v>-40</c:v>
                </c:pt>
                <c:pt idx="13">
                  <c:v>-40</c:v>
                </c:pt>
              </c:numCache>
            </c:numRef>
          </c:yVal>
          <c:smooth val="0"/>
          <c:extLst>
            <c:ext xmlns:c16="http://schemas.microsoft.com/office/drawing/2014/chart" uri="{C3380CC4-5D6E-409C-BE32-E72D297353CC}">
              <c16:uniqueId val="{0000000F-A22E-4679-9376-42F2E6BA2BAA}"/>
            </c:ext>
          </c:extLst>
        </c:ser>
        <c:ser>
          <c:idx val="46"/>
          <c:order val="6"/>
          <c:tx>
            <c:v>SensA6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1-A22E-4679-9376-42F2E6BA2BAA}"/>
              </c:ext>
            </c:extLst>
          </c:dPt>
          <c:xVal>
            <c:numRef>
              <c:f>PlotS!$AB$8:$AO$8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PlotS!$AR$8:$BE$8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2-A22E-4679-9376-42F2E6BA2BAA}"/>
            </c:ext>
          </c:extLst>
        </c:ser>
        <c:ser>
          <c:idx val="47"/>
          <c:order val="7"/>
          <c:tx>
            <c:v>SensA7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4-A22E-4679-9376-42F2E6BA2BAA}"/>
              </c:ext>
            </c:extLst>
          </c:dPt>
          <c:xVal>
            <c:numRef>
              <c:f>PlotS!$AB$9:$AO$9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PlotS!$AR$9:$BE$9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5-A22E-4679-9376-42F2E6BA2BAA}"/>
            </c:ext>
          </c:extLst>
        </c:ser>
        <c:ser>
          <c:idx val="48"/>
          <c:order val="8"/>
          <c:tx>
            <c:v>SensA8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7-A22E-4679-9376-42F2E6BA2BAA}"/>
              </c:ext>
            </c:extLst>
          </c:dPt>
          <c:xVal>
            <c:numRef>
              <c:f>PlotS!$AB$10:$AO$10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PlotS!$AR$10:$BE$10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8-A22E-4679-9376-42F2E6BA2BAA}"/>
            </c:ext>
          </c:extLst>
        </c:ser>
        <c:ser>
          <c:idx val="49"/>
          <c:order val="9"/>
          <c:tx>
            <c:v>SensA9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A-A22E-4679-9376-42F2E6BA2BAA}"/>
              </c:ext>
            </c:extLst>
          </c:dPt>
          <c:xVal>
            <c:numRef>
              <c:f>PlotS!$AB$11:$AO$11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PlotS!$AR$11:$BE$11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B-A22E-4679-9376-42F2E6BA2BAA}"/>
            </c:ext>
          </c:extLst>
        </c:ser>
        <c:ser>
          <c:idx val="50"/>
          <c:order val="10"/>
          <c:tx>
            <c:v>SensA10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D-A22E-4679-9376-42F2E6BA2BAA}"/>
              </c:ext>
            </c:extLst>
          </c:dPt>
          <c:xVal>
            <c:numRef>
              <c:f>PlotS!$AB$12:$AO$12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PlotS!$AR$12:$BE$12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E-A22E-4679-9376-42F2E6BA2BAA}"/>
            </c:ext>
          </c:extLst>
        </c:ser>
        <c:ser>
          <c:idx val="51"/>
          <c:order val="11"/>
          <c:tx>
            <c:v>SensA11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0-A22E-4679-9376-42F2E6BA2BAA}"/>
              </c:ext>
            </c:extLst>
          </c:dPt>
          <c:xVal>
            <c:numRef>
              <c:f>PlotS!$AB$13:$AO$13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PlotS!$AR$13:$BE$13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1-A22E-4679-9376-42F2E6BA2BAA}"/>
            </c:ext>
          </c:extLst>
        </c:ser>
        <c:ser>
          <c:idx val="52"/>
          <c:order val="12"/>
          <c:tx>
            <c:v>SensA12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3-A22E-4679-9376-42F2E6BA2BAA}"/>
              </c:ext>
            </c:extLst>
          </c:dPt>
          <c:xVal>
            <c:numRef>
              <c:f>PlotS!$AB$14:$AO$14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PlotS!$AR$14:$BE$14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4-A22E-4679-9376-42F2E6BA2BAA}"/>
            </c:ext>
          </c:extLst>
        </c:ser>
        <c:ser>
          <c:idx val="53"/>
          <c:order val="13"/>
          <c:tx>
            <c:v>SensA13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6-A22E-4679-9376-42F2E6BA2BAA}"/>
              </c:ext>
            </c:extLst>
          </c:dPt>
          <c:xVal>
            <c:numRef>
              <c:f>PlotS!$AB$15:$AO$15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PlotS!$AR$15:$BE$15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7-A22E-4679-9376-42F2E6BA2BAA}"/>
            </c:ext>
          </c:extLst>
        </c:ser>
        <c:ser>
          <c:idx val="54"/>
          <c:order val="14"/>
          <c:tx>
            <c:v>SensA14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9-A22E-4679-9376-42F2E6BA2BAA}"/>
              </c:ext>
            </c:extLst>
          </c:dPt>
          <c:xVal>
            <c:numRef>
              <c:f>PlotS!$AB$16:$AO$16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PlotS!$AR$16:$BE$16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A-A22E-4679-9376-42F2E6BA2BAA}"/>
            </c:ext>
          </c:extLst>
        </c:ser>
        <c:ser>
          <c:idx val="55"/>
          <c:order val="15"/>
          <c:tx>
            <c:v>SensA15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C-A22E-4679-9376-42F2E6BA2BAA}"/>
              </c:ext>
            </c:extLst>
          </c:dPt>
          <c:xVal>
            <c:numRef>
              <c:f>PlotS!$AB$17:$AO$17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PlotS!$AR$17:$BE$17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D-A22E-4679-9376-42F2E6BA2BAA}"/>
            </c:ext>
          </c:extLst>
        </c:ser>
        <c:ser>
          <c:idx val="56"/>
          <c:order val="16"/>
          <c:tx>
            <c:v>SensA16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F-A22E-4679-9376-42F2E6BA2BAA}"/>
              </c:ext>
            </c:extLst>
          </c:dPt>
          <c:xVal>
            <c:numRef>
              <c:f>PlotS!$AB$18:$AO$18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PlotS!$AR$18:$BE$18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0-A22E-4679-9376-42F2E6BA2BAA}"/>
            </c:ext>
          </c:extLst>
        </c:ser>
        <c:ser>
          <c:idx val="57"/>
          <c:order val="17"/>
          <c:tx>
            <c:v>SensA17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2-A22E-4679-9376-42F2E6BA2BAA}"/>
              </c:ext>
            </c:extLst>
          </c:dPt>
          <c:xVal>
            <c:numRef>
              <c:f>PlotS!$AB$19:$AO$19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PlotS!$AR$19:$BE$19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3-A22E-4679-9376-42F2E6BA2BAA}"/>
            </c:ext>
          </c:extLst>
        </c:ser>
        <c:ser>
          <c:idx val="58"/>
          <c:order val="18"/>
          <c:tx>
            <c:v>SensA18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5-A22E-4679-9376-42F2E6BA2BAA}"/>
              </c:ext>
            </c:extLst>
          </c:dPt>
          <c:xVal>
            <c:numRef>
              <c:f>PlotS!$AB$20:$AO$20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PlotS!$AR$20:$BE$20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6-A22E-4679-9376-42F2E6BA2BAA}"/>
            </c:ext>
          </c:extLst>
        </c:ser>
        <c:ser>
          <c:idx val="59"/>
          <c:order val="19"/>
          <c:tx>
            <c:v>SensA19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8-A22E-4679-9376-42F2E6BA2BAA}"/>
              </c:ext>
            </c:extLst>
          </c:dPt>
          <c:xVal>
            <c:numRef>
              <c:f>PlotS!$AB$21:$AO$21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PlotS!$AR$21:$BE$21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9-A22E-4679-9376-42F2E6BA2BAA}"/>
            </c:ext>
          </c:extLst>
        </c:ser>
        <c:ser>
          <c:idx val="60"/>
          <c:order val="20"/>
          <c:tx>
            <c:v>SensA20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B-A22E-4679-9376-42F2E6BA2BAA}"/>
              </c:ext>
            </c:extLst>
          </c:dPt>
          <c:xVal>
            <c:numRef>
              <c:f>PlotS!$AB$22:$AO$22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PlotS!$AR$22:$BE$22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C-A22E-4679-9376-42F2E6BA2BAA}"/>
            </c:ext>
          </c:extLst>
        </c:ser>
        <c:ser>
          <c:idx val="61"/>
          <c:order val="21"/>
          <c:tx>
            <c:v>SensA21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E-A22E-4679-9376-42F2E6BA2BAA}"/>
              </c:ext>
            </c:extLst>
          </c:dPt>
          <c:xVal>
            <c:numRef>
              <c:f>PlotS!$AB$23:$AO$23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PlotS!$AR$23:$BE$23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F-A22E-4679-9376-42F2E6BA2BAA}"/>
            </c:ext>
          </c:extLst>
        </c:ser>
        <c:ser>
          <c:idx val="62"/>
          <c:order val="22"/>
          <c:tx>
            <c:v>SensA22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1-A22E-4679-9376-42F2E6BA2BAA}"/>
              </c:ext>
            </c:extLst>
          </c:dPt>
          <c:xVal>
            <c:numRef>
              <c:f>PlotS!$AB$24:$AO$24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PlotS!$AR$24:$BE$24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2-A22E-4679-9376-42F2E6BA2BAA}"/>
            </c:ext>
          </c:extLst>
        </c:ser>
        <c:ser>
          <c:idx val="63"/>
          <c:order val="23"/>
          <c:tx>
            <c:v>SensA23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4-A22E-4679-9376-42F2E6BA2BAA}"/>
              </c:ext>
            </c:extLst>
          </c:dPt>
          <c:xVal>
            <c:numRef>
              <c:f>PlotS!$AB$25:$AO$25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PlotS!$AR$25:$BE$25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5-A22E-4679-9376-42F2E6BA2BAA}"/>
            </c:ext>
          </c:extLst>
        </c:ser>
        <c:ser>
          <c:idx val="64"/>
          <c:order val="24"/>
          <c:tx>
            <c:v>SensA24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7-A22E-4679-9376-42F2E6BA2BAA}"/>
              </c:ext>
            </c:extLst>
          </c:dPt>
          <c:xVal>
            <c:numRef>
              <c:f>PlotS!$AB$26:$AO$26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PlotS!$AR$26:$BE$26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8-A22E-4679-9376-42F2E6BA2BAA}"/>
            </c:ext>
          </c:extLst>
        </c:ser>
        <c:ser>
          <c:idx val="65"/>
          <c:order val="25"/>
          <c:tx>
            <c:v>SensA25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A-A22E-4679-9376-42F2E6BA2BAA}"/>
              </c:ext>
            </c:extLst>
          </c:dPt>
          <c:xVal>
            <c:numRef>
              <c:f>PlotS!$AB$27:$AO$27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PlotS!$AR$27:$BE$27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B-A22E-4679-9376-42F2E6BA2BAA}"/>
            </c:ext>
          </c:extLst>
        </c:ser>
        <c:ser>
          <c:idx val="66"/>
          <c:order val="26"/>
          <c:tx>
            <c:v>SensA26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D-A22E-4679-9376-42F2E6BA2BAA}"/>
              </c:ext>
            </c:extLst>
          </c:dPt>
          <c:xVal>
            <c:numRef>
              <c:f>PlotS!$AB$28:$AO$28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PlotS!$AR$28:$BE$28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E-A22E-4679-9376-42F2E6BA2BAA}"/>
            </c:ext>
          </c:extLst>
        </c:ser>
        <c:ser>
          <c:idx val="67"/>
          <c:order val="27"/>
          <c:tx>
            <c:v>SensA27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0-A22E-4679-9376-42F2E6BA2BAA}"/>
              </c:ext>
            </c:extLst>
          </c:dPt>
          <c:xVal>
            <c:numRef>
              <c:f>PlotS!$AB$29:$AO$29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PlotS!$AR$29:$BE$29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1-A22E-4679-9376-42F2E6BA2BAA}"/>
            </c:ext>
          </c:extLst>
        </c:ser>
        <c:ser>
          <c:idx val="68"/>
          <c:order val="28"/>
          <c:tx>
            <c:v>SensA28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3-A22E-4679-9376-42F2E6BA2BAA}"/>
              </c:ext>
            </c:extLst>
          </c:dPt>
          <c:xVal>
            <c:numRef>
              <c:f>PlotS!$AB$30:$AO$30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PlotS!$AR$30:$BE$30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4-A22E-4679-9376-42F2E6BA2BAA}"/>
            </c:ext>
          </c:extLst>
        </c:ser>
        <c:ser>
          <c:idx val="69"/>
          <c:order val="29"/>
          <c:tx>
            <c:v>SensA29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6-A22E-4679-9376-42F2E6BA2BAA}"/>
              </c:ext>
            </c:extLst>
          </c:dPt>
          <c:xVal>
            <c:numRef>
              <c:f>PlotS!$AB$31:$AO$31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PlotS!$AR$31:$BE$31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7-A22E-4679-9376-42F2E6BA2BAA}"/>
            </c:ext>
          </c:extLst>
        </c:ser>
        <c:ser>
          <c:idx val="70"/>
          <c:order val="30"/>
          <c:tx>
            <c:v>SensA30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9-A22E-4679-9376-42F2E6BA2BAA}"/>
              </c:ext>
            </c:extLst>
          </c:dPt>
          <c:xVal>
            <c:numRef>
              <c:f>PlotS!$AB$32:$AO$32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PlotS!$AR$32:$BE$32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A-A22E-4679-9376-42F2E6BA2BAA}"/>
            </c:ext>
          </c:extLst>
        </c:ser>
        <c:ser>
          <c:idx val="71"/>
          <c:order val="31"/>
          <c:tx>
            <c:v>SensA31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C-A22E-4679-9376-42F2E6BA2BAA}"/>
              </c:ext>
            </c:extLst>
          </c:dPt>
          <c:xVal>
            <c:numRef>
              <c:f>PlotS!$AB$33:$AO$33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PlotS!$AR$33:$BE$33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D-A22E-4679-9376-42F2E6BA2BAA}"/>
            </c:ext>
          </c:extLst>
        </c:ser>
        <c:ser>
          <c:idx val="72"/>
          <c:order val="32"/>
          <c:tx>
            <c:v>SensA32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F-A22E-4679-9376-42F2E6BA2BAA}"/>
              </c:ext>
            </c:extLst>
          </c:dPt>
          <c:xVal>
            <c:numRef>
              <c:f>PlotS!$AB$34:$AO$34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PlotS!$AR$34:$BE$34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0-A22E-4679-9376-42F2E6BA2BAA}"/>
            </c:ext>
          </c:extLst>
        </c:ser>
        <c:ser>
          <c:idx val="73"/>
          <c:order val="33"/>
          <c:tx>
            <c:v>SensA33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2-A22E-4679-9376-42F2E6BA2BAA}"/>
              </c:ext>
            </c:extLst>
          </c:dPt>
          <c:xVal>
            <c:numRef>
              <c:f>PlotS!$AB$35:$AO$35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PlotS!$AR$35:$BE$35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3-A22E-4679-9376-42F2E6BA2BAA}"/>
            </c:ext>
          </c:extLst>
        </c:ser>
        <c:ser>
          <c:idx val="74"/>
          <c:order val="34"/>
          <c:tx>
            <c:v>SensA34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5-A22E-4679-9376-42F2E6BA2BAA}"/>
              </c:ext>
            </c:extLst>
          </c:dPt>
          <c:xVal>
            <c:numRef>
              <c:f>PlotS!$AB$36:$AO$36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PlotS!$AR$36:$BE$36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6-A22E-4679-9376-42F2E6BA2BAA}"/>
            </c:ext>
          </c:extLst>
        </c:ser>
        <c:ser>
          <c:idx val="75"/>
          <c:order val="35"/>
          <c:tx>
            <c:v>SensA35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8-A22E-4679-9376-42F2E6BA2BAA}"/>
              </c:ext>
            </c:extLst>
          </c:dPt>
          <c:xVal>
            <c:numRef>
              <c:f>PlotS!$AB$37:$AO$37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PlotS!$AR$37:$BE$37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9-A22E-4679-9376-42F2E6BA2BAA}"/>
            </c:ext>
          </c:extLst>
        </c:ser>
        <c:ser>
          <c:idx val="76"/>
          <c:order val="36"/>
          <c:tx>
            <c:v>SensA36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B-A22E-4679-9376-42F2E6BA2BAA}"/>
              </c:ext>
            </c:extLst>
          </c:dPt>
          <c:xVal>
            <c:numRef>
              <c:f>PlotS!$AB$38:$AO$38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PlotS!$AR$38:$BE$38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C-A22E-4679-9376-42F2E6BA2BAA}"/>
            </c:ext>
          </c:extLst>
        </c:ser>
        <c:ser>
          <c:idx val="77"/>
          <c:order val="37"/>
          <c:tx>
            <c:v>SensA37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E-A22E-4679-9376-42F2E6BA2BAA}"/>
              </c:ext>
            </c:extLst>
          </c:dPt>
          <c:xVal>
            <c:numRef>
              <c:f>PlotS!$AB$39:$AO$39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PlotS!$AR$39:$BE$39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F-A22E-4679-9376-42F2E6BA2BAA}"/>
            </c:ext>
          </c:extLst>
        </c:ser>
        <c:ser>
          <c:idx val="78"/>
          <c:order val="38"/>
          <c:tx>
            <c:v>SensA38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1-A22E-4679-9376-42F2E6BA2BAA}"/>
              </c:ext>
            </c:extLst>
          </c:dPt>
          <c:xVal>
            <c:numRef>
              <c:f>PlotS!$AB$40:$AO$40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PlotS!$AR$40:$BE$40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2-A22E-4679-9376-42F2E6BA2BAA}"/>
            </c:ext>
          </c:extLst>
        </c:ser>
        <c:ser>
          <c:idx val="79"/>
          <c:order val="39"/>
          <c:tx>
            <c:v>SensA39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4-A22E-4679-9376-42F2E6BA2BAA}"/>
              </c:ext>
            </c:extLst>
          </c:dPt>
          <c:xVal>
            <c:numRef>
              <c:f>PlotS!$AB$41:$AO$41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PlotS!$AR$41:$BE$41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5-A22E-4679-9376-42F2E6BA2BAA}"/>
            </c:ext>
          </c:extLst>
        </c:ser>
        <c:ser>
          <c:idx val="80"/>
          <c:order val="40"/>
          <c:tx>
            <c:v>SensA40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77-A22E-4679-9376-42F2E6BA2BAA}"/>
              </c:ext>
            </c:extLst>
          </c:dPt>
          <c:xVal>
            <c:numRef>
              <c:f>PlotS!$AB$42:$AO$42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PlotS!$AR$42:$BE$42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78-A22E-4679-9376-42F2E6BA2BAA}"/>
            </c:ext>
          </c:extLst>
        </c:ser>
        <c:dLbls>
          <c:showLegendKey val="0"/>
          <c:showVal val="0"/>
          <c:showCatName val="0"/>
          <c:showSerName val="0"/>
          <c:showPercent val="0"/>
          <c:showBubbleSize val="0"/>
        </c:dLbls>
        <c:axId val="519120456"/>
        <c:axId val="519122024"/>
        <c:extLst/>
      </c:scatterChart>
      <c:valAx>
        <c:axId val="519120456"/>
        <c:scaling>
          <c:orientation val="minMax"/>
        </c:scaling>
        <c:delete val="1"/>
        <c:axPos val="b"/>
        <c:numFmt formatCode="General" sourceLinked="1"/>
        <c:majorTickMark val="out"/>
        <c:minorTickMark val="none"/>
        <c:tickLblPos val="none"/>
        <c:crossAx val="519122024"/>
        <c:crosses val="max"/>
        <c:crossBetween val="midCat"/>
        <c:majorUnit val="1.0000000000000005E-2"/>
      </c:valAx>
      <c:valAx>
        <c:axId val="519122024"/>
        <c:scaling>
          <c:orientation val="maxMin"/>
        </c:scaling>
        <c:delete val="1"/>
        <c:axPos val="r"/>
        <c:numFmt formatCode="General" sourceLinked="1"/>
        <c:majorTickMark val="out"/>
        <c:minorTickMark val="none"/>
        <c:tickLblPos val="none"/>
        <c:crossAx val="519120456"/>
        <c:crosses val="max"/>
        <c:crossBetween val="midCat"/>
        <c:majorUnit val="1.0000000000000005E-2"/>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DE"/>
    </a:p>
  </c:txPr>
  <c:printSettings>
    <c:headerFooter alignWithMargins="0"/>
    <c:pageMargins b="0.98425196899999956" l="0.78740157499999996" r="0.78740157499999996" t="0.98425196899999956" header="0.49212598450000195" footer="0.4921259845000019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4616259694065171E-2"/>
          <c:y val="3.679214697120789E-2"/>
          <c:w val="0.95945446873636242"/>
          <c:h val="0.93484114366706383"/>
        </c:manualLayout>
      </c:layout>
      <c:scatterChart>
        <c:scatterStyle val="lineMarker"/>
        <c:varyColors val="0"/>
        <c:ser>
          <c:idx val="41"/>
          <c:order val="0"/>
          <c:tx>
            <c:v>BoundingBox21</c:v>
          </c:tx>
          <c:spPr>
            <a:ln w="12700">
              <a:solidFill>
                <a:srgbClr val="C0C0C0"/>
              </a:solidFill>
              <a:prstDash val="solid"/>
            </a:ln>
          </c:spPr>
          <c:marker>
            <c:symbol val="none"/>
          </c:marker>
          <c:xVal>
            <c:numRef>
              <c:f>PlotU!$BH$6:$BH$9</c:f>
              <c:numCache>
                <c:formatCode>General</c:formatCode>
                <c:ptCount val="4"/>
                <c:pt idx="0">
                  <c:v>-142.7025940230013</c:v>
                </c:pt>
                <c:pt idx="1">
                  <c:v>146.93914328573672</c:v>
                </c:pt>
                <c:pt idx="2">
                  <c:v>146.93914328573672</c:v>
                </c:pt>
                <c:pt idx="3">
                  <c:v>-142.7025940230013</c:v>
                </c:pt>
              </c:numCache>
            </c:numRef>
          </c:xVal>
          <c:yVal>
            <c:numRef>
              <c:f>PlotU!$BI$6:$BI$9</c:f>
              <c:numCache>
                <c:formatCode>General</c:formatCode>
                <c:ptCount val="4"/>
                <c:pt idx="0">
                  <c:v>144.8303091443961</c:v>
                </c:pt>
                <c:pt idx="1">
                  <c:v>144.8303091443961</c:v>
                </c:pt>
                <c:pt idx="2">
                  <c:v>-144.81142816434192</c:v>
                </c:pt>
                <c:pt idx="3">
                  <c:v>-144.81142816434192</c:v>
                </c:pt>
              </c:numCache>
            </c:numRef>
          </c:yVal>
          <c:smooth val="0"/>
          <c:extLst>
            <c:ext xmlns:c16="http://schemas.microsoft.com/office/drawing/2014/chart" uri="{C3380CC4-5D6E-409C-BE32-E72D297353CC}">
              <c16:uniqueId val="{00000000-874A-4EA9-944D-E30A7AB7B87F}"/>
            </c:ext>
          </c:extLst>
        </c:ser>
        <c:ser>
          <c:idx val="42"/>
          <c:order val="1"/>
          <c:tx>
            <c:v>Einflusslinie 1</c:v>
          </c:tx>
          <c:spPr>
            <a:ln w="19050">
              <a:solidFill>
                <a:srgbClr val="1F497D"/>
              </a:solidFill>
            </a:ln>
          </c:spPr>
          <c:marker>
            <c:symbol val="none"/>
          </c:marker>
          <c:dPt>
            <c:idx val="0"/>
            <c:bubble3D val="0"/>
            <c:spPr>
              <a:ln w="19050">
                <a:solidFill>
                  <a:srgbClr val="FF0000"/>
                </a:solidFill>
              </a:ln>
            </c:spPr>
            <c:extLst>
              <c:ext xmlns:c16="http://schemas.microsoft.com/office/drawing/2014/chart" uri="{C3380CC4-5D6E-409C-BE32-E72D297353CC}">
                <c16:uniqueId val="{00000002-874A-4EA9-944D-E30A7AB7B87F}"/>
              </c:ext>
            </c:extLst>
          </c:dPt>
          <c:dPt>
            <c:idx val="12"/>
            <c:bubble3D val="0"/>
            <c:spPr>
              <a:ln>
                <a:solidFill>
                  <a:srgbClr val="FF0000"/>
                </a:solidFill>
              </a:ln>
            </c:spPr>
            <c:extLst>
              <c:ext xmlns:c16="http://schemas.microsoft.com/office/drawing/2014/chart" uri="{C3380CC4-5D6E-409C-BE32-E72D297353CC}">
                <c16:uniqueId val="{00000004-874A-4EA9-944D-E30A7AB7B87F}"/>
              </c:ext>
            </c:extLst>
          </c:dPt>
          <c:xVal>
            <c:numRef>
              <c:f>PlotU!$AB$49:$AO$49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PlotU!$AR$49:$BE$49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5-874A-4EA9-944D-E30A7AB7B87F}"/>
            </c:ext>
          </c:extLst>
        </c:ser>
        <c:ser>
          <c:idx val="43"/>
          <c:order val="2"/>
          <c:tx>
            <c:v>Einflusslinie 2</c:v>
          </c:tx>
          <c:spPr>
            <a:ln w="19050">
              <a:solidFill>
                <a:srgbClr val="1F497D"/>
              </a:solidFill>
            </a:ln>
          </c:spPr>
          <c:marker>
            <c:symbol val="none"/>
          </c:marker>
          <c:xVal>
            <c:numRef>
              <c:f>PlotU!$AB$50:$AO$50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PlotU!$AR$50:$BE$50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6-874A-4EA9-944D-E30A7AB7B87F}"/>
            </c:ext>
          </c:extLst>
        </c:ser>
        <c:ser>
          <c:idx val="44"/>
          <c:order val="3"/>
          <c:tx>
            <c:v>Einflusslinie 3</c:v>
          </c:tx>
          <c:spPr>
            <a:ln w="19050">
              <a:solidFill>
                <a:schemeClr val="tx2"/>
              </a:solidFill>
            </a:ln>
          </c:spPr>
          <c:marker>
            <c:symbol val="none"/>
          </c:marker>
          <c:xVal>
            <c:numRef>
              <c:f>PlotU!$AB$51:$AO$51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PlotU!$AR$51:$BE$51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7-874A-4EA9-944D-E30A7AB7B87F}"/>
            </c:ext>
          </c:extLst>
        </c:ser>
        <c:ser>
          <c:idx val="45"/>
          <c:order val="4"/>
          <c:tx>
            <c:v>Einflusslinie 4</c:v>
          </c:tx>
          <c:spPr>
            <a:ln w="19050">
              <a:solidFill>
                <a:schemeClr val="tx2"/>
              </a:solidFill>
            </a:ln>
          </c:spPr>
          <c:marker>
            <c:symbol val="none"/>
          </c:marker>
          <c:xVal>
            <c:numRef>
              <c:f>PlotU!$AB$52:$AO$52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PlotU!$AR$52:$BE$52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8-874A-4EA9-944D-E30A7AB7B87F}"/>
            </c:ext>
          </c:extLst>
        </c:ser>
        <c:ser>
          <c:idx val="46"/>
          <c:order val="5"/>
          <c:tx>
            <c:v>Einflusslinie 5</c:v>
          </c:tx>
          <c:spPr>
            <a:ln w="19050">
              <a:solidFill>
                <a:schemeClr val="tx2"/>
              </a:solidFill>
            </a:ln>
          </c:spPr>
          <c:marker>
            <c:symbol val="none"/>
          </c:marker>
          <c:xVal>
            <c:numRef>
              <c:f>PlotU!$AB$53:$AO$53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PlotU!$AR$53:$BE$53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9-874A-4EA9-944D-E30A7AB7B87F}"/>
            </c:ext>
          </c:extLst>
        </c:ser>
        <c:ser>
          <c:idx val="47"/>
          <c:order val="6"/>
          <c:tx>
            <c:v>Einflusslinie 6</c:v>
          </c:tx>
          <c:spPr>
            <a:ln w="19050">
              <a:solidFill>
                <a:schemeClr val="tx2"/>
              </a:solidFill>
            </a:ln>
          </c:spPr>
          <c:marker>
            <c:symbol val="none"/>
          </c:marker>
          <c:xVal>
            <c:numRef>
              <c:f>PlotU!$AB$54:$AO$54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PlotU!$AR$54:$BE$54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A-874A-4EA9-944D-E30A7AB7B87F}"/>
            </c:ext>
          </c:extLst>
        </c:ser>
        <c:ser>
          <c:idx val="48"/>
          <c:order val="7"/>
          <c:tx>
            <c:v>Einflusslinie 7</c:v>
          </c:tx>
          <c:spPr>
            <a:ln w="19050">
              <a:solidFill>
                <a:schemeClr val="tx2"/>
              </a:solidFill>
            </a:ln>
          </c:spPr>
          <c:marker>
            <c:symbol val="none"/>
          </c:marker>
          <c:xVal>
            <c:numRef>
              <c:f>PlotU!$AB$55:$AO$55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PlotU!$AR$55:$BE$55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B-874A-4EA9-944D-E30A7AB7B87F}"/>
            </c:ext>
          </c:extLst>
        </c:ser>
        <c:ser>
          <c:idx val="49"/>
          <c:order val="8"/>
          <c:tx>
            <c:v>Einflusslinie 8</c:v>
          </c:tx>
          <c:spPr>
            <a:ln w="19050">
              <a:solidFill>
                <a:schemeClr val="tx2"/>
              </a:solidFill>
            </a:ln>
          </c:spPr>
          <c:marker>
            <c:symbol val="none"/>
          </c:marker>
          <c:xVal>
            <c:numRef>
              <c:f>PlotU!$AB$56:$AO$56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PlotU!$AR$56:$BE$56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C-874A-4EA9-944D-E30A7AB7B87F}"/>
            </c:ext>
          </c:extLst>
        </c:ser>
        <c:ser>
          <c:idx val="50"/>
          <c:order val="9"/>
          <c:tx>
            <c:v>Einflusslinie 9</c:v>
          </c:tx>
          <c:spPr>
            <a:ln w="19050">
              <a:solidFill>
                <a:schemeClr val="tx2"/>
              </a:solidFill>
            </a:ln>
          </c:spPr>
          <c:marker>
            <c:symbol val="none"/>
          </c:marker>
          <c:xVal>
            <c:numRef>
              <c:f>PlotU!$AB$57:$AO$57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PlotU!$AR$57:$BE$57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D-874A-4EA9-944D-E30A7AB7B87F}"/>
            </c:ext>
          </c:extLst>
        </c:ser>
        <c:ser>
          <c:idx val="51"/>
          <c:order val="10"/>
          <c:tx>
            <c:v>Einflusslinie 10</c:v>
          </c:tx>
          <c:spPr>
            <a:ln w="19050">
              <a:solidFill>
                <a:schemeClr val="tx2"/>
              </a:solidFill>
            </a:ln>
          </c:spPr>
          <c:marker>
            <c:symbol val="none"/>
          </c:marker>
          <c:xVal>
            <c:numRef>
              <c:f>PlotU!$AB$58:$AO$58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PlotU!$AR$58:$BE$58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0E-874A-4EA9-944D-E30A7AB7B87F}"/>
            </c:ext>
          </c:extLst>
        </c:ser>
        <c:ser>
          <c:idx val="61"/>
          <c:order val="11"/>
          <c:tx>
            <c:v>Einflusslinie 11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0-874A-4EA9-944D-E30A7AB7B87F}"/>
              </c:ext>
            </c:extLst>
          </c:dPt>
          <c:xVal>
            <c:numRef>
              <c:f>PlotU!$AB$59:$AO$59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PlotU!$AR$59:$BE$59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1-874A-4EA9-944D-E30A7AB7B87F}"/>
            </c:ext>
          </c:extLst>
        </c:ser>
        <c:ser>
          <c:idx val="62"/>
          <c:order val="12"/>
          <c:tx>
            <c:v>Einflusslinie 12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3-874A-4EA9-944D-E30A7AB7B87F}"/>
              </c:ext>
            </c:extLst>
          </c:dPt>
          <c:xVal>
            <c:numRef>
              <c:f>PlotU!$AB$60:$AO$60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PlotU!$AR$60:$BE$60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4-874A-4EA9-944D-E30A7AB7B87F}"/>
            </c:ext>
          </c:extLst>
        </c:ser>
        <c:ser>
          <c:idx val="63"/>
          <c:order val="13"/>
          <c:tx>
            <c:v>Einflusslinie 13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6-874A-4EA9-944D-E30A7AB7B87F}"/>
              </c:ext>
            </c:extLst>
          </c:dPt>
          <c:xVal>
            <c:numRef>
              <c:f>PlotU!$AB$61:$AO$61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PlotU!$AR$61:$BE$61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7-874A-4EA9-944D-E30A7AB7B87F}"/>
            </c:ext>
          </c:extLst>
        </c:ser>
        <c:ser>
          <c:idx val="64"/>
          <c:order val="14"/>
          <c:tx>
            <c:v>Einflusslinie 14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9-874A-4EA9-944D-E30A7AB7B87F}"/>
              </c:ext>
            </c:extLst>
          </c:dPt>
          <c:xVal>
            <c:numRef>
              <c:f>PlotU!$AB$62:$AO$62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PlotU!$AR$62:$BE$62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A-874A-4EA9-944D-E30A7AB7B87F}"/>
            </c:ext>
          </c:extLst>
        </c:ser>
        <c:ser>
          <c:idx val="65"/>
          <c:order val="15"/>
          <c:tx>
            <c:v>Einflusslinie 15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C-874A-4EA9-944D-E30A7AB7B87F}"/>
              </c:ext>
            </c:extLst>
          </c:dPt>
          <c:xVal>
            <c:numRef>
              <c:f>PlotU!$AB$63:$AO$63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PlotU!$AR$63:$BE$63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1D-874A-4EA9-944D-E30A7AB7B87F}"/>
            </c:ext>
          </c:extLst>
        </c:ser>
        <c:ser>
          <c:idx val="66"/>
          <c:order val="16"/>
          <c:tx>
            <c:v>Einflusslinie 16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1F-874A-4EA9-944D-E30A7AB7B87F}"/>
              </c:ext>
            </c:extLst>
          </c:dPt>
          <c:xVal>
            <c:numRef>
              <c:f>PlotU!$AB$64:$AO$64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PlotU!$AR$64:$BE$64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0-874A-4EA9-944D-E30A7AB7B87F}"/>
            </c:ext>
          </c:extLst>
        </c:ser>
        <c:ser>
          <c:idx val="67"/>
          <c:order val="17"/>
          <c:tx>
            <c:v>Einflusslinie 17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2-874A-4EA9-944D-E30A7AB7B87F}"/>
              </c:ext>
            </c:extLst>
          </c:dPt>
          <c:xVal>
            <c:numRef>
              <c:f>PlotU!$AB$65:$AO$65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PlotU!$AR$65:$BE$65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3-874A-4EA9-944D-E30A7AB7B87F}"/>
            </c:ext>
          </c:extLst>
        </c:ser>
        <c:ser>
          <c:idx val="68"/>
          <c:order val="18"/>
          <c:tx>
            <c:v>Einflusslinie 18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5-874A-4EA9-944D-E30A7AB7B87F}"/>
              </c:ext>
            </c:extLst>
          </c:dPt>
          <c:xVal>
            <c:numRef>
              <c:f>PlotU!$AB$66:$AO$66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PlotU!$AR$66:$BE$66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6-874A-4EA9-944D-E30A7AB7B87F}"/>
            </c:ext>
          </c:extLst>
        </c:ser>
        <c:ser>
          <c:idx val="69"/>
          <c:order val="19"/>
          <c:tx>
            <c:v>Einflusslinie 19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8-874A-4EA9-944D-E30A7AB7B87F}"/>
              </c:ext>
            </c:extLst>
          </c:dPt>
          <c:xVal>
            <c:numRef>
              <c:f>PlotU!$AB$67:$AO$67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PlotU!$AR$67:$BE$67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9-874A-4EA9-944D-E30A7AB7B87F}"/>
            </c:ext>
          </c:extLst>
        </c:ser>
        <c:ser>
          <c:idx val="70"/>
          <c:order val="20"/>
          <c:tx>
            <c:v>Einflusslinie 20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B-874A-4EA9-944D-E30A7AB7B87F}"/>
              </c:ext>
            </c:extLst>
          </c:dPt>
          <c:xVal>
            <c:numRef>
              <c:f>PlotU!$AB$68:$AO$68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PlotU!$AR$68:$BE$68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C-874A-4EA9-944D-E30A7AB7B87F}"/>
            </c:ext>
          </c:extLst>
        </c:ser>
        <c:ser>
          <c:idx val="71"/>
          <c:order val="21"/>
          <c:tx>
            <c:v>Einflusslinie 21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2E-874A-4EA9-944D-E30A7AB7B87F}"/>
              </c:ext>
            </c:extLst>
          </c:dPt>
          <c:xVal>
            <c:numRef>
              <c:f>PlotU!$AB$69:$AO$69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PlotU!$AR$69:$BE$69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2F-874A-4EA9-944D-E30A7AB7B87F}"/>
            </c:ext>
          </c:extLst>
        </c:ser>
        <c:ser>
          <c:idx val="72"/>
          <c:order val="22"/>
          <c:tx>
            <c:v>Einflusslinie 22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1-874A-4EA9-944D-E30A7AB7B87F}"/>
              </c:ext>
            </c:extLst>
          </c:dPt>
          <c:xVal>
            <c:numRef>
              <c:f>PlotU!$AB$70:$AO$70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PlotU!$AR$70:$BE$70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2-874A-4EA9-944D-E30A7AB7B87F}"/>
            </c:ext>
          </c:extLst>
        </c:ser>
        <c:ser>
          <c:idx val="73"/>
          <c:order val="23"/>
          <c:tx>
            <c:v>Einflusslinie 23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4-874A-4EA9-944D-E30A7AB7B87F}"/>
              </c:ext>
            </c:extLst>
          </c:dPt>
          <c:xVal>
            <c:numRef>
              <c:f>PlotU!$AB$71:$AO$71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PlotU!$AR$71:$BE$71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5-874A-4EA9-944D-E30A7AB7B87F}"/>
            </c:ext>
          </c:extLst>
        </c:ser>
        <c:ser>
          <c:idx val="74"/>
          <c:order val="24"/>
          <c:tx>
            <c:v>Einflusslinie 24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7-874A-4EA9-944D-E30A7AB7B87F}"/>
              </c:ext>
            </c:extLst>
          </c:dPt>
          <c:xVal>
            <c:numRef>
              <c:f>PlotU!$AB$72:$AO$72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PlotU!$AR$72:$BE$72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8-874A-4EA9-944D-E30A7AB7B87F}"/>
            </c:ext>
          </c:extLst>
        </c:ser>
        <c:ser>
          <c:idx val="75"/>
          <c:order val="25"/>
          <c:tx>
            <c:v>Einflusslinie 25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A-874A-4EA9-944D-E30A7AB7B87F}"/>
              </c:ext>
            </c:extLst>
          </c:dPt>
          <c:xVal>
            <c:numRef>
              <c:f>PlotU!$AB$73:$AO$73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PlotU!$AR$73:$BE$73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B-874A-4EA9-944D-E30A7AB7B87F}"/>
            </c:ext>
          </c:extLst>
        </c:ser>
        <c:ser>
          <c:idx val="76"/>
          <c:order val="26"/>
          <c:tx>
            <c:v>Einflusslinie 26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3D-874A-4EA9-944D-E30A7AB7B87F}"/>
              </c:ext>
            </c:extLst>
          </c:dPt>
          <c:xVal>
            <c:numRef>
              <c:f>PlotU!$AB$74:$AO$74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PlotU!$AR$74:$BE$74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3E-874A-4EA9-944D-E30A7AB7B87F}"/>
            </c:ext>
          </c:extLst>
        </c:ser>
        <c:ser>
          <c:idx val="77"/>
          <c:order val="27"/>
          <c:tx>
            <c:v>Einflusslinie 27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0-874A-4EA9-944D-E30A7AB7B87F}"/>
              </c:ext>
            </c:extLst>
          </c:dPt>
          <c:xVal>
            <c:numRef>
              <c:f>PlotU!$AB$75:$AO$75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PlotU!$AR$75:$BE$75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1-874A-4EA9-944D-E30A7AB7B87F}"/>
            </c:ext>
          </c:extLst>
        </c:ser>
        <c:ser>
          <c:idx val="78"/>
          <c:order val="28"/>
          <c:tx>
            <c:v>Einflusslinie 28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3-874A-4EA9-944D-E30A7AB7B87F}"/>
              </c:ext>
            </c:extLst>
          </c:dPt>
          <c:xVal>
            <c:numRef>
              <c:f>PlotU!$AB$76:$AO$76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PlotU!$AR$76:$BE$76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4-874A-4EA9-944D-E30A7AB7B87F}"/>
            </c:ext>
          </c:extLst>
        </c:ser>
        <c:ser>
          <c:idx val="79"/>
          <c:order val="29"/>
          <c:tx>
            <c:v>Einflusslinie 29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6-874A-4EA9-944D-E30A7AB7B87F}"/>
              </c:ext>
            </c:extLst>
          </c:dPt>
          <c:xVal>
            <c:numRef>
              <c:f>PlotU!$AB$77:$AO$77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PlotU!$AR$77:$BE$77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7-874A-4EA9-944D-E30A7AB7B87F}"/>
            </c:ext>
          </c:extLst>
        </c:ser>
        <c:ser>
          <c:idx val="80"/>
          <c:order val="30"/>
          <c:tx>
            <c:v>Einflusslinie 30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9-874A-4EA9-944D-E30A7AB7B87F}"/>
              </c:ext>
            </c:extLst>
          </c:dPt>
          <c:xVal>
            <c:numRef>
              <c:f>PlotU!$AB$78:$AO$78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PlotU!$AR$78:$BE$78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A-874A-4EA9-944D-E30A7AB7B87F}"/>
            </c:ext>
          </c:extLst>
        </c:ser>
        <c:ser>
          <c:idx val="81"/>
          <c:order val="31"/>
          <c:tx>
            <c:v>Einflusslinie 31</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C-874A-4EA9-944D-E30A7AB7B87F}"/>
              </c:ext>
            </c:extLst>
          </c:dPt>
          <c:xVal>
            <c:numRef>
              <c:f>PlotU!$AB$79:$AO$79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PlotU!$AR$79:$BE$79</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4D-874A-4EA9-944D-E30A7AB7B87F}"/>
            </c:ext>
          </c:extLst>
        </c:ser>
        <c:ser>
          <c:idx val="82"/>
          <c:order val="32"/>
          <c:tx>
            <c:v>Einflusslinie 32</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4F-874A-4EA9-944D-E30A7AB7B87F}"/>
              </c:ext>
            </c:extLst>
          </c:dPt>
          <c:xVal>
            <c:numRef>
              <c:f>PlotU!$AB$80:$AO$80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PlotU!$AR$80:$BE$80</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0-874A-4EA9-944D-E30A7AB7B87F}"/>
            </c:ext>
          </c:extLst>
        </c:ser>
        <c:ser>
          <c:idx val="83"/>
          <c:order val="33"/>
          <c:tx>
            <c:v>Einflusslinie 33</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2-874A-4EA9-944D-E30A7AB7B87F}"/>
              </c:ext>
            </c:extLst>
          </c:dPt>
          <c:xVal>
            <c:numRef>
              <c:f>PlotU!$AB$81:$AO$81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PlotU!$AR$81:$BE$81</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3-874A-4EA9-944D-E30A7AB7B87F}"/>
            </c:ext>
          </c:extLst>
        </c:ser>
        <c:ser>
          <c:idx val="84"/>
          <c:order val="34"/>
          <c:tx>
            <c:v>Einflusslinie 34</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5-874A-4EA9-944D-E30A7AB7B87F}"/>
              </c:ext>
            </c:extLst>
          </c:dPt>
          <c:xVal>
            <c:numRef>
              <c:f>PlotU!$AB$82:$AO$82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PlotU!$AR$82:$BE$82</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6-874A-4EA9-944D-E30A7AB7B87F}"/>
            </c:ext>
          </c:extLst>
        </c:ser>
        <c:ser>
          <c:idx val="85"/>
          <c:order val="35"/>
          <c:tx>
            <c:v>Einflusslinie 35</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8-874A-4EA9-944D-E30A7AB7B87F}"/>
              </c:ext>
            </c:extLst>
          </c:dPt>
          <c:xVal>
            <c:numRef>
              <c:f>PlotU!$AB$83:$AO$83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PlotU!$AR$83:$BE$83</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9-874A-4EA9-944D-E30A7AB7B87F}"/>
            </c:ext>
          </c:extLst>
        </c:ser>
        <c:ser>
          <c:idx val="86"/>
          <c:order val="36"/>
          <c:tx>
            <c:v>Einflusslinie 36</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B-874A-4EA9-944D-E30A7AB7B87F}"/>
              </c:ext>
            </c:extLst>
          </c:dPt>
          <c:xVal>
            <c:numRef>
              <c:f>PlotU!$AB$84:$AO$84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PlotU!$AR$84:$BE$84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C-874A-4EA9-944D-E30A7AB7B87F}"/>
            </c:ext>
          </c:extLst>
        </c:ser>
        <c:ser>
          <c:idx val="87"/>
          <c:order val="37"/>
          <c:tx>
            <c:v>Einflusslinie 37</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5E-874A-4EA9-944D-E30A7AB7B87F}"/>
              </c:ext>
            </c:extLst>
          </c:dPt>
          <c:xVal>
            <c:numRef>
              <c:f>PlotU!$AB$85:$AO$85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PlotU!$AR$85:$BE$85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5F-874A-4EA9-944D-E30A7AB7B87F}"/>
            </c:ext>
          </c:extLst>
        </c:ser>
        <c:ser>
          <c:idx val="88"/>
          <c:order val="38"/>
          <c:tx>
            <c:v>Einflusslinie 38</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1-874A-4EA9-944D-E30A7AB7B87F}"/>
              </c:ext>
            </c:extLst>
          </c:dPt>
          <c:xVal>
            <c:numRef>
              <c:f>PlotU!$AB$86:$AO$86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PlotU!$AR$86:$BE$86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2-874A-4EA9-944D-E30A7AB7B87F}"/>
            </c:ext>
          </c:extLst>
        </c:ser>
        <c:ser>
          <c:idx val="90"/>
          <c:order val="39"/>
          <c:tx>
            <c:v>Einflusslinie 39</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4-874A-4EA9-944D-E30A7AB7B87F}"/>
              </c:ext>
            </c:extLst>
          </c:dPt>
          <c:xVal>
            <c:numRef>
              <c:f>PlotU!$AB$87:$AO$87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PlotU!$AR$87:$BE$87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5-874A-4EA9-944D-E30A7AB7B87F}"/>
            </c:ext>
          </c:extLst>
        </c:ser>
        <c:ser>
          <c:idx val="92"/>
          <c:order val="40"/>
          <c:tx>
            <c:v>Einflusslinie 40</c:v>
          </c:tx>
          <c:spPr>
            <a:ln w="12700">
              <a:solidFill>
                <a:srgbClr val="000080"/>
              </a:solidFill>
              <a:prstDash val="solid"/>
            </a:ln>
          </c:spPr>
          <c:marker>
            <c:symbol val="none"/>
          </c:marker>
          <c:dPt>
            <c:idx val="12"/>
            <c:bubble3D val="0"/>
            <c:spPr>
              <a:ln w="25400" cap="rnd" cmpd="sng" algn="ctr">
                <a:solidFill>
                  <a:srgbClr val="FF0000"/>
                </a:solidFill>
                <a:prstDash val="solid"/>
                <a:round/>
                <a:headEnd type="none" w="med" len="med"/>
                <a:tailEnd type="none" w="med" len="med"/>
              </a:ln>
            </c:spPr>
            <c:extLst>
              <c:ext xmlns:c16="http://schemas.microsoft.com/office/drawing/2014/chart" uri="{C3380CC4-5D6E-409C-BE32-E72D297353CC}">
                <c16:uniqueId val="{00000067-874A-4EA9-944D-E30A7AB7B87F}"/>
              </c:ext>
            </c:extLst>
          </c:dPt>
          <c:xVal>
            <c:numRef>
              <c:f>PlotU!$AB$88:$AO$88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PlotU!$AR$88:$BE$88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yVal>
          <c:smooth val="0"/>
          <c:extLst>
            <c:ext xmlns:c16="http://schemas.microsoft.com/office/drawing/2014/chart" uri="{C3380CC4-5D6E-409C-BE32-E72D297353CC}">
              <c16:uniqueId val="{00000068-874A-4EA9-944D-E30A7AB7B87F}"/>
            </c:ext>
          </c:extLst>
        </c:ser>
        <c:ser>
          <c:idx val="0"/>
          <c:order val="41"/>
          <c:tx>
            <c:v>system1</c:v>
          </c:tx>
          <c:spPr>
            <a:ln w="28575">
              <a:solidFill>
                <a:srgbClr val="FF0000"/>
              </a:solidFill>
            </a:ln>
          </c:spPr>
          <c:marker>
            <c:symbol val="none"/>
          </c:marker>
          <c:xVal>
            <c:numRef>
              <c:f>PlotU!$B$95:$L$95</c:f>
              <c:numCache>
                <c:formatCode>General</c:formatCode>
                <c:ptCount val="11"/>
              </c:numCache>
            </c:numRef>
          </c:xVal>
          <c:yVal>
            <c:numRef>
              <c:f>PlotU!$O$95:$Y$95</c:f>
              <c:numCache>
                <c:formatCode>General</c:formatCode>
                <c:ptCount val="11"/>
              </c:numCache>
            </c:numRef>
          </c:yVal>
          <c:smooth val="0"/>
          <c:extLst>
            <c:ext xmlns:c16="http://schemas.microsoft.com/office/drawing/2014/chart" uri="{C3380CC4-5D6E-409C-BE32-E72D297353CC}">
              <c16:uniqueId val="{00000069-874A-4EA9-944D-E30A7AB7B87F}"/>
            </c:ext>
          </c:extLst>
        </c:ser>
        <c:ser>
          <c:idx val="1"/>
          <c:order val="42"/>
          <c:tx>
            <c:v>system2</c:v>
          </c:tx>
          <c:spPr>
            <a:ln>
              <a:solidFill>
                <a:srgbClr val="FF0000"/>
              </a:solidFill>
            </a:ln>
          </c:spPr>
          <c:marker>
            <c:symbol val="none"/>
          </c:marker>
          <c:xVal>
            <c:numRef>
              <c:f>PlotU!$B$96:$L$96</c:f>
              <c:numCache>
                <c:formatCode>General</c:formatCode>
                <c:ptCount val="11"/>
              </c:numCache>
            </c:numRef>
          </c:xVal>
          <c:yVal>
            <c:numRef>
              <c:f>PlotU!$O$96:$Y$96</c:f>
              <c:numCache>
                <c:formatCode>General</c:formatCode>
                <c:ptCount val="11"/>
              </c:numCache>
            </c:numRef>
          </c:yVal>
          <c:smooth val="0"/>
          <c:extLst>
            <c:ext xmlns:c16="http://schemas.microsoft.com/office/drawing/2014/chart" uri="{C3380CC4-5D6E-409C-BE32-E72D297353CC}">
              <c16:uniqueId val="{0000006A-874A-4EA9-944D-E30A7AB7B87F}"/>
            </c:ext>
          </c:extLst>
        </c:ser>
        <c:ser>
          <c:idx val="2"/>
          <c:order val="43"/>
          <c:tx>
            <c:v>system3</c:v>
          </c:tx>
          <c:spPr>
            <a:ln>
              <a:solidFill>
                <a:srgbClr val="FF0000"/>
              </a:solidFill>
            </a:ln>
          </c:spPr>
          <c:marker>
            <c:symbol val="none"/>
          </c:marker>
          <c:xVal>
            <c:numRef>
              <c:f>PlotU!$B$97:$L$97</c:f>
              <c:numCache>
                <c:formatCode>General</c:formatCode>
                <c:ptCount val="11"/>
              </c:numCache>
            </c:numRef>
          </c:xVal>
          <c:yVal>
            <c:numRef>
              <c:f>PlotU!$O$97:$Y$97</c:f>
              <c:numCache>
                <c:formatCode>General</c:formatCode>
                <c:ptCount val="11"/>
              </c:numCache>
            </c:numRef>
          </c:yVal>
          <c:smooth val="0"/>
          <c:extLst>
            <c:ext xmlns:c16="http://schemas.microsoft.com/office/drawing/2014/chart" uri="{C3380CC4-5D6E-409C-BE32-E72D297353CC}">
              <c16:uniqueId val="{0000006B-874A-4EA9-944D-E30A7AB7B87F}"/>
            </c:ext>
          </c:extLst>
        </c:ser>
        <c:ser>
          <c:idx val="3"/>
          <c:order val="44"/>
          <c:tx>
            <c:v>system4</c:v>
          </c:tx>
          <c:spPr>
            <a:ln>
              <a:solidFill>
                <a:srgbClr val="FF0000"/>
              </a:solidFill>
            </a:ln>
          </c:spPr>
          <c:marker>
            <c:symbol val="none"/>
          </c:marker>
          <c:xVal>
            <c:numRef>
              <c:f>PlotU!$B$98:$L$98</c:f>
              <c:numCache>
                <c:formatCode>General</c:formatCode>
                <c:ptCount val="11"/>
              </c:numCache>
            </c:numRef>
          </c:xVal>
          <c:yVal>
            <c:numRef>
              <c:f>PlotU!$O$98:$Y$98</c:f>
              <c:numCache>
                <c:formatCode>General</c:formatCode>
                <c:ptCount val="11"/>
              </c:numCache>
            </c:numRef>
          </c:yVal>
          <c:smooth val="0"/>
          <c:extLst>
            <c:ext xmlns:c16="http://schemas.microsoft.com/office/drawing/2014/chart" uri="{C3380CC4-5D6E-409C-BE32-E72D297353CC}">
              <c16:uniqueId val="{0000006C-874A-4EA9-944D-E30A7AB7B87F}"/>
            </c:ext>
          </c:extLst>
        </c:ser>
        <c:ser>
          <c:idx val="4"/>
          <c:order val="45"/>
          <c:tx>
            <c:v>system5</c:v>
          </c:tx>
          <c:spPr>
            <a:ln>
              <a:solidFill>
                <a:srgbClr val="FF0000"/>
              </a:solidFill>
            </a:ln>
          </c:spPr>
          <c:marker>
            <c:symbol val="none"/>
          </c:marker>
          <c:xVal>
            <c:numRef>
              <c:f>PlotU!$B$99:$L$99</c:f>
              <c:numCache>
                <c:formatCode>General</c:formatCode>
                <c:ptCount val="11"/>
              </c:numCache>
            </c:numRef>
          </c:xVal>
          <c:yVal>
            <c:numRef>
              <c:f>PlotU!$O$99:$Y$99</c:f>
              <c:numCache>
                <c:formatCode>General</c:formatCode>
                <c:ptCount val="11"/>
              </c:numCache>
            </c:numRef>
          </c:yVal>
          <c:smooth val="0"/>
          <c:extLst>
            <c:ext xmlns:c16="http://schemas.microsoft.com/office/drawing/2014/chart" uri="{C3380CC4-5D6E-409C-BE32-E72D297353CC}">
              <c16:uniqueId val="{0000006D-874A-4EA9-944D-E30A7AB7B87F}"/>
            </c:ext>
          </c:extLst>
        </c:ser>
        <c:ser>
          <c:idx val="5"/>
          <c:order val="46"/>
          <c:tx>
            <c:v>system6</c:v>
          </c:tx>
          <c:spPr>
            <a:ln>
              <a:solidFill>
                <a:srgbClr val="FF0000"/>
              </a:solidFill>
            </a:ln>
          </c:spPr>
          <c:marker>
            <c:symbol val="none"/>
          </c:marker>
          <c:xVal>
            <c:numRef>
              <c:f>PlotU!$B$100:$L$100</c:f>
              <c:numCache>
                <c:formatCode>General</c:formatCode>
                <c:ptCount val="11"/>
              </c:numCache>
            </c:numRef>
          </c:xVal>
          <c:yVal>
            <c:numRef>
              <c:f>PlotU!$O$100:$Y$100</c:f>
              <c:numCache>
                <c:formatCode>General</c:formatCode>
                <c:ptCount val="11"/>
              </c:numCache>
            </c:numRef>
          </c:yVal>
          <c:smooth val="0"/>
          <c:extLst>
            <c:ext xmlns:c16="http://schemas.microsoft.com/office/drawing/2014/chart" uri="{C3380CC4-5D6E-409C-BE32-E72D297353CC}">
              <c16:uniqueId val="{0000006E-874A-4EA9-944D-E30A7AB7B87F}"/>
            </c:ext>
          </c:extLst>
        </c:ser>
        <c:ser>
          <c:idx val="6"/>
          <c:order val="47"/>
          <c:tx>
            <c:v>system7</c:v>
          </c:tx>
          <c:spPr>
            <a:ln>
              <a:solidFill>
                <a:srgbClr val="FF0000"/>
              </a:solidFill>
            </a:ln>
          </c:spPr>
          <c:marker>
            <c:symbol val="none"/>
          </c:marker>
          <c:xVal>
            <c:numRef>
              <c:f>PlotU!$B$101:$L$101</c:f>
              <c:numCache>
                <c:formatCode>General</c:formatCode>
                <c:ptCount val="11"/>
              </c:numCache>
            </c:numRef>
          </c:xVal>
          <c:yVal>
            <c:numRef>
              <c:f>PlotU!$O$101:$Y$101</c:f>
              <c:numCache>
                <c:formatCode>General</c:formatCode>
                <c:ptCount val="11"/>
              </c:numCache>
            </c:numRef>
          </c:yVal>
          <c:smooth val="0"/>
          <c:extLst>
            <c:ext xmlns:c16="http://schemas.microsoft.com/office/drawing/2014/chart" uri="{C3380CC4-5D6E-409C-BE32-E72D297353CC}">
              <c16:uniqueId val="{0000006F-874A-4EA9-944D-E30A7AB7B87F}"/>
            </c:ext>
          </c:extLst>
        </c:ser>
        <c:ser>
          <c:idx val="7"/>
          <c:order val="48"/>
          <c:tx>
            <c:v>system8</c:v>
          </c:tx>
          <c:spPr>
            <a:ln>
              <a:solidFill>
                <a:srgbClr val="FF0000"/>
              </a:solidFill>
            </a:ln>
          </c:spPr>
          <c:marker>
            <c:symbol val="none"/>
          </c:marker>
          <c:xVal>
            <c:numRef>
              <c:f>PlotU!$B$102:$L$102</c:f>
              <c:numCache>
                <c:formatCode>General</c:formatCode>
                <c:ptCount val="11"/>
              </c:numCache>
            </c:numRef>
          </c:xVal>
          <c:yVal>
            <c:numRef>
              <c:f>PlotU!$O$102:$Y$102</c:f>
              <c:numCache>
                <c:formatCode>General</c:formatCode>
                <c:ptCount val="11"/>
              </c:numCache>
            </c:numRef>
          </c:yVal>
          <c:smooth val="0"/>
          <c:extLst>
            <c:ext xmlns:c16="http://schemas.microsoft.com/office/drawing/2014/chart" uri="{C3380CC4-5D6E-409C-BE32-E72D297353CC}">
              <c16:uniqueId val="{00000070-874A-4EA9-944D-E30A7AB7B87F}"/>
            </c:ext>
          </c:extLst>
        </c:ser>
        <c:ser>
          <c:idx val="8"/>
          <c:order val="49"/>
          <c:tx>
            <c:v>system9</c:v>
          </c:tx>
          <c:spPr>
            <a:ln>
              <a:solidFill>
                <a:srgbClr val="FF0000"/>
              </a:solidFill>
            </a:ln>
          </c:spPr>
          <c:marker>
            <c:symbol val="none"/>
          </c:marker>
          <c:xVal>
            <c:numRef>
              <c:f>PlotU!$B$103:$L$103</c:f>
              <c:numCache>
                <c:formatCode>General</c:formatCode>
                <c:ptCount val="11"/>
              </c:numCache>
            </c:numRef>
          </c:xVal>
          <c:yVal>
            <c:numRef>
              <c:f>PlotU!$O$103:$Y$103</c:f>
              <c:numCache>
                <c:formatCode>General</c:formatCode>
                <c:ptCount val="11"/>
              </c:numCache>
            </c:numRef>
          </c:yVal>
          <c:smooth val="0"/>
          <c:extLst>
            <c:ext xmlns:c16="http://schemas.microsoft.com/office/drawing/2014/chart" uri="{C3380CC4-5D6E-409C-BE32-E72D297353CC}">
              <c16:uniqueId val="{00000071-874A-4EA9-944D-E30A7AB7B87F}"/>
            </c:ext>
          </c:extLst>
        </c:ser>
        <c:ser>
          <c:idx val="9"/>
          <c:order val="50"/>
          <c:tx>
            <c:v>system10</c:v>
          </c:tx>
          <c:spPr>
            <a:ln>
              <a:solidFill>
                <a:srgbClr val="FF0000"/>
              </a:solidFill>
            </a:ln>
          </c:spPr>
          <c:marker>
            <c:symbol val="none"/>
          </c:marker>
          <c:xVal>
            <c:numRef>
              <c:f>PlotU!$B$104:$L$104</c:f>
              <c:numCache>
                <c:formatCode>General</c:formatCode>
                <c:ptCount val="11"/>
              </c:numCache>
            </c:numRef>
          </c:xVal>
          <c:yVal>
            <c:numRef>
              <c:f>PlotU!$O$104:$Y$104</c:f>
              <c:numCache>
                <c:formatCode>General</c:formatCode>
                <c:ptCount val="11"/>
              </c:numCache>
            </c:numRef>
          </c:yVal>
          <c:smooth val="0"/>
          <c:extLst>
            <c:ext xmlns:c16="http://schemas.microsoft.com/office/drawing/2014/chart" uri="{C3380CC4-5D6E-409C-BE32-E72D297353CC}">
              <c16:uniqueId val="{00000072-874A-4EA9-944D-E30A7AB7B87F}"/>
            </c:ext>
          </c:extLst>
        </c:ser>
        <c:ser>
          <c:idx val="10"/>
          <c:order val="51"/>
          <c:tx>
            <c:v>system11</c:v>
          </c:tx>
          <c:spPr>
            <a:ln>
              <a:solidFill>
                <a:srgbClr val="FF0000"/>
              </a:solidFill>
            </a:ln>
          </c:spPr>
          <c:marker>
            <c:symbol val="none"/>
          </c:marker>
          <c:xVal>
            <c:numRef>
              <c:f>PlotU!$B$105:$L$105</c:f>
              <c:numCache>
                <c:formatCode>General</c:formatCode>
                <c:ptCount val="11"/>
              </c:numCache>
            </c:numRef>
          </c:xVal>
          <c:yVal>
            <c:numRef>
              <c:f>PlotU!$O$105:$Y$105</c:f>
              <c:numCache>
                <c:formatCode>General</c:formatCode>
                <c:ptCount val="11"/>
              </c:numCache>
            </c:numRef>
          </c:yVal>
          <c:smooth val="0"/>
          <c:extLst>
            <c:ext xmlns:c16="http://schemas.microsoft.com/office/drawing/2014/chart" uri="{C3380CC4-5D6E-409C-BE32-E72D297353CC}">
              <c16:uniqueId val="{00000073-874A-4EA9-944D-E30A7AB7B87F}"/>
            </c:ext>
          </c:extLst>
        </c:ser>
        <c:ser>
          <c:idx val="11"/>
          <c:order val="52"/>
          <c:tx>
            <c:v>system12</c:v>
          </c:tx>
          <c:spPr>
            <a:ln>
              <a:solidFill>
                <a:srgbClr val="FF0000"/>
              </a:solidFill>
            </a:ln>
          </c:spPr>
          <c:marker>
            <c:symbol val="none"/>
          </c:marker>
          <c:xVal>
            <c:numRef>
              <c:f>PlotU!$B$106:$L$106</c:f>
              <c:numCache>
                <c:formatCode>General</c:formatCode>
                <c:ptCount val="11"/>
              </c:numCache>
            </c:numRef>
          </c:xVal>
          <c:yVal>
            <c:numRef>
              <c:f>PlotU!$O$106:$Y$106</c:f>
              <c:numCache>
                <c:formatCode>General</c:formatCode>
                <c:ptCount val="11"/>
              </c:numCache>
            </c:numRef>
          </c:yVal>
          <c:smooth val="0"/>
          <c:extLst>
            <c:ext xmlns:c16="http://schemas.microsoft.com/office/drawing/2014/chart" uri="{C3380CC4-5D6E-409C-BE32-E72D297353CC}">
              <c16:uniqueId val="{00000074-874A-4EA9-944D-E30A7AB7B87F}"/>
            </c:ext>
          </c:extLst>
        </c:ser>
        <c:ser>
          <c:idx val="12"/>
          <c:order val="53"/>
          <c:tx>
            <c:v>system13</c:v>
          </c:tx>
          <c:spPr>
            <a:ln>
              <a:solidFill>
                <a:srgbClr val="FF0000"/>
              </a:solidFill>
            </a:ln>
          </c:spPr>
          <c:marker>
            <c:symbol val="none"/>
          </c:marker>
          <c:xVal>
            <c:numRef>
              <c:f>PlotU!$B$107:$L$107</c:f>
              <c:numCache>
                <c:formatCode>General</c:formatCode>
                <c:ptCount val="11"/>
              </c:numCache>
            </c:numRef>
          </c:xVal>
          <c:yVal>
            <c:numRef>
              <c:f>PlotU!$O$107:$Y$107</c:f>
              <c:numCache>
                <c:formatCode>General</c:formatCode>
                <c:ptCount val="11"/>
              </c:numCache>
            </c:numRef>
          </c:yVal>
          <c:smooth val="0"/>
          <c:extLst>
            <c:ext xmlns:c16="http://schemas.microsoft.com/office/drawing/2014/chart" uri="{C3380CC4-5D6E-409C-BE32-E72D297353CC}">
              <c16:uniqueId val="{00000075-874A-4EA9-944D-E30A7AB7B87F}"/>
            </c:ext>
          </c:extLst>
        </c:ser>
        <c:ser>
          <c:idx val="13"/>
          <c:order val="54"/>
          <c:tx>
            <c:v>system14</c:v>
          </c:tx>
          <c:spPr>
            <a:ln>
              <a:solidFill>
                <a:srgbClr val="FF0000"/>
              </a:solidFill>
            </a:ln>
          </c:spPr>
          <c:marker>
            <c:symbol val="none"/>
          </c:marker>
          <c:xVal>
            <c:numRef>
              <c:f>PlotU!$B$108:$L$108</c:f>
              <c:numCache>
                <c:formatCode>General</c:formatCode>
                <c:ptCount val="11"/>
              </c:numCache>
            </c:numRef>
          </c:xVal>
          <c:yVal>
            <c:numRef>
              <c:f>PlotU!$O$108:$Y$108</c:f>
              <c:numCache>
                <c:formatCode>General</c:formatCode>
                <c:ptCount val="11"/>
              </c:numCache>
            </c:numRef>
          </c:yVal>
          <c:smooth val="0"/>
          <c:extLst>
            <c:ext xmlns:c16="http://schemas.microsoft.com/office/drawing/2014/chart" uri="{C3380CC4-5D6E-409C-BE32-E72D297353CC}">
              <c16:uniqueId val="{00000076-874A-4EA9-944D-E30A7AB7B87F}"/>
            </c:ext>
          </c:extLst>
        </c:ser>
        <c:ser>
          <c:idx val="14"/>
          <c:order val="55"/>
          <c:tx>
            <c:v>system15</c:v>
          </c:tx>
          <c:spPr>
            <a:ln>
              <a:solidFill>
                <a:srgbClr val="FF0000"/>
              </a:solidFill>
            </a:ln>
          </c:spPr>
          <c:marker>
            <c:symbol val="none"/>
          </c:marker>
          <c:xVal>
            <c:numRef>
              <c:f>PlotU!$B$109:$L$109</c:f>
              <c:numCache>
                <c:formatCode>General</c:formatCode>
                <c:ptCount val="11"/>
              </c:numCache>
            </c:numRef>
          </c:xVal>
          <c:yVal>
            <c:numRef>
              <c:f>PlotU!$O$109:$Y$109</c:f>
              <c:numCache>
                <c:formatCode>General</c:formatCode>
                <c:ptCount val="11"/>
              </c:numCache>
            </c:numRef>
          </c:yVal>
          <c:smooth val="0"/>
          <c:extLst>
            <c:ext xmlns:c16="http://schemas.microsoft.com/office/drawing/2014/chart" uri="{C3380CC4-5D6E-409C-BE32-E72D297353CC}">
              <c16:uniqueId val="{00000077-874A-4EA9-944D-E30A7AB7B87F}"/>
            </c:ext>
          </c:extLst>
        </c:ser>
        <c:ser>
          <c:idx val="15"/>
          <c:order val="56"/>
          <c:tx>
            <c:v>system16</c:v>
          </c:tx>
          <c:spPr>
            <a:ln>
              <a:solidFill>
                <a:srgbClr val="FF0000"/>
              </a:solidFill>
            </a:ln>
          </c:spPr>
          <c:marker>
            <c:symbol val="none"/>
          </c:marker>
          <c:xVal>
            <c:numRef>
              <c:f>PlotU!$B$110:$L$110</c:f>
              <c:numCache>
                <c:formatCode>General</c:formatCode>
                <c:ptCount val="11"/>
              </c:numCache>
            </c:numRef>
          </c:xVal>
          <c:yVal>
            <c:numRef>
              <c:f>PlotU!$O$110:$Y$110</c:f>
              <c:numCache>
                <c:formatCode>General</c:formatCode>
                <c:ptCount val="11"/>
              </c:numCache>
            </c:numRef>
          </c:yVal>
          <c:smooth val="0"/>
          <c:extLst>
            <c:ext xmlns:c16="http://schemas.microsoft.com/office/drawing/2014/chart" uri="{C3380CC4-5D6E-409C-BE32-E72D297353CC}">
              <c16:uniqueId val="{00000078-874A-4EA9-944D-E30A7AB7B87F}"/>
            </c:ext>
          </c:extLst>
        </c:ser>
        <c:ser>
          <c:idx val="16"/>
          <c:order val="57"/>
          <c:tx>
            <c:v>system17</c:v>
          </c:tx>
          <c:spPr>
            <a:ln>
              <a:solidFill>
                <a:srgbClr val="FF0000"/>
              </a:solidFill>
            </a:ln>
          </c:spPr>
          <c:marker>
            <c:symbol val="none"/>
          </c:marker>
          <c:xVal>
            <c:numRef>
              <c:f>PlotU!$B$111:$L$111</c:f>
              <c:numCache>
                <c:formatCode>General</c:formatCode>
                <c:ptCount val="11"/>
              </c:numCache>
            </c:numRef>
          </c:xVal>
          <c:yVal>
            <c:numRef>
              <c:f>PlotU!$O$111:$Y$111</c:f>
              <c:numCache>
                <c:formatCode>General</c:formatCode>
                <c:ptCount val="11"/>
              </c:numCache>
            </c:numRef>
          </c:yVal>
          <c:smooth val="0"/>
          <c:extLst>
            <c:ext xmlns:c16="http://schemas.microsoft.com/office/drawing/2014/chart" uri="{C3380CC4-5D6E-409C-BE32-E72D297353CC}">
              <c16:uniqueId val="{00000079-874A-4EA9-944D-E30A7AB7B87F}"/>
            </c:ext>
          </c:extLst>
        </c:ser>
        <c:ser>
          <c:idx val="17"/>
          <c:order val="58"/>
          <c:tx>
            <c:v>system18</c:v>
          </c:tx>
          <c:spPr>
            <a:ln>
              <a:solidFill>
                <a:srgbClr val="FF0000"/>
              </a:solidFill>
            </a:ln>
          </c:spPr>
          <c:marker>
            <c:symbol val="none"/>
          </c:marker>
          <c:xVal>
            <c:numRef>
              <c:f>PlotU!$B$112:$L$112</c:f>
              <c:numCache>
                <c:formatCode>General</c:formatCode>
                <c:ptCount val="11"/>
              </c:numCache>
            </c:numRef>
          </c:xVal>
          <c:yVal>
            <c:numRef>
              <c:f>PlotU!$O$112:$Y$112</c:f>
              <c:numCache>
                <c:formatCode>General</c:formatCode>
                <c:ptCount val="11"/>
              </c:numCache>
            </c:numRef>
          </c:yVal>
          <c:smooth val="0"/>
          <c:extLst>
            <c:ext xmlns:c16="http://schemas.microsoft.com/office/drawing/2014/chart" uri="{C3380CC4-5D6E-409C-BE32-E72D297353CC}">
              <c16:uniqueId val="{0000007A-874A-4EA9-944D-E30A7AB7B87F}"/>
            </c:ext>
          </c:extLst>
        </c:ser>
        <c:ser>
          <c:idx val="18"/>
          <c:order val="59"/>
          <c:tx>
            <c:v>system19</c:v>
          </c:tx>
          <c:spPr>
            <a:ln>
              <a:solidFill>
                <a:srgbClr val="FF0000"/>
              </a:solidFill>
            </a:ln>
          </c:spPr>
          <c:marker>
            <c:symbol val="none"/>
          </c:marker>
          <c:xVal>
            <c:numRef>
              <c:f>PlotU!$B$113:$L$113</c:f>
              <c:numCache>
                <c:formatCode>General</c:formatCode>
                <c:ptCount val="11"/>
              </c:numCache>
            </c:numRef>
          </c:xVal>
          <c:yVal>
            <c:numRef>
              <c:f>PlotU!$O$113:$Y$113</c:f>
              <c:numCache>
                <c:formatCode>General</c:formatCode>
                <c:ptCount val="11"/>
              </c:numCache>
            </c:numRef>
          </c:yVal>
          <c:smooth val="0"/>
          <c:extLst>
            <c:ext xmlns:c16="http://schemas.microsoft.com/office/drawing/2014/chart" uri="{C3380CC4-5D6E-409C-BE32-E72D297353CC}">
              <c16:uniqueId val="{0000007B-874A-4EA9-944D-E30A7AB7B87F}"/>
            </c:ext>
          </c:extLst>
        </c:ser>
        <c:ser>
          <c:idx val="19"/>
          <c:order val="60"/>
          <c:tx>
            <c:v>system20</c:v>
          </c:tx>
          <c:marker>
            <c:symbol val="none"/>
          </c:marker>
          <c:xVal>
            <c:numRef>
              <c:f>PlotU!$B$114:$L$114</c:f>
              <c:numCache>
                <c:formatCode>General</c:formatCode>
                <c:ptCount val="11"/>
              </c:numCache>
            </c:numRef>
          </c:xVal>
          <c:yVal>
            <c:numRef>
              <c:f>PlotU!$O$114:$Y$114</c:f>
              <c:numCache>
                <c:formatCode>General</c:formatCode>
                <c:ptCount val="11"/>
              </c:numCache>
            </c:numRef>
          </c:yVal>
          <c:smooth val="0"/>
          <c:extLst>
            <c:ext xmlns:c16="http://schemas.microsoft.com/office/drawing/2014/chart" uri="{C3380CC4-5D6E-409C-BE32-E72D297353CC}">
              <c16:uniqueId val="{0000007C-874A-4EA9-944D-E30A7AB7B87F}"/>
            </c:ext>
          </c:extLst>
        </c:ser>
        <c:dLbls>
          <c:showLegendKey val="0"/>
          <c:showVal val="0"/>
          <c:showCatName val="0"/>
          <c:showSerName val="0"/>
          <c:showPercent val="0"/>
          <c:showBubbleSize val="0"/>
        </c:dLbls>
        <c:axId val="519124376"/>
        <c:axId val="519396840"/>
        <c:extLst/>
      </c:scatterChart>
      <c:valAx>
        <c:axId val="519124376"/>
        <c:scaling>
          <c:orientation val="minMax"/>
        </c:scaling>
        <c:delete val="1"/>
        <c:axPos val="b"/>
        <c:numFmt formatCode="General" sourceLinked="1"/>
        <c:majorTickMark val="out"/>
        <c:minorTickMark val="none"/>
        <c:tickLblPos val="none"/>
        <c:crossAx val="519396840"/>
        <c:crosses val="max"/>
        <c:crossBetween val="midCat"/>
        <c:majorUnit val="1.0000000000000005E-2"/>
      </c:valAx>
      <c:valAx>
        <c:axId val="519396840"/>
        <c:scaling>
          <c:orientation val="maxMin"/>
        </c:scaling>
        <c:delete val="1"/>
        <c:axPos val="r"/>
        <c:numFmt formatCode="General" sourceLinked="1"/>
        <c:majorTickMark val="out"/>
        <c:minorTickMark val="none"/>
        <c:tickLblPos val="none"/>
        <c:crossAx val="519124376"/>
        <c:crosses val="max"/>
        <c:crossBetween val="midCat"/>
        <c:majorUnit val="1.0000000000000005E-2"/>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DE"/>
    </a:p>
  </c:txPr>
  <c:printSettings>
    <c:headerFooter alignWithMargins="0"/>
    <c:pageMargins b="0.98425196899999956" l="0.78740157499999996" r="0.78740157499999996" t="0.98425196899999956" header="0.49212598450000206" footer="0.49212598450000206"/>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604300019290464E-2"/>
          <c:y val="2.0815777839513636E-2"/>
          <c:w val="0.89626795514196422"/>
          <c:h val="0.91456392598571445"/>
        </c:manualLayout>
      </c:layout>
      <c:scatterChart>
        <c:scatterStyle val="lineMarker"/>
        <c:varyColors val="0"/>
        <c:ser>
          <c:idx val="0"/>
          <c:order val="0"/>
          <c:marker>
            <c:symbol val="none"/>
          </c:marker>
          <c:xVal>
            <c:numRef>
              <c:f>'L-V'!$B$2:$B$501</c:f>
              <c:numCache>
                <c:formatCode>General</c:formatCode>
                <c:ptCount val="500"/>
                <c:pt idx="0">
                  <c:v>0</c:v>
                </c:pt>
                <c:pt idx="1">
                  <c:v>-0.29684907197952271</c:v>
                </c:pt>
                <c:pt idx="2">
                  <c:v>-0.3504769504070282</c:v>
                </c:pt>
                <c:pt idx="3">
                  <c:v>0.64631283283233643</c:v>
                </c:pt>
                <c:pt idx="4">
                  <c:v>0.34103506803512573</c:v>
                </c:pt>
                <c:pt idx="5">
                  <c:v>0.34103545546531677</c:v>
                </c:pt>
                <c:pt idx="6">
                  <c:v>0.34103572368621826</c:v>
                </c:pt>
                <c:pt idx="7">
                  <c:v>0.34103590250015259</c:v>
                </c:pt>
                <c:pt idx="8">
                  <c:v>-0.3504769504070282</c:v>
                </c:pt>
                <c:pt idx="9">
                  <c:v>-0.35047441720962524</c:v>
                </c:pt>
                <c:pt idx="10">
                  <c:v>-0.35047408938407898</c:v>
                </c:pt>
                <c:pt idx="11">
                  <c:v>-0.35047385096549988</c:v>
                </c:pt>
                <c:pt idx="12">
                  <c:v>-0.35047364234924316</c:v>
                </c:pt>
                <c:pt idx="13">
                  <c:v>0.64641082286834717</c:v>
                </c:pt>
                <c:pt idx="14">
                  <c:v>0.42639684677124023</c:v>
                </c:pt>
                <c:pt idx="15">
                  <c:v>0.38122573494911194</c:v>
                </c:pt>
                <c:pt idx="16">
                  <c:v>0.36961662769317627</c:v>
                </c:pt>
                <c:pt idx="17">
                  <c:v>-0.6961403489112854</c:v>
                </c:pt>
                <c:pt idx="18">
                  <c:v>-0.36334657669067383</c:v>
                </c:pt>
                <c:pt idx="19">
                  <c:v>-0.36231380701065063</c:v>
                </c:pt>
                <c:pt idx="20">
                  <c:v>-0.36231088638305664</c:v>
                </c:pt>
                <c:pt idx="21">
                  <c:v>-0.36231070756912231</c:v>
                </c:pt>
                <c:pt idx="22">
                  <c:v>-2.7018634136766195E-3</c:v>
                </c:pt>
                <c:pt idx="23">
                  <c:v>-2.7018636465072632E-3</c:v>
                </c:pt>
                <c:pt idx="24">
                  <c:v>-2.4302245583385229E-4</c:v>
                </c:pt>
                <c:pt idx="25">
                  <c:v>-2.4302245583385229E-4</c:v>
                </c:pt>
                <c:pt idx="26">
                  <c:v>-0.15724743902683258</c:v>
                </c:pt>
                <c:pt idx="27">
                  <c:v>-0.15724745392799377</c:v>
                </c:pt>
                <c:pt idx="28">
                  <c:v>-0.15724745392799377</c:v>
                </c:pt>
                <c:pt idx="29">
                  <c:v>-0.15724745392799377</c:v>
                </c:pt>
                <c:pt idx="30">
                  <c:v>-0.24083240330219269</c:v>
                </c:pt>
                <c:pt idx="31">
                  <c:v>-0.24083267152309418</c:v>
                </c:pt>
                <c:pt idx="32">
                  <c:v>-0.41165336966514587</c:v>
                </c:pt>
                <c:pt idx="33">
                  <c:v>-0.41165226697921753</c:v>
                </c:pt>
                <c:pt idx="34">
                  <c:v>0.15699464082717896</c:v>
                </c:pt>
                <c:pt idx="35">
                  <c:v>0.15699456632137299</c:v>
                </c:pt>
                <c:pt idx="36">
                  <c:v>0.35750871896743774</c:v>
                </c:pt>
                <c:pt idx="37">
                  <c:v>0.35750964283943176</c:v>
                </c:pt>
                <c:pt idx="38">
                  <c:v>0.5313144326210022</c:v>
                </c:pt>
                <c:pt idx="39">
                  <c:v>0.48346751928329468</c:v>
                </c:pt>
                <c:pt idx="40">
                  <c:v>0.48088815808296204</c:v>
                </c:pt>
                <c:pt idx="41">
                  <c:v>0.4807426929473877</c:v>
                </c:pt>
                <c:pt idx="42">
                  <c:v>0.48073643445968628</c:v>
                </c:pt>
                <c:pt idx="43">
                  <c:v>-0.48871994018554688</c:v>
                </c:pt>
                <c:pt idx="44">
                  <c:v>-0.48872071504592896</c:v>
                </c:pt>
                <c:pt idx="45">
                  <c:v>-0.48872122168540955</c:v>
                </c:pt>
                <c:pt idx="46">
                  <c:v>-0.4887215793132782</c:v>
                </c:pt>
                <c:pt idx="47">
                  <c:v>-0.51750999689102173</c:v>
                </c:pt>
                <c:pt idx="48">
                  <c:v>-0.51723408699035645</c:v>
                </c:pt>
                <c:pt idx="49">
                  <c:v>-0.51723450422286987</c:v>
                </c:pt>
                <c:pt idx="50">
                  <c:v>-0.51751023530960083</c:v>
                </c:pt>
                <c:pt idx="51">
                  <c:v>-0.51723408699035645</c:v>
                </c:pt>
                <c:pt idx="52">
                  <c:v>-0.51723450422286987</c:v>
                </c:pt>
                <c:pt idx="53">
                  <c:v>-0.51723486185073853</c:v>
                </c:pt>
                <c:pt idx="54">
                  <c:v>-0.5172351598739624</c:v>
                </c:pt>
                <c:pt idx="55">
                  <c:v>-0.5172353982925415</c:v>
                </c:pt>
                <c:pt idx="56">
                  <c:v>-0.51723557710647583</c:v>
                </c:pt>
                <c:pt idx="57">
                  <c:v>-0.12356437742710114</c:v>
                </c:pt>
                <c:pt idx="58">
                  <c:v>1.4331319835036993E-3</c:v>
                </c:pt>
                <c:pt idx="59">
                  <c:v>1.4331319835036993E-3</c:v>
                </c:pt>
                <c:pt idx="60">
                  <c:v>1.4331319835036993E-3</c:v>
                </c:pt>
                <c:pt idx="61">
                  <c:v>1.4331319835036993E-3</c:v>
                </c:pt>
                <c:pt idx="62">
                  <c:v>2.8736107051372528E-3</c:v>
                </c:pt>
                <c:pt idx="63">
                  <c:v>2.3557404056191444E-2</c:v>
                </c:pt>
                <c:pt idx="64">
                  <c:v>2.3557392880320549E-2</c:v>
                </c:pt>
                <c:pt idx="65">
                  <c:v>2.5074711069464684E-2</c:v>
                </c:pt>
                <c:pt idx="66">
                  <c:v>2.5074727833271027E-2</c:v>
                </c:pt>
                <c:pt idx="67">
                  <c:v>2.5074727833271027E-2</c:v>
                </c:pt>
                <c:pt idx="68">
                  <c:v>2.5683330371975899E-2</c:v>
                </c:pt>
                <c:pt idx="69">
                  <c:v>2.5683233514428139E-2</c:v>
                </c:pt>
                <c:pt idx="70">
                  <c:v>2.6293745264410973E-2</c:v>
                </c:pt>
                <c:pt idx="71">
                  <c:v>2.6293134316802025E-2</c:v>
                </c:pt>
                <c:pt idx="72">
                  <c:v>2.598804235458374E-2</c:v>
                </c:pt>
                <c:pt idx="73">
                  <c:v>2.5987938046455383E-2</c:v>
                </c:pt>
                <c:pt idx="74">
                  <c:v>-5</c:v>
                </c:pt>
                <c:pt idx="75">
                  <c:v>6.3293652534484863</c:v>
                </c:pt>
                <c:pt idx="76">
                  <c:v>0.7192460298538208</c:v>
                </c:pt>
                <c:pt idx="77">
                  <c:v>0.7192460298538208</c:v>
                </c:pt>
                <c:pt idx="78">
                  <c:v>0.7192460298538208</c:v>
                </c:pt>
                <c:pt idx="79">
                  <c:v>0.7192460298538208</c:v>
                </c:pt>
                <c:pt idx="80">
                  <c:v>0.7192460298538208</c:v>
                </c:pt>
                <c:pt idx="81">
                  <c:v>0.7192460298538208</c:v>
                </c:pt>
                <c:pt idx="82">
                  <c:v>0.7192460298538208</c:v>
                </c:pt>
                <c:pt idx="83">
                  <c:v>0.7192460298538208</c:v>
                </c:pt>
                <c:pt idx="84">
                  <c:v>0.7192460298538208</c:v>
                </c:pt>
                <c:pt idx="85">
                  <c:v>0.7192460298538208</c:v>
                </c:pt>
                <c:pt idx="86">
                  <c:v>0.7192460298538208</c:v>
                </c:pt>
                <c:pt idx="87">
                  <c:v>0.7192460298538208</c:v>
                </c:pt>
                <c:pt idx="88">
                  <c:v>0.7192460298538208</c:v>
                </c:pt>
                <c:pt idx="89">
                  <c:v>0.99342674016952515</c:v>
                </c:pt>
                <c:pt idx="90">
                  <c:v>0.99342674016952515</c:v>
                </c:pt>
                <c:pt idx="91">
                  <c:v>0.99342674016952515</c:v>
                </c:pt>
                <c:pt idx="92">
                  <c:v>1.0314089059829712</c:v>
                </c:pt>
                <c:pt idx="93">
                  <c:v>0.7192460298538208</c:v>
                </c:pt>
                <c:pt idx="94">
                  <c:v>0.7192460298538208</c:v>
                </c:pt>
                <c:pt idx="95">
                  <c:v>0.7192460298538208</c:v>
                </c:pt>
                <c:pt idx="96">
                  <c:v>1.0312191247940063</c:v>
                </c:pt>
                <c:pt idx="97">
                  <c:v>1.0312192440032959</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numCache>
            </c:numRef>
          </c:xVal>
          <c:yVal>
            <c:numRef>
              <c:f>'L-V'!$C$2:$C$501</c:f>
              <c:numCache>
                <c:formatCode>General</c:formatCode>
                <c:ptCount val="500"/>
                <c:pt idx="0">
                  <c:v>0</c:v>
                </c:pt>
                <c:pt idx="1">
                  <c:v>8.8999996185302734</c:v>
                </c:pt>
                <c:pt idx="2">
                  <c:v>8.9499998092651367</c:v>
                </c:pt>
                <c:pt idx="3">
                  <c:v>8.9700002670288086</c:v>
                </c:pt>
                <c:pt idx="4">
                  <c:v>8.9899997711181641</c:v>
                </c:pt>
                <c:pt idx="5">
                  <c:v>8.9899997711181641</c:v>
                </c:pt>
                <c:pt idx="6">
                  <c:v>8.9899997711181641</c:v>
                </c:pt>
                <c:pt idx="7">
                  <c:v>8.9899997711181641</c:v>
                </c:pt>
                <c:pt idx="8">
                  <c:v>8.9499998092651367</c:v>
                </c:pt>
                <c:pt idx="9">
                  <c:v>8.9499998092651367</c:v>
                </c:pt>
                <c:pt idx="10">
                  <c:v>8.9499998092651367</c:v>
                </c:pt>
                <c:pt idx="11">
                  <c:v>8.9499998092651367</c:v>
                </c:pt>
                <c:pt idx="12">
                  <c:v>8.9499998092651367</c:v>
                </c:pt>
                <c:pt idx="13">
                  <c:v>8.9700002670288086</c:v>
                </c:pt>
                <c:pt idx="14">
                  <c:v>8.9700002670288086</c:v>
                </c:pt>
                <c:pt idx="15">
                  <c:v>8.9700002670288086</c:v>
                </c:pt>
                <c:pt idx="16">
                  <c:v>8.9700002670288086</c:v>
                </c:pt>
                <c:pt idx="17">
                  <c:v>8.9600000381469727</c:v>
                </c:pt>
                <c:pt idx="18">
                  <c:v>8.9600000381469727</c:v>
                </c:pt>
                <c:pt idx="19">
                  <c:v>8.9600000381469727</c:v>
                </c:pt>
                <c:pt idx="20">
                  <c:v>8.9600000381469727</c:v>
                </c:pt>
                <c:pt idx="21">
                  <c:v>8.9600000381469727</c:v>
                </c:pt>
                <c:pt idx="22">
                  <c:v>8.9600000381469727</c:v>
                </c:pt>
                <c:pt idx="23">
                  <c:v>8.9600000381469727</c:v>
                </c:pt>
                <c:pt idx="24">
                  <c:v>1</c:v>
                </c:pt>
                <c:pt idx="25">
                  <c:v>1</c:v>
                </c:pt>
                <c:pt idx="26">
                  <c:v>40</c:v>
                </c:pt>
                <c:pt idx="27">
                  <c:v>40</c:v>
                </c:pt>
                <c:pt idx="28">
                  <c:v>40</c:v>
                </c:pt>
                <c:pt idx="29">
                  <c:v>40</c:v>
                </c:pt>
                <c:pt idx="30">
                  <c:v>41</c:v>
                </c:pt>
                <c:pt idx="31">
                  <c:v>41</c:v>
                </c:pt>
                <c:pt idx="32">
                  <c:v>42</c:v>
                </c:pt>
                <c:pt idx="33">
                  <c:v>42</c:v>
                </c:pt>
                <c:pt idx="34">
                  <c:v>45</c:v>
                </c:pt>
                <c:pt idx="35">
                  <c:v>45</c:v>
                </c:pt>
                <c:pt idx="36">
                  <c:v>43</c:v>
                </c:pt>
                <c:pt idx="37">
                  <c:v>43</c:v>
                </c:pt>
                <c:pt idx="38">
                  <c:v>42.5</c:v>
                </c:pt>
                <c:pt idx="39">
                  <c:v>42.5</c:v>
                </c:pt>
                <c:pt idx="40">
                  <c:v>42.5</c:v>
                </c:pt>
                <c:pt idx="41">
                  <c:v>42.5</c:v>
                </c:pt>
                <c:pt idx="42">
                  <c:v>42.5</c:v>
                </c:pt>
                <c:pt idx="43">
                  <c:v>42.299999237060547</c:v>
                </c:pt>
                <c:pt idx="44">
                  <c:v>42.299999237060547</c:v>
                </c:pt>
                <c:pt idx="45">
                  <c:v>42.299999237060547</c:v>
                </c:pt>
                <c:pt idx="46">
                  <c:v>42.299999237060547</c:v>
                </c:pt>
                <c:pt idx="47">
                  <c:v>42.400001525878906</c:v>
                </c:pt>
                <c:pt idx="48">
                  <c:v>42.400001525878906</c:v>
                </c:pt>
                <c:pt idx="49">
                  <c:v>42.400001525878906</c:v>
                </c:pt>
                <c:pt idx="50">
                  <c:v>42.400001525878906</c:v>
                </c:pt>
                <c:pt idx="51">
                  <c:v>42.400001525878906</c:v>
                </c:pt>
                <c:pt idx="52">
                  <c:v>42.400001525878906</c:v>
                </c:pt>
                <c:pt idx="53">
                  <c:v>42.400001525878906</c:v>
                </c:pt>
                <c:pt idx="54">
                  <c:v>42.400001525878906</c:v>
                </c:pt>
                <c:pt idx="55">
                  <c:v>42.400001525878906</c:v>
                </c:pt>
                <c:pt idx="56">
                  <c:v>42.400001525878906</c:v>
                </c:pt>
                <c:pt idx="57">
                  <c:v>42.400001525878906</c:v>
                </c:pt>
                <c:pt idx="58">
                  <c:v>1</c:v>
                </c:pt>
                <c:pt idx="59">
                  <c:v>1</c:v>
                </c:pt>
                <c:pt idx="60">
                  <c:v>1</c:v>
                </c:pt>
                <c:pt idx="61">
                  <c:v>1</c:v>
                </c:pt>
                <c:pt idx="62">
                  <c:v>1</c:v>
                </c:pt>
                <c:pt idx="63">
                  <c:v>8</c:v>
                </c:pt>
                <c:pt idx="64">
                  <c:v>8</c:v>
                </c:pt>
                <c:pt idx="65">
                  <c:v>8.5</c:v>
                </c:pt>
                <c:pt idx="66">
                  <c:v>8.5</c:v>
                </c:pt>
                <c:pt idx="67">
                  <c:v>8.5</c:v>
                </c:pt>
                <c:pt idx="68">
                  <c:v>8.6999998092651367</c:v>
                </c:pt>
                <c:pt idx="69">
                  <c:v>8.6999998092651367</c:v>
                </c:pt>
                <c:pt idx="70">
                  <c:v>8.8999996185302734</c:v>
                </c:pt>
                <c:pt idx="71">
                  <c:v>8.8999996185302734</c:v>
                </c:pt>
                <c:pt idx="72">
                  <c:v>8.8000001907348633</c:v>
                </c:pt>
                <c:pt idx="73">
                  <c:v>8.8000001907348633</c:v>
                </c:pt>
                <c:pt idx="74">
                  <c:v>8.8000001907348633</c:v>
                </c:pt>
                <c:pt idx="75">
                  <c:v>8.8000001907348633</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0</c:v>
                </c:pt>
                <c:pt idx="126">
                  <c:v>0</c:v>
                </c:pt>
                <c:pt idx="127">
                  <c:v>0</c:v>
                </c:pt>
                <c:pt idx="128">
                  <c:v>0</c:v>
                </c:pt>
                <c:pt idx="129">
                  <c:v>0</c:v>
                </c:pt>
                <c:pt idx="130">
                  <c:v>0</c:v>
                </c:pt>
                <c:pt idx="131">
                  <c:v>0</c:v>
                </c:pt>
                <c:pt idx="132">
                  <c:v>0</c:v>
                </c:pt>
                <c:pt idx="133">
                  <c:v>1</c:v>
                </c:pt>
                <c:pt idx="134">
                  <c:v>1</c:v>
                </c:pt>
                <c:pt idx="135">
                  <c:v>1</c:v>
                </c:pt>
                <c:pt idx="136">
                  <c:v>2</c:v>
                </c:pt>
                <c:pt idx="137">
                  <c:v>2</c:v>
                </c:pt>
                <c:pt idx="138">
                  <c:v>2</c:v>
                </c:pt>
                <c:pt idx="139">
                  <c:v>2</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numCache>
            </c:numRef>
          </c:yVal>
          <c:smooth val="0"/>
          <c:extLst>
            <c:ext xmlns:c16="http://schemas.microsoft.com/office/drawing/2014/chart" uri="{C3380CC4-5D6E-409C-BE32-E72D297353CC}">
              <c16:uniqueId val="{00000000-7090-48A5-B682-927B062B9708}"/>
            </c:ext>
          </c:extLst>
        </c:ser>
        <c:dLbls>
          <c:showLegendKey val="0"/>
          <c:showVal val="0"/>
          <c:showCatName val="0"/>
          <c:showSerName val="0"/>
          <c:showPercent val="0"/>
          <c:showBubbleSize val="0"/>
        </c:dLbls>
        <c:axId val="519400760"/>
        <c:axId val="519397624"/>
      </c:scatterChart>
      <c:valAx>
        <c:axId val="519400760"/>
        <c:scaling>
          <c:orientation val="minMax"/>
        </c:scaling>
        <c:delete val="0"/>
        <c:axPos val="b"/>
        <c:numFmt formatCode="General" sourceLinked="1"/>
        <c:majorTickMark val="out"/>
        <c:minorTickMark val="none"/>
        <c:tickLblPos val="nextTo"/>
        <c:crossAx val="519397624"/>
        <c:crosses val="autoZero"/>
        <c:crossBetween val="midCat"/>
      </c:valAx>
      <c:valAx>
        <c:axId val="519397624"/>
        <c:scaling>
          <c:orientation val="minMax"/>
        </c:scaling>
        <c:delete val="0"/>
        <c:axPos val="l"/>
        <c:numFmt formatCode="General" sourceLinked="1"/>
        <c:majorTickMark val="out"/>
        <c:minorTickMark val="none"/>
        <c:tickLblPos val="nextTo"/>
        <c:crossAx val="519400760"/>
        <c:crosses val="autoZero"/>
        <c:crossBetween val="midCat"/>
      </c:valAx>
    </c:plotArea>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61849</xdr:colOff>
      <xdr:row>8</xdr:row>
      <xdr:rowOff>87630</xdr:rowOff>
    </xdr:from>
    <xdr:to>
      <xdr:col>13</xdr:col>
      <xdr:colOff>769080</xdr:colOff>
      <xdr:row>38</xdr:row>
      <xdr:rowOff>163970</xdr:rowOff>
    </xdr:to>
    <xdr:grpSp>
      <xdr:nvGrpSpPr>
        <xdr:cNvPr id="3" name="Gruppieren 2">
          <a:extLst>
            <a:ext uri="{FF2B5EF4-FFF2-40B4-BE49-F238E27FC236}">
              <a16:creationId xmlns:a16="http://schemas.microsoft.com/office/drawing/2014/main" id="{00000000-0008-0000-0100-000003000000}"/>
            </a:ext>
          </a:extLst>
        </xdr:cNvPr>
        <xdr:cNvGrpSpPr/>
      </xdr:nvGrpSpPr>
      <xdr:grpSpPr>
        <a:xfrm>
          <a:off x="1804924" y="1459230"/>
          <a:ext cx="8260556" cy="5219840"/>
          <a:chOff x="1794129" y="1403350"/>
          <a:chExt cx="8001688" cy="4874400"/>
        </a:xfrm>
      </xdr:grpSpPr>
      <xdr:pic macro="[0]!Versuch">
        <xdr:nvPicPr>
          <xdr:cNvPr id="2" name="Grafik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94129" y="1403350"/>
            <a:ext cx="8001688" cy="4874400"/>
          </a:xfrm>
          <a:prstGeom prst="rect">
            <a:avLst/>
          </a:prstGeom>
          <a:ln w="3175">
            <a:solidFill>
              <a:schemeClr val="tx1">
                <a:lumMod val="50000"/>
                <a:lumOff val="50000"/>
              </a:schemeClr>
            </a:solidFill>
          </a:ln>
        </xdr:spPr>
      </xdr:pic>
      <xdr:sp macro="[0]!Versuch" textlink="">
        <xdr:nvSpPr>
          <xdr:cNvPr id="22" name="Textfeld 7">
            <a:extLst>
              <a:ext uri="{FF2B5EF4-FFF2-40B4-BE49-F238E27FC236}">
                <a16:creationId xmlns:a16="http://schemas.microsoft.com/office/drawing/2014/main" id="{00000000-0008-0000-0100-000016000000}"/>
              </a:ext>
            </a:extLst>
          </xdr:cNvPr>
          <xdr:cNvSpPr txBox="1"/>
        </xdr:nvSpPr>
        <xdr:spPr>
          <a:xfrm>
            <a:off x="2988074" y="5790025"/>
            <a:ext cx="2319555" cy="27785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de-DE" sz="1200">
                <a:solidFill>
                  <a:schemeClr val="bg1"/>
                </a:solidFill>
              </a:rPr>
              <a:t>Version November 2022</a:t>
            </a:r>
          </a:p>
        </xdr:txBody>
      </xdr:sp>
    </xdr:grpSp>
    <xdr:clientData/>
  </xdr:twoCellAnchor>
  <xdr:twoCellAnchor>
    <xdr:from>
      <xdr:col>14</xdr:col>
      <xdr:colOff>100866</xdr:colOff>
      <xdr:row>27</xdr:row>
      <xdr:rowOff>91503</xdr:rowOff>
    </xdr:from>
    <xdr:to>
      <xdr:col>16</xdr:col>
      <xdr:colOff>86423</xdr:colOff>
      <xdr:row>38</xdr:row>
      <xdr:rowOff>163969</xdr:rowOff>
    </xdr:to>
    <xdr:grpSp>
      <xdr:nvGrpSpPr>
        <xdr:cNvPr id="10" name="Gruppieren 9">
          <a:extLst>
            <a:ext uri="{FF2B5EF4-FFF2-40B4-BE49-F238E27FC236}">
              <a16:creationId xmlns:a16="http://schemas.microsoft.com/office/drawing/2014/main" id="{00000000-0008-0000-0100-00000A000000}"/>
            </a:ext>
          </a:extLst>
        </xdr:cNvPr>
        <xdr:cNvGrpSpPr/>
      </xdr:nvGrpSpPr>
      <xdr:grpSpPr>
        <a:xfrm>
          <a:off x="10178316" y="4720653"/>
          <a:ext cx="1547657" cy="1958416"/>
          <a:chOff x="9161942" y="4294636"/>
          <a:chExt cx="1591200" cy="1937736"/>
        </a:xfrm>
      </xdr:grpSpPr>
      <xdr:sp macro="" textlink="">
        <xdr:nvSpPr>
          <xdr:cNvPr id="11" name="Rechteck 10">
            <a:extLst>
              <a:ext uri="{FF2B5EF4-FFF2-40B4-BE49-F238E27FC236}">
                <a16:creationId xmlns:a16="http://schemas.microsoft.com/office/drawing/2014/main" id="{00000000-0008-0000-0100-00000B000000}"/>
              </a:ext>
            </a:extLst>
          </xdr:cNvPr>
          <xdr:cNvSpPr/>
        </xdr:nvSpPr>
        <xdr:spPr>
          <a:xfrm>
            <a:off x="9161942" y="4294636"/>
            <a:ext cx="1591200" cy="1937736"/>
          </a:xfrm>
          <a:prstGeom prst="rect">
            <a:avLst/>
          </a:prstGeom>
          <a:solidFill>
            <a:srgbClr val="F0F0F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9349015" y="4427763"/>
                <a:ext cx="1218294" cy="226786"/>
              </a:xfrm>
              <a:prstGeom prst="rect">
                <a:avLst/>
              </a:prstGeom>
              <a:noFill/>
              <a:ln w="9525">
                <a:miter lim="800000"/>
                <a:headEnd/>
                <a:tailEnd/>
              </a:ln>
            </xdr:spPr>
            <xdr:txBody>
              <a:bodyPr vertOverflow="clip" wrap="square" lIns="36576" tIns="27432" rIns="36576" bIns="27432" anchor="ctr" upright="1"/>
              <a:lstStyle/>
              <a:p>
                <a:pPr algn="ctr" rtl="0">
                  <a:defRPr sz="1000"/>
                </a:pPr>
                <a:r>
                  <a:rPr lang="en-DE" sz="1000" b="0" i="0" u="none" strike="noStrike" baseline="0">
                    <a:solidFill>
                      <a:srgbClr val="000000"/>
                    </a:solidFill>
                    <a:latin typeface="Arial"/>
                    <a:cs typeface="Arial"/>
                  </a:rPr>
                  <a:t>Preprocessor</a:t>
                </a:r>
              </a:p>
            </xdr:txBody>
          </xdr:sp>
        </mc:Choice>
        <mc:Fallback/>
      </mc:AlternateContent>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9349015" y="4673601"/>
                <a:ext cx="1218294" cy="237671"/>
              </a:xfrm>
              <a:prstGeom prst="rect">
                <a:avLst/>
              </a:prstGeom>
              <a:noFill/>
              <a:ln w="9525">
                <a:miter lim="800000"/>
                <a:headEnd/>
                <a:tailEnd/>
              </a:ln>
            </xdr:spPr>
            <xdr:txBody>
              <a:bodyPr vertOverflow="clip" wrap="square" lIns="36576" tIns="27432" rIns="36576" bIns="27432" anchor="ctr" upright="1"/>
              <a:lstStyle/>
              <a:p>
                <a:pPr algn="ctr" rtl="0">
                  <a:defRPr sz="1000"/>
                </a:pPr>
                <a:r>
                  <a:rPr lang="en-DE" sz="1000" b="0" i="0" u="none" strike="noStrike" baseline="0">
                    <a:solidFill>
                      <a:srgbClr val="000000"/>
                    </a:solidFill>
                    <a:latin typeface="Arial"/>
                    <a:cs typeface="Arial"/>
                  </a:rPr>
                  <a:t>Berechnen</a:t>
                </a:r>
              </a:p>
            </xdr:txBody>
          </xdr:sp>
        </mc:Choice>
        <mc:Fallback/>
      </mc:AlternateContent>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9349015" y="5012872"/>
                <a:ext cx="1218294" cy="224972"/>
              </a:xfrm>
              <a:prstGeom prst="rect">
                <a:avLst/>
              </a:prstGeom>
              <a:noFill/>
              <a:ln w="9525">
                <a:miter lim="800000"/>
                <a:headEnd/>
                <a:tailEnd/>
              </a:ln>
            </xdr:spPr>
            <xdr:txBody>
              <a:bodyPr vertOverflow="clip" wrap="square" lIns="36576" tIns="27432" rIns="36576" bIns="27432" anchor="ctr" upright="1"/>
              <a:lstStyle/>
              <a:p>
                <a:pPr algn="ctr" rtl="0">
                  <a:defRPr sz="1000"/>
                </a:pPr>
                <a:r>
                  <a:rPr lang="en-DE" sz="1000" b="0" i="0" u="none" strike="noStrike" baseline="0">
                    <a:solidFill>
                      <a:srgbClr val="000000"/>
                    </a:solidFill>
                    <a:latin typeface="Arial"/>
                    <a:cs typeface="Arial"/>
                  </a:rPr>
                  <a:t>Reset</a:t>
                </a:r>
              </a:p>
            </xdr:txBody>
          </xdr:sp>
        </mc:Choice>
        <mc:Fallback/>
      </mc:AlternateContent>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9349015" y="5256893"/>
                <a:ext cx="1218294" cy="233136"/>
              </a:xfrm>
              <a:prstGeom prst="rect">
                <a:avLst/>
              </a:prstGeom>
              <a:noFill/>
              <a:ln w="9525">
                <a:miter lim="800000"/>
                <a:headEnd/>
                <a:tailEnd/>
              </a:ln>
            </xdr:spPr>
            <xdr:txBody>
              <a:bodyPr vertOverflow="clip" wrap="square" lIns="36576" tIns="27432" rIns="36576" bIns="27432" anchor="ctr" upright="1"/>
              <a:lstStyle/>
              <a:p>
                <a:pPr algn="ctr" rtl="0">
                  <a:defRPr sz="1000"/>
                </a:pPr>
                <a:r>
                  <a:rPr lang="en-DE" sz="1000" b="0" i="0" u="none" strike="noStrike" baseline="0">
                    <a:solidFill>
                      <a:srgbClr val="000000"/>
                    </a:solidFill>
                    <a:latin typeface="Arial"/>
                    <a:cs typeface="Arial"/>
                  </a:rPr>
                  <a:t>Aktualisieren</a:t>
                </a:r>
              </a:p>
            </xdr:txBody>
          </xdr:sp>
        </mc:Choice>
        <mc:Fallback/>
      </mc:AlternateContent>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9349015" y="5596165"/>
                <a:ext cx="1218294" cy="226786"/>
              </a:xfrm>
              <a:prstGeom prst="rect">
                <a:avLst/>
              </a:prstGeom>
              <a:noFill/>
              <a:ln w="9525">
                <a:miter lim="800000"/>
                <a:headEnd/>
                <a:tailEnd/>
              </a:ln>
            </xdr:spPr>
            <xdr:txBody>
              <a:bodyPr vertOverflow="clip" wrap="square" lIns="36576" tIns="27432" rIns="36576" bIns="27432" anchor="ctr" upright="1"/>
              <a:lstStyle/>
              <a:p>
                <a:pPr algn="ctr" rtl="0">
                  <a:defRPr sz="1000"/>
                </a:pPr>
                <a:r>
                  <a:rPr lang="en-DE" sz="1000" b="0" i="0" u="none" strike="noStrike" baseline="0">
                    <a:solidFill>
                      <a:srgbClr val="000000"/>
                    </a:solidFill>
                    <a:latin typeface="Arial"/>
                    <a:cs typeface="Arial"/>
                  </a:rPr>
                  <a:t>Import</a:t>
                </a:r>
              </a:p>
            </xdr:txBody>
          </xdr:sp>
        </mc:Choice>
        <mc:Fallback/>
      </mc:AlternateContent>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9349015" y="5842000"/>
                <a:ext cx="1218294" cy="237671"/>
              </a:xfrm>
              <a:prstGeom prst="rect">
                <a:avLst/>
              </a:prstGeom>
              <a:noFill/>
              <a:ln w="9525">
                <a:miter lim="800000"/>
                <a:headEnd/>
                <a:tailEnd/>
              </a:ln>
            </xdr:spPr>
            <xdr:txBody>
              <a:bodyPr vertOverflow="clip" wrap="square" lIns="36576" tIns="27432" rIns="36576" bIns="27432" anchor="ctr" upright="1"/>
              <a:lstStyle/>
              <a:p>
                <a:pPr algn="ctr" rtl="0">
                  <a:defRPr sz="1000"/>
                </a:pPr>
                <a:r>
                  <a:rPr lang="en-DE" sz="1000" b="0" i="0" u="none" strike="noStrike" baseline="0">
                    <a:solidFill>
                      <a:srgbClr val="000000"/>
                    </a:solidFill>
                    <a:latin typeface="Arial"/>
                    <a:cs typeface="Arial"/>
                  </a:rPr>
                  <a:t>Export</a:t>
                </a:r>
              </a:p>
            </xdr:txBody>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22</xdr:col>
      <xdr:colOff>129012</xdr:colOff>
      <xdr:row>46</xdr:row>
      <xdr:rowOff>139286</xdr:rowOff>
    </xdr:from>
    <xdr:to>
      <xdr:col>28</xdr:col>
      <xdr:colOff>581311</xdr:colOff>
      <xdr:row>78</xdr:row>
      <xdr:rowOff>39781</xdr:rowOff>
    </xdr:to>
    <xdr:graphicFrame macro="">
      <xdr:nvGraphicFramePr>
        <xdr:cNvPr id="2" name="Diagram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13</xdr:col>
      <xdr:colOff>363928</xdr:colOff>
      <xdr:row>46</xdr:row>
      <xdr:rowOff>127380</xdr:rowOff>
    </xdr:from>
    <xdr:to>
      <xdr:col>21</xdr:col>
      <xdr:colOff>429725</xdr:colOff>
      <xdr:row>78</xdr:row>
      <xdr:rowOff>26988</xdr:rowOff>
    </xdr:to>
    <xdr:graphicFrame macro="">
      <xdr:nvGraphicFramePr>
        <xdr:cNvPr id="3" name="Diagramm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117333</xdr:colOff>
      <xdr:row>48</xdr:row>
      <xdr:rowOff>4149</xdr:rowOff>
    </xdr:from>
    <xdr:to>
      <xdr:col>26</xdr:col>
      <xdr:colOff>348375</xdr:colOff>
      <xdr:row>49</xdr:row>
      <xdr:rowOff>161836</xdr:rowOff>
    </xdr:to>
    <xdr:sp macro="" textlink="">
      <xdr:nvSpPr>
        <xdr:cNvPr id="4" name="Textfeld 3">
          <a:extLst>
            <a:ext uri="{FF2B5EF4-FFF2-40B4-BE49-F238E27FC236}">
              <a16:creationId xmlns:a16="http://schemas.microsoft.com/office/drawing/2014/main" id="{00000000-0008-0000-0200-000004000000}"/>
            </a:ext>
          </a:extLst>
        </xdr:cNvPr>
        <xdr:cNvSpPr txBox="1"/>
      </xdr:nvSpPr>
      <xdr:spPr>
        <a:xfrm>
          <a:off x="15131114" y="8517118"/>
          <a:ext cx="1755042" cy="324374"/>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200" b="1"/>
            <a:t>unverformtes  System</a:t>
          </a:r>
        </a:p>
      </xdr:txBody>
    </xdr:sp>
    <xdr:clientData/>
  </xdr:twoCellAnchor>
  <xdr:twoCellAnchor>
    <xdr:from>
      <xdr:col>15</xdr:col>
      <xdr:colOff>680866</xdr:colOff>
      <xdr:row>47</xdr:row>
      <xdr:rowOff>158931</xdr:rowOff>
    </xdr:from>
    <xdr:to>
      <xdr:col>18</xdr:col>
      <xdr:colOff>177946</xdr:colOff>
      <xdr:row>49</xdr:row>
      <xdr:rowOff>113212</xdr:rowOff>
    </xdr:to>
    <xdr:sp macro="" textlink="">
      <xdr:nvSpPr>
        <xdr:cNvPr id="5" name="Textfeld 4">
          <a:extLst>
            <a:ext uri="{FF2B5EF4-FFF2-40B4-BE49-F238E27FC236}">
              <a16:creationId xmlns:a16="http://schemas.microsoft.com/office/drawing/2014/main" id="{00000000-0008-0000-0200-000005000000}"/>
            </a:ext>
          </a:extLst>
        </xdr:cNvPr>
        <xdr:cNvSpPr txBox="1"/>
      </xdr:nvSpPr>
      <xdr:spPr>
        <a:xfrm>
          <a:off x="9729616" y="8340906"/>
          <a:ext cx="1449705" cy="27813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200" b="1"/>
            <a:t>verformtes  System</a:t>
          </a:r>
        </a:p>
      </xdr:txBody>
    </xdr:sp>
    <xdr:clientData/>
  </xdr:twoCellAnchor>
  <mc:AlternateContent xmlns:mc="http://schemas.openxmlformats.org/markup-compatibility/2006">
    <mc:Choice xmlns:a14="http://schemas.microsoft.com/office/drawing/2010/main" Requires="a14">
      <xdr:twoCellAnchor>
        <xdr:from>
          <xdr:col>11</xdr:col>
          <xdr:colOff>556260</xdr:colOff>
          <xdr:row>55</xdr:row>
          <xdr:rowOff>30480</xdr:rowOff>
        </xdr:from>
        <xdr:to>
          <xdr:col>13</xdr:col>
          <xdr:colOff>175260</xdr:colOff>
          <xdr:row>56</xdr:row>
          <xdr:rowOff>106680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DE" sz="1000" b="0" i="0" u="none" strike="noStrike" baseline="0">
                  <a:solidFill>
                    <a:srgbClr val="000000"/>
                  </a:solidFill>
                  <a:latin typeface="Arial"/>
                  <a:cs typeface="Arial"/>
                </a:rPr>
                <a:t>Berechnen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144780</xdr:rowOff>
        </xdr:from>
        <xdr:to>
          <xdr:col>1</xdr:col>
          <xdr:colOff>487680</xdr:colOff>
          <xdr:row>0</xdr:row>
          <xdr:rowOff>487680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DE" sz="1000" b="0" i="0" u="none" strike="noStrike" baseline="0">
                  <a:solidFill>
                    <a:srgbClr val="000000"/>
                  </a:solidFill>
                  <a:latin typeface="Arial"/>
                  <a:cs typeface="Arial"/>
                </a:rPr>
                <a:t>Berechnen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152400</xdr:colOff>
          <xdr:row>23</xdr:row>
          <xdr:rowOff>99060</xdr:rowOff>
        </xdr:from>
        <xdr:to>
          <xdr:col>33</xdr:col>
          <xdr:colOff>99060</xdr:colOff>
          <xdr:row>25</xdr:row>
          <xdr:rowOff>99060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DE" sz="1000" b="0" i="0" u="none" strike="noStrike" baseline="0">
                  <a:solidFill>
                    <a:srgbClr val="000000"/>
                  </a:solidFill>
                  <a:latin typeface="Arial"/>
                  <a:cs typeface="Arial"/>
                </a:rPr>
                <a:t>Berechnen</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590550</xdr:colOff>
      <xdr:row>12</xdr:row>
      <xdr:rowOff>28575</xdr:rowOff>
    </xdr:from>
    <xdr:ext cx="18531" cy="170560"/>
    <xdr:sp macro="" textlink="">
      <xdr:nvSpPr>
        <xdr:cNvPr id="2" name="Text Box 26">
          <a:extLst>
            <a:ext uri="{FF2B5EF4-FFF2-40B4-BE49-F238E27FC236}">
              <a16:creationId xmlns:a16="http://schemas.microsoft.com/office/drawing/2014/main" id="{00000000-0008-0000-0300-000002000000}"/>
            </a:ext>
          </a:extLst>
        </xdr:cNvPr>
        <xdr:cNvSpPr txBox="1">
          <a:spLocks noChangeArrowheads="1"/>
        </xdr:cNvSpPr>
      </xdr:nvSpPr>
      <xdr:spPr bwMode="auto">
        <a:xfrm>
          <a:off x="1028700" y="3238500"/>
          <a:ext cx="18531" cy="17056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endParaRPr lang="de-DE" sz="1000" b="0" i="0" u="none" strike="noStrike" baseline="0">
            <a:solidFill>
              <a:srgbClr val="000000"/>
            </a:solidFill>
            <a:latin typeface="Arial"/>
            <a:cs typeface="Arial"/>
          </a:endParaRPr>
        </a:p>
      </xdr:txBody>
    </xdr:sp>
    <xdr:clientData/>
  </xdr:oneCellAnchor>
  <xdr:twoCellAnchor editAs="absolute">
    <xdr:from>
      <xdr:col>12</xdr:col>
      <xdr:colOff>309109</xdr:colOff>
      <xdr:row>12</xdr:row>
      <xdr:rowOff>185397</xdr:rowOff>
    </xdr:from>
    <xdr:to>
      <xdr:col>15</xdr:col>
      <xdr:colOff>512311</xdr:colOff>
      <xdr:row>28</xdr:row>
      <xdr:rowOff>61572</xdr:rowOff>
    </xdr:to>
    <xdr:grpSp>
      <xdr:nvGrpSpPr>
        <xdr:cNvPr id="3" name="Gruppieren 2">
          <a:extLst>
            <a:ext uri="{FF2B5EF4-FFF2-40B4-BE49-F238E27FC236}">
              <a16:creationId xmlns:a16="http://schemas.microsoft.com/office/drawing/2014/main" id="{00000000-0008-0000-0300-000003000000}"/>
            </a:ext>
          </a:extLst>
        </xdr:cNvPr>
        <xdr:cNvGrpSpPr/>
      </xdr:nvGrpSpPr>
      <xdr:grpSpPr>
        <a:xfrm>
          <a:off x="8593138" y="3407568"/>
          <a:ext cx="2358573" cy="3022147"/>
          <a:chOff x="8753475" y="2333625"/>
          <a:chExt cx="2266951" cy="2952750"/>
        </a:xfrm>
      </xdr:grpSpPr>
      <xdr:grpSp>
        <xdr:nvGrpSpPr>
          <xdr:cNvPr id="4" name="Gruppieren 3">
            <a:extLst>
              <a:ext uri="{FF2B5EF4-FFF2-40B4-BE49-F238E27FC236}">
                <a16:creationId xmlns:a16="http://schemas.microsoft.com/office/drawing/2014/main" id="{00000000-0008-0000-0300-000004000000}"/>
              </a:ext>
            </a:extLst>
          </xdr:cNvPr>
          <xdr:cNvGrpSpPr/>
        </xdr:nvGrpSpPr>
        <xdr:grpSpPr>
          <a:xfrm>
            <a:off x="8779668" y="2366957"/>
            <a:ext cx="2240758" cy="2814643"/>
            <a:chOff x="9441656" y="5810250"/>
            <a:chExt cx="1085850" cy="1409700"/>
          </a:xfrm>
        </xdr:grpSpPr>
        <xdr:sp macro="" textlink="">
          <xdr:nvSpPr>
            <xdr:cNvPr id="6" name="Rectangle 142">
              <a:extLst>
                <a:ext uri="{FF2B5EF4-FFF2-40B4-BE49-F238E27FC236}">
                  <a16:creationId xmlns:a16="http://schemas.microsoft.com/office/drawing/2014/main" id="{00000000-0008-0000-0300-000006000000}"/>
                </a:ext>
              </a:extLst>
            </xdr:cNvPr>
            <xdr:cNvSpPr>
              <a:spLocks noChangeArrowheads="1"/>
            </xdr:cNvSpPr>
          </xdr:nvSpPr>
          <xdr:spPr bwMode="auto">
            <a:xfrm>
              <a:off x="9441656" y="5810250"/>
              <a:ext cx="1085850" cy="14097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 name="Text Box 141">
              <a:extLst>
                <a:ext uri="{FF2B5EF4-FFF2-40B4-BE49-F238E27FC236}">
                  <a16:creationId xmlns:a16="http://schemas.microsoft.com/office/drawing/2014/main" id="{00000000-0008-0000-0300-000007000000}"/>
                </a:ext>
              </a:extLst>
            </xdr:cNvPr>
            <xdr:cNvSpPr txBox="1">
              <a:spLocks noChangeArrowheads="1"/>
            </xdr:cNvSpPr>
          </xdr:nvSpPr>
          <xdr:spPr bwMode="auto">
            <a:xfrm>
              <a:off x="9451181" y="5810250"/>
              <a:ext cx="838200" cy="1762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Grundelement</a:t>
              </a:r>
            </a:p>
          </xdr:txBody>
        </xdr:sp>
        <xdr:grpSp>
          <xdr:nvGrpSpPr>
            <xdr:cNvPr id="8" name="Group 109">
              <a:extLst>
                <a:ext uri="{FF2B5EF4-FFF2-40B4-BE49-F238E27FC236}">
                  <a16:creationId xmlns:a16="http://schemas.microsoft.com/office/drawing/2014/main" id="{00000000-0008-0000-0300-000008000000}"/>
                </a:ext>
              </a:extLst>
            </xdr:cNvPr>
            <xdr:cNvGrpSpPr>
              <a:grpSpLocks/>
            </xdr:cNvGrpSpPr>
          </xdr:nvGrpSpPr>
          <xdr:grpSpPr bwMode="auto">
            <a:xfrm>
              <a:off x="9451181" y="6015038"/>
              <a:ext cx="838200" cy="242887"/>
              <a:chOff x="8626" y="13077"/>
              <a:chExt cx="1320" cy="392"/>
            </a:xfrm>
          </xdr:grpSpPr>
          <xdr:sp macro="" textlink="">
            <xdr:nvSpPr>
              <xdr:cNvPr id="115" name="Line 140">
                <a:extLst>
                  <a:ext uri="{FF2B5EF4-FFF2-40B4-BE49-F238E27FC236}">
                    <a16:creationId xmlns:a16="http://schemas.microsoft.com/office/drawing/2014/main" id="{00000000-0008-0000-0300-000073000000}"/>
                  </a:ext>
                </a:extLst>
              </xdr:cNvPr>
              <xdr:cNvSpPr>
                <a:spLocks noChangeShapeType="1"/>
              </xdr:cNvSpPr>
            </xdr:nvSpPr>
            <xdr:spPr bwMode="auto">
              <a:xfrm>
                <a:off x="8708" y="13273"/>
                <a:ext cx="1155"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116" name="Group 125">
                <a:extLst>
                  <a:ext uri="{FF2B5EF4-FFF2-40B4-BE49-F238E27FC236}">
                    <a16:creationId xmlns:a16="http://schemas.microsoft.com/office/drawing/2014/main" id="{00000000-0008-0000-0300-000074000000}"/>
                  </a:ext>
                </a:extLst>
              </xdr:cNvPr>
              <xdr:cNvGrpSpPr>
                <a:grpSpLocks/>
              </xdr:cNvGrpSpPr>
            </xdr:nvGrpSpPr>
            <xdr:grpSpPr bwMode="auto">
              <a:xfrm rot="16200000" flipV="1">
                <a:off x="8474" y="13229"/>
                <a:ext cx="392" cy="87"/>
                <a:chOff x="10468" y="9915"/>
                <a:chExt cx="392" cy="87"/>
              </a:xfrm>
            </xdr:grpSpPr>
            <xdr:sp macro="" textlink="">
              <xdr:nvSpPr>
                <xdr:cNvPr id="132" name="Line 139">
                  <a:extLst>
                    <a:ext uri="{FF2B5EF4-FFF2-40B4-BE49-F238E27FC236}">
                      <a16:creationId xmlns:a16="http://schemas.microsoft.com/office/drawing/2014/main" id="{00000000-0008-0000-0300-000084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3" name="Line 138">
                  <a:extLst>
                    <a:ext uri="{FF2B5EF4-FFF2-40B4-BE49-F238E27FC236}">
                      <a16:creationId xmlns:a16="http://schemas.microsoft.com/office/drawing/2014/main" id="{00000000-0008-0000-0300-000085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4" name="Line 137">
                  <a:extLst>
                    <a:ext uri="{FF2B5EF4-FFF2-40B4-BE49-F238E27FC236}">
                      <a16:creationId xmlns:a16="http://schemas.microsoft.com/office/drawing/2014/main" id="{00000000-0008-0000-0300-000086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5" name="Line 136">
                  <a:extLst>
                    <a:ext uri="{FF2B5EF4-FFF2-40B4-BE49-F238E27FC236}">
                      <a16:creationId xmlns:a16="http://schemas.microsoft.com/office/drawing/2014/main" id="{00000000-0008-0000-0300-000087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 name="Line 135">
                  <a:extLst>
                    <a:ext uri="{FF2B5EF4-FFF2-40B4-BE49-F238E27FC236}">
                      <a16:creationId xmlns:a16="http://schemas.microsoft.com/office/drawing/2014/main" id="{00000000-0008-0000-0300-000088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7" name="Line 134">
                  <a:extLst>
                    <a:ext uri="{FF2B5EF4-FFF2-40B4-BE49-F238E27FC236}">
                      <a16:creationId xmlns:a16="http://schemas.microsoft.com/office/drawing/2014/main" id="{00000000-0008-0000-0300-000089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8" name="Line 133">
                  <a:extLst>
                    <a:ext uri="{FF2B5EF4-FFF2-40B4-BE49-F238E27FC236}">
                      <a16:creationId xmlns:a16="http://schemas.microsoft.com/office/drawing/2014/main" id="{00000000-0008-0000-0300-00008A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9" name="Line 132">
                  <a:extLst>
                    <a:ext uri="{FF2B5EF4-FFF2-40B4-BE49-F238E27FC236}">
                      <a16:creationId xmlns:a16="http://schemas.microsoft.com/office/drawing/2014/main" id="{00000000-0008-0000-0300-00008B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0" name="Line 131">
                  <a:extLst>
                    <a:ext uri="{FF2B5EF4-FFF2-40B4-BE49-F238E27FC236}">
                      <a16:creationId xmlns:a16="http://schemas.microsoft.com/office/drawing/2014/main" id="{00000000-0008-0000-0300-00008C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1" name="Line 130">
                  <a:extLst>
                    <a:ext uri="{FF2B5EF4-FFF2-40B4-BE49-F238E27FC236}">
                      <a16:creationId xmlns:a16="http://schemas.microsoft.com/office/drawing/2014/main" id="{00000000-0008-0000-0300-00008D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2" name="Line 129">
                  <a:extLst>
                    <a:ext uri="{FF2B5EF4-FFF2-40B4-BE49-F238E27FC236}">
                      <a16:creationId xmlns:a16="http://schemas.microsoft.com/office/drawing/2014/main" id="{00000000-0008-0000-0300-00008E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3" name="Line 128">
                  <a:extLst>
                    <a:ext uri="{FF2B5EF4-FFF2-40B4-BE49-F238E27FC236}">
                      <a16:creationId xmlns:a16="http://schemas.microsoft.com/office/drawing/2014/main" id="{00000000-0008-0000-0300-00008F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4" name="Line 127">
                  <a:extLst>
                    <a:ext uri="{FF2B5EF4-FFF2-40B4-BE49-F238E27FC236}">
                      <a16:creationId xmlns:a16="http://schemas.microsoft.com/office/drawing/2014/main" id="{00000000-0008-0000-0300-000090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5" name="Line 126">
                  <a:extLst>
                    <a:ext uri="{FF2B5EF4-FFF2-40B4-BE49-F238E27FC236}">
                      <a16:creationId xmlns:a16="http://schemas.microsoft.com/office/drawing/2014/main" id="{00000000-0008-0000-0300-000091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17" name="Group 110">
                <a:extLst>
                  <a:ext uri="{FF2B5EF4-FFF2-40B4-BE49-F238E27FC236}">
                    <a16:creationId xmlns:a16="http://schemas.microsoft.com/office/drawing/2014/main" id="{00000000-0008-0000-0300-000075000000}"/>
                  </a:ext>
                </a:extLst>
              </xdr:cNvPr>
              <xdr:cNvGrpSpPr>
                <a:grpSpLocks/>
              </xdr:cNvGrpSpPr>
            </xdr:nvGrpSpPr>
            <xdr:grpSpPr bwMode="auto">
              <a:xfrm rot="5400000" flipV="1">
                <a:off x="9707" y="13229"/>
                <a:ext cx="392" cy="87"/>
                <a:chOff x="10468" y="9915"/>
                <a:chExt cx="392" cy="87"/>
              </a:xfrm>
            </xdr:grpSpPr>
            <xdr:sp macro="" textlink="">
              <xdr:nvSpPr>
                <xdr:cNvPr id="118" name="Line 124">
                  <a:extLst>
                    <a:ext uri="{FF2B5EF4-FFF2-40B4-BE49-F238E27FC236}">
                      <a16:creationId xmlns:a16="http://schemas.microsoft.com/office/drawing/2014/main" id="{00000000-0008-0000-0300-000076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9" name="Line 123">
                  <a:extLst>
                    <a:ext uri="{FF2B5EF4-FFF2-40B4-BE49-F238E27FC236}">
                      <a16:creationId xmlns:a16="http://schemas.microsoft.com/office/drawing/2014/main" id="{00000000-0008-0000-0300-000077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0" name="Line 122">
                  <a:extLst>
                    <a:ext uri="{FF2B5EF4-FFF2-40B4-BE49-F238E27FC236}">
                      <a16:creationId xmlns:a16="http://schemas.microsoft.com/office/drawing/2014/main" id="{00000000-0008-0000-0300-000078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1" name="Line 121">
                  <a:extLst>
                    <a:ext uri="{FF2B5EF4-FFF2-40B4-BE49-F238E27FC236}">
                      <a16:creationId xmlns:a16="http://schemas.microsoft.com/office/drawing/2014/main" id="{00000000-0008-0000-0300-000079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2" name="Line 120">
                  <a:extLst>
                    <a:ext uri="{FF2B5EF4-FFF2-40B4-BE49-F238E27FC236}">
                      <a16:creationId xmlns:a16="http://schemas.microsoft.com/office/drawing/2014/main" id="{00000000-0008-0000-0300-00007A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3" name="Line 119">
                  <a:extLst>
                    <a:ext uri="{FF2B5EF4-FFF2-40B4-BE49-F238E27FC236}">
                      <a16:creationId xmlns:a16="http://schemas.microsoft.com/office/drawing/2014/main" id="{00000000-0008-0000-0300-00007B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4" name="Line 118">
                  <a:extLst>
                    <a:ext uri="{FF2B5EF4-FFF2-40B4-BE49-F238E27FC236}">
                      <a16:creationId xmlns:a16="http://schemas.microsoft.com/office/drawing/2014/main" id="{00000000-0008-0000-0300-00007C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5" name="Line 117">
                  <a:extLst>
                    <a:ext uri="{FF2B5EF4-FFF2-40B4-BE49-F238E27FC236}">
                      <a16:creationId xmlns:a16="http://schemas.microsoft.com/office/drawing/2014/main" id="{00000000-0008-0000-0300-00007D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6" name="Line 116">
                  <a:extLst>
                    <a:ext uri="{FF2B5EF4-FFF2-40B4-BE49-F238E27FC236}">
                      <a16:creationId xmlns:a16="http://schemas.microsoft.com/office/drawing/2014/main" id="{00000000-0008-0000-0300-00007E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7" name="Line 115">
                  <a:extLst>
                    <a:ext uri="{FF2B5EF4-FFF2-40B4-BE49-F238E27FC236}">
                      <a16:creationId xmlns:a16="http://schemas.microsoft.com/office/drawing/2014/main" id="{00000000-0008-0000-0300-00007F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8" name="Line 114">
                  <a:extLst>
                    <a:ext uri="{FF2B5EF4-FFF2-40B4-BE49-F238E27FC236}">
                      <a16:creationId xmlns:a16="http://schemas.microsoft.com/office/drawing/2014/main" id="{00000000-0008-0000-0300-000080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9" name="Line 113">
                  <a:extLst>
                    <a:ext uri="{FF2B5EF4-FFF2-40B4-BE49-F238E27FC236}">
                      <a16:creationId xmlns:a16="http://schemas.microsoft.com/office/drawing/2014/main" id="{00000000-0008-0000-0300-000081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0" name="Line 112">
                  <a:extLst>
                    <a:ext uri="{FF2B5EF4-FFF2-40B4-BE49-F238E27FC236}">
                      <a16:creationId xmlns:a16="http://schemas.microsoft.com/office/drawing/2014/main" id="{00000000-0008-0000-0300-000082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1" name="Line 111">
                  <a:extLst>
                    <a:ext uri="{FF2B5EF4-FFF2-40B4-BE49-F238E27FC236}">
                      <a16:creationId xmlns:a16="http://schemas.microsoft.com/office/drawing/2014/main" id="{00000000-0008-0000-0300-000083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9" name="Group 75">
              <a:extLst>
                <a:ext uri="{FF2B5EF4-FFF2-40B4-BE49-F238E27FC236}">
                  <a16:creationId xmlns:a16="http://schemas.microsoft.com/office/drawing/2014/main" id="{00000000-0008-0000-0300-000009000000}"/>
                </a:ext>
              </a:extLst>
            </xdr:cNvPr>
            <xdr:cNvGrpSpPr>
              <a:grpSpLocks/>
            </xdr:cNvGrpSpPr>
          </xdr:nvGrpSpPr>
          <xdr:grpSpPr bwMode="auto">
            <a:xfrm>
              <a:off x="9451181" y="6329363"/>
              <a:ext cx="838200" cy="242887"/>
              <a:chOff x="8626" y="13617"/>
              <a:chExt cx="1320" cy="392"/>
            </a:xfrm>
          </xdr:grpSpPr>
          <xdr:sp macro="" textlink="">
            <xdr:nvSpPr>
              <xdr:cNvPr id="82" name="Line 108">
                <a:extLst>
                  <a:ext uri="{FF2B5EF4-FFF2-40B4-BE49-F238E27FC236}">
                    <a16:creationId xmlns:a16="http://schemas.microsoft.com/office/drawing/2014/main" id="{00000000-0008-0000-0300-000052000000}"/>
                  </a:ext>
                </a:extLst>
              </xdr:cNvPr>
              <xdr:cNvSpPr>
                <a:spLocks noChangeShapeType="1"/>
              </xdr:cNvSpPr>
            </xdr:nvSpPr>
            <xdr:spPr bwMode="auto">
              <a:xfrm>
                <a:off x="8708" y="13813"/>
                <a:ext cx="1155"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83" name="Group 91">
                <a:extLst>
                  <a:ext uri="{FF2B5EF4-FFF2-40B4-BE49-F238E27FC236}">
                    <a16:creationId xmlns:a16="http://schemas.microsoft.com/office/drawing/2014/main" id="{00000000-0008-0000-0300-000053000000}"/>
                  </a:ext>
                </a:extLst>
              </xdr:cNvPr>
              <xdr:cNvGrpSpPr>
                <a:grpSpLocks/>
              </xdr:cNvGrpSpPr>
            </xdr:nvGrpSpPr>
            <xdr:grpSpPr bwMode="auto">
              <a:xfrm rot="16200000" flipV="1">
                <a:off x="8494" y="13749"/>
                <a:ext cx="392" cy="128"/>
                <a:chOff x="8494" y="13209"/>
                <a:chExt cx="392" cy="128"/>
              </a:xfrm>
            </xdr:grpSpPr>
            <xdr:grpSp>
              <xdr:nvGrpSpPr>
                <xdr:cNvPr id="99" name="Group 93">
                  <a:extLst>
                    <a:ext uri="{FF2B5EF4-FFF2-40B4-BE49-F238E27FC236}">
                      <a16:creationId xmlns:a16="http://schemas.microsoft.com/office/drawing/2014/main" id="{00000000-0008-0000-0300-000063000000}"/>
                    </a:ext>
                  </a:extLst>
                </xdr:cNvPr>
                <xdr:cNvGrpSpPr>
                  <a:grpSpLocks/>
                </xdr:cNvGrpSpPr>
              </xdr:nvGrpSpPr>
              <xdr:grpSpPr bwMode="auto">
                <a:xfrm>
                  <a:off x="8494" y="13250"/>
                  <a:ext cx="392" cy="87"/>
                  <a:chOff x="10468" y="9915"/>
                  <a:chExt cx="392" cy="87"/>
                </a:xfrm>
              </xdr:grpSpPr>
              <xdr:sp macro="" textlink="">
                <xdr:nvSpPr>
                  <xdr:cNvPr id="101" name="Line 107">
                    <a:extLst>
                      <a:ext uri="{FF2B5EF4-FFF2-40B4-BE49-F238E27FC236}">
                        <a16:creationId xmlns:a16="http://schemas.microsoft.com/office/drawing/2014/main" id="{00000000-0008-0000-0300-000065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2" name="Line 106">
                    <a:extLst>
                      <a:ext uri="{FF2B5EF4-FFF2-40B4-BE49-F238E27FC236}">
                        <a16:creationId xmlns:a16="http://schemas.microsoft.com/office/drawing/2014/main" id="{00000000-0008-0000-0300-000066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3" name="Line 105">
                    <a:extLst>
                      <a:ext uri="{FF2B5EF4-FFF2-40B4-BE49-F238E27FC236}">
                        <a16:creationId xmlns:a16="http://schemas.microsoft.com/office/drawing/2014/main" id="{00000000-0008-0000-0300-000067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4" name="Line 104">
                    <a:extLst>
                      <a:ext uri="{FF2B5EF4-FFF2-40B4-BE49-F238E27FC236}">
                        <a16:creationId xmlns:a16="http://schemas.microsoft.com/office/drawing/2014/main" id="{00000000-0008-0000-0300-000068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5" name="Line 103">
                    <a:extLst>
                      <a:ext uri="{FF2B5EF4-FFF2-40B4-BE49-F238E27FC236}">
                        <a16:creationId xmlns:a16="http://schemas.microsoft.com/office/drawing/2014/main" id="{00000000-0008-0000-0300-000069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6" name="Line 102">
                    <a:extLst>
                      <a:ext uri="{FF2B5EF4-FFF2-40B4-BE49-F238E27FC236}">
                        <a16:creationId xmlns:a16="http://schemas.microsoft.com/office/drawing/2014/main" id="{00000000-0008-0000-0300-00006A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7" name="Line 101">
                    <a:extLst>
                      <a:ext uri="{FF2B5EF4-FFF2-40B4-BE49-F238E27FC236}">
                        <a16:creationId xmlns:a16="http://schemas.microsoft.com/office/drawing/2014/main" id="{00000000-0008-0000-0300-00006B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8" name="Line 100">
                    <a:extLst>
                      <a:ext uri="{FF2B5EF4-FFF2-40B4-BE49-F238E27FC236}">
                        <a16:creationId xmlns:a16="http://schemas.microsoft.com/office/drawing/2014/main" id="{00000000-0008-0000-0300-00006C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9" name="Line 99">
                    <a:extLst>
                      <a:ext uri="{FF2B5EF4-FFF2-40B4-BE49-F238E27FC236}">
                        <a16:creationId xmlns:a16="http://schemas.microsoft.com/office/drawing/2014/main" id="{00000000-0008-0000-0300-00006D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0" name="Line 98">
                    <a:extLst>
                      <a:ext uri="{FF2B5EF4-FFF2-40B4-BE49-F238E27FC236}">
                        <a16:creationId xmlns:a16="http://schemas.microsoft.com/office/drawing/2014/main" id="{00000000-0008-0000-0300-00006E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1" name="Line 97">
                    <a:extLst>
                      <a:ext uri="{FF2B5EF4-FFF2-40B4-BE49-F238E27FC236}">
                        <a16:creationId xmlns:a16="http://schemas.microsoft.com/office/drawing/2014/main" id="{00000000-0008-0000-0300-00006F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2" name="Line 96">
                    <a:extLst>
                      <a:ext uri="{FF2B5EF4-FFF2-40B4-BE49-F238E27FC236}">
                        <a16:creationId xmlns:a16="http://schemas.microsoft.com/office/drawing/2014/main" id="{00000000-0008-0000-0300-000070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3" name="Line 95">
                    <a:extLst>
                      <a:ext uri="{FF2B5EF4-FFF2-40B4-BE49-F238E27FC236}">
                        <a16:creationId xmlns:a16="http://schemas.microsoft.com/office/drawing/2014/main" id="{00000000-0008-0000-0300-000071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4" name="Line 94">
                    <a:extLst>
                      <a:ext uri="{FF2B5EF4-FFF2-40B4-BE49-F238E27FC236}">
                        <a16:creationId xmlns:a16="http://schemas.microsoft.com/office/drawing/2014/main" id="{00000000-0008-0000-0300-000072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00" name="Oval 92">
                  <a:extLst>
                    <a:ext uri="{FF2B5EF4-FFF2-40B4-BE49-F238E27FC236}">
                      <a16:creationId xmlns:a16="http://schemas.microsoft.com/office/drawing/2014/main" id="{00000000-0008-0000-0300-000064000000}"/>
                    </a:ext>
                  </a:extLst>
                </xdr:cNvPr>
                <xdr:cNvSpPr>
                  <a:spLocks noChangeArrowheads="1"/>
                </xdr:cNvSpPr>
              </xdr:nvSpPr>
              <xdr:spPr bwMode="auto">
                <a:xfrm>
                  <a:off x="8644" y="13209"/>
                  <a:ext cx="99" cy="99"/>
                </a:xfrm>
                <a:prstGeom prst="ellipse">
                  <a:avLst/>
                </a:prstGeom>
                <a:solidFill>
                  <a:srgbClr val="FFFFFF"/>
                </a:solidFill>
                <a:ln w="6350">
                  <a:solidFill>
                    <a:srgbClr val="000000"/>
                  </a:solidFill>
                  <a:round/>
                  <a:headEnd/>
                  <a:tailEnd/>
                </a:ln>
              </xdr:spPr>
            </xdr:sp>
          </xdr:grpSp>
          <xdr:grpSp>
            <xdr:nvGrpSpPr>
              <xdr:cNvPr id="84" name="Group 76">
                <a:extLst>
                  <a:ext uri="{FF2B5EF4-FFF2-40B4-BE49-F238E27FC236}">
                    <a16:creationId xmlns:a16="http://schemas.microsoft.com/office/drawing/2014/main" id="{00000000-0008-0000-0300-000054000000}"/>
                  </a:ext>
                </a:extLst>
              </xdr:cNvPr>
              <xdr:cNvGrpSpPr>
                <a:grpSpLocks/>
              </xdr:cNvGrpSpPr>
            </xdr:nvGrpSpPr>
            <xdr:grpSpPr bwMode="auto">
              <a:xfrm rot="5400000" flipV="1">
                <a:off x="9707" y="13769"/>
                <a:ext cx="392" cy="87"/>
                <a:chOff x="10468" y="9915"/>
                <a:chExt cx="392" cy="87"/>
              </a:xfrm>
            </xdr:grpSpPr>
            <xdr:sp macro="" textlink="">
              <xdr:nvSpPr>
                <xdr:cNvPr id="85" name="Line 90">
                  <a:extLst>
                    <a:ext uri="{FF2B5EF4-FFF2-40B4-BE49-F238E27FC236}">
                      <a16:creationId xmlns:a16="http://schemas.microsoft.com/office/drawing/2014/main" id="{00000000-0008-0000-0300-000055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6" name="Line 89">
                  <a:extLst>
                    <a:ext uri="{FF2B5EF4-FFF2-40B4-BE49-F238E27FC236}">
                      <a16:creationId xmlns:a16="http://schemas.microsoft.com/office/drawing/2014/main" id="{00000000-0008-0000-0300-000056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7" name="Line 88">
                  <a:extLst>
                    <a:ext uri="{FF2B5EF4-FFF2-40B4-BE49-F238E27FC236}">
                      <a16:creationId xmlns:a16="http://schemas.microsoft.com/office/drawing/2014/main" id="{00000000-0008-0000-0300-000057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 name="Line 87">
                  <a:extLst>
                    <a:ext uri="{FF2B5EF4-FFF2-40B4-BE49-F238E27FC236}">
                      <a16:creationId xmlns:a16="http://schemas.microsoft.com/office/drawing/2014/main" id="{00000000-0008-0000-0300-000058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9" name="Line 86">
                  <a:extLst>
                    <a:ext uri="{FF2B5EF4-FFF2-40B4-BE49-F238E27FC236}">
                      <a16:creationId xmlns:a16="http://schemas.microsoft.com/office/drawing/2014/main" id="{00000000-0008-0000-0300-000059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0" name="Line 85">
                  <a:extLst>
                    <a:ext uri="{FF2B5EF4-FFF2-40B4-BE49-F238E27FC236}">
                      <a16:creationId xmlns:a16="http://schemas.microsoft.com/office/drawing/2014/main" id="{00000000-0008-0000-0300-00005A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1" name="Line 84">
                  <a:extLst>
                    <a:ext uri="{FF2B5EF4-FFF2-40B4-BE49-F238E27FC236}">
                      <a16:creationId xmlns:a16="http://schemas.microsoft.com/office/drawing/2014/main" id="{00000000-0008-0000-0300-00005B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 name="Line 83">
                  <a:extLst>
                    <a:ext uri="{FF2B5EF4-FFF2-40B4-BE49-F238E27FC236}">
                      <a16:creationId xmlns:a16="http://schemas.microsoft.com/office/drawing/2014/main" id="{00000000-0008-0000-0300-00005C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3" name="Line 82">
                  <a:extLst>
                    <a:ext uri="{FF2B5EF4-FFF2-40B4-BE49-F238E27FC236}">
                      <a16:creationId xmlns:a16="http://schemas.microsoft.com/office/drawing/2014/main" id="{00000000-0008-0000-0300-00005D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4" name="Line 81">
                  <a:extLst>
                    <a:ext uri="{FF2B5EF4-FFF2-40B4-BE49-F238E27FC236}">
                      <a16:creationId xmlns:a16="http://schemas.microsoft.com/office/drawing/2014/main" id="{00000000-0008-0000-0300-00005E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5" name="Line 80">
                  <a:extLst>
                    <a:ext uri="{FF2B5EF4-FFF2-40B4-BE49-F238E27FC236}">
                      <a16:creationId xmlns:a16="http://schemas.microsoft.com/office/drawing/2014/main" id="{00000000-0008-0000-0300-00005F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6" name="Line 79">
                  <a:extLst>
                    <a:ext uri="{FF2B5EF4-FFF2-40B4-BE49-F238E27FC236}">
                      <a16:creationId xmlns:a16="http://schemas.microsoft.com/office/drawing/2014/main" id="{00000000-0008-0000-0300-000060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7" name="Line 78">
                  <a:extLst>
                    <a:ext uri="{FF2B5EF4-FFF2-40B4-BE49-F238E27FC236}">
                      <a16:creationId xmlns:a16="http://schemas.microsoft.com/office/drawing/2014/main" id="{00000000-0008-0000-0300-000061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8" name="Line 77">
                  <a:extLst>
                    <a:ext uri="{FF2B5EF4-FFF2-40B4-BE49-F238E27FC236}">
                      <a16:creationId xmlns:a16="http://schemas.microsoft.com/office/drawing/2014/main" id="{00000000-0008-0000-0300-000062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10" name="Group 41">
              <a:extLst>
                <a:ext uri="{FF2B5EF4-FFF2-40B4-BE49-F238E27FC236}">
                  <a16:creationId xmlns:a16="http://schemas.microsoft.com/office/drawing/2014/main" id="{00000000-0008-0000-0300-00000A000000}"/>
                </a:ext>
              </a:extLst>
            </xdr:cNvPr>
            <xdr:cNvGrpSpPr>
              <a:grpSpLocks/>
            </xdr:cNvGrpSpPr>
          </xdr:nvGrpSpPr>
          <xdr:grpSpPr bwMode="auto">
            <a:xfrm>
              <a:off x="9451181" y="6643688"/>
              <a:ext cx="838200" cy="250031"/>
              <a:chOff x="8626" y="14104"/>
              <a:chExt cx="1322" cy="392"/>
            </a:xfrm>
          </xdr:grpSpPr>
          <xdr:sp macro="" textlink="">
            <xdr:nvSpPr>
              <xdr:cNvPr id="49" name="Line 74">
                <a:extLst>
                  <a:ext uri="{FF2B5EF4-FFF2-40B4-BE49-F238E27FC236}">
                    <a16:creationId xmlns:a16="http://schemas.microsoft.com/office/drawing/2014/main" id="{00000000-0008-0000-0300-000031000000}"/>
                  </a:ext>
                </a:extLst>
              </xdr:cNvPr>
              <xdr:cNvSpPr>
                <a:spLocks noChangeShapeType="1"/>
              </xdr:cNvSpPr>
            </xdr:nvSpPr>
            <xdr:spPr bwMode="auto">
              <a:xfrm>
                <a:off x="8708" y="14300"/>
                <a:ext cx="1155"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50" name="Group 59">
                <a:extLst>
                  <a:ext uri="{FF2B5EF4-FFF2-40B4-BE49-F238E27FC236}">
                    <a16:creationId xmlns:a16="http://schemas.microsoft.com/office/drawing/2014/main" id="{00000000-0008-0000-0300-000032000000}"/>
                  </a:ext>
                </a:extLst>
              </xdr:cNvPr>
              <xdr:cNvGrpSpPr>
                <a:grpSpLocks/>
              </xdr:cNvGrpSpPr>
            </xdr:nvGrpSpPr>
            <xdr:grpSpPr bwMode="auto">
              <a:xfrm rot="16200000" flipV="1">
                <a:off x="8474" y="14256"/>
                <a:ext cx="392" cy="87"/>
                <a:chOff x="10468" y="9915"/>
                <a:chExt cx="392" cy="87"/>
              </a:xfrm>
            </xdr:grpSpPr>
            <xdr:sp macro="" textlink="">
              <xdr:nvSpPr>
                <xdr:cNvPr id="68" name="Line 73">
                  <a:extLst>
                    <a:ext uri="{FF2B5EF4-FFF2-40B4-BE49-F238E27FC236}">
                      <a16:creationId xmlns:a16="http://schemas.microsoft.com/office/drawing/2014/main" id="{00000000-0008-0000-0300-000044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9" name="Line 72">
                  <a:extLst>
                    <a:ext uri="{FF2B5EF4-FFF2-40B4-BE49-F238E27FC236}">
                      <a16:creationId xmlns:a16="http://schemas.microsoft.com/office/drawing/2014/main" id="{00000000-0008-0000-0300-000045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0" name="Line 71">
                  <a:extLst>
                    <a:ext uri="{FF2B5EF4-FFF2-40B4-BE49-F238E27FC236}">
                      <a16:creationId xmlns:a16="http://schemas.microsoft.com/office/drawing/2014/main" id="{00000000-0008-0000-0300-000046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1" name="Line 70">
                  <a:extLst>
                    <a:ext uri="{FF2B5EF4-FFF2-40B4-BE49-F238E27FC236}">
                      <a16:creationId xmlns:a16="http://schemas.microsoft.com/office/drawing/2014/main" id="{00000000-0008-0000-0300-000047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2" name="Line 69">
                  <a:extLst>
                    <a:ext uri="{FF2B5EF4-FFF2-40B4-BE49-F238E27FC236}">
                      <a16:creationId xmlns:a16="http://schemas.microsoft.com/office/drawing/2014/main" id="{00000000-0008-0000-0300-000048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3" name="Line 68">
                  <a:extLst>
                    <a:ext uri="{FF2B5EF4-FFF2-40B4-BE49-F238E27FC236}">
                      <a16:creationId xmlns:a16="http://schemas.microsoft.com/office/drawing/2014/main" id="{00000000-0008-0000-0300-000049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 name="Line 67">
                  <a:extLst>
                    <a:ext uri="{FF2B5EF4-FFF2-40B4-BE49-F238E27FC236}">
                      <a16:creationId xmlns:a16="http://schemas.microsoft.com/office/drawing/2014/main" id="{00000000-0008-0000-0300-00004A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5" name="Line 66">
                  <a:extLst>
                    <a:ext uri="{FF2B5EF4-FFF2-40B4-BE49-F238E27FC236}">
                      <a16:creationId xmlns:a16="http://schemas.microsoft.com/office/drawing/2014/main" id="{00000000-0008-0000-0300-00004B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6" name="Line 65">
                  <a:extLst>
                    <a:ext uri="{FF2B5EF4-FFF2-40B4-BE49-F238E27FC236}">
                      <a16:creationId xmlns:a16="http://schemas.microsoft.com/office/drawing/2014/main" id="{00000000-0008-0000-0300-00004C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7" name="Line 64">
                  <a:extLst>
                    <a:ext uri="{FF2B5EF4-FFF2-40B4-BE49-F238E27FC236}">
                      <a16:creationId xmlns:a16="http://schemas.microsoft.com/office/drawing/2014/main" id="{00000000-0008-0000-0300-00004D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8" name="Line 63">
                  <a:extLst>
                    <a:ext uri="{FF2B5EF4-FFF2-40B4-BE49-F238E27FC236}">
                      <a16:creationId xmlns:a16="http://schemas.microsoft.com/office/drawing/2014/main" id="{00000000-0008-0000-0300-00004E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9" name="Line 62">
                  <a:extLst>
                    <a:ext uri="{FF2B5EF4-FFF2-40B4-BE49-F238E27FC236}">
                      <a16:creationId xmlns:a16="http://schemas.microsoft.com/office/drawing/2014/main" id="{00000000-0008-0000-0300-00004F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0" name="Line 61">
                  <a:extLst>
                    <a:ext uri="{FF2B5EF4-FFF2-40B4-BE49-F238E27FC236}">
                      <a16:creationId xmlns:a16="http://schemas.microsoft.com/office/drawing/2014/main" id="{00000000-0008-0000-0300-000050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1" name="Line 60">
                  <a:extLst>
                    <a:ext uri="{FF2B5EF4-FFF2-40B4-BE49-F238E27FC236}">
                      <a16:creationId xmlns:a16="http://schemas.microsoft.com/office/drawing/2014/main" id="{00000000-0008-0000-0300-000051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51" name="Group 42">
                <a:extLst>
                  <a:ext uri="{FF2B5EF4-FFF2-40B4-BE49-F238E27FC236}">
                    <a16:creationId xmlns:a16="http://schemas.microsoft.com/office/drawing/2014/main" id="{00000000-0008-0000-0300-000033000000}"/>
                  </a:ext>
                </a:extLst>
              </xdr:cNvPr>
              <xdr:cNvGrpSpPr>
                <a:grpSpLocks/>
              </xdr:cNvGrpSpPr>
            </xdr:nvGrpSpPr>
            <xdr:grpSpPr bwMode="auto">
              <a:xfrm rot="5400000" flipV="1">
                <a:off x="9688" y="14236"/>
                <a:ext cx="392" cy="128"/>
                <a:chOff x="8494" y="13209"/>
                <a:chExt cx="392" cy="128"/>
              </a:xfrm>
            </xdr:grpSpPr>
            <xdr:grpSp>
              <xdr:nvGrpSpPr>
                <xdr:cNvPr id="52" name="Group 44">
                  <a:extLst>
                    <a:ext uri="{FF2B5EF4-FFF2-40B4-BE49-F238E27FC236}">
                      <a16:creationId xmlns:a16="http://schemas.microsoft.com/office/drawing/2014/main" id="{00000000-0008-0000-0300-000034000000}"/>
                    </a:ext>
                  </a:extLst>
                </xdr:cNvPr>
                <xdr:cNvGrpSpPr>
                  <a:grpSpLocks/>
                </xdr:cNvGrpSpPr>
              </xdr:nvGrpSpPr>
              <xdr:grpSpPr bwMode="auto">
                <a:xfrm>
                  <a:off x="8494" y="13250"/>
                  <a:ext cx="392" cy="87"/>
                  <a:chOff x="10468" y="9915"/>
                  <a:chExt cx="392" cy="87"/>
                </a:xfrm>
              </xdr:grpSpPr>
              <xdr:sp macro="" textlink="">
                <xdr:nvSpPr>
                  <xdr:cNvPr id="54" name="Line 58">
                    <a:extLst>
                      <a:ext uri="{FF2B5EF4-FFF2-40B4-BE49-F238E27FC236}">
                        <a16:creationId xmlns:a16="http://schemas.microsoft.com/office/drawing/2014/main" id="{00000000-0008-0000-0300-000036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5" name="Line 57">
                    <a:extLst>
                      <a:ext uri="{FF2B5EF4-FFF2-40B4-BE49-F238E27FC236}">
                        <a16:creationId xmlns:a16="http://schemas.microsoft.com/office/drawing/2014/main" id="{00000000-0008-0000-0300-000037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6" name="Line 56">
                    <a:extLst>
                      <a:ext uri="{FF2B5EF4-FFF2-40B4-BE49-F238E27FC236}">
                        <a16:creationId xmlns:a16="http://schemas.microsoft.com/office/drawing/2014/main" id="{00000000-0008-0000-0300-000038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 name="Line 55">
                    <a:extLst>
                      <a:ext uri="{FF2B5EF4-FFF2-40B4-BE49-F238E27FC236}">
                        <a16:creationId xmlns:a16="http://schemas.microsoft.com/office/drawing/2014/main" id="{00000000-0008-0000-0300-000039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8" name="Line 54">
                    <a:extLst>
                      <a:ext uri="{FF2B5EF4-FFF2-40B4-BE49-F238E27FC236}">
                        <a16:creationId xmlns:a16="http://schemas.microsoft.com/office/drawing/2014/main" id="{00000000-0008-0000-0300-00003A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9" name="Line 53">
                    <a:extLst>
                      <a:ext uri="{FF2B5EF4-FFF2-40B4-BE49-F238E27FC236}">
                        <a16:creationId xmlns:a16="http://schemas.microsoft.com/office/drawing/2014/main" id="{00000000-0008-0000-0300-00003B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0" name="Line 52">
                    <a:extLst>
                      <a:ext uri="{FF2B5EF4-FFF2-40B4-BE49-F238E27FC236}">
                        <a16:creationId xmlns:a16="http://schemas.microsoft.com/office/drawing/2014/main" id="{00000000-0008-0000-0300-00003C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1" name="Line 51">
                    <a:extLst>
                      <a:ext uri="{FF2B5EF4-FFF2-40B4-BE49-F238E27FC236}">
                        <a16:creationId xmlns:a16="http://schemas.microsoft.com/office/drawing/2014/main" id="{00000000-0008-0000-0300-00003D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2" name="Line 50">
                    <a:extLst>
                      <a:ext uri="{FF2B5EF4-FFF2-40B4-BE49-F238E27FC236}">
                        <a16:creationId xmlns:a16="http://schemas.microsoft.com/office/drawing/2014/main" id="{00000000-0008-0000-0300-00003E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3" name="Line 49">
                    <a:extLst>
                      <a:ext uri="{FF2B5EF4-FFF2-40B4-BE49-F238E27FC236}">
                        <a16:creationId xmlns:a16="http://schemas.microsoft.com/office/drawing/2014/main" id="{00000000-0008-0000-0300-00003F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4" name="Line 48">
                    <a:extLst>
                      <a:ext uri="{FF2B5EF4-FFF2-40B4-BE49-F238E27FC236}">
                        <a16:creationId xmlns:a16="http://schemas.microsoft.com/office/drawing/2014/main" id="{00000000-0008-0000-0300-000040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5" name="Line 47">
                    <a:extLst>
                      <a:ext uri="{FF2B5EF4-FFF2-40B4-BE49-F238E27FC236}">
                        <a16:creationId xmlns:a16="http://schemas.microsoft.com/office/drawing/2014/main" id="{00000000-0008-0000-0300-000041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6" name="Line 46">
                    <a:extLst>
                      <a:ext uri="{FF2B5EF4-FFF2-40B4-BE49-F238E27FC236}">
                        <a16:creationId xmlns:a16="http://schemas.microsoft.com/office/drawing/2014/main" id="{00000000-0008-0000-0300-000042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7" name="Line 45">
                    <a:extLst>
                      <a:ext uri="{FF2B5EF4-FFF2-40B4-BE49-F238E27FC236}">
                        <a16:creationId xmlns:a16="http://schemas.microsoft.com/office/drawing/2014/main" id="{00000000-0008-0000-0300-000043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53" name="Oval 43">
                  <a:extLst>
                    <a:ext uri="{FF2B5EF4-FFF2-40B4-BE49-F238E27FC236}">
                      <a16:creationId xmlns:a16="http://schemas.microsoft.com/office/drawing/2014/main" id="{00000000-0008-0000-0300-000035000000}"/>
                    </a:ext>
                  </a:extLst>
                </xdr:cNvPr>
                <xdr:cNvSpPr>
                  <a:spLocks noChangeArrowheads="1"/>
                </xdr:cNvSpPr>
              </xdr:nvSpPr>
              <xdr:spPr bwMode="auto">
                <a:xfrm>
                  <a:off x="8644" y="13209"/>
                  <a:ext cx="99" cy="99"/>
                </a:xfrm>
                <a:prstGeom prst="ellipse">
                  <a:avLst/>
                </a:prstGeom>
                <a:solidFill>
                  <a:srgbClr val="FFFFFF"/>
                </a:solidFill>
                <a:ln w="6350">
                  <a:solidFill>
                    <a:srgbClr val="000000"/>
                  </a:solidFill>
                  <a:round/>
                  <a:headEnd/>
                  <a:tailEnd/>
                </a:ln>
              </xdr:spPr>
            </xdr:sp>
          </xdr:grpSp>
        </xdr:grpSp>
        <xdr:sp macro="" textlink="">
          <xdr:nvSpPr>
            <xdr:cNvPr id="11" name="Text Box 40">
              <a:extLst>
                <a:ext uri="{FF2B5EF4-FFF2-40B4-BE49-F238E27FC236}">
                  <a16:creationId xmlns:a16="http://schemas.microsoft.com/office/drawing/2014/main" id="{00000000-0008-0000-0300-00000B000000}"/>
                </a:ext>
              </a:extLst>
            </xdr:cNvPr>
            <xdr:cNvSpPr txBox="1">
              <a:spLocks noChangeArrowheads="1"/>
            </xdr:cNvSpPr>
          </xdr:nvSpPr>
          <xdr:spPr bwMode="auto">
            <a:xfrm>
              <a:off x="10356056" y="6053138"/>
              <a:ext cx="161925" cy="1571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1</a:t>
              </a:r>
            </a:p>
          </xdr:txBody>
        </xdr:sp>
        <xdr:sp macro="" textlink="">
          <xdr:nvSpPr>
            <xdr:cNvPr id="12" name="Text Box 39">
              <a:extLst>
                <a:ext uri="{FF2B5EF4-FFF2-40B4-BE49-F238E27FC236}">
                  <a16:creationId xmlns:a16="http://schemas.microsoft.com/office/drawing/2014/main" id="{00000000-0008-0000-0300-00000C000000}"/>
                </a:ext>
              </a:extLst>
            </xdr:cNvPr>
            <xdr:cNvSpPr txBox="1">
              <a:spLocks noChangeArrowheads="1"/>
            </xdr:cNvSpPr>
          </xdr:nvSpPr>
          <xdr:spPr bwMode="auto">
            <a:xfrm>
              <a:off x="10356056" y="6376988"/>
              <a:ext cx="161925" cy="1571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2a</a:t>
              </a:r>
            </a:p>
          </xdr:txBody>
        </xdr:sp>
        <xdr:sp macro="" textlink="">
          <xdr:nvSpPr>
            <xdr:cNvPr id="13" name="Text Box 38">
              <a:extLst>
                <a:ext uri="{FF2B5EF4-FFF2-40B4-BE49-F238E27FC236}">
                  <a16:creationId xmlns:a16="http://schemas.microsoft.com/office/drawing/2014/main" id="{00000000-0008-0000-0300-00000D000000}"/>
                </a:ext>
              </a:extLst>
            </xdr:cNvPr>
            <xdr:cNvSpPr txBox="1">
              <a:spLocks noChangeArrowheads="1"/>
            </xdr:cNvSpPr>
          </xdr:nvSpPr>
          <xdr:spPr bwMode="auto">
            <a:xfrm>
              <a:off x="10356056" y="6691313"/>
              <a:ext cx="161925" cy="1643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2b</a:t>
              </a:r>
            </a:p>
          </xdr:txBody>
        </xdr:sp>
        <xdr:sp macro="" textlink="">
          <xdr:nvSpPr>
            <xdr:cNvPr id="14" name="Text Box 37">
              <a:extLst>
                <a:ext uri="{FF2B5EF4-FFF2-40B4-BE49-F238E27FC236}">
                  <a16:creationId xmlns:a16="http://schemas.microsoft.com/office/drawing/2014/main" id="{00000000-0008-0000-0300-00000E000000}"/>
                </a:ext>
              </a:extLst>
            </xdr:cNvPr>
            <xdr:cNvSpPr txBox="1">
              <a:spLocks noChangeArrowheads="1"/>
            </xdr:cNvSpPr>
          </xdr:nvSpPr>
          <xdr:spPr bwMode="auto">
            <a:xfrm>
              <a:off x="10356056" y="7008019"/>
              <a:ext cx="161925" cy="1643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3</a:t>
              </a:r>
            </a:p>
          </xdr:txBody>
        </xdr:sp>
        <xdr:grpSp>
          <xdr:nvGrpSpPr>
            <xdr:cNvPr id="15" name="Group 3">
              <a:extLst>
                <a:ext uri="{FF2B5EF4-FFF2-40B4-BE49-F238E27FC236}">
                  <a16:creationId xmlns:a16="http://schemas.microsoft.com/office/drawing/2014/main" id="{00000000-0008-0000-0300-00000F000000}"/>
                </a:ext>
              </a:extLst>
            </xdr:cNvPr>
            <xdr:cNvGrpSpPr>
              <a:grpSpLocks/>
            </xdr:cNvGrpSpPr>
          </xdr:nvGrpSpPr>
          <xdr:grpSpPr bwMode="auto">
            <a:xfrm>
              <a:off x="9451181" y="6969919"/>
              <a:ext cx="838200" cy="250031"/>
              <a:chOff x="8626" y="14605"/>
              <a:chExt cx="1320" cy="392"/>
            </a:xfrm>
          </xdr:grpSpPr>
          <xdr:sp macro="" textlink="">
            <xdr:nvSpPr>
              <xdr:cNvPr id="16" name="Line 36">
                <a:extLst>
                  <a:ext uri="{FF2B5EF4-FFF2-40B4-BE49-F238E27FC236}">
                    <a16:creationId xmlns:a16="http://schemas.microsoft.com/office/drawing/2014/main" id="{00000000-0008-0000-0300-000010000000}"/>
                  </a:ext>
                </a:extLst>
              </xdr:cNvPr>
              <xdr:cNvSpPr>
                <a:spLocks noChangeShapeType="1"/>
              </xdr:cNvSpPr>
            </xdr:nvSpPr>
            <xdr:spPr bwMode="auto">
              <a:xfrm>
                <a:off x="8708" y="14801"/>
                <a:ext cx="1151"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17" name="Group 21">
                <a:extLst>
                  <a:ext uri="{FF2B5EF4-FFF2-40B4-BE49-F238E27FC236}">
                    <a16:creationId xmlns:a16="http://schemas.microsoft.com/office/drawing/2014/main" id="{00000000-0008-0000-0300-000011000000}"/>
                  </a:ext>
                </a:extLst>
              </xdr:cNvPr>
              <xdr:cNvGrpSpPr>
                <a:grpSpLocks/>
              </xdr:cNvGrpSpPr>
            </xdr:nvGrpSpPr>
            <xdr:grpSpPr bwMode="auto">
              <a:xfrm rot="16200000" flipV="1">
                <a:off x="8474" y="14757"/>
                <a:ext cx="392" cy="87"/>
                <a:chOff x="10468" y="9915"/>
                <a:chExt cx="392" cy="87"/>
              </a:xfrm>
            </xdr:grpSpPr>
            <xdr:sp macro="" textlink="">
              <xdr:nvSpPr>
                <xdr:cNvPr id="35" name="Line 35">
                  <a:extLst>
                    <a:ext uri="{FF2B5EF4-FFF2-40B4-BE49-F238E27FC236}">
                      <a16:creationId xmlns:a16="http://schemas.microsoft.com/office/drawing/2014/main" id="{00000000-0008-0000-0300-000023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6" name="Line 34">
                  <a:extLst>
                    <a:ext uri="{FF2B5EF4-FFF2-40B4-BE49-F238E27FC236}">
                      <a16:creationId xmlns:a16="http://schemas.microsoft.com/office/drawing/2014/main" id="{00000000-0008-0000-0300-000024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 name="Line 33">
                  <a:extLst>
                    <a:ext uri="{FF2B5EF4-FFF2-40B4-BE49-F238E27FC236}">
                      <a16:creationId xmlns:a16="http://schemas.microsoft.com/office/drawing/2014/main" id="{00000000-0008-0000-0300-000025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8" name="Line 32">
                  <a:extLst>
                    <a:ext uri="{FF2B5EF4-FFF2-40B4-BE49-F238E27FC236}">
                      <a16:creationId xmlns:a16="http://schemas.microsoft.com/office/drawing/2014/main" id="{00000000-0008-0000-0300-000026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9" name="Line 31">
                  <a:extLst>
                    <a:ext uri="{FF2B5EF4-FFF2-40B4-BE49-F238E27FC236}">
                      <a16:creationId xmlns:a16="http://schemas.microsoft.com/office/drawing/2014/main" id="{00000000-0008-0000-0300-000027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 name="Line 30">
                  <a:extLst>
                    <a:ext uri="{FF2B5EF4-FFF2-40B4-BE49-F238E27FC236}">
                      <a16:creationId xmlns:a16="http://schemas.microsoft.com/office/drawing/2014/main" id="{00000000-0008-0000-0300-000028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 name="Line 29">
                  <a:extLst>
                    <a:ext uri="{FF2B5EF4-FFF2-40B4-BE49-F238E27FC236}">
                      <a16:creationId xmlns:a16="http://schemas.microsoft.com/office/drawing/2014/main" id="{00000000-0008-0000-0300-000029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2" name="Line 28">
                  <a:extLst>
                    <a:ext uri="{FF2B5EF4-FFF2-40B4-BE49-F238E27FC236}">
                      <a16:creationId xmlns:a16="http://schemas.microsoft.com/office/drawing/2014/main" id="{00000000-0008-0000-0300-00002A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3" name="Line 27">
                  <a:extLst>
                    <a:ext uri="{FF2B5EF4-FFF2-40B4-BE49-F238E27FC236}">
                      <a16:creationId xmlns:a16="http://schemas.microsoft.com/office/drawing/2014/main" id="{00000000-0008-0000-0300-00002B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 name="Line 26">
                  <a:extLst>
                    <a:ext uri="{FF2B5EF4-FFF2-40B4-BE49-F238E27FC236}">
                      <a16:creationId xmlns:a16="http://schemas.microsoft.com/office/drawing/2014/main" id="{00000000-0008-0000-0300-00002C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5" name="Line 25">
                  <a:extLst>
                    <a:ext uri="{FF2B5EF4-FFF2-40B4-BE49-F238E27FC236}">
                      <a16:creationId xmlns:a16="http://schemas.microsoft.com/office/drawing/2014/main" id="{00000000-0008-0000-0300-00002D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6" name="Line 24">
                  <a:extLst>
                    <a:ext uri="{FF2B5EF4-FFF2-40B4-BE49-F238E27FC236}">
                      <a16:creationId xmlns:a16="http://schemas.microsoft.com/office/drawing/2014/main" id="{00000000-0008-0000-0300-00002E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 name="Line 23">
                  <a:extLst>
                    <a:ext uri="{FF2B5EF4-FFF2-40B4-BE49-F238E27FC236}">
                      <a16:creationId xmlns:a16="http://schemas.microsoft.com/office/drawing/2014/main" id="{00000000-0008-0000-0300-00002F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 name="Line 22">
                  <a:extLst>
                    <a:ext uri="{FF2B5EF4-FFF2-40B4-BE49-F238E27FC236}">
                      <a16:creationId xmlns:a16="http://schemas.microsoft.com/office/drawing/2014/main" id="{00000000-0008-0000-0300-000030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8" name="Group 6">
                <a:extLst>
                  <a:ext uri="{FF2B5EF4-FFF2-40B4-BE49-F238E27FC236}">
                    <a16:creationId xmlns:a16="http://schemas.microsoft.com/office/drawing/2014/main" id="{00000000-0008-0000-0300-000012000000}"/>
                  </a:ext>
                </a:extLst>
              </xdr:cNvPr>
              <xdr:cNvGrpSpPr>
                <a:grpSpLocks/>
              </xdr:cNvGrpSpPr>
            </xdr:nvGrpSpPr>
            <xdr:grpSpPr bwMode="auto">
              <a:xfrm rot="5400000" flipV="1">
                <a:off x="9707" y="14757"/>
                <a:ext cx="392" cy="87"/>
                <a:chOff x="10468" y="9915"/>
                <a:chExt cx="392" cy="87"/>
              </a:xfrm>
            </xdr:grpSpPr>
            <xdr:sp macro="" textlink="">
              <xdr:nvSpPr>
                <xdr:cNvPr id="21" name="Line 20">
                  <a:extLst>
                    <a:ext uri="{FF2B5EF4-FFF2-40B4-BE49-F238E27FC236}">
                      <a16:creationId xmlns:a16="http://schemas.microsoft.com/office/drawing/2014/main" id="{00000000-0008-0000-0300-000015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2" name="Line 19">
                  <a:extLst>
                    <a:ext uri="{FF2B5EF4-FFF2-40B4-BE49-F238E27FC236}">
                      <a16:creationId xmlns:a16="http://schemas.microsoft.com/office/drawing/2014/main" id="{00000000-0008-0000-0300-000016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 name="Line 18">
                  <a:extLst>
                    <a:ext uri="{FF2B5EF4-FFF2-40B4-BE49-F238E27FC236}">
                      <a16:creationId xmlns:a16="http://schemas.microsoft.com/office/drawing/2014/main" id="{00000000-0008-0000-0300-000017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 name="Line 17">
                  <a:extLst>
                    <a:ext uri="{FF2B5EF4-FFF2-40B4-BE49-F238E27FC236}">
                      <a16:creationId xmlns:a16="http://schemas.microsoft.com/office/drawing/2014/main" id="{00000000-0008-0000-0300-000018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 name="Line 16">
                  <a:extLst>
                    <a:ext uri="{FF2B5EF4-FFF2-40B4-BE49-F238E27FC236}">
                      <a16:creationId xmlns:a16="http://schemas.microsoft.com/office/drawing/2014/main" id="{00000000-0008-0000-0300-000019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 name="Line 15">
                  <a:extLst>
                    <a:ext uri="{FF2B5EF4-FFF2-40B4-BE49-F238E27FC236}">
                      <a16:creationId xmlns:a16="http://schemas.microsoft.com/office/drawing/2014/main" id="{00000000-0008-0000-0300-00001A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 name="Line 14">
                  <a:extLst>
                    <a:ext uri="{FF2B5EF4-FFF2-40B4-BE49-F238E27FC236}">
                      <a16:creationId xmlns:a16="http://schemas.microsoft.com/office/drawing/2014/main" id="{00000000-0008-0000-0300-00001B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8" name="Line 13">
                  <a:extLst>
                    <a:ext uri="{FF2B5EF4-FFF2-40B4-BE49-F238E27FC236}">
                      <a16:creationId xmlns:a16="http://schemas.microsoft.com/office/drawing/2014/main" id="{00000000-0008-0000-0300-00001C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9" name="Line 12">
                  <a:extLst>
                    <a:ext uri="{FF2B5EF4-FFF2-40B4-BE49-F238E27FC236}">
                      <a16:creationId xmlns:a16="http://schemas.microsoft.com/office/drawing/2014/main" id="{00000000-0008-0000-0300-00001D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0" name="Line 11">
                  <a:extLst>
                    <a:ext uri="{FF2B5EF4-FFF2-40B4-BE49-F238E27FC236}">
                      <a16:creationId xmlns:a16="http://schemas.microsoft.com/office/drawing/2014/main" id="{00000000-0008-0000-0300-00001E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 name="Line 10">
                  <a:extLst>
                    <a:ext uri="{FF2B5EF4-FFF2-40B4-BE49-F238E27FC236}">
                      <a16:creationId xmlns:a16="http://schemas.microsoft.com/office/drawing/2014/main" id="{00000000-0008-0000-0300-00001F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 name="Line 9">
                  <a:extLst>
                    <a:ext uri="{FF2B5EF4-FFF2-40B4-BE49-F238E27FC236}">
                      <a16:creationId xmlns:a16="http://schemas.microsoft.com/office/drawing/2014/main" id="{00000000-0008-0000-0300-000020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 name="Line 8">
                  <a:extLst>
                    <a:ext uri="{FF2B5EF4-FFF2-40B4-BE49-F238E27FC236}">
                      <a16:creationId xmlns:a16="http://schemas.microsoft.com/office/drawing/2014/main" id="{00000000-0008-0000-0300-000021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4" name="Line 7">
                  <a:extLst>
                    <a:ext uri="{FF2B5EF4-FFF2-40B4-BE49-F238E27FC236}">
                      <a16:creationId xmlns:a16="http://schemas.microsoft.com/office/drawing/2014/main" id="{00000000-0008-0000-0300-000022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9" name="Oval 5">
                <a:extLst>
                  <a:ext uri="{FF2B5EF4-FFF2-40B4-BE49-F238E27FC236}">
                    <a16:creationId xmlns:a16="http://schemas.microsoft.com/office/drawing/2014/main" id="{00000000-0008-0000-0300-000013000000}"/>
                  </a:ext>
                </a:extLst>
              </xdr:cNvPr>
              <xdr:cNvSpPr>
                <a:spLocks noChangeArrowheads="1"/>
              </xdr:cNvSpPr>
            </xdr:nvSpPr>
            <xdr:spPr bwMode="auto">
              <a:xfrm rot="5400000" flipV="1">
                <a:off x="9818" y="14755"/>
                <a:ext cx="99" cy="99"/>
              </a:xfrm>
              <a:prstGeom prst="ellipse">
                <a:avLst/>
              </a:prstGeom>
              <a:solidFill>
                <a:srgbClr val="FFFFFF"/>
              </a:solidFill>
              <a:ln w="6350">
                <a:solidFill>
                  <a:srgbClr val="000000"/>
                </a:solidFill>
                <a:round/>
                <a:headEnd/>
                <a:tailEnd/>
              </a:ln>
            </xdr:spPr>
          </xdr:sp>
          <xdr:sp macro="" textlink="">
            <xdr:nvSpPr>
              <xdr:cNvPr id="20" name="Oval 4">
                <a:extLst>
                  <a:ext uri="{FF2B5EF4-FFF2-40B4-BE49-F238E27FC236}">
                    <a16:creationId xmlns:a16="http://schemas.microsoft.com/office/drawing/2014/main" id="{00000000-0008-0000-0300-000014000000}"/>
                  </a:ext>
                </a:extLst>
              </xdr:cNvPr>
              <xdr:cNvSpPr>
                <a:spLocks noChangeArrowheads="1"/>
              </xdr:cNvSpPr>
            </xdr:nvSpPr>
            <xdr:spPr bwMode="auto">
              <a:xfrm rot="5400000" flipV="1">
                <a:off x="8655" y="14755"/>
                <a:ext cx="99" cy="99"/>
              </a:xfrm>
              <a:prstGeom prst="ellipse">
                <a:avLst/>
              </a:prstGeom>
              <a:solidFill>
                <a:srgbClr val="FFFFFF"/>
              </a:solidFill>
              <a:ln w="6350">
                <a:solidFill>
                  <a:srgbClr val="000000"/>
                </a:solidFill>
                <a:round/>
                <a:headEnd/>
                <a:tailEnd/>
              </a:ln>
            </xdr:spPr>
          </xdr:sp>
        </xdr:grpSp>
      </xdr:grpSp>
      <xdr:sp macro="" textlink="">
        <xdr:nvSpPr>
          <xdr:cNvPr id="5" name="Rechteck 4">
            <a:extLst>
              <a:ext uri="{FF2B5EF4-FFF2-40B4-BE49-F238E27FC236}">
                <a16:creationId xmlns:a16="http://schemas.microsoft.com/office/drawing/2014/main" id="{00000000-0008-0000-0300-000005000000}"/>
              </a:ext>
            </a:extLst>
          </xdr:cNvPr>
          <xdr:cNvSpPr/>
        </xdr:nvSpPr>
        <xdr:spPr>
          <a:xfrm>
            <a:off x="8753475" y="2333625"/>
            <a:ext cx="2162175" cy="29527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clientData/>
  </xdr:twoCellAnchor>
  <mc:AlternateContent xmlns:mc="http://schemas.openxmlformats.org/markup-compatibility/2006">
    <mc:Choice xmlns:a14="http://schemas.microsoft.com/office/drawing/2010/main" Requires="a14">
      <xdr:twoCellAnchor editAs="absolute">
        <xdr:from>
          <xdr:col>5</xdr:col>
          <xdr:colOff>0</xdr:colOff>
          <xdr:row>0</xdr:row>
          <xdr:rowOff>38100</xdr:rowOff>
        </xdr:from>
        <xdr:to>
          <xdr:col>6</xdr:col>
          <xdr:colOff>0</xdr:colOff>
          <xdr:row>0</xdr:row>
          <xdr:rowOff>373380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DE" sz="1000" b="0" i="0" u="none" strike="noStrike" baseline="0">
                  <a:solidFill>
                    <a:srgbClr val="000000"/>
                  </a:solidFill>
                  <a:latin typeface="Arial"/>
                  <a:cs typeface="Arial"/>
                </a:rPr>
                <a:t>Berechnen</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12</xdr:col>
      <xdr:colOff>245415</xdr:colOff>
      <xdr:row>47</xdr:row>
      <xdr:rowOff>8611</xdr:rowOff>
    </xdr:from>
    <xdr:to>
      <xdr:col>15</xdr:col>
      <xdr:colOff>494222</xdr:colOff>
      <xdr:row>62</xdr:row>
      <xdr:rowOff>114300</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7598715" y="8304886"/>
          <a:ext cx="1791857" cy="2677439"/>
          <a:chOff x="8753475" y="2333625"/>
          <a:chExt cx="2266951" cy="2952750"/>
        </a:xfrm>
      </xdr:grpSpPr>
      <xdr:grpSp>
        <xdr:nvGrpSpPr>
          <xdr:cNvPr id="3" name="Gruppieren 2">
            <a:extLst>
              <a:ext uri="{FF2B5EF4-FFF2-40B4-BE49-F238E27FC236}">
                <a16:creationId xmlns:a16="http://schemas.microsoft.com/office/drawing/2014/main" id="{00000000-0008-0000-0400-000003000000}"/>
              </a:ext>
            </a:extLst>
          </xdr:cNvPr>
          <xdr:cNvGrpSpPr/>
        </xdr:nvGrpSpPr>
        <xdr:grpSpPr>
          <a:xfrm>
            <a:off x="8779668" y="2366957"/>
            <a:ext cx="2240758" cy="2814643"/>
            <a:chOff x="9441656" y="5810250"/>
            <a:chExt cx="1085850" cy="1409700"/>
          </a:xfrm>
        </xdr:grpSpPr>
        <xdr:sp macro="" textlink="">
          <xdr:nvSpPr>
            <xdr:cNvPr id="5" name="Rectangle 142">
              <a:extLst>
                <a:ext uri="{FF2B5EF4-FFF2-40B4-BE49-F238E27FC236}">
                  <a16:creationId xmlns:a16="http://schemas.microsoft.com/office/drawing/2014/main" id="{00000000-0008-0000-0400-000005000000}"/>
                </a:ext>
              </a:extLst>
            </xdr:cNvPr>
            <xdr:cNvSpPr>
              <a:spLocks noChangeArrowheads="1"/>
            </xdr:cNvSpPr>
          </xdr:nvSpPr>
          <xdr:spPr bwMode="auto">
            <a:xfrm>
              <a:off x="9441656" y="5810250"/>
              <a:ext cx="1085850" cy="14097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 name="Text Box 141">
              <a:extLst>
                <a:ext uri="{FF2B5EF4-FFF2-40B4-BE49-F238E27FC236}">
                  <a16:creationId xmlns:a16="http://schemas.microsoft.com/office/drawing/2014/main" id="{00000000-0008-0000-0400-000006000000}"/>
                </a:ext>
              </a:extLst>
            </xdr:cNvPr>
            <xdr:cNvSpPr txBox="1">
              <a:spLocks noChangeArrowheads="1"/>
            </xdr:cNvSpPr>
          </xdr:nvSpPr>
          <xdr:spPr bwMode="auto">
            <a:xfrm>
              <a:off x="9451181" y="5810250"/>
              <a:ext cx="838200" cy="1762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Grundelement</a:t>
              </a:r>
            </a:p>
          </xdr:txBody>
        </xdr:sp>
        <xdr:grpSp>
          <xdr:nvGrpSpPr>
            <xdr:cNvPr id="7" name="Group 109">
              <a:extLst>
                <a:ext uri="{FF2B5EF4-FFF2-40B4-BE49-F238E27FC236}">
                  <a16:creationId xmlns:a16="http://schemas.microsoft.com/office/drawing/2014/main" id="{00000000-0008-0000-0400-000007000000}"/>
                </a:ext>
              </a:extLst>
            </xdr:cNvPr>
            <xdr:cNvGrpSpPr>
              <a:grpSpLocks/>
            </xdr:cNvGrpSpPr>
          </xdr:nvGrpSpPr>
          <xdr:grpSpPr bwMode="auto">
            <a:xfrm>
              <a:off x="9451181" y="6015038"/>
              <a:ext cx="838200" cy="242887"/>
              <a:chOff x="8626" y="13077"/>
              <a:chExt cx="1320" cy="392"/>
            </a:xfrm>
          </xdr:grpSpPr>
          <xdr:sp macro="" textlink="">
            <xdr:nvSpPr>
              <xdr:cNvPr id="114" name="Line 140">
                <a:extLst>
                  <a:ext uri="{FF2B5EF4-FFF2-40B4-BE49-F238E27FC236}">
                    <a16:creationId xmlns:a16="http://schemas.microsoft.com/office/drawing/2014/main" id="{00000000-0008-0000-0400-000072000000}"/>
                  </a:ext>
                </a:extLst>
              </xdr:cNvPr>
              <xdr:cNvSpPr>
                <a:spLocks noChangeShapeType="1"/>
              </xdr:cNvSpPr>
            </xdr:nvSpPr>
            <xdr:spPr bwMode="auto">
              <a:xfrm>
                <a:off x="8708" y="13273"/>
                <a:ext cx="1155"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115" name="Group 125">
                <a:extLst>
                  <a:ext uri="{FF2B5EF4-FFF2-40B4-BE49-F238E27FC236}">
                    <a16:creationId xmlns:a16="http://schemas.microsoft.com/office/drawing/2014/main" id="{00000000-0008-0000-0400-000073000000}"/>
                  </a:ext>
                </a:extLst>
              </xdr:cNvPr>
              <xdr:cNvGrpSpPr>
                <a:grpSpLocks/>
              </xdr:cNvGrpSpPr>
            </xdr:nvGrpSpPr>
            <xdr:grpSpPr bwMode="auto">
              <a:xfrm rot="16200000" flipV="1">
                <a:off x="8474" y="13229"/>
                <a:ext cx="392" cy="87"/>
                <a:chOff x="10468" y="9915"/>
                <a:chExt cx="392" cy="87"/>
              </a:xfrm>
            </xdr:grpSpPr>
            <xdr:sp macro="" textlink="">
              <xdr:nvSpPr>
                <xdr:cNvPr id="131" name="Line 139">
                  <a:extLst>
                    <a:ext uri="{FF2B5EF4-FFF2-40B4-BE49-F238E27FC236}">
                      <a16:creationId xmlns:a16="http://schemas.microsoft.com/office/drawing/2014/main" id="{00000000-0008-0000-0400-000083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2" name="Line 138">
                  <a:extLst>
                    <a:ext uri="{FF2B5EF4-FFF2-40B4-BE49-F238E27FC236}">
                      <a16:creationId xmlns:a16="http://schemas.microsoft.com/office/drawing/2014/main" id="{00000000-0008-0000-0400-000084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3" name="Line 137">
                  <a:extLst>
                    <a:ext uri="{FF2B5EF4-FFF2-40B4-BE49-F238E27FC236}">
                      <a16:creationId xmlns:a16="http://schemas.microsoft.com/office/drawing/2014/main" id="{00000000-0008-0000-0400-000085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4" name="Line 136">
                  <a:extLst>
                    <a:ext uri="{FF2B5EF4-FFF2-40B4-BE49-F238E27FC236}">
                      <a16:creationId xmlns:a16="http://schemas.microsoft.com/office/drawing/2014/main" id="{00000000-0008-0000-0400-000086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5" name="Line 135">
                  <a:extLst>
                    <a:ext uri="{FF2B5EF4-FFF2-40B4-BE49-F238E27FC236}">
                      <a16:creationId xmlns:a16="http://schemas.microsoft.com/office/drawing/2014/main" id="{00000000-0008-0000-0400-000087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 name="Line 134">
                  <a:extLst>
                    <a:ext uri="{FF2B5EF4-FFF2-40B4-BE49-F238E27FC236}">
                      <a16:creationId xmlns:a16="http://schemas.microsoft.com/office/drawing/2014/main" id="{00000000-0008-0000-0400-000088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7" name="Line 133">
                  <a:extLst>
                    <a:ext uri="{FF2B5EF4-FFF2-40B4-BE49-F238E27FC236}">
                      <a16:creationId xmlns:a16="http://schemas.microsoft.com/office/drawing/2014/main" id="{00000000-0008-0000-0400-000089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8" name="Line 132">
                  <a:extLst>
                    <a:ext uri="{FF2B5EF4-FFF2-40B4-BE49-F238E27FC236}">
                      <a16:creationId xmlns:a16="http://schemas.microsoft.com/office/drawing/2014/main" id="{00000000-0008-0000-0400-00008A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9" name="Line 131">
                  <a:extLst>
                    <a:ext uri="{FF2B5EF4-FFF2-40B4-BE49-F238E27FC236}">
                      <a16:creationId xmlns:a16="http://schemas.microsoft.com/office/drawing/2014/main" id="{00000000-0008-0000-0400-00008B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0" name="Line 130">
                  <a:extLst>
                    <a:ext uri="{FF2B5EF4-FFF2-40B4-BE49-F238E27FC236}">
                      <a16:creationId xmlns:a16="http://schemas.microsoft.com/office/drawing/2014/main" id="{00000000-0008-0000-0400-00008C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1" name="Line 129">
                  <a:extLst>
                    <a:ext uri="{FF2B5EF4-FFF2-40B4-BE49-F238E27FC236}">
                      <a16:creationId xmlns:a16="http://schemas.microsoft.com/office/drawing/2014/main" id="{00000000-0008-0000-0400-00008D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2" name="Line 128">
                  <a:extLst>
                    <a:ext uri="{FF2B5EF4-FFF2-40B4-BE49-F238E27FC236}">
                      <a16:creationId xmlns:a16="http://schemas.microsoft.com/office/drawing/2014/main" id="{00000000-0008-0000-0400-00008E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3" name="Line 127">
                  <a:extLst>
                    <a:ext uri="{FF2B5EF4-FFF2-40B4-BE49-F238E27FC236}">
                      <a16:creationId xmlns:a16="http://schemas.microsoft.com/office/drawing/2014/main" id="{00000000-0008-0000-0400-00008F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44" name="Line 126">
                  <a:extLst>
                    <a:ext uri="{FF2B5EF4-FFF2-40B4-BE49-F238E27FC236}">
                      <a16:creationId xmlns:a16="http://schemas.microsoft.com/office/drawing/2014/main" id="{00000000-0008-0000-0400-000090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16" name="Group 110">
                <a:extLst>
                  <a:ext uri="{FF2B5EF4-FFF2-40B4-BE49-F238E27FC236}">
                    <a16:creationId xmlns:a16="http://schemas.microsoft.com/office/drawing/2014/main" id="{00000000-0008-0000-0400-000074000000}"/>
                  </a:ext>
                </a:extLst>
              </xdr:cNvPr>
              <xdr:cNvGrpSpPr>
                <a:grpSpLocks/>
              </xdr:cNvGrpSpPr>
            </xdr:nvGrpSpPr>
            <xdr:grpSpPr bwMode="auto">
              <a:xfrm rot="5400000" flipV="1">
                <a:off x="9707" y="13229"/>
                <a:ext cx="392" cy="87"/>
                <a:chOff x="10468" y="9915"/>
                <a:chExt cx="392" cy="87"/>
              </a:xfrm>
            </xdr:grpSpPr>
            <xdr:sp macro="" textlink="">
              <xdr:nvSpPr>
                <xdr:cNvPr id="117" name="Line 124">
                  <a:extLst>
                    <a:ext uri="{FF2B5EF4-FFF2-40B4-BE49-F238E27FC236}">
                      <a16:creationId xmlns:a16="http://schemas.microsoft.com/office/drawing/2014/main" id="{00000000-0008-0000-0400-000075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8" name="Line 123">
                  <a:extLst>
                    <a:ext uri="{FF2B5EF4-FFF2-40B4-BE49-F238E27FC236}">
                      <a16:creationId xmlns:a16="http://schemas.microsoft.com/office/drawing/2014/main" id="{00000000-0008-0000-0400-000076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9" name="Line 122">
                  <a:extLst>
                    <a:ext uri="{FF2B5EF4-FFF2-40B4-BE49-F238E27FC236}">
                      <a16:creationId xmlns:a16="http://schemas.microsoft.com/office/drawing/2014/main" id="{00000000-0008-0000-0400-000077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0" name="Line 121">
                  <a:extLst>
                    <a:ext uri="{FF2B5EF4-FFF2-40B4-BE49-F238E27FC236}">
                      <a16:creationId xmlns:a16="http://schemas.microsoft.com/office/drawing/2014/main" id="{00000000-0008-0000-0400-000078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1" name="Line 120">
                  <a:extLst>
                    <a:ext uri="{FF2B5EF4-FFF2-40B4-BE49-F238E27FC236}">
                      <a16:creationId xmlns:a16="http://schemas.microsoft.com/office/drawing/2014/main" id="{00000000-0008-0000-0400-000079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2" name="Line 119">
                  <a:extLst>
                    <a:ext uri="{FF2B5EF4-FFF2-40B4-BE49-F238E27FC236}">
                      <a16:creationId xmlns:a16="http://schemas.microsoft.com/office/drawing/2014/main" id="{00000000-0008-0000-0400-00007A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3" name="Line 118">
                  <a:extLst>
                    <a:ext uri="{FF2B5EF4-FFF2-40B4-BE49-F238E27FC236}">
                      <a16:creationId xmlns:a16="http://schemas.microsoft.com/office/drawing/2014/main" id="{00000000-0008-0000-0400-00007B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4" name="Line 117">
                  <a:extLst>
                    <a:ext uri="{FF2B5EF4-FFF2-40B4-BE49-F238E27FC236}">
                      <a16:creationId xmlns:a16="http://schemas.microsoft.com/office/drawing/2014/main" id="{00000000-0008-0000-0400-00007C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5" name="Line 116">
                  <a:extLst>
                    <a:ext uri="{FF2B5EF4-FFF2-40B4-BE49-F238E27FC236}">
                      <a16:creationId xmlns:a16="http://schemas.microsoft.com/office/drawing/2014/main" id="{00000000-0008-0000-0400-00007D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6" name="Line 115">
                  <a:extLst>
                    <a:ext uri="{FF2B5EF4-FFF2-40B4-BE49-F238E27FC236}">
                      <a16:creationId xmlns:a16="http://schemas.microsoft.com/office/drawing/2014/main" id="{00000000-0008-0000-0400-00007E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7" name="Line 114">
                  <a:extLst>
                    <a:ext uri="{FF2B5EF4-FFF2-40B4-BE49-F238E27FC236}">
                      <a16:creationId xmlns:a16="http://schemas.microsoft.com/office/drawing/2014/main" id="{00000000-0008-0000-0400-00007F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8" name="Line 113">
                  <a:extLst>
                    <a:ext uri="{FF2B5EF4-FFF2-40B4-BE49-F238E27FC236}">
                      <a16:creationId xmlns:a16="http://schemas.microsoft.com/office/drawing/2014/main" id="{00000000-0008-0000-0400-000080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9" name="Line 112">
                  <a:extLst>
                    <a:ext uri="{FF2B5EF4-FFF2-40B4-BE49-F238E27FC236}">
                      <a16:creationId xmlns:a16="http://schemas.microsoft.com/office/drawing/2014/main" id="{00000000-0008-0000-0400-000081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0" name="Line 111">
                  <a:extLst>
                    <a:ext uri="{FF2B5EF4-FFF2-40B4-BE49-F238E27FC236}">
                      <a16:creationId xmlns:a16="http://schemas.microsoft.com/office/drawing/2014/main" id="{00000000-0008-0000-0400-000082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8" name="Group 75">
              <a:extLst>
                <a:ext uri="{FF2B5EF4-FFF2-40B4-BE49-F238E27FC236}">
                  <a16:creationId xmlns:a16="http://schemas.microsoft.com/office/drawing/2014/main" id="{00000000-0008-0000-0400-000008000000}"/>
                </a:ext>
              </a:extLst>
            </xdr:cNvPr>
            <xdr:cNvGrpSpPr>
              <a:grpSpLocks/>
            </xdr:cNvGrpSpPr>
          </xdr:nvGrpSpPr>
          <xdr:grpSpPr bwMode="auto">
            <a:xfrm>
              <a:off x="9451181" y="6329363"/>
              <a:ext cx="838200" cy="242887"/>
              <a:chOff x="8626" y="13617"/>
              <a:chExt cx="1320" cy="392"/>
            </a:xfrm>
          </xdr:grpSpPr>
          <xdr:sp macro="" textlink="">
            <xdr:nvSpPr>
              <xdr:cNvPr id="81" name="Line 108">
                <a:extLst>
                  <a:ext uri="{FF2B5EF4-FFF2-40B4-BE49-F238E27FC236}">
                    <a16:creationId xmlns:a16="http://schemas.microsoft.com/office/drawing/2014/main" id="{00000000-0008-0000-0400-000051000000}"/>
                  </a:ext>
                </a:extLst>
              </xdr:cNvPr>
              <xdr:cNvSpPr>
                <a:spLocks noChangeShapeType="1"/>
              </xdr:cNvSpPr>
            </xdr:nvSpPr>
            <xdr:spPr bwMode="auto">
              <a:xfrm>
                <a:off x="8708" y="13813"/>
                <a:ext cx="1155"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82" name="Group 91">
                <a:extLst>
                  <a:ext uri="{FF2B5EF4-FFF2-40B4-BE49-F238E27FC236}">
                    <a16:creationId xmlns:a16="http://schemas.microsoft.com/office/drawing/2014/main" id="{00000000-0008-0000-0400-000052000000}"/>
                  </a:ext>
                </a:extLst>
              </xdr:cNvPr>
              <xdr:cNvGrpSpPr>
                <a:grpSpLocks/>
              </xdr:cNvGrpSpPr>
            </xdr:nvGrpSpPr>
            <xdr:grpSpPr bwMode="auto">
              <a:xfrm rot="16200000" flipV="1">
                <a:off x="8494" y="13749"/>
                <a:ext cx="392" cy="128"/>
                <a:chOff x="8494" y="13209"/>
                <a:chExt cx="392" cy="128"/>
              </a:xfrm>
            </xdr:grpSpPr>
            <xdr:grpSp>
              <xdr:nvGrpSpPr>
                <xdr:cNvPr id="98" name="Group 93">
                  <a:extLst>
                    <a:ext uri="{FF2B5EF4-FFF2-40B4-BE49-F238E27FC236}">
                      <a16:creationId xmlns:a16="http://schemas.microsoft.com/office/drawing/2014/main" id="{00000000-0008-0000-0400-000062000000}"/>
                    </a:ext>
                  </a:extLst>
                </xdr:cNvPr>
                <xdr:cNvGrpSpPr>
                  <a:grpSpLocks/>
                </xdr:cNvGrpSpPr>
              </xdr:nvGrpSpPr>
              <xdr:grpSpPr bwMode="auto">
                <a:xfrm>
                  <a:off x="8494" y="13250"/>
                  <a:ext cx="392" cy="87"/>
                  <a:chOff x="10468" y="9915"/>
                  <a:chExt cx="392" cy="87"/>
                </a:xfrm>
              </xdr:grpSpPr>
              <xdr:sp macro="" textlink="">
                <xdr:nvSpPr>
                  <xdr:cNvPr id="100" name="Line 107">
                    <a:extLst>
                      <a:ext uri="{FF2B5EF4-FFF2-40B4-BE49-F238E27FC236}">
                        <a16:creationId xmlns:a16="http://schemas.microsoft.com/office/drawing/2014/main" id="{00000000-0008-0000-0400-000064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1" name="Line 106">
                    <a:extLst>
                      <a:ext uri="{FF2B5EF4-FFF2-40B4-BE49-F238E27FC236}">
                        <a16:creationId xmlns:a16="http://schemas.microsoft.com/office/drawing/2014/main" id="{00000000-0008-0000-0400-000065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2" name="Line 105">
                    <a:extLst>
                      <a:ext uri="{FF2B5EF4-FFF2-40B4-BE49-F238E27FC236}">
                        <a16:creationId xmlns:a16="http://schemas.microsoft.com/office/drawing/2014/main" id="{00000000-0008-0000-0400-000066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3" name="Line 104">
                    <a:extLst>
                      <a:ext uri="{FF2B5EF4-FFF2-40B4-BE49-F238E27FC236}">
                        <a16:creationId xmlns:a16="http://schemas.microsoft.com/office/drawing/2014/main" id="{00000000-0008-0000-0400-000067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4" name="Line 103">
                    <a:extLst>
                      <a:ext uri="{FF2B5EF4-FFF2-40B4-BE49-F238E27FC236}">
                        <a16:creationId xmlns:a16="http://schemas.microsoft.com/office/drawing/2014/main" id="{00000000-0008-0000-0400-000068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5" name="Line 102">
                    <a:extLst>
                      <a:ext uri="{FF2B5EF4-FFF2-40B4-BE49-F238E27FC236}">
                        <a16:creationId xmlns:a16="http://schemas.microsoft.com/office/drawing/2014/main" id="{00000000-0008-0000-0400-000069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6" name="Line 101">
                    <a:extLst>
                      <a:ext uri="{FF2B5EF4-FFF2-40B4-BE49-F238E27FC236}">
                        <a16:creationId xmlns:a16="http://schemas.microsoft.com/office/drawing/2014/main" id="{00000000-0008-0000-0400-00006A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7" name="Line 100">
                    <a:extLst>
                      <a:ext uri="{FF2B5EF4-FFF2-40B4-BE49-F238E27FC236}">
                        <a16:creationId xmlns:a16="http://schemas.microsoft.com/office/drawing/2014/main" id="{00000000-0008-0000-0400-00006B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8" name="Line 99">
                    <a:extLst>
                      <a:ext uri="{FF2B5EF4-FFF2-40B4-BE49-F238E27FC236}">
                        <a16:creationId xmlns:a16="http://schemas.microsoft.com/office/drawing/2014/main" id="{00000000-0008-0000-0400-00006C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9" name="Line 98">
                    <a:extLst>
                      <a:ext uri="{FF2B5EF4-FFF2-40B4-BE49-F238E27FC236}">
                        <a16:creationId xmlns:a16="http://schemas.microsoft.com/office/drawing/2014/main" id="{00000000-0008-0000-0400-00006D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0" name="Line 97">
                    <a:extLst>
                      <a:ext uri="{FF2B5EF4-FFF2-40B4-BE49-F238E27FC236}">
                        <a16:creationId xmlns:a16="http://schemas.microsoft.com/office/drawing/2014/main" id="{00000000-0008-0000-0400-00006E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1" name="Line 96">
                    <a:extLst>
                      <a:ext uri="{FF2B5EF4-FFF2-40B4-BE49-F238E27FC236}">
                        <a16:creationId xmlns:a16="http://schemas.microsoft.com/office/drawing/2014/main" id="{00000000-0008-0000-0400-00006F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2" name="Line 95">
                    <a:extLst>
                      <a:ext uri="{FF2B5EF4-FFF2-40B4-BE49-F238E27FC236}">
                        <a16:creationId xmlns:a16="http://schemas.microsoft.com/office/drawing/2014/main" id="{00000000-0008-0000-0400-000070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3" name="Line 94">
                    <a:extLst>
                      <a:ext uri="{FF2B5EF4-FFF2-40B4-BE49-F238E27FC236}">
                        <a16:creationId xmlns:a16="http://schemas.microsoft.com/office/drawing/2014/main" id="{00000000-0008-0000-0400-000071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99" name="Oval 92">
                  <a:extLst>
                    <a:ext uri="{FF2B5EF4-FFF2-40B4-BE49-F238E27FC236}">
                      <a16:creationId xmlns:a16="http://schemas.microsoft.com/office/drawing/2014/main" id="{00000000-0008-0000-0400-000063000000}"/>
                    </a:ext>
                  </a:extLst>
                </xdr:cNvPr>
                <xdr:cNvSpPr>
                  <a:spLocks noChangeArrowheads="1"/>
                </xdr:cNvSpPr>
              </xdr:nvSpPr>
              <xdr:spPr bwMode="auto">
                <a:xfrm>
                  <a:off x="8644" y="13209"/>
                  <a:ext cx="99" cy="99"/>
                </a:xfrm>
                <a:prstGeom prst="ellipse">
                  <a:avLst/>
                </a:prstGeom>
                <a:solidFill>
                  <a:srgbClr val="FFFFFF"/>
                </a:solidFill>
                <a:ln w="6350">
                  <a:solidFill>
                    <a:srgbClr val="000000"/>
                  </a:solidFill>
                  <a:round/>
                  <a:headEnd/>
                  <a:tailEnd/>
                </a:ln>
              </xdr:spPr>
            </xdr:sp>
          </xdr:grpSp>
          <xdr:grpSp>
            <xdr:nvGrpSpPr>
              <xdr:cNvPr id="83" name="Group 76">
                <a:extLst>
                  <a:ext uri="{FF2B5EF4-FFF2-40B4-BE49-F238E27FC236}">
                    <a16:creationId xmlns:a16="http://schemas.microsoft.com/office/drawing/2014/main" id="{00000000-0008-0000-0400-000053000000}"/>
                  </a:ext>
                </a:extLst>
              </xdr:cNvPr>
              <xdr:cNvGrpSpPr>
                <a:grpSpLocks/>
              </xdr:cNvGrpSpPr>
            </xdr:nvGrpSpPr>
            <xdr:grpSpPr bwMode="auto">
              <a:xfrm rot="5400000" flipV="1">
                <a:off x="9707" y="13769"/>
                <a:ext cx="392" cy="87"/>
                <a:chOff x="10468" y="9915"/>
                <a:chExt cx="392" cy="87"/>
              </a:xfrm>
            </xdr:grpSpPr>
            <xdr:sp macro="" textlink="">
              <xdr:nvSpPr>
                <xdr:cNvPr id="84" name="Line 90">
                  <a:extLst>
                    <a:ext uri="{FF2B5EF4-FFF2-40B4-BE49-F238E27FC236}">
                      <a16:creationId xmlns:a16="http://schemas.microsoft.com/office/drawing/2014/main" id="{00000000-0008-0000-0400-000054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5" name="Line 89">
                  <a:extLst>
                    <a:ext uri="{FF2B5EF4-FFF2-40B4-BE49-F238E27FC236}">
                      <a16:creationId xmlns:a16="http://schemas.microsoft.com/office/drawing/2014/main" id="{00000000-0008-0000-0400-000055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6" name="Line 88">
                  <a:extLst>
                    <a:ext uri="{FF2B5EF4-FFF2-40B4-BE49-F238E27FC236}">
                      <a16:creationId xmlns:a16="http://schemas.microsoft.com/office/drawing/2014/main" id="{00000000-0008-0000-0400-000056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7" name="Line 87">
                  <a:extLst>
                    <a:ext uri="{FF2B5EF4-FFF2-40B4-BE49-F238E27FC236}">
                      <a16:creationId xmlns:a16="http://schemas.microsoft.com/office/drawing/2014/main" id="{00000000-0008-0000-0400-000057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 name="Line 86">
                  <a:extLst>
                    <a:ext uri="{FF2B5EF4-FFF2-40B4-BE49-F238E27FC236}">
                      <a16:creationId xmlns:a16="http://schemas.microsoft.com/office/drawing/2014/main" id="{00000000-0008-0000-0400-000058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9" name="Line 85">
                  <a:extLst>
                    <a:ext uri="{FF2B5EF4-FFF2-40B4-BE49-F238E27FC236}">
                      <a16:creationId xmlns:a16="http://schemas.microsoft.com/office/drawing/2014/main" id="{00000000-0008-0000-0400-000059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0" name="Line 84">
                  <a:extLst>
                    <a:ext uri="{FF2B5EF4-FFF2-40B4-BE49-F238E27FC236}">
                      <a16:creationId xmlns:a16="http://schemas.microsoft.com/office/drawing/2014/main" id="{00000000-0008-0000-0400-00005A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1" name="Line 83">
                  <a:extLst>
                    <a:ext uri="{FF2B5EF4-FFF2-40B4-BE49-F238E27FC236}">
                      <a16:creationId xmlns:a16="http://schemas.microsoft.com/office/drawing/2014/main" id="{00000000-0008-0000-0400-00005B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 name="Line 82">
                  <a:extLst>
                    <a:ext uri="{FF2B5EF4-FFF2-40B4-BE49-F238E27FC236}">
                      <a16:creationId xmlns:a16="http://schemas.microsoft.com/office/drawing/2014/main" id="{00000000-0008-0000-0400-00005C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3" name="Line 81">
                  <a:extLst>
                    <a:ext uri="{FF2B5EF4-FFF2-40B4-BE49-F238E27FC236}">
                      <a16:creationId xmlns:a16="http://schemas.microsoft.com/office/drawing/2014/main" id="{00000000-0008-0000-0400-00005D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4" name="Line 80">
                  <a:extLst>
                    <a:ext uri="{FF2B5EF4-FFF2-40B4-BE49-F238E27FC236}">
                      <a16:creationId xmlns:a16="http://schemas.microsoft.com/office/drawing/2014/main" id="{00000000-0008-0000-0400-00005E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5" name="Line 79">
                  <a:extLst>
                    <a:ext uri="{FF2B5EF4-FFF2-40B4-BE49-F238E27FC236}">
                      <a16:creationId xmlns:a16="http://schemas.microsoft.com/office/drawing/2014/main" id="{00000000-0008-0000-0400-00005F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6" name="Line 78">
                  <a:extLst>
                    <a:ext uri="{FF2B5EF4-FFF2-40B4-BE49-F238E27FC236}">
                      <a16:creationId xmlns:a16="http://schemas.microsoft.com/office/drawing/2014/main" id="{00000000-0008-0000-0400-000060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7" name="Line 77">
                  <a:extLst>
                    <a:ext uri="{FF2B5EF4-FFF2-40B4-BE49-F238E27FC236}">
                      <a16:creationId xmlns:a16="http://schemas.microsoft.com/office/drawing/2014/main" id="{00000000-0008-0000-0400-000061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grpSp>
          <xdr:nvGrpSpPr>
            <xdr:cNvPr id="9" name="Group 41">
              <a:extLst>
                <a:ext uri="{FF2B5EF4-FFF2-40B4-BE49-F238E27FC236}">
                  <a16:creationId xmlns:a16="http://schemas.microsoft.com/office/drawing/2014/main" id="{00000000-0008-0000-0400-000009000000}"/>
                </a:ext>
              </a:extLst>
            </xdr:cNvPr>
            <xdr:cNvGrpSpPr>
              <a:grpSpLocks/>
            </xdr:cNvGrpSpPr>
          </xdr:nvGrpSpPr>
          <xdr:grpSpPr bwMode="auto">
            <a:xfrm>
              <a:off x="9451181" y="6643688"/>
              <a:ext cx="838200" cy="250031"/>
              <a:chOff x="8626" y="14104"/>
              <a:chExt cx="1322" cy="392"/>
            </a:xfrm>
          </xdr:grpSpPr>
          <xdr:sp macro="" textlink="">
            <xdr:nvSpPr>
              <xdr:cNvPr id="48" name="Line 74">
                <a:extLst>
                  <a:ext uri="{FF2B5EF4-FFF2-40B4-BE49-F238E27FC236}">
                    <a16:creationId xmlns:a16="http://schemas.microsoft.com/office/drawing/2014/main" id="{00000000-0008-0000-0400-000030000000}"/>
                  </a:ext>
                </a:extLst>
              </xdr:cNvPr>
              <xdr:cNvSpPr>
                <a:spLocks noChangeShapeType="1"/>
              </xdr:cNvSpPr>
            </xdr:nvSpPr>
            <xdr:spPr bwMode="auto">
              <a:xfrm>
                <a:off x="8708" y="14300"/>
                <a:ext cx="1155"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49" name="Group 59">
                <a:extLst>
                  <a:ext uri="{FF2B5EF4-FFF2-40B4-BE49-F238E27FC236}">
                    <a16:creationId xmlns:a16="http://schemas.microsoft.com/office/drawing/2014/main" id="{00000000-0008-0000-0400-000031000000}"/>
                  </a:ext>
                </a:extLst>
              </xdr:cNvPr>
              <xdr:cNvGrpSpPr>
                <a:grpSpLocks/>
              </xdr:cNvGrpSpPr>
            </xdr:nvGrpSpPr>
            <xdr:grpSpPr bwMode="auto">
              <a:xfrm rot="16200000" flipV="1">
                <a:off x="8474" y="14256"/>
                <a:ext cx="392" cy="87"/>
                <a:chOff x="10468" y="9915"/>
                <a:chExt cx="392" cy="87"/>
              </a:xfrm>
            </xdr:grpSpPr>
            <xdr:sp macro="" textlink="">
              <xdr:nvSpPr>
                <xdr:cNvPr id="67" name="Line 73">
                  <a:extLst>
                    <a:ext uri="{FF2B5EF4-FFF2-40B4-BE49-F238E27FC236}">
                      <a16:creationId xmlns:a16="http://schemas.microsoft.com/office/drawing/2014/main" id="{00000000-0008-0000-0400-000043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 name="Line 72">
                  <a:extLst>
                    <a:ext uri="{FF2B5EF4-FFF2-40B4-BE49-F238E27FC236}">
                      <a16:creationId xmlns:a16="http://schemas.microsoft.com/office/drawing/2014/main" id="{00000000-0008-0000-0400-000044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9" name="Line 71">
                  <a:extLst>
                    <a:ext uri="{FF2B5EF4-FFF2-40B4-BE49-F238E27FC236}">
                      <a16:creationId xmlns:a16="http://schemas.microsoft.com/office/drawing/2014/main" id="{00000000-0008-0000-0400-000045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0" name="Line 70">
                  <a:extLst>
                    <a:ext uri="{FF2B5EF4-FFF2-40B4-BE49-F238E27FC236}">
                      <a16:creationId xmlns:a16="http://schemas.microsoft.com/office/drawing/2014/main" id="{00000000-0008-0000-0400-000046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1" name="Line 69">
                  <a:extLst>
                    <a:ext uri="{FF2B5EF4-FFF2-40B4-BE49-F238E27FC236}">
                      <a16:creationId xmlns:a16="http://schemas.microsoft.com/office/drawing/2014/main" id="{00000000-0008-0000-0400-000047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2" name="Line 68">
                  <a:extLst>
                    <a:ext uri="{FF2B5EF4-FFF2-40B4-BE49-F238E27FC236}">
                      <a16:creationId xmlns:a16="http://schemas.microsoft.com/office/drawing/2014/main" id="{00000000-0008-0000-0400-000048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3" name="Line 67">
                  <a:extLst>
                    <a:ext uri="{FF2B5EF4-FFF2-40B4-BE49-F238E27FC236}">
                      <a16:creationId xmlns:a16="http://schemas.microsoft.com/office/drawing/2014/main" id="{00000000-0008-0000-0400-000049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 name="Line 66">
                  <a:extLst>
                    <a:ext uri="{FF2B5EF4-FFF2-40B4-BE49-F238E27FC236}">
                      <a16:creationId xmlns:a16="http://schemas.microsoft.com/office/drawing/2014/main" id="{00000000-0008-0000-0400-00004A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5" name="Line 65">
                  <a:extLst>
                    <a:ext uri="{FF2B5EF4-FFF2-40B4-BE49-F238E27FC236}">
                      <a16:creationId xmlns:a16="http://schemas.microsoft.com/office/drawing/2014/main" id="{00000000-0008-0000-0400-00004B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6" name="Line 64">
                  <a:extLst>
                    <a:ext uri="{FF2B5EF4-FFF2-40B4-BE49-F238E27FC236}">
                      <a16:creationId xmlns:a16="http://schemas.microsoft.com/office/drawing/2014/main" id="{00000000-0008-0000-0400-00004C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7" name="Line 63">
                  <a:extLst>
                    <a:ext uri="{FF2B5EF4-FFF2-40B4-BE49-F238E27FC236}">
                      <a16:creationId xmlns:a16="http://schemas.microsoft.com/office/drawing/2014/main" id="{00000000-0008-0000-0400-00004D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8" name="Line 62">
                  <a:extLst>
                    <a:ext uri="{FF2B5EF4-FFF2-40B4-BE49-F238E27FC236}">
                      <a16:creationId xmlns:a16="http://schemas.microsoft.com/office/drawing/2014/main" id="{00000000-0008-0000-0400-00004E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79" name="Line 61">
                  <a:extLst>
                    <a:ext uri="{FF2B5EF4-FFF2-40B4-BE49-F238E27FC236}">
                      <a16:creationId xmlns:a16="http://schemas.microsoft.com/office/drawing/2014/main" id="{00000000-0008-0000-0400-00004F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0" name="Line 60">
                  <a:extLst>
                    <a:ext uri="{FF2B5EF4-FFF2-40B4-BE49-F238E27FC236}">
                      <a16:creationId xmlns:a16="http://schemas.microsoft.com/office/drawing/2014/main" id="{00000000-0008-0000-0400-000050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50" name="Group 42">
                <a:extLst>
                  <a:ext uri="{FF2B5EF4-FFF2-40B4-BE49-F238E27FC236}">
                    <a16:creationId xmlns:a16="http://schemas.microsoft.com/office/drawing/2014/main" id="{00000000-0008-0000-0400-000032000000}"/>
                  </a:ext>
                </a:extLst>
              </xdr:cNvPr>
              <xdr:cNvGrpSpPr>
                <a:grpSpLocks/>
              </xdr:cNvGrpSpPr>
            </xdr:nvGrpSpPr>
            <xdr:grpSpPr bwMode="auto">
              <a:xfrm rot="5400000" flipV="1">
                <a:off x="9688" y="14236"/>
                <a:ext cx="392" cy="128"/>
                <a:chOff x="8494" y="13209"/>
                <a:chExt cx="392" cy="128"/>
              </a:xfrm>
            </xdr:grpSpPr>
            <xdr:grpSp>
              <xdr:nvGrpSpPr>
                <xdr:cNvPr id="51" name="Group 44">
                  <a:extLst>
                    <a:ext uri="{FF2B5EF4-FFF2-40B4-BE49-F238E27FC236}">
                      <a16:creationId xmlns:a16="http://schemas.microsoft.com/office/drawing/2014/main" id="{00000000-0008-0000-0400-000033000000}"/>
                    </a:ext>
                  </a:extLst>
                </xdr:cNvPr>
                <xdr:cNvGrpSpPr>
                  <a:grpSpLocks/>
                </xdr:cNvGrpSpPr>
              </xdr:nvGrpSpPr>
              <xdr:grpSpPr bwMode="auto">
                <a:xfrm>
                  <a:off x="8494" y="13250"/>
                  <a:ext cx="392" cy="87"/>
                  <a:chOff x="10468" y="9915"/>
                  <a:chExt cx="392" cy="87"/>
                </a:xfrm>
              </xdr:grpSpPr>
              <xdr:sp macro="" textlink="">
                <xdr:nvSpPr>
                  <xdr:cNvPr id="53" name="Line 58">
                    <a:extLst>
                      <a:ext uri="{FF2B5EF4-FFF2-40B4-BE49-F238E27FC236}">
                        <a16:creationId xmlns:a16="http://schemas.microsoft.com/office/drawing/2014/main" id="{00000000-0008-0000-0400-000035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4" name="Line 57">
                    <a:extLst>
                      <a:ext uri="{FF2B5EF4-FFF2-40B4-BE49-F238E27FC236}">
                        <a16:creationId xmlns:a16="http://schemas.microsoft.com/office/drawing/2014/main" id="{00000000-0008-0000-0400-000036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5" name="Line 56">
                    <a:extLst>
                      <a:ext uri="{FF2B5EF4-FFF2-40B4-BE49-F238E27FC236}">
                        <a16:creationId xmlns:a16="http://schemas.microsoft.com/office/drawing/2014/main" id="{00000000-0008-0000-0400-000037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6" name="Line 55">
                    <a:extLst>
                      <a:ext uri="{FF2B5EF4-FFF2-40B4-BE49-F238E27FC236}">
                        <a16:creationId xmlns:a16="http://schemas.microsoft.com/office/drawing/2014/main" id="{00000000-0008-0000-0400-000038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7" name="Line 54">
                    <a:extLst>
                      <a:ext uri="{FF2B5EF4-FFF2-40B4-BE49-F238E27FC236}">
                        <a16:creationId xmlns:a16="http://schemas.microsoft.com/office/drawing/2014/main" id="{00000000-0008-0000-0400-000039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8" name="Line 53">
                    <a:extLst>
                      <a:ext uri="{FF2B5EF4-FFF2-40B4-BE49-F238E27FC236}">
                        <a16:creationId xmlns:a16="http://schemas.microsoft.com/office/drawing/2014/main" id="{00000000-0008-0000-0400-00003A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59" name="Line 52">
                    <a:extLst>
                      <a:ext uri="{FF2B5EF4-FFF2-40B4-BE49-F238E27FC236}">
                        <a16:creationId xmlns:a16="http://schemas.microsoft.com/office/drawing/2014/main" id="{00000000-0008-0000-0400-00003B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0" name="Line 51">
                    <a:extLst>
                      <a:ext uri="{FF2B5EF4-FFF2-40B4-BE49-F238E27FC236}">
                        <a16:creationId xmlns:a16="http://schemas.microsoft.com/office/drawing/2014/main" id="{00000000-0008-0000-0400-00003C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1" name="Line 50">
                    <a:extLst>
                      <a:ext uri="{FF2B5EF4-FFF2-40B4-BE49-F238E27FC236}">
                        <a16:creationId xmlns:a16="http://schemas.microsoft.com/office/drawing/2014/main" id="{00000000-0008-0000-0400-00003D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2" name="Line 49">
                    <a:extLst>
                      <a:ext uri="{FF2B5EF4-FFF2-40B4-BE49-F238E27FC236}">
                        <a16:creationId xmlns:a16="http://schemas.microsoft.com/office/drawing/2014/main" id="{00000000-0008-0000-0400-00003E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3" name="Line 48">
                    <a:extLst>
                      <a:ext uri="{FF2B5EF4-FFF2-40B4-BE49-F238E27FC236}">
                        <a16:creationId xmlns:a16="http://schemas.microsoft.com/office/drawing/2014/main" id="{00000000-0008-0000-0400-00003F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4" name="Line 47">
                    <a:extLst>
                      <a:ext uri="{FF2B5EF4-FFF2-40B4-BE49-F238E27FC236}">
                        <a16:creationId xmlns:a16="http://schemas.microsoft.com/office/drawing/2014/main" id="{00000000-0008-0000-0400-000040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5" name="Line 46">
                    <a:extLst>
                      <a:ext uri="{FF2B5EF4-FFF2-40B4-BE49-F238E27FC236}">
                        <a16:creationId xmlns:a16="http://schemas.microsoft.com/office/drawing/2014/main" id="{00000000-0008-0000-0400-000041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66" name="Line 45">
                    <a:extLst>
                      <a:ext uri="{FF2B5EF4-FFF2-40B4-BE49-F238E27FC236}">
                        <a16:creationId xmlns:a16="http://schemas.microsoft.com/office/drawing/2014/main" id="{00000000-0008-0000-0400-000042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52" name="Oval 43">
                  <a:extLst>
                    <a:ext uri="{FF2B5EF4-FFF2-40B4-BE49-F238E27FC236}">
                      <a16:creationId xmlns:a16="http://schemas.microsoft.com/office/drawing/2014/main" id="{00000000-0008-0000-0400-000034000000}"/>
                    </a:ext>
                  </a:extLst>
                </xdr:cNvPr>
                <xdr:cNvSpPr>
                  <a:spLocks noChangeArrowheads="1"/>
                </xdr:cNvSpPr>
              </xdr:nvSpPr>
              <xdr:spPr bwMode="auto">
                <a:xfrm>
                  <a:off x="8644" y="13209"/>
                  <a:ext cx="99" cy="99"/>
                </a:xfrm>
                <a:prstGeom prst="ellipse">
                  <a:avLst/>
                </a:prstGeom>
                <a:solidFill>
                  <a:srgbClr val="FFFFFF"/>
                </a:solidFill>
                <a:ln w="6350">
                  <a:solidFill>
                    <a:srgbClr val="000000"/>
                  </a:solidFill>
                  <a:round/>
                  <a:headEnd/>
                  <a:tailEnd/>
                </a:ln>
              </xdr:spPr>
            </xdr:sp>
          </xdr:grpSp>
        </xdr:grpSp>
        <xdr:sp macro="" textlink="">
          <xdr:nvSpPr>
            <xdr:cNvPr id="10" name="Text Box 40">
              <a:extLst>
                <a:ext uri="{FF2B5EF4-FFF2-40B4-BE49-F238E27FC236}">
                  <a16:creationId xmlns:a16="http://schemas.microsoft.com/office/drawing/2014/main" id="{00000000-0008-0000-0400-00000A000000}"/>
                </a:ext>
              </a:extLst>
            </xdr:cNvPr>
            <xdr:cNvSpPr txBox="1">
              <a:spLocks noChangeArrowheads="1"/>
            </xdr:cNvSpPr>
          </xdr:nvSpPr>
          <xdr:spPr bwMode="auto">
            <a:xfrm>
              <a:off x="10356056" y="6053138"/>
              <a:ext cx="161925" cy="1571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1</a:t>
              </a:r>
            </a:p>
          </xdr:txBody>
        </xdr:sp>
        <xdr:sp macro="" textlink="">
          <xdr:nvSpPr>
            <xdr:cNvPr id="11" name="Text Box 39">
              <a:extLst>
                <a:ext uri="{FF2B5EF4-FFF2-40B4-BE49-F238E27FC236}">
                  <a16:creationId xmlns:a16="http://schemas.microsoft.com/office/drawing/2014/main" id="{00000000-0008-0000-0400-00000B000000}"/>
                </a:ext>
              </a:extLst>
            </xdr:cNvPr>
            <xdr:cNvSpPr txBox="1">
              <a:spLocks noChangeArrowheads="1"/>
            </xdr:cNvSpPr>
          </xdr:nvSpPr>
          <xdr:spPr bwMode="auto">
            <a:xfrm>
              <a:off x="10356056" y="6376988"/>
              <a:ext cx="161925" cy="1571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2a</a:t>
              </a:r>
            </a:p>
          </xdr:txBody>
        </xdr:sp>
        <xdr:sp macro="" textlink="">
          <xdr:nvSpPr>
            <xdr:cNvPr id="12" name="Text Box 38">
              <a:extLst>
                <a:ext uri="{FF2B5EF4-FFF2-40B4-BE49-F238E27FC236}">
                  <a16:creationId xmlns:a16="http://schemas.microsoft.com/office/drawing/2014/main" id="{00000000-0008-0000-0400-00000C000000}"/>
                </a:ext>
              </a:extLst>
            </xdr:cNvPr>
            <xdr:cNvSpPr txBox="1">
              <a:spLocks noChangeArrowheads="1"/>
            </xdr:cNvSpPr>
          </xdr:nvSpPr>
          <xdr:spPr bwMode="auto">
            <a:xfrm>
              <a:off x="10356056" y="6691313"/>
              <a:ext cx="161925" cy="1643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2b</a:t>
              </a:r>
            </a:p>
          </xdr:txBody>
        </xdr:sp>
        <xdr:sp macro="" textlink="">
          <xdr:nvSpPr>
            <xdr:cNvPr id="13" name="Text Box 37">
              <a:extLst>
                <a:ext uri="{FF2B5EF4-FFF2-40B4-BE49-F238E27FC236}">
                  <a16:creationId xmlns:a16="http://schemas.microsoft.com/office/drawing/2014/main" id="{00000000-0008-0000-0400-00000D000000}"/>
                </a:ext>
              </a:extLst>
            </xdr:cNvPr>
            <xdr:cNvSpPr txBox="1">
              <a:spLocks noChangeArrowheads="1"/>
            </xdr:cNvSpPr>
          </xdr:nvSpPr>
          <xdr:spPr bwMode="auto">
            <a:xfrm>
              <a:off x="10356056" y="7008019"/>
              <a:ext cx="161925" cy="1643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de-DE" sz="1000" b="0" i="0" u="none" strike="noStrike" baseline="0">
                  <a:ln>
                    <a:noFill/>
                  </a:ln>
                  <a:solidFill>
                    <a:srgbClr val="000000"/>
                  </a:solidFill>
                  <a:latin typeface="Arial"/>
                  <a:cs typeface="Arial"/>
                </a:rPr>
                <a:t>3</a:t>
              </a:r>
            </a:p>
          </xdr:txBody>
        </xdr:sp>
        <xdr:grpSp>
          <xdr:nvGrpSpPr>
            <xdr:cNvPr id="14" name="Group 3">
              <a:extLst>
                <a:ext uri="{FF2B5EF4-FFF2-40B4-BE49-F238E27FC236}">
                  <a16:creationId xmlns:a16="http://schemas.microsoft.com/office/drawing/2014/main" id="{00000000-0008-0000-0400-00000E000000}"/>
                </a:ext>
              </a:extLst>
            </xdr:cNvPr>
            <xdr:cNvGrpSpPr>
              <a:grpSpLocks/>
            </xdr:cNvGrpSpPr>
          </xdr:nvGrpSpPr>
          <xdr:grpSpPr bwMode="auto">
            <a:xfrm>
              <a:off x="9451181" y="6969919"/>
              <a:ext cx="838200" cy="250031"/>
              <a:chOff x="8626" y="14605"/>
              <a:chExt cx="1320" cy="392"/>
            </a:xfrm>
          </xdr:grpSpPr>
          <xdr:sp macro="" textlink="">
            <xdr:nvSpPr>
              <xdr:cNvPr id="15" name="Line 36">
                <a:extLst>
                  <a:ext uri="{FF2B5EF4-FFF2-40B4-BE49-F238E27FC236}">
                    <a16:creationId xmlns:a16="http://schemas.microsoft.com/office/drawing/2014/main" id="{00000000-0008-0000-0400-00000F000000}"/>
                  </a:ext>
                </a:extLst>
              </xdr:cNvPr>
              <xdr:cNvSpPr>
                <a:spLocks noChangeShapeType="1"/>
              </xdr:cNvSpPr>
            </xdr:nvSpPr>
            <xdr:spPr bwMode="auto">
              <a:xfrm>
                <a:off x="8708" y="14801"/>
                <a:ext cx="1151"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nvGrpSpPr>
              <xdr:cNvPr id="16" name="Group 21">
                <a:extLst>
                  <a:ext uri="{FF2B5EF4-FFF2-40B4-BE49-F238E27FC236}">
                    <a16:creationId xmlns:a16="http://schemas.microsoft.com/office/drawing/2014/main" id="{00000000-0008-0000-0400-000010000000}"/>
                  </a:ext>
                </a:extLst>
              </xdr:cNvPr>
              <xdr:cNvGrpSpPr>
                <a:grpSpLocks/>
              </xdr:cNvGrpSpPr>
            </xdr:nvGrpSpPr>
            <xdr:grpSpPr bwMode="auto">
              <a:xfrm rot="16200000" flipV="1">
                <a:off x="8474" y="14757"/>
                <a:ext cx="392" cy="87"/>
                <a:chOff x="10468" y="9915"/>
                <a:chExt cx="392" cy="87"/>
              </a:xfrm>
            </xdr:grpSpPr>
            <xdr:sp macro="" textlink="">
              <xdr:nvSpPr>
                <xdr:cNvPr id="34" name="Line 35">
                  <a:extLst>
                    <a:ext uri="{FF2B5EF4-FFF2-40B4-BE49-F238E27FC236}">
                      <a16:creationId xmlns:a16="http://schemas.microsoft.com/office/drawing/2014/main" id="{00000000-0008-0000-0400-000022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5" name="Line 34">
                  <a:extLst>
                    <a:ext uri="{FF2B5EF4-FFF2-40B4-BE49-F238E27FC236}">
                      <a16:creationId xmlns:a16="http://schemas.microsoft.com/office/drawing/2014/main" id="{00000000-0008-0000-0400-000023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6" name="Line 33">
                  <a:extLst>
                    <a:ext uri="{FF2B5EF4-FFF2-40B4-BE49-F238E27FC236}">
                      <a16:creationId xmlns:a16="http://schemas.microsoft.com/office/drawing/2014/main" id="{00000000-0008-0000-0400-000024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7" name="Line 32">
                  <a:extLst>
                    <a:ext uri="{FF2B5EF4-FFF2-40B4-BE49-F238E27FC236}">
                      <a16:creationId xmlns:a16="http://schemas.microsoft.com/office/drawing/2014/main" id="{00000000-0008-0000-0400-000025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8" name="Line 31">
                  <a:extLst>
                    <a:ext uri="{FF2B5EF4-FFF2-40B4-BE49-F238E27FC236}">
                      <a16:creationId xmlns:a16="http://schemas.microsoft.com/office/drawing/2014/main" id="{00000000-0008-0000-0400-000026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9" name="Line 30">
                  <a:extLst>
                    <a:ext uri="{FF2B5EF4-FFF2-40B4-BE49-F238E27FC236}">
                      <a16:creationId xmlns:a16="http://schemas.microsoft.com/office/drawing/2014/main" id="{00000000-0008-0000-0400-000027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0" name="Line 29">
                  <a:extLst>
                    <a:ext uri="{FF2B5EF4-FFF2-40B4-BE49-F238E27FC236}">
                      <a16:creationId xmlns:a16="http://schemas.microsoft.com/office/drawing/2014/main" id="{00000000-0008-0000-0400-000028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1" name="Line 28">
                  <a:extLst>
                    <a:ext uri="{FF2B5EF4-FFF2-40B4-BE49-F238E27FC236}">
                      <a16:creationId xmlns:a16="http://schemas.microsoft.com/office/drawing/2014/main" id="{00000000-0008-0000-0400-000029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2" name="Line 27">
                  <a:extLst>
                    <a:ext uri="{FF2B5EF4-FFF2-40B4-BE49-F238E27FC236}">
                      <a16:creationId xmlns:a16="http://schemas.microsoft.com/office/drawing/2014/main" id="{00000000-0008-0000-0400-00002A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3" name="Line 26">
                  <a:extLst>
                    <a:ext uri="{FF2B5EF4-FFF2-40B4-BE49-F238E27FC236}">
                      <a16:creationId xmlns:a16="http://schemas.microsoft.com/office/drawing/2014/main" id="{00000000-0008-0000-0400-00002B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4" name="Line 25">
                  <a:extLst>
                    <a:ext uri="{FF2B5EF4-FFF2-40B4-BE49-F238E27FC236}">
                      <a16:creationId xmlns:a16="http://schemas.microsoft.com/office/drawing/2014/main" id="{00000000-0008-0000-0400-00002C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5" name="Line 24">
                  <a:extLst>
                    <a:ext uri="{FF2B5EF4-FFF2-40B4-BE49-F238E27FC236}">
                      <a16:creationId xmlns:a16="http://schemas.microsoft.com/office/drawing/2014/main" id="{00000000-0008-0000-0400-00002D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6" name="Line 23">
                  <a:extLst>
                    <a:ext uri="{FF2B5EF4-FFF2-40B4-BE49-F238E27FC236}">
                      <a16:creationId xmlns:a16="http://schemas.microsoft.com/office/drawing/2014/main" id="{00000000-0008-0000-0400-00002E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 name="Line 22">
                  <a:extLst>
                    <a:ext uri="{FF2B5EF4-FFF2-40B4-BE49-F238E27FC236}">
                      <a16:creationId xmlns:a16="http://schemas.microsoft.com/office/drawing/2014/main" id="{00000000-0008-0000-0400-00002F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nvGrpSpPr>
              <xdr:cNvPr id="17" name="Group 6">
                <a:extLst>
                  <a:ext uri="{FF2B5EF4-FFF2-40B4-BE49-F238E27FC236}">
                    <a16:creationId xmlns:a16="http://schemas.microsoft.com/office/drawing/2014/main" id="{00000000-0008-0000-0400-000011000000}"/>
                  </a:ext>
                </a:extLst>
              </xdr:cNvPr>
              <xdr:cNvGrpSpPr>
                <a:grpSpLocks/>
              </xdr:cNvGrpSpPr>
            </xdr:nvGrpSpPr>
            <xdr:grpSpPr bwMode="auto">
              <a:xfrm rot="5400000" flipV="1">
                <a:off x="9707" y="14757"/>
                <a:ext cx="392" cy="87"/>
                <a:chOff x="10468" y="9915"/>
                <a:chExt cx="392" cy="87"/>
              </a:xfrm>
            </xdr:grpSpPr>
            <xdr:sp macro="" textlink="">
              <xdr:nvSpPr>
                <xdr:cNvPr id="20" name="Line 20">
                  <a:extLst>
                    <a:ext uri="{FF2B5EF4-FFF2-40B4-BE49-F238E27FC236}">
                      <a16:creationId xmlns:a16="http://schemas.microsoft.com/office/drawing/2014/main" id="{00000000-0008-0000-0400-000014000000}"/>
                    </a:ext>
                  </a:extLst>
                </xdr:cNvPr>
                <xdr:cNvSpPr>
                  <a:spLocks noChangeShapeType="1"/>
                </xdr:cNvSpPr>
              </xdr:nvSpPr>
              <xdr:spPr bwMode="auto">
                <a:xfrm flipV="1">
                  <a:off x="10468"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 name="Line 19">
                  <a:extLst>
                    <a:ext uri="{FF2B5EF4-FFF2-40B4-BE49-F238E27FC236}">
                      <a16:creationId xmlns:a16="http://schemas.microsoft.com/office/drawing/2014/main" id="{00000000-0008-0000-0400-000015000000}"/>
                    </a:ext>
                  </a:extLst>
                </xdr:cNvPr>
                <xdr:cNvSpPr>
                  <a:spLocks noChangeShapeType="1"/>
                </xdr:cNvSpPr>
              </xdr:nvSpPr>
              <xdr:spPr bwMode="auto">
                <a:xfrm>
                  <a:off x="10469" y="9915"/>
                  <a:ext cx="38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2" name="Line 18">
                  <a:extLst>
                    <a:ext uri="{FF2B5EF4-FFF2-40B4-BE49-F238E27FC236}">
                      <a16:creationId xmlns:a16="http://schemas.microsoft.com/office/drawing/2014/main" id="{00000000-0008-0000-0400-000016000000}"/>
                    </a:ext>
                  </a:extLst>
                </xdr:cNvPr>
                <xdr:cNvSpPr>
                  <a:spLocks noChangeShapeType="1"/>
                </xdr:cNvSpPr>
              </xdr:nvSpPr>
              <xdr:spPr bwMode="auto">
                <a:xfrm flipV="1">
                  <a:off x="10764"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3" name="Line 17">
                  <a:extLst>
                    <a:ext uri="{FF2B5EF4-FFF2-40B4-BE49-F238E27FC236}">
                      <a16:creationId xmlns:a16="http://schemas.microsoft.com/office/drawing/2014/main" id="{00000000-0008-0000-0400-000017000000}"/>
                    </a:ext>
                  </a:extLst>
                </xdr:cNvPr>
                <xdr:cNvSpPr>
                  <a:spLocks noChangeShapeType="1"/>
                </xdr:cNvSpPr>
              </xdr:nvSpPr>
              <xdr:spPr bwMode="auto">
                <a:xfrm flipV="1">
                  <a:off x="10505"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 name="Line 16">
                  <a:extLst>
                    <a:ext uri="{FF2B5EF4-FFF2-40B4-BE49-F238E27FC236}">
                      <a16:creationId xmlns:a16="http://schemas.microsoft.com/office/drawing/2014/main" id="{00000000-0008-0000-0400-000018000000}"/>
                    </a:ext>
                  </a:extLst>
                </xdr:cNvPr>
                <xdr:cNvSpPr>
                  <a:spLocks noChangeShapeType="1"/>
                </xdr:cNvSpPr>
              </xdr:nvSpPr>
              <xdr:spPr bwMode="auto">
                <a:xfrm flipV="1">
                  <a:off x="10542"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 name="Line 15">
                  <a:extLst>
                    <a:ext uri="{FF2B5EF4-FFF2-40B4-BE49-F238E27FC236}">
                      <a16:creationId xmlns:a16="http://schemas.microsoft.com/office/drawing/2014/main" id="{00000000-0008-0000-0400-000019000000}"/>
                    </a:ext>
                  </a:extLst>
                </xdr:cNvPr>
                <xdr:cNvSpPr>
                  <a:spLocks noChangeShapeType="1"/>
                </xdr:cNvSpPr>
              </xdr:nvSpPr>
              <xdr:spPr bwMode="auto">
                <a:xfrm flipV="1">
                  <a:off x="10579"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 name="Line 14">
                  <a:extLst>
                    <a:ext uri="{FF2B5EF4-FFF2-40B4-BE49-F238E27FC236}">
                      <a16:creationId xmlns:a16="http://schemas.microsoft.com/office/drawing/2014/main" id="{00000000-0008-0000-0400-00001A000000}"/>
                    </a:ext>
                  </a:extLst>
                </xdr:cNvPr>
                <xdr:cNvSpPr>
                  <a:spLocks noChangeShapeType="1"/>
                </xdr:cNvSpPr>
              </xdr:nvSpPr>
              <xdr:spPr bwMode="auto">
                <a:xfrm flipV="1">
                  <a:off x="10616"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 name="Line 13">
                  <a:extLst>
                    <a:ext uri="{FF2B5EF4-FFF2-40B4-BE49-F238E27FC236}">
                      <a16:creationId xmlns:a16="http://schemas.microsoft.com/office/drawing/2014/main" id="{00000000-0008-0000-0400-00001B000000}"/>
                    </a:ext>
                  </a:extLst>
                </xdr:cNvPr>
                <xdr:cNvSpPr>
                  <a:spLocks noChangeShapeType="1"/>
                </xdr:cNvSpPr>
              </xdr:nvSpPr>
              <xdr:spPr bwMode="auto">
                <a:xfrm flipV="1">
                  <a:off x="10653"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8" name="Line 12">
                  <a:extLst>
                    <a:ext uri="{FF2B5EF4-FFF2-40B4-BE49-F238E27FC236}">
                      <a16:creationId xmlns:a16="http://schemas.microsoft.com/office/drawing/2014/main" id="{00000000-0008-0000-0400-00001C000000}"/>
                    </a:ext>
                  </a:extLst>
                </xdr:cNvPr>
                <xdr:cNvSpPr>
                  <a:spLocks noChangeShapeType="1"/>
                </xdr:cNvSpPr>
              </xdr:nvSpPr>
              <xdr:spPr bwMode="auto">
                <a:xfrm flipV="1">
                  <a:off x="10690"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9" name="Line 11">
                  <a:extLst>
                    <a:ext uri="{FF2B5EF4-FFF2-40B4-BE49-F238E27FC236}">
                      <a16:creationId xmlns:a16="http://schemas.microsoft.com/office/drawing/2014/main" id="{00000000-0008-0000-0400-00001D000000}"/>
                    </a:ext>
                  </a:extLst>
                </xdr:cNvPr>
                <xdr:cNvSpPr>
                  <a:spLocks noChangeShapeType="1"/>
                </xdr:cNvSpPr>
              </xdr:nvSpPr>
              <xdr:spPr bwMode="auto">
                <a:xfrm flipV="1">
                  <a:off x="10727" y="9916"/>
                  <a:ext cx="86" cy="86"/>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0" name="Line 10">
                  <a:extLst>
                    <a:ext uri="{FF2B5EF4-FFF2-40B4-BE49-F238E27FC236}">
                      <a16:creationId xmlns:a16="http://schemas.microsoft.com/office/drawing/2014/main" id="{00000000-0008-0000-0400-00001E000000}"/>
                    </a:ext>
                  </a:extLst>
                </xdr:cNvPr>
                <xdr:cNvSpPr>
                  <a:spLocks noChangeShapeType="1"/>
                </xdr:cNvSpPr>
              </xdr:nvSpPr>
              <xdr:spPr bwMode="auto">
                <a:xfrm flipV="1">
                  <a:off x="10801" y="9943"/>
                  <a:ext cx="59" cy="59"/>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 name="Line 9">
                  <a:extLst>
                    <a:ext uri="{FF2B5EF4-FFF2-40B4-BE49-F238E27FC236}">
                      <a16:creationId xmlns:a16="http://schemas.microsoft.com/office/drawing/2014/main" id="{00000000-0008-0000-0400-00001F000000}"/>
                    </a:ext>
                  </a:extLst>
                </xdr:cNvPr>
                <xdr:cNvSpPr>
                  <a:spLocks noChangeShapeType="1"/>
                </xdr:cNvSpPr>
              </xdr:nvSpPr>
              <xdr:spPr bwMode="auto">
                <a:xfrm flipV="1">
                  <a:off x="10838" y="9985"/>
                  <a:ext cx="17" cy="17"/>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2" name="Line 8">
                  <a:extLst>
                    <a:ext uri="{FF2B5EF4-FFF2-40B4-BE49-F238E27FC236}">
                      <a16:creationId xmlns:a16="http://schemas.microsoft.com/office/drawing/2014/main" id="{00000000-0008-0000-0400-000020000000}"/>
                    </a:ext>
                  </a:extLst>
                </xdr:cNvPr>
                <xdr:cNvSpPr>
                  <a:spLocks noChangeShapeType="1"/>
                </xdr:cNvSpPr>
              </xdr:nvSpPr>
              <xdr:spPr bwMode="auto">
                <a:xfrm flipV="1">
                  <a:off x="10469" y="9916"/>
                  <a:ext cx="50" cy="5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 name="Line 7">
                  <a:extLst>
                    <a:ext uri="{FF2B5EF4-FFF2-40B4-BE49-F238E27FC236}">
                      <a16:creationId xmlns:a16="http://schemas.microsoft.com/office/drawing/2014/main" id="{00000000-0008-0000-0400-000021000000}"/>
                    </a:ext>
                  </a:extLst>
                </xdr:cNvPr>
                <xdr:cNvSpPr>
                  <a:spLocks noChangeShapeType="1"/>
                </xdr:cNvSpPr>
              </xdr:nvSpPr>
              <xdr:spPr bwMode="auto">
                <a:xfrm flipV="1">
                  <a:off x="10469" y="9916"/>
                  <a:ext cx="14" cy="1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18" name="Oval 5">
                <a:extLst>
                  <a:ext uri="{FF2B5EF4-FFF2-40B4-BE49-F238E27FC236}">
                    <a16:creationId xmlns:a16="http://schemas.microsoft.com/office/drawing/2014/main" id="{00000000-0008-0000-0400-000012000000}"/>
                  </a:ext>
                </a:extLst>
              </xdr:cNvPr>
              <xdr:cNvSpPr>
                <a:spLocks noChangeArrowheads="1"/>
              </xdr:cNvSpPr>
            </xdr:nvSpPr>
            <xdr:spPr bwMode="auto">
              <a:xfrm rot="5400000" flipV="1">
                <a:off x="9818" y="14755"/>
                <a:ext cx="99" cy="99"/>
              </a:xfrm>
              <a:prstGeom prst="ellipse">
                <a:avLst/>
              </a:prstGeom>
              <a:solidFill>
                <a:srgbClr val="FFFFFF"/>
              </a:solidFill>
              <a:ln w="6350">
                <a:solidFill>
                  <a:srgbClr val="000000"/>
                </a:solidFill>
                <a:round/>
                <a:headEnd/>
                <a:tailEnd/>
              </a:ln>
            </xdr:spPr>
          </xdr:sp>
          <xdr:sp macro="" textlink="">
            <xdr:nvSpPr>
              <xdr:cNvPr id="19" name="Oval 4">
                <a:extLst>
                  <a:ext uri="{FF2B5EF4-FFF2-40B4-BE49-F238E27FC236}">
                    <a16:creationId xmlns:a16="http://schemas.microsoft.com/office/drawing/2014/main" id="{00000000-0008-0000-0400-000013000000}"/>
                  </a:ext>
                </a:extLst>
              </xdr:cNvPr>
              <xdr:cNvSpPr>
                <a:spLocks noChangeArrowheads="1"/>
              </xdr:cNvSpPr>
            </xdr:nvSpPr>
            <xdr:spPr bwMode="auto">
              <a:xfrm rot="5400000" flipV="1">
                <a:off x="8655" y="14755"/>
                <a:ext cx="99" cy="99"/>
              </a:xfrm>
              <a:prstGeom prst="ellipse">
                <a:avLst/>
              </a:prstGeom>
              <a:solidFill>
                <a:srgbClr val="FFFFFF"/>
              </a:solidFill>
              <a:ln w="6350">
                <a:solidFill>
                  <a:srgbClr val="000000"/>
                </a:solidFill>
                <a:round/>
                <a:headEnd/>
                <a:tailEnd/>
              </a:ln>
            </xdr:spPr>
          </xdr:sp>
        </xdr:grpSp>
      </xdr:grpSp>
      <xdr:sp macro="" textlink="">
        <xdr:nvSpPr>
          <xdr:cNvPr id="4" name="Rechteck 3">
            <a:extLst>
              <a:ext uri="{FF2B5EF4-FFF2-40B4-BE49-F238E27FC236}">
                <a16:creationId xmlns:a16="http://schemas.microsoft.com/office/drawing/2014/main" id="{00000000-0008-0000-0400-000004000000}"/>
              </a:ext>
            </a:extLst>
          </xdr:cNvPr>
          <xdr:cNvSpPr/>
        </xdr:nvSpPr>
        <xdr:spPr>
          <a:xfrm>
            <a:off x="8753475" y="2333625"/>
            <a:ext cx="2162175" cy="29527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grpSp>
    <xdr:clientData/>
  </xdr:twoCellAnchor>
  <xdr:twoCellAnchor editAs="absolute">
    <xdr:from>
      <xdr:col>2</xdr:col>
      <xdr:colOff>257635</xdr:colOff>
      <xdr:row>46</xdr:row>
      <xdr:rowOff>130261</xdr:rowOff>
    </xdr:from>
    <xdr:to>
      <xdr:col>10</xdr:col>
      <xdr:colOff>478373</xdr:colOff>
      <xdr:row>79</xdr:row>
      <xdr:rowOff>20876</xdr:rowOff>
    </xdr:to>
    <xdr:graphicFrame macro="">
      <xdr:nvGraphicFramePr>
        <xdr:cNvPr id="145" name="Diagramm 144">
          <a:extLst>
            <a:ext uri="{FF2B5EF4-FFF2-40B4-BE49-F238E27FC236}">
              <a16:creationId xmlns:a16="http://schemas.microsoft.com/office/drawing/2014/main" id="{00000000-0008-0000-0400-00009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487680</xdr:colOff>
          <xdr:row>63</xdr:row>
          <xdr:rowOff>182880</xdr:rowOff>
        </xdr:from>
        <xdr:to>
          <xdr:col>15</xdr:col>
          <xdr:colOff>68580</xdr:colOff>
          <xdr:row>65</xdr:row>
          <xdr:rowOff>68580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DE" sz="1000" b="0" i="0" u="none" strike="noStrike" baseline="0">
                  <a:solidFill>
                    <a:srgbClr val="000000"/>
                  </a:solidFill>
                  <a:latin typeface="Arial"/>
                  <a:cs typeface="Arial"/>
                </a:rPr>
                <a:t>Berechnen</a:t>
              </a:r>
            </a:p>
          </xdr:txBody>
        </xdr:sp>
        <xdr:clientData/>
      </xdr:twoCellAnchor>
    </mc:Choice>
    <mc:Fallback/>
  </mc:AlternateContent>
  <xdr:twoCellAnchor editAs="absolute">
    <xdr:from>
      <xdr:col>17</xdr:col>
      <xdr:colOff>74871</xdr:colOff>
      <xdr:row>46</xdr:row>
      <xdr:rowOff>131422</xdr:rowOff>
    </xdr:from>
    <xdr:to>
      <xdr:col>26</xdr:col>
      <xdr:colOff>145143</xdr:colOff>
      <xdr:row>79</xdr:row>
      <xdr:rowOff>18143</xdr:rowOff>
    </xdr:to>
    <xdr:graphicFrame macro="">
      <xdr:nvGraphicFramePr>
        <xdr:cNvPr id="147" name="Diagramm 2">
          <a:extLst>
            <a:ext uri="{FF2B5EF4-FFF2-40B4-BE49-F238E27FC236}">
              <a16:creationId xmlns:a16="http://schemas.microsoft.com/office/drawing/2014/main" id="{00000000-0008-0000-0400-00009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413217</xdr:colOff>
      <xdr:row>47</xdr:row>
      <xdr:rowOff>142877</xdr:rowOff>
    </xdr:from>
    <xdr:to>
      <xdr:col>8</xdr:col>
      <xdr:colOff>72759</xdr:colOff>
      <xdr:row>49</xdr:row>
      <xdr:rowOff>133876</xdr:rowOff>
    </xdr:to>
    <xdr:sp macro="" textlink="">
      <xdr:nvSpPr>
        <xdr:cNvPr id="148" name="Textfeld 147">
          <a:extLst>
            <a:ext uri="{FF2B5EF4-FFF2-40B4-BE49-F238E27FC236}">
              <a16:creationId xmlns:a16="http://schemas.microsoft.com/office/drawing/2014/main" id="{00000000-0008-0000-0400-000094000000}"/>
            </a:ext>
          </a:extLst>
        </xdr:cNvPr>
        <xdr:cNvSpPr txBox="1"/>
      </xdr:nvSpPr>
      <xdr:spPr>
        <a:xfrm>
          <a:off x="3061167" y="8401052"/>
          <a:ext cx="1755042" cy="31484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200" b="1"/>
            <a:t>unverformtes  System</a:t>
          </a:r>
        </a:p>
      </xdr:txBody>
    </xdr:sp>
    <xdr:clientData/>
  </xdr:twoCellAnchor>
  <xdr:twoCellAnchor>
    <xdr:from>
      <xdr:col>20</xdr:col>
      <xdr:colOff>313842</xdr:colOff>
      <xdr:row>47</xdr:row>
      <xdr:rowOff>142877</xdr:rowOff>
    </xdr:from>
    <xdr:to>
      <xdr:col>23</xdr:col>
      <xdr:colOff>49047</xdr:colOff>
      <xdr:row>49</xdr:row>
      <xdr:rowOff>97158</xdr:rowOff>
    </xdr:to>
    <xdr:sp macro="" textlink="">
      <xdr:nvSpPr>
        <xdr:cNvPr id="149" name="Textfeld 148">
          <a:extLst>
            <a:ext uri="{FF2B5EF4-FFF2-40B4-BE49-F238E27FC236}">
              <a16:creationId xmlns:a16="http://schemas.microsoft.com/office/drawing/2014/main" id="{00000000-0008-0000-0400-000095000000}"/>
            </a:ext>
          </a:extLst>
        </xdr:cNvPr>
        <xdr:cNvSpPr txBox="1"/>
      </xdr:nvSpPr>
      <xdr:spPr>
        <a:xfrm>
          <a:off x="11829567" y="8401052"/>
          <a:ext cx="1449705" cy="278131"/>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200" b="1"/>
            <a:t>verformtes  System</a:t>
          </a:r>
        </a:p>
      </xdr:txBody>
    </xdr:sp>
    <xdr:clientData/>
  </xdr:twoCellAnchor>
  <mc:AlternateContent xmlns:mc="http://schemas.openxmlformats.org/markup-compatibility/2006">
    <mc:Choice xmlns:a14="http://schemas.microsoft.com/office/drawing/2010/main" Requires="a14">
      <xdr:twoCellAnchor editAs="absolute">
        <xdr:from>
          <xdr:col>0</xdr:col>
          <xdr:colOff>266700</xdr:colOff>
          <xdr:row>0</xdr:row>
          <xdr:rowOff>99060</xdr:rowOff>
        </xdr:from>
        <xdr:to>
          <xdr:col>1</xdr:col>
          <xdr:colOff>525780</xdr:colOff>
          <xdr:row>1</xdr:row>
          <xdr:rowOff>137160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DE" sz="1000" b="0" i="0" u="none" strike="noStrike" baseline="0">
                  <a:solidFill>
                    <a:srgbClr val="000000"/>
                  </a:solidFill>
                  <a:latin typeface="Arial"/>
                  <a:cs typeface="Arial"/>
                </a:rPr>
                <a:t>Berechnen</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290234</xdr:colOff>
      <xdr:row>3</xdr:row>
      <xdr:rowOff>3174</xdr:rowOff>
    </xdr:from>
    <xdr:to>
      <xdr:col>7</xdr:col>
      <xdr:colOff>12888</xdr:colOff>
      <xdr:row>29</xdr:row>
      <xdr:rowOff>67235</xdr:rowOff>
    </xdr:to>
    <xdr:graphicFrame macro="">
      <xdr:nvGraphicFramePr>
        <xdr:cNvPr id="2" name="Diagramm 2">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291542</xdr:colOff>
      <xdr:row>2</xdr:row>
      <xdr:rowOff>156777</xdr:rowOff>
    </xdr:from>
    <xdr:to>
      <xdr:col>7</xdr:col>
      <xdr:colOff>21741</xdr:colOff>
      <xdr:row>29</xdr:row>
      <xdr:rowOff>12700</xdr:rowOff>
    </xdr:to>
    <xdr:graphicFrame macro="">
      <xdr:nvGraphicFramePr>
        <xdr:cNvPr id="2" name="Diagramm 2">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139702</xdr:colOff>
      <xdr:row>2</xdr:row>
      <xdr:rowOff>157480</xdr:rowOff>
    </xdr:from>
    <xdr:to>
      <xdr:col>7</xdr:col>
      <xdr:colOff>2</xdr:colOff>
      <xdr:row>29</xdr:row>
      <xdr:rowOff>139699</xdr:rowOff>
    </xdr:to>
    <xdr:graphicFrame macro="">
      <xdr:nvGraphicFramePr>
        <xdr:cNvPr id="2" name="Diagramm 2">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155057</xdr:colOff>
      <xdr:row>2</xdr:row>
      <xdr:rowOff>166455</xdr:rowOff>
    </xdr:from>
    <xdr:to>
      <xdr:col>7</xdr:col>
      <xdr:colOff>19045</xdr:colOff>
      <xdr:row>29</xdr:row>
      <xdr:rowOff>65316</xdr:rowOff>
    </xdr:to>
    <xdr:graphicFrame macro="">
      <xdr:nvGraphicFramePr>
        <xdr:cNvPr id="2" name="Diagramm 2">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203201</xdr:colOff>
      <xdr:row>2</xdr:row>
      <xdr:rowOff>157479</xdr:rowOff>
    </xdr:from>
    <xdr:to>
      <xdr:col>7</xdr:col>
      <xdr:colOff>1</xdr:colOff>
      <xdr:row>29</xdr:row>
      <xdr:rowOff>12700</xdr:rowOff>
    </xdr:to>
    <xdr:graphicFrame macro="">
      <xdr:nvGraphicFramePr>
        <xdr:cNvPr id="2" name="Diagramm 2">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275498</xdr:colOff>
      <xdr:row>3</xdr:row>
      <xdr:rowOff>9712</xdr:rowOff>
    </xdr:from>
    <xdr:to>
      <xdr:col>6</xdr:col>
      <xdr:colOff>821598</xdr:colOff>
      <xdr:row>31</xdr:row>
      <xdr:rowOff>152400</xdr:rowOff>
    </xdr:to>
    <xdr:graphicFrame macro="">
      <xdr:nvGraphicFramePr>
        <xdr:cNvPr id="2" name="Diagramm 2">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198278</xdr:colOff>
      <xdr:row>1</xdr:row>
      <xdr:rowOff>106299</xdr:rowOff>
    </xdr:from>
    <xdr:to>
      <xdr:col>11</xdr:col>
      <xdr:colOff>707159</xdr:colOff>
      <xdr:row>36</xdr:row>
      <xdr:rowOff>68553</xdr:rowOff>
    </xdr:to>
    <xdr:graphicFrame macro="">
      <xdr:nvGraphicFramePr>
        <xdr:cNvPr id="2" name="Diagramm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10</xdr:col>
      <xdr:colOff>390957</xdr:colOff>
      <xdr:row>2</xdr:row>
      <xdr:rowOff>151506</xdr:rowOff>
    </xdr:from>
    <xdr:ext cx="311496" cy="476477"/>
    <xdr:sp macro="" textlink="">
      <xdr:nvSpPr>
        <xdr:cNvPr id="3" name="Textfeld 2">
          <a:extLst>
            <a:ext uri="{FF2B5EF4-FFF2-40B4-BE49-F238E27FC236}">
              <a16:creationId xmlns:a16="http://schemas.microsoft.com/office/drawing/2014/main" id="{00000000-0008-0000-0C00-000003000000}"/>
            </a:ext>
          </a:extLst>
        </xdr:cNvPr>
        <xdr:cNvSpPr txBox="1"/>
      </xdr:nvSpPr>
      <xdr:spPr>
        <a:xfrm rot="16200000">
          <a:off x="7995141" y="557847"/>
          <a:ext cx="47647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400"/>
            <a:t>Last</a:t>
          </a:r>
        </a:p>
      </xdr:txBody>
    </xdr:sp>
    <xdr:clientData/>
  </xdr:oneCellAnchor>
  <xdr:oneCellAnchor>
    <xdr:from>
      <xdr:col>10</xdr:col>
      <xdr:colOff>347850</xdr:colOff>
      <xdr:row>34</xdr:row>
      <xdr:rowOff>149835</xdr:rowOff>
    </xdr:from>
    <xdr:ext cx="1035283" cy="280205"/>
    <xdr:sp macro="" textlink="">
      <xdr:nvSpPr>
        <xdr:cNvPr id="4" name="Textfeld 3">
          <a:extLst>
            <a:ext uri="{FF2B5EF4-FFF2-40B4-BE49-F238E27FC236}">
              <a16:creationId xmlns:a16="http://schemas.microsoft.com/office/drawing/2014/main" id="{00000000-0008-0000-0C00-000004000000}"/>
            </a:ext>
          </a:extLst>
        </xdr:cNvPr>
        <xdr:cNvSpPr txBox="1"/>
      </xdr:nvSpPr>
      <xdr:spPr>
        <a:xfrm>
          <a:off x="8034525" y="5655285"/>
          <a:ext cx="103528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200"/>
            <a:t>Verschiebung</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58</xdr:col>
      <xdr:colOff>85618</xdr:colOff>
      <xdr:row>15</xdr:row>
      <xdr:rowOff>139128</xdr:rowOff>
    </xdr:from>
    <xdr:to>
      <xdr:col>68</xdr:col>
      <xdr:colOff>452396</xdr:colOff>
      <xdr:row>33</xdr:row>
      <xdr:rowOff>53653</xdr:rowOff>
    </xdr:to>
    <xdr:pic>
      <xdr:nvPicPr>
        <xdr:cNvPr id="2" name="Grafik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633668" y="2663253"/>
          <a:ext cx="7986778" cy="282917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2</xdr:col>
      <xdr:colOff>520030</xdr:colOff>
      <xdr:row>15</xdr:row>
      <xdr:rowOff>26099</xdr:rowOff>
    </xdr:from>
    <xdr:to>
      <xdr:col>4</xdr:col>
      <xdr:colOff>505587</xdr:colOff>
      <xdr:row>22</xdr:row>
      <xdr:rowOff>127000</xdr:rowOff>
    </xdr:to>
    <xdr:grpSp>
      <xdr:nvGrpSpPr>
        <xdr:cNvPr id="10" name="Gruppieren 9">
          <a:extLst>
            <a:ext uri="{FF2B5EF4-FFF2-40B4-BE49-F238E27FC236}">
              <a16:creationId xmlns:a16="http://schemas.microsoft.com/office/drawing/2014/main" id="{00000000-0008-0000-1700-00000A000000}"/>
            </a:ext>
          </a:extLst>
        </xdr:cNvPr>
        <xdr:cNvGrpSpPr/>
      </xdr:nvGrpSpPr>
      <xdr:grpSpPr>
        <a:xfrm>
          <a:off x="1421730" y="4090099"/>
          <a:ext cx="1560357" cy="1256601"/>
          <a:chOff x="980405" y="4471099"/>
          <a:chExt cx="1509557" cy="1212151"/>
        </a:xfrm>
      </xdr:grpSpPr>
      <xdr:sp macro="" textlink="">
        <xdr:nvSpPr>
          <xdr:cNvPr id="6" name="Rechteck 5">
            <a:extLst>
              <a:ext uri="{FF2B5EF4-FFF2-40B4-BE49-F238E27FC236}">
                <a16:creationId xmlns:a16="http://schemas.microsoft.com/office/drawing/2014/main" id="{00000000-0008-0000-1700-000006000000}"/>
              </a:ext>
            </a:extLst>
          </xdr:cNvPr>
          <xdr:cNvSpPr/>
        </xdr:nvSpPr>
        <xdr:spPr>
          <a:xfrm>
            <a:off x="980405" y="4471099"/>
            <a:ext cx="1509557" cy="1212151"/>
          </a:xfrm>
          <a:prstGeom prst="rect">
            <a:avLst/>
          </a:prstGeom>
          <a:solidFill>
            <a:srgbClr val="F0F0F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mc:AlternateContent xmlns:mc="http://schemas.openxmlformats.org/markup-compatibility/2006">
        <mc:Choice xmlns:a14="http://schemas.microsoft.com/office/drawing/2010/main" Requires="a14">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1700-000004340000}"/>
                  </a:ext>
                </a:extLst>
              </xdr:cNvPr>
              <xdr:cNvSpPr/>
            </xdr:nvSpPr>
            <xdr:spPr bwMode="auto">
              <a:xfrm>
                <a:off x="1157879" y="4679274"/>
                <a:ext cx="1155784" cy="217747"/>
              </a:xfrm>
              <a:prstGeom prst="rect">
                <a:avLst/>
              </a:prstGeom>
              <a:noFill/>
              <a:ln w="9525">
                <a:miter lim="800000"/>
                <a:headEnd/>
                <a:tailEnd/>
              </a:ln>
            </xdr:spPr>
            <xdr:txBody>
              <a:bodyPr vertOverflow="clip" wrap="square" lIns="36576" tIns="27432" rIns="36576" bIns="27432" anchor="ctr" upright="1"/>
              <a:lstStyle/>
              <a:p>
                <a:pPr algn="ctr" rtl="0">
                  <a:defRPr sz="1000"/>
                </a:pPr>
                <a:r>
                  <a:rPr lang="en-DE" sz="1000" b="0" i="0" u="none" strike="noStrike" baseline="0">
                    <a:solidFill>
                      <a:srgbClr val="000000"/>
                    </a:solidFill>
                    <a:latin typeface="Arial"/>
                    <a:cs typeface="Arial"/>
                  </a:rPr>
                  <a:t>weiter mit Stiff</a:t>
                </a:r>
              </a:p>
            </xdr:txBody>
          </xdr:sp>
        </mc:Choice>
        <mc:Fallback/>
      </mc:AlternateContent>
      <mc:AlternateContent xmlns:mc="http://schemas.openxmlformats.org/markup-compatibility/2006">
        <mc:Choice xmlns:a14="http://schemas.microsoft.com/office/drawing/2010/main" Requires="a14">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1700-000005340000}"/>
                  </a:ext>
                </a:extLst>
              </xdr:cNvPr>
              <xdr:cNvSpPr/>
            </xdr:nvSpPr>
            <xdr:spPr bwMode="auto">
              <a:xfrm>
                <a:off x="1157879" y="5083463"/>
                <a:ext cx="1155784" cy="425161"/>
              </a:xfrm>
              <a:prstGeom prst="rect">
                <a:avLst/>
              </a:prstGeom>
              <a:noFill/>
              <a:ln w="9525">
                <a:miter lim="800000"/>
                <a:headEnd/>
                <a:tailEnd/>
              </a:ln>
            </xdr:spPr>
            <xdr:txBody>
              <a:bodyPr vertOverflow="clip" wrap="square" lIns="36576" tIns="27432" rIns="36576" bIns="27432" anchor="ctr" upright="1"/>
              <a:lstStyle/>
              <a:p>
                <a:pPr algn="ctr" rtl="0">
                  <a:defRPr sz="1000"/>
                </a:pPr>
                <a:r>
                  <a:rPr lang="en-DE" sz="1000" b="0" i="0" u="none" strike="noStrike" baseline="0">
                    <a:solidFill>
                      <a:srgbClr val="000000"/>
                    </a:solidFill>
                    <a:latin typeface="Arial"/>
                    <a:cs typeface="Arial"/>
                  </a:rPr>
                  <a:t>Meldung nicht mehr zeigen</a:t>
                </a:r>
              </a:p>
            </xdr:txBody>
          </xdr:sp>
        </mc:Choice>
        <mc:Fallback/>
      </mc:AlternateContent>
    </xdr:grpSp>
    <xdr:clientData/>
  </xdr:twoCellAnchor>
  <xdr:twoCellAnchor>
    <xdr:from>
      <xdr:col>8</xdr:col>
      <xdr:colOff>158750</xdr:colOff>
      <xdr:row>11</xdr:row>
      <xdr:rowOff>158751</xdr:rowOff>
    </xdr:from>
    <xdr:to>
      <xdr:col>9</xdr:col>
      <xdr:colOff>537768</xdr:colOff>
      <xdr:row>17</xdr:row>
      <xdr:rowOff>16100</xdr:rowOff>
    </xdr:to>
    <xdr:grpSp>
      <xdr:nvGrpSpPr>
        <xdr:cNvPr id="8" name="Gruppieren 7">
          <a:extLst>
            <a:ext uri="{FF2B5EF4-FFF2-40B4-BE49-F238E27FC236}">
              <a16:creationId xmlns:a16="http://schemas.microsoft.com/office/drawing/2014/main" id="{00000000-0008-0000-1700-000008000000}"/>
            </a:ext>
          </a:extLst>
        </xdr:cNvPr>
        <xdr:cNvGrpSpPr/>
      </xdr:nvGrpSpPr>
      <xdr:grpSpPr>
        <a:xfrm>
          <a:off x="5784850" y="2184401"/>
          <a:ext cx="1166418" cy="2225899"/>
          <a:chOff x="7620000" y="1801813"/>
          <a:chExt cx="1141018" cy="2206849"/>
        </a:xfrm>
      </xdr:grpSpPr>
      <xdr:pic>
        <xdr:nvPicPr>
          <xdr:cNvPr id="13" name="Grafik 1" descr="image001">
            <a:extLst>
              <a:ext uri="{FF2B5EF4-FFF2-40B4-BE49-F238E27FC236}">
                <a16:creationId xmlns:a16="http://schemas.microsoft.com/office/drawing/2014/main" id="{00000000-0008-0000-1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42822" y="1801813"/>
            <a:ext cx="1095375" cy="173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7" name="Textfeld 6">
            <a:extLst>
              <a:ext uri="{FF2B5EF4-FFF2-40B4-BE49-F238E27FC236}">
                <a16:creationId xmlns:a16="http://schemas.microsoft.com/office/drawing/2014/main" id="{00000000-0008-0000-1700-000007000000}"/>
              </a:ext>
            </a:extLst>
          </xdr:cNvPr>
          <xdr:cNvSpPr txBox="1"/>
        </xdr:nvSpPr>
        <xdr:spPr>
          <a:xfrm>
            <a:off x="7620000" y="3571876"/>
            <a:ext cx="1141018"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100"/>
              <a:t>Knoten</a:t>
            </a:r>
            <a:r>
              <a:rPr lang="de-DE" sz="1100" baseline="0"/>
              <a:t>-Erstellen</a:t>
            </a:r>
            <a:br>
              <a:rPr lang="de-DE" sz="1100" baseline="0"/>
            </a:br>
            <a:r>
              <a:rPr lang="de-DE" sz="1100" baseline="0"/>
              <a:t>ist aktiviert.</a:t>
            </a:r>
            <a:endParaRPr lang="de-DE" sz="1100"/>
          </a:p>
        </xdr:txBody>
      </xdr:sp>
    </xdr:grpSp>
    <xdr:clientData/>
  </xdr:twoCellAnchor>
  <xdr:twoCellAnchor>
    <xdr:from>
      <xdr:col>9</xdr:col>
      <xdr:colOff>698500</xdr:colOff>
      <xdr:row>11</xdr:row>
      <xdr:rowOff>166688</xdr:rowOff>
    </xdr:from>
    <xdr:to>
      <xdr:col>11</xdr:col>
      <xdr:colOff>748949</xdr:colOff>
      <xdr:row>17</xdr:row>
      <xdr:rowOff>16100</xdr:rowOff>
    </xdr:to>
    <xdr:grpSp>
      <xdr:nvGrpSpPr>
        <xdr:cNvPr id="9" name="Gruppieren 8">
          <a:extLst>
            <a:ext uri="{FF2B5EF4-FFF2-40B4-BE49-F238E27FC236}">
              <a16:creationId xmlns:a16="http://schemas.microsoft.com/office/drawing/2014/main" id="{00000000-0008-0000-1700-000009000000}"/>
            </a:ext>
          </a:extLst>
        </xdr:cNvPr>
        <xdr:cNvGrpSpPr/>
      </xdr:nvGrpSpPr>
      <xdr:grpSpPr>
        <a:xfrm>
          <a:off x="7112000" y="2192338"/>
          <a:ext cx="1688749" cy="2217962"/>
          <a:chOff x="8921750" y="1809750"/>
          <a:chExt cx="1637949" cy="2198912"/>
        </a:xfrm>
      </xdr:grpSpPr>
      <xdr:pic>
        <xdr:nvPicPr>
          <xdr:cNvPr id="14" name="Grafik 2" descr="image002">
            <a:extLst>
              <a:ext uri="{FF2B5EF4-FFF2-40B4-BE49-F238E27FC236}">
                <a16:creationId xmlns:a16="http://schemas.microsoft.com/office/drawing/2014/main" id="{00000000-0008-0000-17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6849" y="1809750"/>
            <a:ext cx="1047750" cy="1730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6" name="Textfeld 15">
            <a:extLst>
              <a:ext uri="{FF2B5EF4-FFF2-40B4-BE49-F238E27FC236}">
                <a16:creationId xmlns:a16="http://schemas.microsoft.com/office/drawing/2014/main" id="{00000000-0008-0000-1700-000010000000}"/>
              </a:ext>
            </a:extLst>
          </xdr:cNvPr>
          <xdr:cNvSpPr txBox="1"/>
        </xdr:nvSpPr>
        <xdr:spPr>
          <a:xfrm>
            <a:off x="8921750" y="3571876"/>
            <a:ext cx="1637949"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100"/>
              <a:t>Knoten</a:t>
            </a:r>
            <a:r>
              <a:rPr lang="de-DE" sz="1100" baseline="0"/>
              <a:t>- und Element-</a:t>
            </a:r>
            <a:br>
              <a:rPr lang="de-DE" sz="1100" baseline="0"/>
            </a:br>
            <a:r>
              <a:rPr lang="de-DE" sz="1100" baseline="0"/>
              <a:t>Erstellen sind deaktiviert.</a:t>
            </a:r>
            <a:endParaRPr lang="de-DE" sz="1100"/>
          </a:p>
        </xdr:txBody>
      </xdr:sp>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B3:F28"/>
  <sheetViews>
    <sheetView workbookViewId="0"/>
  </sheetViews>
  <sheetFormatPr defaultColWidth="11.44140625" defaultRowHeight="13.2" x14ac:dyDescent="0.25"/>
  <cols>
    <col min="1" max="1" width="6.5546875" style="1200" customWidth="1"/>
    <col min="2" max="2" width="98.5546875" style="1201" customWidth="1"/>
    <col min="3" max="3" width="9.44140625" style="1200" customWidth="1"/>
    <col min="4" max="4" width="11.44140625" style="1200"/>
    <col min="5" max="5" width="10" style="1200" customWidth="1"/>
    <col min="6" max="16384" width="11.44140625" style="1200"/>
  </cols>
  <sheetData>
    <row r="3" spans="2:2" ht="22.8" x14ac:dyDescent="0.4">
      <c r="B3" s="1202" t="s">
        <v>1209</v>
      </c>
    </row>
    <row r="4" spans="2:2" ht="22.8" x14ac:dyDescent="0.4">
      <c r="B4" s="1202"/>
    </row>
    <row r="5" spans="2:2" x14ac:dyDescent="0.25">
      <c r="B5" s="1201" t="s">
        <v>1210</v>
      </c>
    </row>
    <row r="6" spans="2:2" x14ac:dyDescent="0.25">
      <c r="B6" s="1201" t="s">
        <v>1211</v>
      </c>
    </row>
    <row r="8" spans="2:2" x14ac:dyDescent="0.25">
      <c r="B8" s="1203" t="s">
        <v>1227</v>
      </c>
    </row>
    <row r="9" spans="2:2" x14ac:dyDescent="0.25">
      <c r="B9" s="1203"/>
    </row>
    <row r="10" spans="2:2" ht="294" customHeight="1" x14ac:dyDescent="0.25">
      <c r="B10" s="1204" t="s">
        <v>1212</v>
      </c>
    </row>
    <row r="11" spans="2:2" ht="369.6" x14ac:dyDescent="0.25">
      <c r="B11" s="1201" t="s">
        <v>1213</v>
      </c>
    </row>
    <row r="13" spans="2:2" ht="26.4" x14ac:dyDescent="0.25">
      <c r="B13" s="1201" t="s">
        <v>1214</v>
      </c>
    </row>
    <row r="14" spans="2:2" ht="26.4" x14ac:dyDescent="0.25">
      <c r="B14" s="1201" t="s">
        <v>1215</v>
      </c>
    </row>
    <row r="16" spans="2:2" ht="26.4" x14ac:dyDescent="0.25">
      <c r="B16" s="1201" t="s">
        <v>1216</v>
      </c>
    </row>
    <row r="17" spans="2:6" ht="39.6" x14ac:dyDescent="0.25">
      <c r="B17" s="1203" t="s">
        <v>1217</v>
      </c>
    </row>
    <row r="19" spans="2:6" ht="52.8" x14ac:dyDescent="0.25">
      <c r="B19" s="1201" t="s">
        <v>1218</v>
      </c>
    </row>
    <row r="21" spans="2:6" x14ac:dyDescent="0.25">
      <c r="B21" s="1201" t="s">
        <v>1219</v>
      </c>
    </row>
    <row r="23" spans="2:6" x14ac:dyDescent="0.25">
      <c r="B23" s="1201" t="s">
        <v>1220</v>
      </c>
      <c r="C23" s="1205"/>
      <c r="D23" s="1205"/>
      <c r="E23" s="1205"/>
      <c r="F23" s="1205"/>
    </row>
    <row r="24" spans="2:6" x14ac:dyDescent="0.25">
      <c r="C24" s="1205"/>
      <c r="D24" s="1206"/>
      <c r="E24" s="1206"/>
      <c r="F24" s="1206"/>
    </row>
    <row r="25" spans="2:6" x14ac:dyDescent="0.25">
      <c r="C25" s="1205"/>
      <c r="D25" s="1206"/>
      <c r="E25" s="1206"/>
      <c r="F25" s="1206"/>
    </row>
    <row r="26" spans="2:6" x14ac:dyDescent="0.25">
      <c r="C26" s="1205"/>
      <c r="D26" s="1206"/>
      <c r="E26" s="1206"/>
      <c r="F26" s="1206"/>
    </row>
    <row r="27" spans="2:6" x14ac:dyDescent="0.25">
      <c r="C27" s="1205"/>
      <c r="D27" s="1206"/>
      <c r="E27" s="1206"/>
      <c r="F27" s="1206"/>
    </row>
    <row r="28" spans="2:6" x14ac:dyDescent="0.25">
      <c r="C28" s="1205"/>
      <c r="D28" s="1206"/>
      <c r="E28" s="1206"/>
      <c r="F28" s="1206"/>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G12:S30"/>
  <sheetViews>
    <sheetView showGridLines="0" zoomScale="80" zoomScaleNormal="80" workbookViewId="0">
      <selection activeCell="K42" sqref="K42"/>
    </sheetView>
  </sheetViews>
  <sheetFormatPr defaultColWidth="11.44140625" defaultRowHeight="13.2" x14ac:dyDescent="0.25"/>
  <cols>
    <col min="1" max="1" width="6.5546875" style="1" customWidth="1"/>
    <col min="2" max="3" width="9.44140625" style="1" customWidth="1"/>
    <col min="4" max="4" width="11.44140625" style="1"/>
    <col min="5" max="5" width="6.5546875" style="1" customWidth="1"/>
    <col min="6" max="12" width="11.44140625" style="1"/>
    <col min="13" max="13" width="12.44140625" style="1" bestFit="1" customWidth="1"/>
    <col min="14" max="16384" width="11.44140625" style="1"/>
  </cols>
  <sheetData>
    <row r="12" spans="17:17" x14ac:dyDescent="0.25">
      <c r="Q12" s="1214"/>
    </row>
    <row r="13" spans="17:17" x14ac:dyDescent="0.25">
      <c r="Q13" s="1214"/>
    </row>
    <row r="17" spans="7:19" x14ac:dyDescent="0.25">
      <c r="Q17" s="1214"/>
    </row>
    <row r="20" spans="7:19" x14ac:dyDescent="0.25">
      <c r="M20" s="2"/>
    </row>
    <row r="22" spans="7:19" x14ac:dyDescent="0.25">
      <c r="G22" s="1" t="s">
        <v>0</v>
      </c>
    </row>
    <row r="25" spans="7:19" x14ac:dyDescent="0.25">
      <c r="K25" s="1" t="s">
        <v>1</v>
      </c>
    </row>
    <row r="28" spans="7:19" x14ac:dyDescent="0.25">
      <c r="S28" s="3"/>
    </row>
    <row r="30" spans="7:19" x14ac:dyDescent="0.25">
      <c r="S30" s="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PreProcessor">
                <anchor moveWithCells="1" sizeWithCells="1">
                  <from>
                    <xdr:col>14</xdr:col>
                    <xdr:colOff>281940</xdr:colOff>
                    <xdr:row>28</xdr:row>
                    <xdr:rowOff>53340</xdr:rowOff>
                  </from>
                  <to>
                    <xdr:col>15</xdr:col>
                    <xdr:colOff>685800</xdr:colOff>
                    <xdr:row>29</xdr:row>
                    <xdr:rowOff>114300</xdr:rowOff>
                  </to>
                </anchor>
              </controlPr>
            </control>
          </mc:Choice>
        </mc:AlternateContent>
        <mc:AlternateContent xmlns:mc="http://schemas.openxmlformats.org/markup-compatibility/2006">
          <mc:Choice Requires="x14">
            <control shapeId="1026" r:id="rId5" name="Button 2">
              <controlPr defaultSize="0" autoFill="0" autoPict="0" macro="[0]!Ribbon_Solve_DoNotdumpEleLoad">
                <anchor moveWithCells="1" sizeWithCells="1">
                  <from>
                    <xdr:col>14</xdr:col>
                    <xdr:colOff>281940</xdr:colOff>
                    <xdr:row>29</xdr:row>
                    <xdr:rowOff>129540</xdr:rowOff>
                  </from>
                  <to>
                    <xdr:col>15</xdr:col>
                    <xdr:colOff>685800</xdr:colOff>
                    <xdr:row>31</xdr:row>
                    <xdr:rowOff>30480</xdr:rowOff>
                  </to>
                </anchor>
              </controlPr>
            </control>
          </mc:Choice>
        </mc:AlternateContent>
        <mc:AlternateContent xmlns:mc="http://schemas.openxmlformats.org/markup-compatibility/2006">
          <mc:Choice Requires="x14">
            <control shapeId="1027" r:id="rId6" name="Button 3">
              <controlPr defaultSize="0" autoFill="0" autoPict="0" macro="[0]!Reset_Load">
                <anchor moveWithCells="1" sizeWithCells="1">
                  <from>
                    <xdr:col>14</xdr:col>
                    <xdr:colOff>281940</xdr:colOff>
                    <xdr:row>31</xdr:row>
                    <xdr:rowOff>129540</xdr:rowOff>
                  </from>
                  <to>
                    <xdr:col>15</xdr:col>
                    <xdr:colOff>685800</xdr:colOff>
                    <xdr:row>33</xdr:row>
                    <xdr:rowOff>15240</xdr:rowOff>
                  </to>
                </anchor>
              </controlPr>
            </control>
          </mc:Choice>
        </mc:AlternateContent>
        <mc:AlternateContent xmlns:mc="http://schemas.openxmlformats.org/markup-compatibility/2006">
          <mc:Choice Requires="x14">
            <control shapeId="1028" r:id="rId7" name="Button 4">
              <controlPr defaultSize="0" autoFill="0" autoPict="0" macro="[0]!Ribbon_Diagramm_aktualisieren">
                <anchor moveWithCells="1" sizeWithCells="1">
                  <from>
                    <xdr:col>14</xdr:col>
                    <xdr:colOff>281940</xdr:colOff>
                    <xdr:row>33</xdr:row>
                    <xdr:rowOff>38100</xdr:rowOff>
                  </from>
                  <to>
                    <xdr:col>15</xdr:col>
                    <xdr:colOff>685800</xdr:colOff>
                    <xdr:row>34</xdr:row>
                    <xdr:rowOff>99060</xdr:rowOff>
                  </to>
                </anchor>
              </controlPr>
            </control>
          </mc:Choice>
        </mc:AlternateContent>
        <mc:AlternateContent xmlns:mc="http://schemas.openxmlformats.org/markup-compatibility/2006">
          <mc:Choice Requires="x14">
            <control shapeId="1029" r:id="rId8" name="Button 5">
              <controlPr defaultSize="0" autoFill="0" autoPict="0" macro="[0]!ImportData">
                <anchor moveWithCells="1" sizeWithCells="1">
                  <from>
                    <xdr:col>14</xdr:col>
                    <xdr:colOff>281940</xdr:colOff>
                    <xdr:row>35</xdr:row>
                    <xdr:rowOff>38100</xdr:rowOff>
                  </from>
                  <to>
                    <xdr:col>15</xdr:col>
                    <xdr:colOff>685800</xdr:colOff>
                    <xdr:row>36</xdr:row>
                    <xdr:rowOff>91440</xdr:rowOff>
                  </to>
                </anchor>
              </controlPr>
            </control>
          </mc:Choice>
        </mc:AlternateContent>
        <mc:AlternateContent xmlns:mc="http://schemas.openxmlformats.org/markup-compatibility/2006">
          <mc:Choice Requires="x14">
            <control shapeId="1030" r:id="rId9" name="Button 6">
              <controlPr defaultSize="0" autoFill="0" autoPict="0" macro="[0]!ExportData">
                <anchor moveWithCells="1" sizeWithCells="1">
                  <from>
                    <xdr:col>14</xdr:col>
                    <xdr:colOff>281940</xdr:colOff>
                    <xdr:row>36</xdr:row>
                    <xdr:rowOff>114300</xdr:rowOff>
                  </from>
                  <to>
                    <xdr:col>15</xdr:col>
                    <xdr:colOff>685800</xdr:colOff>
                    <xdr:row>38</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BS207"/>
  <sheetViews>
    <sheetView tabSelected="1" zoomScale="80" zoomScaleNormal="80" workbookViewId="0">
      <pane xSplit="2" ySplit="2" topLeftCell="C3" activePane="bottomRight" state="frozen"/>
      <selection activeCell="U4" sqref="U4"/>
      <selection pane="topRight" activeCell="U4" sqref="U4"/>
      <selection pane="bottomLeft" activeCell="U4" sqref="U4"/>
      <selection pane="bottomRight" activeCell="W30" sqref="W30"/>
    </sheetView>
  </sheetViews>
  <sheetFormatPr defaultColWidth="11.44140625" defaultRowHeight="13.2" x14ac:dyDescent="0.25"/>
  <cols>
    <col min="1" max="1" width="6.5546875" style="41" customWidth="1"/>
    <col min="2" max="2" width="9.44140625" style="148" customWidth="1"/>
    <col min="3" max="3" width="9.44140625" style="41" customWidth="1"/>
    <col min="4" max="4" width="9" style="41" customWidth="1"/>
    <col min="5" max="5" width="6.5546875" style="41" customWidth="1"/>
    <col min="6" max="7" width="7.44140625" style="41" customWidth="1"/>
    <col min="8" max="8" width="7.5546875" style="41" customWidth="1"/>
    <col min="9" max="9" width="8.44140625" style="41" customWidth="1"/>
    <col min="10" max="10" width="8.5546875" style="41" customWidth="1"/>
    <col min="11" max="11" width="12.44140625" style="41" customWidth="1"/>
    <col min="12" max="12" width="11.44140625" style="41"/>
    <col min="13" max="13" width="11.44140625" style="41" customWidth="1"/>
    <col min="14" max="14" width="10.44140625" style="41" customWidth="1"/>
    <col min="15" max="15" width="9.5546875" style="41" customWidth="1"/>
    <col min="16" max="16" width="10.44140625" style="41" customWidth="1"/>
    <col min="17" max="18" width="9.44140625" style="41" customWidth="1"/>
    <col min="19" max="19" width="9.5546875" style="41" customWidth="1"/>
    <col min="20" max="20" width="8.44140625" style="41" customWidth="1"/>
    <col min="21" max="22" width="8.5546875" style="41" customWidth="1"/>
    <col min="23" max="23" width="13.44140625" style="41" customWidth="1"/>
    <col min="24" max="26" width="11.44140625" style="41" customWidth="1"/>
    <col min="27" max="29" width="11.44140625" style="41"/>
    <col min="30" max="30" width="12.5546875" style="41" customWidth="1"/>
    <col min="31" max="31" width="12.44140625" style="41" bestFit="1" customWidth="1"/>
    <col min="32" max="16384" width="11.44140625" style="41"/>
  </cols>
  <sheetData>
    <row r="1" spans="2:71" s="4" customFormat="1" ht="47.1" customHeight="1" thickBot="1" x14ac:dyDescent="0.35">
      <c r="B1" s="1207"/>
      <c r="C1" s="1251" t="s">
        <v>2</v>
      </c>
      <c r="D1" s="1252"/>
      <c r="E1" s="1265" t="s">
        <v>3</v>
      </c>
      <c r="F1" s="1266"/>
      <c r="G1" s="1267"/>
      <c r="H1" s="1253" t="s">
        <v>4</v>
      </c>
      <c r="I1" s="1254"/>
      <c r="J1" s="1255"/>
      <c r="K1" s="1256" t="s">
        <v>5</v>
      </c>
      <c r="L1" s="1257"/>
      <c r="M1" s="1258"/>
      <c r="N1" s="1259" t="s">
        <v>6</v>
      </c>
      <c r="O1" s="1260"/>
      <c r="P1" s="1261"/>
      <c r="Q1" s="1262" t="s">
        <v>7</v>
      </c>
      <c r="R1" s="1263"/>
      <c r="S1" s="1264"/>
      <c r="T1" s="1243" t="s">
        <v>8</v>
      </c>
      <c r="U1" s="1244"/>
      <c r="V1" s="1245"/>
      <c r="W1" s="5" t="s">
        <v>9</v>
      </c>
      <c r="X1" s="6" t="s">
        <v>10</v>
      </c>
      <c r="Y1" s="7" t="s">
        <v>11</v>
      </c>
      <c r="Z1" s="1246" t="s">
        <v>12</v>
      </c>
      <c r="AA1" s="1247"/>
      <c r="AB1" s="1248" t="s">
        <v>13</v>
      </c>
      <c r="AC1" s="1249"/>
      <c r="AD1" s="1250"/>
      <c r="AE1" s="8" t="s">
        <v>14</v>
      </c>
    </row>
    <row r="2" spans="2:71" s="9" customFormat="1" ht="18" customHeight="1" thickBot="1" x14ac:dyDescent="0.35">
      <c r="B2" s="10" t="s">
        <v>15</v>
      </c>
      <c r="C2" s="11" t="s">
        <v>16</v>
      </c>
      <c r="D2" s="12" t="s">
        <v>17</v>
      </c>
      <c r="E2" s="13" t="s">
        <v>18</v>
      </c>
      <c r="F2" s="14" t="s">
        <v>19</v>
      </c>
      <c r="G2" s="15" t="s">
        <v>20</v>
      </c>
      <c r="H2" s="16" t="s">
        <v>21</v>
      </c>
      <c r="I2" s="17" t="s">
        <v>22</v>
      </c>
      <c r="J2" s="18" t="s">
        <v>23</v>
      </c>
      <c r="K2" s="19" t="s">
        <v>18</v>
      </c>
      <c r="L2" s="20" t="s">
        <v>19</v>
      </c>
      <c r="M2" s="21" t="s">
        <v>20</v>
      </c>
      <c r="N2" s="22" t="s">
        <v>24</v>
      </c>
      <c r="O2" s="23" t="s">
        <v>25</v>
      </c>
      <c r="P2" s="24" t="s">
        <v>23</v>
      </c>
      <c r="Q2" s="25" t="s">
        <v>26</v>
      </c>
      <c r="R2" s="26" t="s">
        <v>27</v>
      </c>
      <c r="S2" s="27" t="s">
        <v>28</v>
      </c>
      <c r="T2" s="28" t="s">
        <v>24</v>
      </c>
      <c r="U2" s="29" t="s">
        <v>25</v>
      </c>
      <c r="V2" s="30" t="s">
        <v>23</v>
      </c>
      <c r="W2" s="31" t="s">
        <v>29</v>
      </c>
      <c r="X2" s="32" t="s">
        <v>30</v>
      </c>
      <c r="Y2" s="33" t="s">
        <v>31</v>
      </c>
      <c r="Z2" s="34" t="s">
        <v>32</v>
      </c>
      <c r="AA2" s="35" t="s">
        <v>33</v>
      </c>
      <c r="AB2" s="36" t="s">
        <v>34</v>
      </c>
      <c r="AC2" s="37" t="s">
        <v>35</v>
      </c>
      <c r="AD2" s="38" t="s">
        <v>36</v>
      </c>
      <c r="AE2" s="39" t="s">
        <v>37</v>
      </c>
      <c r="AF2" s="40"/>
      <c r="AG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c r="BS2" s="40"/>
    </row>
    <row r="3" spans="2:71" x14ac:dyDescent="0.25">
      <c r="B3" s="42">
        <v>1</v>
      </c>
      <c r="C3" s="43">
        <v>-60</v>
      </c>
      <c r="D3" s="44">
        <v>0</v>
      </c>
      <c r="E3" s="45">
        <v>1</v>
      </c>
      <c r="F3" s="46">
        <v>2</v>
      </c>
      <c r="G3" s="47">
        <v>3</v>
      </c>
      <c r="H3" s="48">
        <v>20</v>
      </c>
      <c r="I3" s="49">
        <v>-50</v>
      </c>
      <c r="J3" s="50">
        <v>50</v>
      </c>
      <c r="K3" s="51">
        <v>0.85431463342070157</v>
      </c>
      <c r="L3" s="52">
        <v>-1.43822407811824</v>
      </c>
      <c r="M3" s="53">
        <v>0.27993317582651384</v>
      </c>
      <c r="N3" s="54" t="s">
        <v>38</v>
      </c>
      <c r="O3" s="55" t="s">
        <v>38</v>
      </c>
      <c r="P3" s="56" t="s">
        <v>38</v>
      </c>
      <c r="Q3" s="57"/>
      <c r="R3" s="58"/>
      <c r="S3" s="59"/>
      <c r="T3" s="60"/>
      <c r="U3" s="61"/>
      <c r="V3" s="62"/>
      <c r="W3" s="63"/>
      <c r="X3" s="64"/>
      <c r="Y3" s="65"/>
      <c r="Z3" s="66"/>
      <c r="AA3" s="67"/>
      <c r="AB3" s="68"/>
      <c r="AC3" s="69"/>
      <c r="AD3" s="70"/>
      <c r="AE3" s="71"/>
      <c r="AF3" s="72"/>
      <c r="AG3" s="72"/>
      <c r="AS3" s="72"/>
      <c r="AT3" s="72"/>
      <c r="AU3" s="72"/>
      <c r="AV3" s="72"/>
      <c r="AW3" s="72"/>
      <c r="AX3" s="72"/>
      <c r="AY3" s="72"/>
      <c r="AZ3" s="72"/>
      <c r="BA3" s="72"/>
      <c r="BB3" s="72"/>
      <c r="BC3" s="72"/>
      <c r="BD3" s="72"/>
      <c r="BE3" s="72"/>
      <c r="BF3" s="72"/>
      <c r="BG3" s="72"/>
      <c r="BH3" s="72"/>
      <c r="BI3" s="72"/>
      <c r="BJ3" s="72"/>
      <c r="BK3" s="72"/>
      <c r="BL3" s="72"/>
      <c r="BM3" s="72"/>
      <c r="BN3" s="72"/>
      <c r="BO3" s="72"/>
      <c r="BP3" s="72"/>
      <c r="BQ3" s="72"/>
      <c r="BR3" s="72"/>
      <c r="BS3" s="72"/>
    </row>
    <row r="4" spans="2:71" x14ac:dyDescent="0.25">
      <c r="B4" s="73">
        <v>2</v>
      </c>
      <c r="C4" s="74">
        <v>20</v>
      </c>
      <c r="D4" s="75">
        <v>60</v>
      </c>
      <c r="E4" s="76">
        <v>0</v>
      </c>
      <c r="F4" s="77">
        <v>0</v>
      </c>
      <c r="G4" s="78">
        <v>6</v>
      </c>
      <c r="H4" s="79"/>
      <c r="I4" s="80"/>
      <c r="J4" s="81"/>
      <c r="K4" s="82">
        <v>0</v>
      </c>
      <c r="L4" s="83">
        <v>0</v>
      </c>
      <c r="M4" s="84">
        <v>0</v>
      </c>
      <c r="N4" s="85">
        <v>1.3824802469497046</v>
      </c>
      <c r="O4" s="86">
        <v>1.1480720063067722</v>
      </c>
      <c r="P4" s="87" t="s">
        <v>38</v>
      </c>
      <c r="Q4" s="88"/>
      <c r="R4" s="89"/>
      <c r="S4" s="90"/>
      <c r="T4" s="91"/>
      <c r="U4" s="92"/>
      <c r="V4" s="93"/>
      <c r="W4" s="94"/>
      <c r="X4" s="95"/>
      <c r="Y4" s="96"/>
      <c r="Z4" s="97"/>
      <c r="AA4" s="98"/>
      <c r="AB4" s="99"/>
      <c r="AC4" s="100"/>
      <c r="AD4" s="101"/>
      <c r="AE4" s="102"/>
      <c r="AF4" s="72"/>
      <c r="AG4" s="72"/>
      <c r="AS4" s="72"/>
      <c r="AT4" s="72"/>
      <c r="AU4" s="72"/>
      <c r="AV4" s="72"/>
      <c r="AW4" s="72"/>
      <c r="AX4" s="72"/>
      <c r="AY4" s="72"/>
      <c r="AZ4" s="72"/>
      <c r="BA4" s="72"/>
      <c r="BB4" s="72"/>
      <c r="BC4" s="72"/>
      <c r="BD4" s="72"/>
      <c r="BE4" s="72"/>
      <c r="BF4" s="72"/>
      <c r="BG4" s="72"/>
      <c r="BH4" s="72"/>
      <c r="BI4" s="72"/>
      <c r="BJ4" s="72"/>
      <c r="BK4" s="72"/>
      <c r="BL4" s="72"/>
      <c r="BM4" s="72"/>
      <c r="BN4" s="72"/>
      <c r="BO4" s="72"/>
      <c r="BP4" s="72"/>
      <c r="BQ4" s="72"/>
      <c r="BR4" s="72"/>
      <c r="BS4" s="72"/>
    </row>
    <row r="5" spans="2:71" x14ac:dyDescent="0.25">
      <c r="B5" s="103">
        <v>3</v>
      </c>
      <c r="C5" s="74">
        <v>-60</v>
      </c>
      <c r="D5" s="104">
        <v>60</v>
      </c>
      <c r="E5" s="76">
        <v>0</v>
      </c>
      <c r="F5" s="105">
        <v>0</v>
      </c>
      <c r="G5" s="106">
        <v>9</v>
      </c>
      <c r="H5" s="79"/>
      <c r="I5" s="107"/>
      <c r="J5" s="81"/>
      <c r="K5" s="82">
        <v>0</v>
      </c>
      <c r="L5" s="83">
        <v>0</v>
      </c>
      <c r="M5" s="84">
        <v>0</v>
      </c>
      <c r="N5" s="85">
        <v>-0.24514312754182685</v>
      </c>
      <c r="O5" s="86">
        <v>23.970401301970664</v>
      </c>
      <c r="P5" s="87" t="s">
        <v>38</v>
      </c>
      <c r="Q5" s="88"/>
      <c r="R5" s="89"/>
      <c r="S5" s="90"/>
      <c r="T5" s="91"/>
      <c r="U5" s="92"/>
      <c r="V5" s="93"/>
      <c r="W5" s="94"/>
      <c r="X5" s="95"/>
      <c r="Y5" s="96"/>
      <c r="Z5" s="97"/>
      <c r="AA5" s="98"/>
      <c r="AB5" s="99"/>
      <c r="AC5" s="100"/>
      <c r="AD5" s="101"/>
      <c r="AE5" s="102"/>
      <c r="AF5" s="72"/>
      <c r="AG5" s="72"/>
      <c r="AS5" s="72"/>
      <c r="AT5" s="72"/>
      <c r="AU5" s="72"/>
      <c r="AV5" s="72"/>
      <c r="AW5" s="72"/>
      <c r="AX5" s="72"/>
      <c r="AY5" s="72"/>
      <c r="AZ5" s="72"/>
      <c r="BA5" s="72"/>
      <c r="BB5" s="72"/>
      <c r="BC5" s="72"/>
      <c r="BD5" s="72"/>
      <c r="BE5" s="72"/>
      <c r="BF5" s="72"/>
      <c r="BG5" s="72"/>
      <c r="BH5" s="72"/>
      <c r="BI5" s="72"/>
      <c r="BJ5" s="72"/>
      <c r="BK5" s="72"/>
      <c r="BL5" s="72"/>
      <c r="BM5" s="72"/>
      <c r="BN5" s="72"/>
      <c r="BO5" s="72"/>
      <c r="BP5" s="72"/>
      <c r="BQ5" s="72"/>
      <c r="BR5" s="72"/>
      <c r="BS5" s="72"/>
    </row>
    <row r="6" spans="2:71" x14ac:dyDescent="0.25">
      <c r="B6" s="73">
        <v>4</v>
      </c>
      <c r="C6" s="74">
        <v>-20</v>
      </c>
      <c r="D6" s="75">
        <v>-60</v>
      </c>
      <c r="E6" s="76">
        <v>0</v>
      </c>
      <c r="F6" s="105">
        <v>0</v>
      </c>
      <c r="G6" s="106">
        <v>12</v>
      </c>
      <c r="H6" s="79"/>
      <c r="I6" s="80"/>
      <c r="J6" s="81"/>
      <c r="K6" s="82">
        <v>0</v>
      </c>
      <c r="L6" s="83">
        <v>0</v>
      </c>
      <c r="M6" s="84">
        <v>0</v>
      </c>
      <c r="N6" s="85">
        <v>-12.715531774217325</v>
      </c>
      <c r="O6" s="86">
        <v>19.365699855831842</v>
      </c>
      <c r="P6" s="87" t="s">
        <v>38</v>
      </c>
      <c r="Q6" s="88"/>
      <c r="R6" s="89"/>
      <c r="S6" s="90"/>
      <c r="T6" s="91"/>
      <c r="U6" s="92"/>
      <c r="V6" s="93"/>
      <c r="W6" s="94"/>
      <c r="X6" s="95"/>
      <c r="Y6" s="96"/>
      <c r="Z6" s="97"/>
      <c r="AA6" s="98"/>
      <c r="AB6" s="99"/>
      <c r="AC6" s="100"/>
      <c r="AD6" s="101"/>
      <c r="AE6" s="10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row>
    <row r="7" spans="2:71" x14ac:dyDescent="0.25">
      <c r="B7" s="103">
        <v>5</v>
      </c>
      <c r="C7" s="108">
        <v>-130</v>
      </c>
      <c r="D7" s="75">
        <v>-30</v>
      </c>
      <c r="E7" s="76">
        <v>0</v>
      </c>
      <c r="F7" s="105">
        <v>0</v>
      </c>
      <c r="G7" s="106">
        <v>15</v>
      </c>
      <c r="H7" s="79"/>
      <c r="I7" s="80"/>
      <c r="J7" s="81"/>
      <c r="K7" s="82">
        <v>0</v>
      </c>
      <c r="L7" s="83">
        <v>0</v>
      </c>
      <c r="M7" s="84">
        <v>0</v>
      </c>
      <c r="N7" s="85">
        <v>-2.5868206298664886</v>
      </c>
      <c r="O7" s="86">
        <v>-1.2539128412558498</v>
      </c>
      <c r="P7" s="87" t="s">
        <v>38</v>
      </c>
      <c r="Q7" s="88"/>
      <c r="R7" s="89"/>
      <c r="S7" s="90"/>
      <c r="T7" s="91"/>
      <c r="U7" s="92"/>
      <c r="V7" s="93"/>
      <c r="W7" s="94"/>
      <c r="X7" s="95"/>
      <c r="Y7" s="96"/>
      <c r="Z7" s="97"/>
      <c r="AA7" s="98"/>
      <c r="AB7" s="99"/>
      <c r="AC7" s="100"/>
      <c r="AD7" s="101"/>
      <c r="AE7" s="102"/>
      <c r="AG7" s="109"/>
      <c r="AS7" s="72"/>
      <c r="AT7" s="72"/>
      <c r="AU7" s="72"/>
      <c r="AV7" s="72"/>
      <c r="AW7" s="72"/>
      <c r="AX7" s="72"/>
      <c r="AY7" s="72"/>
      <c r="AZ7" s="72"/>
      <c r="BA7" s="72"/>
      <c r="BB7" s="72"/>
      <c r="BC7" s="72"/>
      <c r="BD7" s="72"/>
      <c r="BE7" s="72"/>
      <c r="BF7" s="72"/>
      <c r="BG7" s="72"/>
      <c r="BH7" s="72"/>
      <c r="BI7" s="72"/>
      <c r="BJ7" s="72"/>
      <c r="BK7" s="72"/>
      <c r="BL7" s="72"/>
      <c r="BM7" s="72"/>
      <c r="BN7" s="72"/>
      <c r="BO7" s="72"/>
      <c r="BP7" s="72"/>
      <c r="BQ7" s="72"/>
      <c r="BR7" s="72"/>
      <c r="BS7" s="72"/>
    </row>
    <row r="8" spans="2:71" x14ac:dyDescent="0.25">
      <c r="B8" s="73">
        <v>6</v>
      </c>
      <c r="C8" s="108">
        <v>-180</v>
      </c>
      <c r="D8" s="104">
        <v>140</v>
      </c>
      <c r="E8" s="76">
        <v>0</v>
      </c>
      <c r="F8" s="77">
        <v>0</v>
      </c>
      <c r="G8" s="78">
        <v>18</v>
      </c>
      <c r="H8" s="79"/>
      <c r="I8" s="80"/>
      <c r="J8" s="81"/>
      <c r="K8" s="82">
        <v>0</v>
      </c>
      <c r="L8" s="83">
        <v>0</v>
      </c>
      <c r="M8" s="84">
        <v>0</v>
      </c>
      <c r="N8" s="85">
        <v>-5.8349847153240653</v>
      </c>
      <c r="O8" s="86">
        <v>6.7697396771465606</v>
      </c>
      <c r="P8" s="87" t="s">
        <v>38</v>
      </c>
      <c r="Q8" s="88"/>
      <c r="R8" s="89"/>
      <c r="S8" s="90"/>
      <c r="T8" s="91"/>
      <c r="U8" s="92"/>
      <c r="V8" s="93"/>
      <c r="W8" s="94"/>
      <c r="X8" s="95"/>
      <c r="Y8" s="96"/>
      <c r="Z8" s="97"/>
      <c r="AA8" s="98"/>
      <c r="AB8" s="99"/>
      <c r="AC8" s="100"/>
      <c r="AD8" s="101"/>
      <c r="AE8" s="102"/>
      <c r="AF8" s="72"/>
      <c r="AG8" s="72"/>
      <c r="AS8" s="72"/>
      <c r="AT8" s="72"/>
      <c r="AU8" s="72"/>
      <c r="AV8" s="72"/>
      <c r="AW8" s="72"/>
      <c r="AX8" s="72"/>
      <c r="AY8" s="72"/>
      <c r="AZ8" s="72"/>
      <c r="BA8" s="72"/>
      <c r="BB8" s="72"/>
      <c r="BC8" s="72"/>
      <c r="BD8" s="72"/>
      <c r="BE8" s="72"/>
      <c r="BF8" s="72"/>
      <c r="BG8" s="72"/>
      <c r="BH8" s="72"/>
      <c r="BI8" s="72"/>
      <c r="BJ8" s="72"/>
      <c r="BK8" s="72"/>
      <c r="BL8" s="72"/>
      <c r="BM8" s="72"/>
      <c r="BN8" s="72"/>
      <c r="BO8" s="72"/>
      <c r="BP8" s="72"/>
      <c r="BQ8" s="72"/>
      <c r="BR8" s="72"/>
      <c r="BS8" s="72"/>
    </row>
    <row r="9" spans="2:71" x14ac:dyDescent="0.25">
      <c r="B9" s="103">
        <v>7</v>
      </c>
      <c r="C9" s="108"/>
      <c r="D9" s="104"/>
      <c r="E9" s="76"/>
      <c r="F9" s="77"/>
      <c r="G9" s="78"/>
      <c r="H9" s="79"/>
      <c r="I9" s="80"/>
      <c r="J9" s="81"/>
      <c r="K9" s="82"/>
      <c r="L9" s="83"/>
      <c r="M9" s="84"/>
      <c r="N9" s="85"/>
      <c r="O9" s="86"/>
      <c r="P9" s="87"/>
      <c r="Q9" s="88"/>
      <c r="R9" s="89"/>
      <c r="S9" s="90"/>
      <c r="T9" s="91"/>
      <c r="U9" s="92"/>
      <c r="V9" s="93"/>
      <c r="W9" s="94"/>
      <c r="X9" s="95"/>
      <c r="Y9" s="96"/>
      <c r="Z9" s="97"/>
      <c r="AA9" s="98"/>
      <c r="AB9" s="99"/>
      <c r="AC9" s="100"/>
      <c r="AD9" s="101"/>
      <c r="AE9" s="102"/>
      <c r="AF9" s="72"/>
      <c r="AG9" s="72"/>
      <c r="AS9" s="72"/>
      <c r="AT9" s="72"/>
      <c r="AU9" s="72"/>
      <c r="AV9" s="72"/>
      <c r="AW9" s="72"/>
      <c r="AX9" s="72"/>
      <c r="AY9" s="72"/>
      <c r="AZ9" s="72"/>
      <c r="BA9" s="72"/>
      <c r="BB9" s="72"/>
      <c r="BC9" s="72"/>
      <c r="BD9" s="72"/>
      <c r="BE9" s="72"/>
      <c r="BF9" s="72"/>
      <c r="BG9" s="72"/>
      <c r="BH9" s="72"/>
      <c r="BI9" s="72"/>
      <c r="BJ9" s="72"/>
      <c r="BK9" s="72"/>
      <c r="BL9" s="72"/>
      <c r="BM9" s="72"/>
      <c r="BN9" s="72"/>
      <c r="BO9" s="72"/>
      <c r="BP9" s="72"/>
      <c r="BQ9" s="72"/>
      <c r="BR9" s="72"/>
      <c r="BS9" s="72"/>
    </row>
    <row r="10" spans="2:71" x14ac:dyDescent="0.25">
      <c r="B10" s="73">
        <v>8</v>
      </c>
      <c r="C10" s="108"/>
      <c r="D10" s="104"/>
      <c r="E10" s="76"/>
      <c r="F10" s="77"/>
      <c r="G10" s="78"/>
      <c r="H10" s="79"/>
      <c r="I10" s="80"/>
      <c r="J10" s="81"/>
      <c r="K10" s="82"/>
      <c r="L10" s="83"/>
      <c r="M10" s="84"/>
      <c r="N10" s="85"/>
      <c r="O10" s="86"/>
      <c r="P10" s="87"/>
      <c r="Q10" s="88"/>
      <c r="R10" s="89"/>
      <c r="S10" s="90"/>
      <c r="T10" s="91"/>
      <c r="U10" s="92"/>
      <c r="V10" s="93"/>
      <c r="W10" s="94"/>
      <c r="X10" s="95"/>
      <c r="Y10" s="96"/>
      <c r="Z10" s="97"/>
      <c r="AA10" s="98"/>
      <c r="AB10" s="99"/>
      <c r="AC10" s="100"/>
      <c r="AD10" s="101"/>
      <c r="AE10" s="102"/>
      <c r="AF10" s="72" t="s">
        <v>39</v>
      </c>
      <c r="AS10" s="72"/>
      <c r="AT10" s="72"/>
      <c r="AU10" s="72"/>
      <c r="AV10" s="72"/>
      <c r="AW10" s="72"/>
      <c r="AX10" s="72"/>
      <c r="AY10" s="72"/>
      <c r="AZ10" s="72"/>
      <c r="BA10" s="72"/>
      <c r="BB10" s="72"/>
      <c r="BC10" s="72"/>
      <c r="BD10" s="72"/>
      <c r="BE10" s="72"/>
      <c r="BF10" s="72"/>
      <c r="BG10" s="72"/>
      <c r="BH10" s="72"/>
      <c r="BI10" s="72"/>
      <c r="BJ10" s="72"/>
      <c r="BK10" s="72"/>
      <c r="BL10" s="72"/>
      <c r="BM10" s="72"/>
      <c r="BN10" s="72"/>
      <c r="BO10" s="72"/>
      <c r="BP10" s="72"/>
      <c r="BQ10" s="72"/>
      <c r="BR10" s="72"/>
      <c r="BS10" s="72"/>
    </row>
    <row r="11" spans="2:71" x14ac:dyDescent="0.25">
      <c r="B11" s="103">
        <v>9</v>
      </c>
      <c r="C11" s="108"/>
      <c r="D11" s="104"/>
      <c r="E11" s="76"/>
      <c r="F11" s="77"/>
      <c r="G11" s="78"/>
      <c r="H11" s="79"/>
      <c r="I11" s="80"/>
      <c r="J11" s="81"/>
      <c r="K11" s="82"/>
      <c r="L11" s="83"/>
      <c r="M11" s="84"/>
      <c r="N11" s="85"/>
      <c r="O11" s="86"/>
      <c r="P11" s="87"/>
      <c r="Q11" s="88"/>
      <c r="R11" s="89"/>
      <c r="S11" s="90"/>
      <c r="T11" s="91"/>
      <c r="U11" s="92"/>
      <c r="V11" s="93"/>
      <c r="W11" s="94"/>
      <c r="X11" s="95"/>
      <c r="Y11" s="96"/>
      <c r="Z11" s="97"/>
      <c r="AA11" s="98"/>
      <c r="AB11" s="99"/>
      <c r="AC11" s="100"/>
      <c r="AD11" s="101"/>
      <c r="AE11" s="102"/>
      <c r="AF11" s="72"/>
      <c r="AS11" s="72"/>
      <c r="AT11" s="72"/>
      <c r="AU11" s="72"/>
      <c r="AV11" s="72"/>
      <c r="AW11" s="72"/>
      <c r="AX11" s="72"/>
      <c r="AY11" s="72"/>
      <c r="AZ11" s="72"/>
      <c r="BA11" s="72"/>
      <c r="BB11" s="72"/>
      <c r="BC11" s="72"/>
      <c r="BD11" s="72"/>
      <c r="BE11" s="72"/>
      <c r="BF11" s="72"/>
      <c r="BG11" s="72"/>
      <c r="BH11" s="72"/>
      <c r="BI11" s="72"/>
      <c r="BJ11" s="72"/>
      <c r="BK11" s="72"/>
      <c r="BL11" s="72"/>
      <c r="BM11" s="72"/>
      <c r="BN11" s="72"/>
      <c r="BO11" s="72"/>
      <c r="BP11" s="72"/>
      <c r="BQ11" s="72"/>
      <c r="BR11" s="72"/>
      <c r="BS11" s="72"/>
    </row>
    <row r="12" spans="2:71" x14ac:dyDescent="0.25">
      <c r="B12" s="73">
        <v>10</v>
      </c>
      <c r="C12" s="108"/>
      <c r="D12" s="104"/>
      <c r="E12" s="76"/>
      <c r="F12" s="77"/>
      <c r="G12" s="78"/>
      <c r="H12" s="79"/>
      <c r="I12" s="80"/>
      <c r="J12" s="81"/>
      <c r="K12" s="82"/>
      <c r="L12" s="83"/>
      <c r="M12" s="84"/>
      <c r="N12" s="85"/>
      <c r="O12" s="86"/>
      <c r="P12" s="87"/>
      <c r="Q12" s="88"/>
      <c r="R12" s="89"/>
      <c r="S12" s="90"/>
      <c r="T12" s="91"/>
      <c r="U12" s="92"/>
      <c r="V12" s="93"/>
      <c r="W12" s="94"/>
      <c r="X12" s="95"/>
      <c r="Y12" s="96"/>
      <c r="Z12" s="97"/>
      <c r="AA12" s="98"/>
      <c r="AB12" s="99"/>
      <c r="AC12" s="100"/>
      <c r="AD12" s="101"/>
      <c r="AE12" s="102"/>
      <c r="AF12" s="109"/>
      <c r="AS12" s="72"/>
      <c r="AT12" s="72"/>
      <c r="AU12" s="72"/>
      <c r="AV12" s="72"/>
      <c r="AW12" s="72"/>
      <c r="AX12" s="72"/>
      <c r="AY12" s="72"/>
      <c r="AZ12" s="72"/>
      <c r="BA12" s="72"/>
      <c r="BB12" s="72"/>
      <c r="BC12" s="72"/>
      <c r="BD12" s="72"/>
      <c r="BE12" s="72"/>
      <c r="BF12" s="72"/>
      <c r="BG12" s="72"/>
      <c r="BH12" s="72"/>
      <c r="BI12" s="72"/>
      <c r="BJ12" s="72"/>
      <c r="BK12" s="72"/>
      <c r="BL12" s="72"/>
      <c r="BM12" s="72"/>
      <c r="BN12" s="72"/>
      <c r="BO12" s="72"/>
      <c r="BP12" s="72"/>
      <c r="BQ12" s="72"/>
      <c r="BR12" s="72"/>
      <c r="BS12" s="72"/>
    </row>
    <row r="13" spans="2:71" x14ac:dyDescent="0.25">
      <c r="B13" s="103">
        <v>11</v>
      </c>
      <c r="C13" s="108"/>
      <c r="D13" s="104"/>
      <c r="E13" s="76"/>
      <c r="F13" s="77"/>
      <c r="G13" s="78"/>
      <c r="H13" s="79"/>
      <c r="I13" s="80"/>
      <c r="J13" s="81"/>
      <c r="K13" s="82"/>
      <c r="L13" s="83"/>
      <c r="M13" s="84"/>
      <c r="N13" s="85"/>
      <c r="O13" s="86"/>
      <c r="P13" s="87"/>
      <c r="Q13" s="88"/>
      <c r="R13" s="89"/>
      <c r="S13" s="90"/>
      <c r="T13" s="91"/>
      <c r="U13" s="92"/>
      <c r="V13" s="93"/>
      <c r="W13" s="94"/>
      <c r="X13" s="95"/>
      <c r="Y13" s="96"/>
      <c r="Z13" s="97"/>
      <c r="AA13" s="98"/>
      <c r="AB13" s="99"/>
      <c r="AC13" s="100"/>
      <c r="AD13" s="101"/>
      <c r="AE13" s="102"/>
      <c r="AF13" s="72"/>
      <c r="AS13" s="72"/>
      <c r="AT13" s="72"/>
      <c r="AU13" s="72"/>
      <c r="AV13" s="72"/>
      <c r="AW13" s="72"/>
      <c r="AX13" s="72"/>
      <c r="AY13" s="72"/>
      <c r="AZ13" s="72"/>
      <c r="BA13" s="72"/>
      <c r="BB13" s="72"/>
      <c r="BC13" s="72"/>
      <c r="BD13" s="72"/>
      <c r="BE13" s="72"/>
      <c r="BF13" s="72"/>
      <c r="BG13" s="72"/>
      <c r="BH13" s="72"/>
      <c r="BI13" s="72"/>
      <c r="BJ13" s="72"/>
      <c r="BK13" s="72"/>
      <c r="BL13" s="72"/>
      <c r="BM13" s="72"/>
      <c r="BN13" s="72"/>
      <c r="BO13" s="72"/>
      <c r="BP13" s="72"/>
      <c r="BQ13" s="72"/>
      <c r="BR13" s="72"/>
      <c r="BS13" s="72"/>
    </row>
    <row r="14" spans="2:71" x14ac:dyDescent="0.25">
      <c r="B14" s="73">
        <v>12</v>
      </c>
      <c r="C14" s="108"/>
      <c r="D14" s="104"/>
      <c r="E14" s="76"/>
      <c r="F14" s="77"/>
      <c r="G14" s="78"/>
      <c r="H14" s="79"/>
      <c r="I14" s="80"/>
      <c r="J14" s="81"/>
      <c r="K14" s="82"/>
      <c r="L14" s="83"/>
      <c r="M14" s="84"/>
      <c r="N14" s="85"/>
      <c r="O14" s="86"/>
      <c r="P14" s="87"/>
      <c r="Q14" s="88"/>
      <c r="R14" s="89"/>
      <c r="S14" s="90"/>
      <c r="T14" s="91"/>
      <c r="U14" s="92"/>
      <c r="V14" s="93"/>
      <c r="W14" s="94"/>
      <c r="X14" s="95"/>
      <c r="Y14" s="96"/>
      <c r="Z14" s="97"/>
      <c r="AA14" s="98"/>
      <c r="AB14" s="99"/>
      <c r="AC14" s="100"/>
      <c r="AD14" s="101"/>
      <c r="AE14" s="102"/>
      <c r="AF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row>
    <row r="15" spans="2:71" x14ac:dyDescent="0.25">
      <c r="B15" s="103">
        <v>13</v>
      </c>
      <c r="C15" s="108"/>
      <c r="D15" s="104"/>
      <c r="E15" s="76"/>
      <c r="F15" s="77"/>
      <c r="G15" s="78"/>
      <c r="H15" s="79"/>
      <c r="I15" s="80"/>
      <c r="J15" s="81"/>
      <c r="K15" s="82"/>
      <c r="L15" s="83"/>
      <c r="M15" s="84"/>
      <c r="N15" s="85"/>
      <c r="O15" s="86"/>
      <c r="P15" s="87"/>
      <c r="Q15" s="88"/>
      <c r="R15" s="89"/>
      <c r="S15" s="90"/>
      <c r="T15" s="91"/>
      <c r="U15" s="92"/>
      <c r="V15" s="93"/>
      <c r="W15" s="94"/>
      <c r="X15" s="95"/>
      <c r="Y15" s="96"/>
      <c r="Z15" s="97"/>
      <c r="AA15" s="98"/>
      <c r="AB15" s="99"/>
      <c r="AC15" s="100"/>
      <c r="AD15" s="101"/>
      <c r="AE15" s="102"/>
      <c r="AF15" s="72"/>
      <c r="AS15" s="72"/>
      <c r="AT15" s="72"/>
      <c r="AU15" s="72"/>
      <c r="AV15" s="72"/>
      <c r="AW15" s="72"/>
      <c r="AX15" s="72"/>
      <c r="AY15" s="72"/>
      <c r="AZ15" s="72"/>
      <c r="BA15" s="72"/>
      <c r="BB15" s="72"/>
      <c r="BC15" s="72"/>
      <c r="BD15" s="72"/>
      <c r="BE15" s="72"/>
      <c r="BF15" s="72"/>
      <c r="BG15" s="72"/>
      <c r="BH15" s="72"/>
      <c r="BI15" s="72"/>
      <c r="BJ15" s="72"/>
      <c r="BK15" s="72"/>
      <c r="BL15" s="72"/>
      <c r="BM15" s="72"/>
      <c r="BN15" s="72"/>
      <c r="BO15" s="72"/>
      <c r="BP15" s="72"/>
      <c r="BQ15" s="72"/>
      <c r="BR15" s="72"/>
      <c r="BS15" s="72"/>
    </row>
    <row r="16" spans="2:71" ht="13.8" thickBot="1" x14ac:dyDescent="0.3">
      <c r="B16" s="73">
        <v>14</v>
      </c>
      <c r="C16" s="108"/>
      <c r="D16" s="104"/>
      <c r="E16" s="76"/>
      <c r="F16" s="77"/>
      <c r="G16" s="78"/>
      <c r="H16" s="79"/>
      <c r="I16" s="80"/>
      <c r="J16" s="81"/>
      <c r="K16" s="82"/>
      <c r="L16" s="83"/>
      <c r="M16" s="84"/>
      <c r="N16" s="85"/>
      <c r="O16" s="86"/>
      <c r="P16" s="87"/>
      <c r="Q16" s="88"/>
      <c r="R16" s="89"/>
      <c r="S16" s="90"/>
      <c r="T16" s="91"/>
      <c r="U16" s="92"/>
      <c r="V16" s="93"/>
      <c r="W16" s="94"/>
      <c r="X16" s="95"/>
      <c r="Y16" s="96"/>
      <c r="Z16" s="97"/>
      <c r="AA16" s="98"/>
      <c r="AB16" s="99"/>
      <c r="AC16" s="100"/>
      <c r="AD16" s="101"/>
      <c r="AE16" s="102"/>
      <c r="AS16" s="72"/>
      <c r="AT16" s="72"/>
      <c r="AU16" s="72"/>
      <c r="AV16" s="72"/>
      <c r="AW16" s="72"/>
      <c r="AX16" s="72"/>
      <c r="AY16" s="72"/>
      <c r="AZ16" s="72"/>
      <c r="BA16" s="72"/>
      <c r="BB16" s="72"/>
      <c r="BC16" s="72"/>
      <c r="BD16" s="72"/>
      <c r="BE16" s="72"/>
      <c r="BF16" s="72"/>
      <c r="BG16" s="72"/>
      <c r="BH16" s="72"/>
      <c r="BI16" s="72"/>
      <c r="BJ16" s="72"/>
      <c r="BK16" s="72"/>
      <c r="BL16" s="72"/>
      <c r="BM16" s="72"/>
      <c r="BN16" s="72"/>
      <c r="BO16" s="72"/>
      <c r="BP16" s="72"/>
      <c r="BQ16" s="72"/>
      <c r="BR16" s="72"/>
      <c r="BS16" s="72"/>
    </row>
    <row r="17" spans="2:71" x14ac:dyDescent="0.25">
      <c r="B17" s="103">
        <v>15</v>
      </c>
      <c r="C17" s="108"/>
      <c r="D17" s="104"/>
      <c r="E17" s="76"/>
      <c r="F17" s="77"/>
      <c r="G17" s="78"/>
      <c r="H17" s="79"/>
      <c r="I17" s="80"/>
      <c r="J17" s="81"/>
      <c r="K17" s="82"/>
      <c r="L17" s="83"/>
      <c r="M17" s="84"/>
      <c r="N17" s="85"/>
      <c r="O17" s="86"/>
      <c r="P17" s="87"/>
      <c r="Q17" s="88"/>
      <c r="R17" s="89"/>
      <c r="S17" s="90"/>
      <c r="T17" s="91"/>
      <c r="U17" s="92"/>
      <c r="V17" s="93"/>
      <c r="W17" s="94"/>
      <c r="X17" s="95"/>
      <c r="Y17" s="96"/>
      <c r="Z17" s="97"/>
      <c r="AA17" s="98"/>
      <c r="AB17" s="99"/>
      <c r="AC17" s="100"/>
      <c r="AD17" s="101"/>
      <c r="AE17" s="102"/>
      <c r="AF17" s="110"/>
      <c r="AG17" s="111">
        <f>IF(PlotData!AD1=0,1,PlotData!AD1)</f>
        <v>7.9953049357429524</v>
      </c>
      <c r="AS17" s="72"/>
      <c r="AT17" s="72"/>
      <c r="AU17" s="72"/>
      <c r="AV17" s="72"/>
      <c r="AW17" s="72"/>
      <c r="AX17" s="72"/>
      <c r="AY17" s="72"/>
      <c r="AZ17" s="72"/>
      <c r="BA17" s="72"/>
      <c r="BB17" s="72"/>
      <c r="BC17" s="72"/>
      <c r="BD17" s="72"/>
      <c r="BE17" s="72"/>
      <c r="BF17" s="72"/>
      <c r="BG17" s="72"/>
      <c r="BH17" s="72"/>
      <c r="BI17" s="72"/>
      <c r="BJ17" s="72"/>
      <c r="BK17" s="72"/>
      <c r="BL17" s="72"/>
      <c r="BM17" s="72"/>
      <c r="BN17" s="72"/>
      <c r="BO17" s="72"/>
      <c r="BP17" s="72"/>
      <c r="BQ17" s="72"/>
      <c r="BR17" s="72"/>
      <c r="BS17" s="72"/>
    </row>
    <row r="18" spans="2:71" x14ac:dyDescent="0.25">
      <c r="B18" s="73">
        <v>16</v>
      </c>
      <c r="C18" s="108"/>
      <c r="D18" s="104"/>
      <c r="E18" s="76"/>
      <c r="F18" s="77"/>
      <c r="G18" s="78"/>
      <c r="H18" s="79"/>
      <c r="I18" s="80"/>
      <c r="J18" s="81"/>
      <c r="K18" s="82"/>
      <c r="L18" s="83"/>
      <c r="M18" s="84"/>
      <c r="N18" s="85"/>
      <c r="O18" s="86"/>
      <c r="P18" s="87"/>
      <c r="Q18" s="88"/>
      <c r="R18" s="89"/>
      <c r="S18" s="90"/>
      <c r="T18" s="91"/>
      <c r="U18" s="92"/>
      <c r="V18" s="93"/>
      <c r="W18" s="94"/>
      <c r="X18" s="95"/>
      <c r="Y18" s="96"/>
      <c r="Z18" s="97"/>
      <c r="AA18" s="98"/>
      <c r="AB18" s="99"/>
      <c r="AC18" s="100"/>
      <c r="AD18" s="101"/>
      <c r="AE18" s="102"/>
      <c r="AF18" s="112"/>
      <c r="AG18" s="113">
        <v>0.2</v>
      </c>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row>
    <row r="19" spans="2:71" ht="13.8" thickBot="1" x14ac:dyDescent="0.3">
      <c r="B19" s="103">
        <v>17</v>
      </c>
      <c r="C19" s="108"/>
      <c r="D19" s="104"/>
      <c r="E19" s="76"/>
      <c r="F19" s="77"/>
      <c r="G19" s="78"/>
      <c r="H19" s="79"/>
      <c r="I19" s="80"/>
      <c r="J19" s="81"/>
      <c r="K19" s="82"/>
      <c r="L19" s="83"/>
      <c r="M19" s="84"/>
      <c r="N19" s="85"/>
      <c r="O19" s="86"/>
      <c r="P19" s="87"/>
      <c r="Q19" s="88"/>
      <c r="R19" s="89"/>
      <c r="S19" s="90"/>
      <c r="T19" s="91"/>
      <c r="U19" s="92"/>
      <c r="V19" s="93"/>
      <c r="W19" s="94"/>
      <c r="X19" s="95"/>
      <c r="Y19" s="96"/>
      <c r="Z19" s="97"/>
      <c r="AA19" s="98"/>
      <c r="AB19" s="99"/>
      <c r="AC19" s="100"/>
      <c r="AD19" s="101"/>
      <c r="AE19" s="102"/>
      <c r="AF19" s="114"/>
      <c r="AG19" s="115">
        <f>A53/AG17*PlotData!CB5*AG18</f>
        <v>4.2451320831080164</v>
      </c>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row>
    <row r="20" spans="2:71" x14ac:dyDescent="0.25">
      <c r="B20" s="73">
        <v>18</v>
      </c>
      <c r="C20" s="108"/>
      <c r="D20" s="104"/>
      <c r="E20" s="76"/>
      <c r="F20" s="77"/>
      <c r="G20" s="78"/>
      <c r="H20" s="79"/>
      <c r="I20" s="80"/>
      <c r="J20" s="81"/>
      <c r="K20" s="82"/>
      <c r="L20" s="83"/>
      <c r="M20" s="84"/>
      <c r="N20" s="85"/>
      <c r="O20" s="86"/>
      <c r="P20" s="87"/>
      <c r="Q20" s="88"/>
      <c r="R20" s="89"/>
      <c r="S20" s="90"/>
      <c r="T20" s="91"/>
      <c r="U20" s="92"/>
      <c r="V20" s="93"/>
      <c r="W20" s="94"/>
      <c r="X20" s="95"/>
      <c r="Y20" s="96"/>
      <c r="Z20" s="97"/>
      <c r="AA20" s="98"/>
      <c r="AB20" s="99"/>
      <c r="AC20" s="100"/>
      <c r="AD20" s="101"/>
      <c r="AE20" s="10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row>
    <row r="21" spans="2:71" x14ac:dyDescent="0.25">
      <c r="B21" s="103">
        <v>19</v>
      </c>
      <c r="C21" s="108"/>
      <c r="D21" s="104"/>
      <c r="E21" s="76"/>
      <c r="F21" s="77"/>
      <c r="G21" s="78"/>
      <c r="H21" s="79"/>
      <c r="I21" s="80"/>
      <c r="J21" s="81"/>
      <c r="K21" s="82"/>
      <c r="L21" s="83"/>
      <c r="M21" s="84"/>
      <c r="N21" s="85"/>
      <c r="O21" s="86"/>
      <c r="P21" s="87"/>
      <c r="Q21" s="88"/>
      <c r="R21" s="89"/>
      <c r="S21" s="90"/>
      <c r="T21" s="91"/>
      <c r="U21" s="92"/>
      <c r="V21" s="93"/>
      <c r="W21" s="94"/>
      <c r="X21" s="95"/>
      <c r="Y21" s="96"/>
      <c r="Z21" s="97"/>
      <c r="AA21" s="98"/>
      <c r="AB21" s="99"/>
      <c r="AC21" s="100"/>
      <c r="AD21" s="101"/>
      <c r="AE21" s="102"/>
      <c r="AS21" s="72"/>
      <c r="AT21" s="72"/>
      <c r="AU21" s="72"/>
      <c r="AV21" s="72"/>
      <c r="AW21" s="72"/>
      <c r="AX21" s="72"/>
      <c r="AY21" s="72"/>
      <c r="AZ21" s="72"/>
      <c r="BA21" s="72"/>
      <c r="BB21" s="72"/>
      <c r="BC21" s="72"/>
      <c r="BD21" s="72"/>
      <c r="BE21" s="72"/>
      <c r="BF21" s="72"/>
      <c r="BG21" s="72"/>
      <c r="BH21" s="72"/>
      <c r="BI21" s="72"/>
      <c r="BJ21" s="72"/>
      <c r="BK21" s="72"/>
      <c r="BL21" s="72"/>
      <c r="BM21" s="72"/>
      <c r="BN21" s="72"/>
      <c r="BO21" s="72"/>
      <c r="BP21" s="72"/>
      <c r="BQ21" s="72"/>
      <c r="BR21" s="72"/>
      <c r="BS21" s="72"/>
    </row>
    <row r="22" spans="2:71" ht="13.8" thickBot="1" x14ac:dyDescent="0.3">
      <c r="B22" s="73">
        <v>20</v>
      </c>
      <c r="C22" s="108"/>
      <c r="D22" s="104"/>
      <c r="E22" s="76"/>
      <c r="F22" s="77"/>
      <c r="G22" s="78"/>
      <c r="H22" s="79"/>
      <c r="I22" s="80"/>
      <c r="J22" s="81"/>
      <c r="K22" s="82"/>
      <c r="L22" s="83"/>
      <c r="M22" s="84"/>
      <c r="N22" s="85"/>
      <c r="O22" s="86"/>
      <c r="P22" s="87"/>
      <c r="Q22" s="88"/>
      <c r="R22" s="89"/>
      <c r="S22" s="90"/>
      <c r="T22" s="91"/>
      <c r="U22" s="92"/>
      <c r="V22" s="93"/>
      <c r="W22" s="94"/>
      <c r="X22" s="95"/>
      <c r="Y22" s="96"/>
      <c r="Z22" s="97"/>
      <c r="AA22" s="98"/>
      <c r="AB22" s="99"/>
      <c r="AC22" s="100"/>
      <c r="AD22" s="101"/>
      <c r="AE22" s="102"/>
      <c r="AS22" s="72"/>
      <c r="AT22" s="72"/>
      <c r="AU22" s="72"/>
      <c r="AV22" s="72"/>
      <c r="AW22" s="72"/>
      <c r="AX22" s="72"/>
      <c r="AY22" s="72"/>
      <c r="AZ22" s="72"/>
      <c r="BA22" s="72"/>
      <c r="BB22" s="72"/>
      <c r="BC22" s="72"/>
      <c r="BD22" s="72"/>
      <c r="BE22" s="72"/>
      <c r="BF22" s="72"/>
      <c r="BG22" s="72"/>
      <c r="BH22" s="72"/>
      <c r="BI22" s="72"/>
      <c r="BJ22" s="72"/>
      <c r="BK22" s="72"/>
      <c r="BL22" s="72"/>
      <c r="BM22" s="72"/>
      <c r="BN22" s="72"/>
      <c r="BO22" s="72"/>
      <c r="BP22" s="72"/>
      <c r="BQ22" s="72"/>
      <c r="BR22" s="72"/>
      <c r="BS22" s="72"/>
    </row>
    <row r="23" spans="2:71" ht="13.8" thickBot="1" x14ac:dyDescent="0.3">
      <c r="B23" s="103">
        <v>21</v>
      </c>
      <c r="C23" s="108"/>
      <c r="D23" s="104"/>
      <c r="E23" s="76"/>
      <c r="F23" s="77"/>
      <c r="G23" s="78"/>
      <c r="H23" s="79"/>
      <c r="I23" s="80"/>
      <c r="J23" s="81"/>
      <c r="K23" s="82"/>
      <c r="L23" s="83"/>
      <c r="M23" s="84"/>
      <c r="N23" s="85"/>
      <c r="O23" s="86"/>
      <c r="P23" s="87"/>
      <c r="Q23" s="88"/>
      <c r="R23" s="89"/>
      <c r="S23" s="90"/>
      <c r="T23" s="91"/>
      <c r="U23" s="92"/>
      <c r="V23" s="93"/>
      <c r="W23" s="94"/>
      <c r="X23" s="95"/>
      <c r="Y23" s="96"/>
      <c r="Z23" s="97"/>
      <c r="AA23" s="98"/>
      <c r="AB23" s="99"/>
      <c r="AC23" s="100"/>
      <c r="AD23" s="101"/>
      <c r="AE23" s="102"/>
      <c r="AF23" s="116" t="s">
        <v>40</v>
      </c>
      <c r="AG23" s="117">
        <v>1</v>
      </c>
      <c r="AS23" s="72"/>
      <c r="AT23" s="72"/>
      <c r="AU23" s="72"/>
      <c r="AV23" s="72"/>
      <c r="AW23" s="72"/>
      <c r="AX23" s="72"/>
      <c r="AY23" s="72"/>
      <c r="AZ23" s="72"/>
      <c r="BA23" s="72"/>
      <c r="BB23" s="72"/>
      <c r="BC23" s="72"/>
      <c r="BD23" s="72"/>
      <c r="BE23" s="72"/>
      <c r="BF23" s="72"/>
      <c r="BG23" s="72"/>
      <c r="BH23" s="72"/>
      <c r="BI23" s="72"/>
      <c r="BJ23" s="72"/>
      <c r="BK23" s="72"/>
      <c r="BL23" s="72"/>
      <c r="BM23" s="72"/>
      <c r="BN23" s="72"/>
      <c r="BO23" s="72"/>
      <c r="BP23" s="72"/>
      <c r="BQ23" s="72"/>
      <c r="BR23" s="72"/>
      <c r="BS23" s="72"/>
    </row>
    <row r="24" spans="2:71" x14ac:dyDescent="0.25">
      <c r="B24" s="73">
        <v>22</v>
      </c>
      <c r="C24" s="108"/>
      <c r="D24" s="104"/>
      <c r="E24" s="76"/>
      <c r="F24" s="77"/>
      <c r="G24" s="78"/>
      <c r="H24" s="79"/>
      <c r="I24" s="80"/>
      <c r="J24" s="81"/>
      <c r="K24" s="82"/>
      <c r="L24" s="83"/>
      <c r="M24" s="84"/>
      <c r="N24" s="85"/>
      <c r="O24" s="86"/>
      <c r="P24" s="87"/>
      <c r="Q24" s="88"/>
      <c r="R24" s="89"/>
      <c r="S24" s="90"/>
      <c r="T24" s="91"/>
      <c r="U24" s="92"/>
      <c r="V24" s="93"/>
      <c r="W24" s="94"/>
      <c r="X24" s="95"/>
      <c r="Y24" s="96"/>
      <c r="Z24" s="97"/>
      <c r="AA24" s="98"/>
      <c r="AB24" s="99"/>
      <c r="AC24" s="100"/>
      <c r="AD24" s="101"/>
      <c r="AE24" s="10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row>
    <row r="25" spans="2:71" x14ac:dyDescent="0.25">
      <c r="B25" s="103">
        <v>23</v>
      </c>
      <c r="C25" s="108"/>
      <c r="D25" s="104"/>
      <c r="E25" s="76"/>
      <c r="F25" s="77"/>
      <c r="G25" s="78"/>
      <c r="H25" s="79"/>
      <c r="I25" s="80"/>
      <c r="J25" s="81"/>
      <c r="K25" s="82"/>
      <c r="L25" s="83"/>
      <c r="M25" s="84"/>
      <c r="N25" s="85"/>
      <c r="O25" s="86"/>
      <c r="P25" s="87"/>
      <c r="Q25" s="88"/>
      <c r="R25" s="89"/>
      <c r="S25" s="90"/>
      <c r="T25" s="91"/>
      <c r="U25" s="92"/>
      <c r="V25" s="93"/>
      <c r="W25" s="94"/>
      <c r="X25" s="95"/>
      <c r="Y25" s="96"/>
      <c r="Z25" s="97"/>
      <c r="AA25" s="98"/>
      <c r="AB25" s="99"/>
      <c r="AC25" s="100"/>
      <c r="AD25" s="101"/>
      <c r="AE25" s="102"/>
      <c r="AS25" s="72"/>
      <c r="AT25" s="72"/>
      <c r="AU25" s="72"/>
      <c r="AV25" s="72"/>
      <c r="AW25" s="72"/>
      <c r="AX25" s="72"/>
      <c r="AY25" s="72"/>
      <c r="AZ25" s="72"/>
      <c r="BA25" s="72"/>
      <c r="BB25" s="72"/>
      <c r="BC25" s="72"/>
      <c r="BD25" s="72"/>
      <c r="BE25" s="72"/>
      <c r="BF25" s="72"/>
      <c r="BG25" s="72"/>
      <c r="BH25" s="72"/>
      <c r="BI25" s="72"/>
      <c r="BJ25" s="72"/>
      <c r="BK25" s="72"/>
      <c r="BL25" s="72"/>
      <c r="BM25" s="72"/>
      <c r="BN25" s="72"/>
      <c r="BO25" s="72"/>
      <c r="BP25" s="72"/>
      <c r="BQ25" s="72"/>
      <c r="BR25" s="72"/>
      <c r="BS25" s="72"/>
    </row>
    <row r="26" spans="2:71" x14ac:dyDescent="0.25">
      <c r="B26" s="73">
        <v>24</v>
      </c>
      <c r="C26" s="108"/>
      <c r="D26" s="104"/>
      <c r="E26" s="76"/>
      <c r="F26" s="77"/>
      <c r="G26" s="78"/>
      <c r="H26" s="79"/>
      <c r="I26" s="80"/>
      <c r="J26" s="81"/>
      <c r="K26" s="82"/>
      <c r="L26" s="83"/>
      <c r="M26" s="84"/>
      <c r="N26" s="85"/>
      <c r="O26" s="86"/>
      <c r="P26" s="87"/>
      <c r="Q26" s="88"/>
      <c r="R26" s="89"/>
      <c r="S26" s="90"/>
      <c r="T26" s="91"/>
      <c r="U26" s="92"/>
      <c r="V26" s="93"/>
      <c r="W26" s="94"/>
      <c r="X26" s="95"/>
      <c r="Y26" s="96"/>
      <c r="Z26" s="97"/>
      <c r="AA26" s="98"/>
      <c r="AB26" s="99"/>
      <c r="AC26" s="100"/>
      <c r="AD26" s="101"/>
      <c r="AE26" s="102"/>
      <c r="AS26" s="72"/>
      <c r="AT26" s="72"/>
      <c r="AU26" s="72"/>
      <c r="AV26" s="72"/>
      <c r="AW26" s="72"/>
      <c r="AX26" s="72"/>
      <c r="AY26" s="72"/>
      <c r="AZ26" s="72"/>
      <c r="BA26" s="72"/>
      <c r="BB26" s="72"/>
      <c r="BC26" s="72"/>
      <c r="BD26" s="72"/>
      <c r="BE26" s="72"/>
      <c r="BF26" s="72"/>
      <c r="BG26" s="72"/>
      <c r="BH26" s="72"/>
      <c r="BI26" s="72"/>
      <c r="BJ26" s="72"/>
      <c r="BK26" s="72"/>
      <c r="BL26" s="72"/>
      <c r="BM26" s="72"/>
      <c r="BN26" s="72"/>
      <c r="BO26" s="72"/>
      <c r="BP26" s="72"/>
      <c r="BQ26" s="72"/>
      <c r="BR26" s="72"/>
      <c r="BS26" s="72"/>
    </row>
    <row r="27" spans="2:71" x14ac:dyDescent="0.25">
      <c r="B27" s="103">
        <v>25</v>
      </c>
      <c r="C27" s="108"/>
      <c r="D27" s="104"/>
      <c r="E27" s="76"/>
      <c r="F27" s="77"/>
      <c r="G27" s="78"/>
      <c r="H27" s="79"/>
      <c r="I27" s="80"/>
      <c r="J27" s="81"/>
      <c r="K27" s="82"/>
      <c r="L27" s="83"/>
      <c r="M27" s="84"/>
      <c r="N27" s="85"/>
      <c r="O27" s="86"/>
      <c r="P27" s="87"/>
      <c r="Q27" s="88"/>
      <c r="R27" s="89"/>
      <c r="S27" s="90"/>
      <c r="T27" s="91"/>
      <c r="U27" s="92"/>
      <c r="V27" s="93"/>
      <c r="W27" s="94"/>
      <c r="X27" s="95"/>
      <c r="Y27" s="96"/>
      <c r="Z27" s="97"/>
      <c r="AA27" s="98"/>
      <c r="AB27" s="99"/>
      <c r="AC27" s="100"/>
      <c r="AD27" s="101"/>
      <c r="AE27" s="102"/>
      <c r="AF27" s="72"/>
      <c r="AG27" s="72"/>
      <c r="AS27" s="72"/>
      <c r="AT27" s="72"/>
      <c r="AU27" s="72"/>
      <c r="AV27" s="72"/>
      <c r="AW27" s="72"/>
      <c r="AX27" s="72"/>
      <c r="AY27" s="72"/>
      <c r="AZ27" s="72"/>
      <c r="BA27" s="72"/>
      <c r="BB27" s="72"/>
      <c r="BC27" s="72"/>
      <c r="BD27" s="72"/>
      <c r="BE27" s="72"/>
      <c r="BF27" s="72"/>
      <c r="BG27" s="72"/>
      <c r="BH27" s="72"/>
      <c r="BI27" s="72"/>
      <c r="BJ27" s="72"/>
      <c r="BK27" s="72"/>
      <c r="BL27" s="72"/>
      <c r="BM27" s="72"/>
      <c r="BN27" s="72"/>
      <c r="BO27" s="72"/>
      <c r="BP27" s="72"/>
      <c r="BQ27" s="72"/>
      <c r="BR27" s="72"/>
      <c r="BS27" s="72"/>
    </row>
    <row r="28" spans="2:71" x14ac:dyDescent="0.25">
      <c r="B28" s="73">
        <v>26</v>
      </c>
      <c r="C28" s="108"/>
      <c r="D28" s="104"/>
      <c r="E28" s="76"/>
      <c r="F28" s="77"/>
      <c r="G28" s="78"/>
      <c r="H28" s="79"/>
      <c r="I28" s="80"/>
      <c r="J28" s="81"/>
      <c r="K28" s="82"/>
      <c r="L28" s="83"/>
      <c r="M28" s="84"/>
      <c r="N28" s="85"/>
      <c r="O28" s="86"/>
      <c r="P28" s="87"/>
      <c r="Q28" s="88"/>
      <c r="R28" s="89"/>
      <c r="S28" s="90"/>
      <c r="T28" s="91"/>
      <c r="U28" s="92"/>
      <c r="V28" s="93"/>
      <c r="W28" s="94"/>
      <c r="X28" s="95"/>
      <c r="Y28" s="96"/>
      <c r="Z28" s="97"/>
      <c r="AA28" s="98"/>
      <c r="AB28" s="99"/>
      <c r="AC28" s="100"/>
      <c r="AD28" s="101"/>
      <c r="AE28" s="102"/>
      <c r="AF28" s="72"/>
      <c r="AG28" s="72"/>
      <c r="AS28" s="72"/>
      <c r="AT28" s="72"/>
      <c r="AU28" s="72"/>
      <c r="AV28" s="72"/>
      <c r="AW28" s="72"/>
      <c r="AX28" s="72"/>
      <c r="AY28" s="72"/>
      <c r="AZ28" s="72"/>
      <c r="BA28" s="72"/>
      <c r="BB28" s="72"/>
      <c r="BC28" s="72"/>
      <c r="BD28" s="72"/>
      <c r="BE28" s="72"/>
      <c r="BF28" s="72"/>
      <c r="BG28" s="72"/>
      <c r="BH28" s="72"/>
      <c r="BI28" s="72"/>
      <c r="BJ28" s="72"/>
      <c r="BK28" s="72"/>
      <c r="BL28" s="72"/>
      <c r="BM28" s="72"/>
      <c r="BN28" s="72"/>
      <c r="BO28" s="72"/>
      <c r="BP28" s="72"/>
      <c r="BQ28" s="72"/>
      <c r="BR28" s="72"/>
      <c r="BS28" s="72"/>
    </row>
    <row r="29" spans="2:71" x14ac:dyDescent="0.25">
      <c r="B29" s="103">
        <v>27</v>
      </c>
      <c r="C29" s="108"/>
      <c r="D29" s="104"/>
      <c r="E29" s="76"/>
      <c r="F29" s="77"/>
      <c r="G29" s="78"/>
      <c r="H29" s="79"/>
      <c r="I29" s="80"/>
      <c r="J29" s="81"/>
      <c r="K29" s="82"/>
      <c r="L29" s="83"/>
      <c r="M29" s="84"/>
      <c r="N29" s="85"/>
      <c r="O29" s="86"/>
      <c r="P29" s="87"/>
      <c r="Q29" s="88"/>
      <c r="R29" s="89"/>
      <c r="S29" s="90"/>
      <c r="T29" s="91"/>
      <c r="U29" s="92"/>
      <c r="V29" s="93"/>
      <c r="W29" s="94"/>
      <c r="X29" s="95"/>
      <c r="Y29" s="96"/>
      <c r="Z29" s="97"/>
      <c r="AA29" s="98"/>
      <c r="AB29" s="99"/>
      <c r="AC29" s="100"/>
      <c r="AD29" s="101"/>
      <c r="AE29" s="102"/>
      <c r="AF29" s="72"/>
      <c r="AG29" s="72"/>
      <c r="AS29" s="72"/>
      <c r="AT29" s="72"/>
      <c r="AU29" s="72"/>
      <c r="AV29" s="72"/>
      <c r="AW29" s="72"/>
      <c r="AX29" s="72"/>
      <c r="AY29" s="72"/>
      <c r="AZ29" s="72"/>
      <c r="BA29" s="72"/>
      <c r="BB29" s="72"/>
      <c r="BC29" s="72"/>
      <c r="BD29" s="72"/>
      <c r="BE29" s="72"/>
      <c r="BF29" s="72"/>
      <c r="BG29" s="72"/>
      <c r="BH29" s="72"/>
      <c r="BI29" s="72"/>
      <c r="BJ29" s="72"/>
      <c r="BK29" s="72"/>
      <c r="BL29" s="72"/>
      <c r="BM29" s="72"/>
      <c r="BN29" s="72"/>
      <c r="BO29" s="72"/>
      <c r="BP29" s="72"/>
      <c r="BQ29" s="72"/>
      <c r="BR29" s="72"/>
      <c r="BS29" s="72"/>
    </row>
    <row r="30" spans="2:71" x14ac:dyDescent="0.25">
      <c r="B30" s="73">
        <v>28</v>
      </c>
      <c r="C30" s="108"/>
      <c r="D30" s="104"/>
      <c r="E30" s="76"/>
      <c r="F30" s="77"/>
      <c r="G30" s="78"/>
      <c r="H30" s="79"/>
      <c r="I30" s="80"/>
      <c r="J30" s="81"/>
      <c r="K30" s="82"/>
      <c r="L30" s="83"/>
      <c r="M30" s="84"/>
      <c r="N30" s="85"/>
      <c r="O30" s="86"/>
      <c r="P30" s="87"/>
      <c r="Q30" s="88"/>
      <c r="R30" s="89"/>
      <c r="S30" s="90"/>
      <c r="T30" s="91"/>
      <c r="U30" s="92"/>
      <c r="V30" s="93"/>
      <c r="W30" s="94"/>
      <c r="X30" s="95"/>
      <c r="Y30" s="96"/>
      <c r="Z30" s="97"/>
      <c r="AA30" s="98"/>
      <c r="AB30" s="99"/>
      <c r="AC30" s="100"/>
      <c r="AD30" s="101"/>
      <c r="AE30" s="102"/>
      <c r="AF30" s="72"/>
      <c r="AG30" s="72"/>
      <c r="AS30" s="72"/>
      <c r="AT30" s="72"/>
      <c r="AU30" s="72"/>
      <c r="AV30" s="72"/>
      <c r="AW30" s="72"/>
      <c r="AX30" s="72"/>
      <c r="AY30" s="72"/>
      <c r="AZ30" s="72"/>
      <c r="BA30" s="72"/>
      <c r="BB30" s="72"/>
      <c r="BC30" s="72"/>
      <c r="BD30" s="72"/>
      <c r="BE30" s="72"/>
      <c r="BF30" s="72"/>
      <c r="BG30" s="72"/>
      <c r="BH30" s="72"/>
      <c r="BI30" s="72"/>
      <c r="BJ30" s="72"/>
      <c r="BK30" s="72"/>
      <c r="BL30" s="72"/>
      <c r="BM30" s="72"/>
      <c r="BN30" s="72"/>
      <c r="BO30" s="72"/>
      <c r="BP30" s="72"/>
      <c r="BQ30" s="72"/>
      <c r="BR30" s="72"/>
      <c r="BS30" s="72"/>
    </row>
    <row r="31" spans="2:71" x14ac:dyDescent="0.25">
      <c r="B31" s="103">
        <v>29</v>
      </c>
      <c r="C31" s="108"/>
      <c r="D31" s="104"/>
      <c r="E31" s="76"/>
      <c r="F31" s="77"/>
      <c r="G31" s="78"/>
      <c r="H31" s="79"/>
      <c r="I31" s="80"/>
      <c r="J31" s="81"/>
      <c r="K31" s="82"/>
      <c r="L31" s="83"/>
      <c r="M31" s="84"/>
      <c r="N31" s="85"/>
      <c r="O31" s="86"/>
      <c r="P31" s="87"/>
      <c r="Q31" s="88"/>
      <c r="R31" s="89"/>
      <c r="S31" s="90"/>
      <c r="T31" s="91"/>
      <c r="U31" s="92"/>
      <c r="V31" s="93"/>
      <c r="W31" s="94"/>
      <c r="X31" s="95"/>
      <c r="Y31" s="96"/>
      <c r="Z31" s="97"/>
      <c r="AA31" s="98"/>
      <c r="AB31" s="99"/>
      <c r="AC31" s="100"/>
      <c r="AD31" s="101"/>
      <c r="AE31" s="102"/>
      <c r="AF31" s="72"/>
      <c r="AG31" s="72"/>
      <c r="AS31" s="72"/>
      <c r="AT31" s="72"/>
      <c r="AU31" s="72"/>
      <c r="AV31" s="72"/>
      <c r="AW31" s="72"/>
      <c r="AX31" s="72"/>
      <c r="AY31" s="72"/>
      <c r="AZ31" s="72"/>
      <c r="BA31" s="72"/>
      <c r="BB31" s="72"/>
      <c r="BC31" s="72"/>
      <c r="BD31" s="72"/>
      <c r="BE31" s="72"/>
      <c r="BF31" s="72"/>
      <c r="BG31" s="72"/>
      <c r="BH31" s="72"/>
      <c r="BI31" s="72"/>
      <c r="BJ31" s="72"/>
      <c r="BK31" s="72"/>
      <c r="BL31" s="72"/>
      <c r="BM31" s="72"/>
      <c r="BN31" s="72"/>
      <c r="BO31" s="72"/>
      <c r="BP31" s="72"/>
      <c r="BQ31" s="72"/>
      <c r="BR31" s="72"/>
      <c r="BS31" s="72"/>
    </row>
    <row r="32" spans="2:71" x14ac:dyDescent="0.25">
      <c r="B32" s="73">
        <v>30</v>
      </c>
      <c r="C32" s="108"/>
      <c r="D32" s="104"/>
      <c r="E32" s="76"/>
      <c r="F32" s="77"/>
      <c r="G32" s="78"/>
      <c r="H32" s="79"/>
      <c r="I32" s="80"/>
      <c r="J32" s="81"/>
      <c r="K32" s="82"/>
      <c r="L32" s="83"/>
      <c r="M32" s="84"/>
      <c r="N32" s="85"/>
      <c r="O32" s="86"/>
      <c r="P32" s="87"/>
      <c r="Q32" s="88"/>
      <c r="R32" s="89"/>
      <c r="S32" s="90"/>
      <c r="T32" s="91"/>
      <c r="U32" s="92"/>
      <c r="V32" s="93"/>
      <c r="W32" s="94"/>
      <c r="X32" s="95"/>
      <c r="Y32" s="96"/>
      <c r="Z32" s="97"/>
      <c r="AA32" s="98"/>
      <c r="AB32" s="99"/>
      <c r="AC32" s="100"/>
      <c r="AD32" s="101"/>
      <c r="AE32" s="102"/>
      <c r="AF32" s="72"/>
      <c r="AG32" s="72"/>
      <c r="AS32" s="72"/>
      <c r="AT32" s="72"/>
      <c r="AU32" s="72"/>
      <c r="AV32" s="72"/>
      <c r="AW32" s="72"/>
      <c r="AX32" s="72"/>
      <c r="AY32" s="72"/>
      <c r="AZ32" s="72"/>
      <c r="BA32" s="72"/>
      <c r="BB32" s="72"/>
      <c r="BC32" s="72"/>
      <c r="BD32" s="72"/>
      <c r="BE32" s="72"/>
      <c r="BF32" s="72"/>
      <c r="BG32" s="72"/>
      <c r="BH32" s="72"/>
      <c r="BI32" s="72"/>
      <c r="BJ32" s="72"/>
      <c r="BK32" s="72"/>
      <c r="BL32" s="72"/>
      <c r="BM32" s="72"/>
      <c r="BN32" s="72"/>
      <c r="BO32" s="72"/>
      <c r="BP32" s="72"/>
      <c r="BQ32" s="72"/>
      <c r="BR32" s="72"/>
      <c r="BS32" s="72"/>
    </row>
    <row r="33" spans="2:71" x14ac:dyDescent="0.25">
      <c r="B33" s="103">
        <v>31</v>
      </c>
      <c r="C33" s="108"/>
      <c r="D33" s="104"/>
      <c r="E33" s="76"/>
      <c r="F33" s="77"/>
      <c r="G33" s="78"/>
      <c r="H33" s="79"/>
      <c r="I33" s="80"/>
      <c r="J33" s="81"/>
      <c r="K33" s="82"/>
      <c r="L33" s="83"/>
      <c r="M33" s="84"/>
      <c r="N33" s="85"/>
      <c r="O33" s="86"/>
      <c r="P33" s="87"/>
      <c r="Q33" s="88"/>
      <c r="R33" s="89"/>
      <c r="S33" s="90"/>
      <c r="T33" s="91"/>
      <c r="U33" s="92"/>
      <c r="V33" s="93"/>
      <c r="W33" s="94"/>
      <c r="X33" s="95"/>
      <c r="Y33" s="96"/>
      <c r="Z33" s="97"/>
      <c r="AA33" s="98"/>
      <c r="AB33" s="99"/>
      <c r="AC33" s="100"/>
      <c r="AD33" s="101"/>
      <c r="AE33" s="102"/>
      <c r="AF33" s="72"/>
      <c r="AG33" s="72"/>
      <c r="AS33" s="72"/>
      <c r="AT33" s="72"/>
      <c r="AU33" s="72"/>
      <c r="AV33" s="72"/>
      <c r="AW33" s="72"/>
      <c r="AX33" s="72"/>
      <c r="AY33" s="72"/>
      <c r="AZ33" s="72"/>
      <c r="BA33" s="72"/>
      <c r="BB33" s="72"/>
      <c r="BC33" s="72"/>
      <c r="BD33" s="72"/>
      <c r="BE33" s="72"/>
      <c r="BF33" s="72"/>
      <c r="BG33" s="72"/>
      <c r="BH33" s="72"/>
      <c r="BI33" s="72"/>
      <c r="BJ33" s="72"/>
      <c r="BK33" s="72"/>
      <c r="BL33" s="72"/>
      <c r="BM33" s="72"/>
      <c r="BN33" s="72"/>
      <c r="BO33" s="72"/>
      <c r="BP33" s="72"/>
      <c r="BQ33" s="72"/>
      <c r="BR33" s="72"/>
      <c r="BS33" s="72"/>
    </row>
    <row r="34" spans="2:71" x14ac:dyDescent="0.25">
      <c r="B34" s="73">
        <v>32</v>
      </c>
      <c r="C34" s="108"/>
      <c r="D34" s="104"/>
      <c r="E34" s="76"/>
      <c r="F34" s="77"/>
      <c r="G34" s="78"/>
      <c r="H34" s="79"/>
      <c r="I34" s="80"/>
      <c r="J34" s="81"/>
      <c r="K34" s="82"/>
      <c r="L34" s="83"/>
      <c r="M34" s="84"/>
      <c r="N34" s="85"/>
      <c r="O34" s="86"/>
      <c r="P34" s="87"/>
      <c r="Q34" s="88"/>
      <c r="R34" s="89"/>
      <c r="S34" s="90"/>
      <c r="T34" s="91"/>
      <c r="U34" s="92"/>
      <c r="V34" s="93"/>
      <c r="W34" s="94"/>
      <c r="X34" s="95"/>
      <c r="Y34" s="96"/>
      <c r="Z34" s="97"/>
      <c r="AA34" s="98"/>
      <c r="AB34" s="99"/>
      <c r="AC34" s="100"/>
      <c r="AD34" s="101"/>
      <c r="AE34" s="102"/>
      <c r="AF34" s="72"/>
      <c r="AG34" s="72"/>
      <c r="AS34" s="72"/>
      <c r="AT34" s="72"/>
      <c r="AU34" s="72"/>
      <c r="AV34" s="72"/>
      <c r="AW34" s="72"/>
      <c r="AX34" s="72"/>
      <c r="AY34" s="72"/>
      <c r="AZ34" s="72"/>
      <c r="BA34" s="72"/>
      <c r="BB34" s="72"/>
      <c r="BC34" s="72"/>
      <c r="BD34" s="72"/>
      <c r="BE34" s="72"/>
      <c r="BF34" s="72"/>
      <c r="BG34" s="72"/>
      <c r="BH34" s="72"/>
      <c r="BI34" s="72"/>
      <c r="BJ34" s="72"/>
      <c r="BK34" s="72"/>
      <c r="BL34" s="72"/>
      <c r="BM34" s="72"/>
      <c r="BN34" s="72"/>
      <c r="BO34" s="72"/>
      <c r="BP34" s="72"/>
      <c r="BQ34" s="72"/>
      <c r="BR34" s="72"/>
      <c r="BS34" s="72"/>
    </row>
    <row r="35" spans="2:71" x14ac:dyDescent="0.25">
      <c r="B35" s="103">
        <v>33</v>
      </c>
      <c r="C35" s="108"/>
      <c r="D35" s="104"/>
      <c r="E35" s="76"/>
      <c r="F35" s="77"/>
      <c r="G35" s="78"/>
      <c r="H35" s="79"/>
      <c r="I35" s="80"/>
      <c r="J35" s="81"/>
      <c r="K35" s="82"/>
      <c r="L35" s="83"/>
      <c r="M35" s="84"/>
      <c r="N35" s="85"/>
      <c r="O35" s="86"/>
      <c r="P35" s="87"/>
      <c r="Q35" s="88"/>
      <c r="R35" s="89"/>
      <c r="S35" s="90"/>
      <c r="T35" s="91"/>
      <c r="U35" s="92"/>
      <c r="V35" s="93"/>
      <c r="W35" s="94"/>
      <c r="X35" s="95"/>
      <c r="Y35" s="96"/>
      <c r="Z35" s="97"/>
      <c r="AA35" s="98"/>
      <c r="AB35" s="99"/>
      <c r="AC35" s="100"/>
      <c r="AD35" s="101"/>
      <c r="AE35" s="102"/>
      <c r="AF35" s="72"/>
      <c r="AG35" s="72"/>
      <c r="AS35" s="72"/>
      <c r="AT35" s="72"/>
      <c r="AU35" s="72"/>
      <c r="AV35" s="72"/>
      <c r="AW35" s="72"/>
      <c r="AX35" s="72"/>
      <c r="AY35" s="72"/>
      <c r="AZ35" s="72"/>
      <c r="BA35" s="72"/>
      <c r="BB35" s="72"/>
      <c r="BC35" s="72"/>
      <c r="BD35" s="72"/>
      <c r="BE35" s="72"/>
      <c r="BF35" s="72"/>
      <c r="BG35" s="72"/>
      <c r="BH35" s="72"/>
      <c r="BI35" s="72"/>
      <c r="BJ35" s="72"/>
      <c r="BK35" s="72"/>
      <c r="BL35" s="72"/>
      <c r="BM35" s="72"/>
      <c r="BN35" s="72"/>
      <c r="BO35" s="72"/>
      <c r="BP35" s="72"/>
      <c r="BQ35" s="72"/>
      <c r="BR35" s="72"/>
      <c r="BS35" s="72"/>
    </row>
    <row r="36" spans="2:71" x14ac:dyDescent="0.25">
      <c r="B36" s="73">
        <v>34</v>
      </c>
      <c r="C36" s="108"/>
      <c r="D36" s="104"/>
      <c r="E36" s="76"/>
      <c r="F36" s="77"/>
      <c r="G36" s="78"/>
      <c r="H36" s="79"/>
      <c r="I36" s="80"/>
      <c r="J36" s="81"/>
      <c r="K36" s="82"/>
      <c r="L36" s="83"/>
      <c r="M36" s="84"/>
      <c r="N36" s="85"/>
      <c r="O36" s="86"/>
      <c r="P36" s="87"/>
      <c r="Q36" s="88"/>
      <c r="R36" s="89"/>
      <c r="S36" s="90"/>
      <c r="T36" s="91"/>
      <c r="U36" s="92"/>
      <c r="V36" s="93"/>
      <c r="W36" s="94"/>
      <c r="X36" s="95"/>
      <c r="Y36" s="96"/>
      <c r="Z36" s="97"/>
      <c r="AA36" s="98"/>
      <c r="AB36" s="99"/>
      <c r="AC36" s="100"/>
      <c r="AD36" s="101"/>
      <c r="AE36" s="102"/>
      <c r="AF36" s="72"/>
      <c r="AG36" s="72"/>
      <c r="AS36" s="72"/>
      <c r="AT36" s="72"/>
      <c r="AU36" s="72"/>
      <c r="AV36" s="72"/>
      <c r="AW36" s="72"/>
      <c r="AX36" s="72"/>
      <c r="AY36" s="72"/>
      <c r="AZ36" s="72"/>
      <c r="BA36" s="72"/>
      <c r="BB36" s="72"/>
      <c r="BC36" s="72"/>
      <c r="BD36" s="72"/>
      <c r="BE36" s="72"/>
      <c r="BF36" s="72"/>
      <c r="BG36" s="72"/>
      <c r="BH36" s="72"/>
      <c r="BI36" s="72"/>
      <c r="BJ36" s="72"/>
      <c r="BK36" s="72"/>
      <c r="BL36" s="72"/>
      <c r="BM36" s="72"/>
      <c r="BN36" s="72"/>
      <c r="BO36" s="72"/>
      <c r="BP36" s="72"/>
      <c r="BQ36" s="72"/>
      <c r="BR36" s="72"/>
      <c r="BS36" s="72"/>
    </row>
    <row r="37" spans="2:71" x14ac:dyDescent="0.25">
      <c r="B37" s="103">
        <v>35</v>
      </c>
      <c r="C37" s="108"/>
      <c r="D37" s="104"/>
      <c r="E37" s="76"/>
      <c r="F37" s="77"/>
      <c r="G37" s="78"/>
      <c r="H37" s="79"/>
      <c r="I37" s="80"/>
      <c r="J37" s="81"/>
      <c r="K37" s="82"/>
      <c r="L37" s="83"/>
      <c r="M37" s="84"/>
      <c r="N37" s="85"/>
      <c r="O37" s="86"/>
      <c r="P37" s="87"/>
      <c r="Q37" s="88"/>
      <c r="R37" s="89"/>
      <c r="S37" s="90"/>
      <c r="T37" s="91"/>
      <c r="U37" s="92"/>
      <c r="V37" s="93"/>
      <c r="W37" s="94"/>
      <c r="X37" s="95"/>
      <c r="Y37" s="96"/>
      <c r="Z37" s="97"/>
      <c r="AA37" s="98"/>
      <c r="AB37" s="99"/>
      <c r="AC37" s="100"/>
      <c r="AD37" s="101"/>
      <c r="AE37" s="102"/>
      <c r="AF37" s="72"/>
      <c r="AG37" s="72"/>
      <c r="AS37" s="72"/>
      <c r="AT37" s="72"/>
      <c r="AU37" s="72"/>
      <c r="AV37" s="72"/>
      <c r="AW37" s="72"/>
      <c r="AX37" s="72"/>
      <c r="AY37" s="72"/>
      <c r="AZ37" s="72"/>
      <c r="BA37" s="72"/>
      <c r="BB37" s="72"/>
      <c r="BC37" s="72"/>
      <c r="BD37" s="72"/>
      <c r="BE37" s="72"/>
      <c r="BF37" s="72"/>
      <c r="BG37" s="72"/>
      <c r="BH37" s="72"/>
      <c r="BI37" s="72"/>
      <c r="BJ37" s="72"/>
      <c r="BK37" s="72"/>
      <c r="BL37" s="72"/>
      <c r="BM37" s="72"/>
      <c r="BN37" s="72"/>
      <c r="BO37" s="72"/>
      <c r="BP37" s="72"/>
      <c r="BQ37" s="72"/>
      <c r="BR37" s="72"/>
      <c r="BS37" s="72"/>
    </row>
    <row r="38" spans="2:71" x14ac:dyDescent="0.25">
      <c r="B38" s="73">
        <v>36</v>
      </c>
      <c r="C38" s="108"/>
      <c r="D38" s="104"/>
      <c r="E38" s="76"/>
      <c r="F38" s="77"/>
      <c r="G38" s="78"/>
      <c r="H38" s="79"/>
      <c r="I38" s="80"/>
      <c r="J38" s="81"/>
      <c r="K38" s="82"/>
      <c r="L38" s="83"/>
      <c r="M38" s="84"/>
      <c r="N38" s="85"/>
      <c r="O38" s="86"/>
      <c r="P38" s="87"/>
      <c r="Q38" s="88"/>
      <c r="R38" s="89"/>
      <c r="S38" s="90"/>
      <c r="T38" s="91"/>
      <c r="U38" s="92"/>
      <c r="V38" s="93"/>
      <c r="W38" s="94"/>
      <c r="X38" s="95"/>
      <c r="Y38" s="96"/>
      <c r="Z38" s="97"/>
      <c r="AA38" s="98"/>
      <c r="AB38" s="99"/>
      <c r="AC38" s="100"/>
      <c r="AD38" s="101"/>
      <c r="AE38" s="102"/>
      <c r="AF38" s="72"/>
      <c r="AG38" s="72"/>
      <c r="AS38" s="72"/>
      <c r="AT38" s="72"/>
      <c r="AU38" s="72"/>
      <c r="AV38" s="72"/>
      <c r="AW38" s="72"/>
      <c r="AX38" s="72"/>
      <c r="AY38" s="72"/>
      <c r="AZ38" s="72"/>
      <c r="BA38" s="72"/>
      <c r="BB38" s="72"/>
      <c r="BC38" s="72"/>
      <c r="BD38" s="72"/>
      <c r="BE38" s="72"/>
      <c r="BF38" s="72"/>
      <c r="BG38" s="72"/>
      <c r="BH38" s="72"/>
      <c r="BI38" s="72"/>
      <c r="BJ38" s="72"/>
      <c r="BK38" s="72"/>
      <c r="BL38" s="72"/>
      <c r="BM38" s="72"/>
      <c r="BN38" s="72"/>
      <c r="BO38" s="72"/>
      <c r="BP38" s="72"/>
      <c r="BQ38" s="72"/>
      <c r="BR38" s="72"/>
      <c r="BS38" s="72"/>
    </row>
    <row r="39" spans="2:71" x14ac:dyDescent="0.25">
      <c r="B39" s="103">
        <v>37</v>
      </c>
      <c r="C39" s="108"/>
      <c r="D39" s="104"/>
      <c r="E39" s="76"/>
      <c r="F39" s="77"/>
      <c r="G39" s="78"/>
      <c r="H39" s="79"/>
      <c r="I39" s="80"/>
      <c r="J39" s="81"/>
      <c r="K39" s="82"/>
      <c r="L39" s="83"/>
      <c r="M39" s="84"/>
      <c r="N39" s="85"/>
      <c r="O39" s="86"/>
      <c r="P39" s="87"/>
      <c r="Q39" s="88"/>
      <c r="R39" s="89"/>
      <c r="S39" s="90"/>
      <c r="T39" s="91"/>
      <c r="U39" s="92"/>
      <c r="V39" s="93"/>
      <c r="W39" s="94"/>
      <c r="X39" s="95"/>
      <c r="Y39" s="96"/>
      <c r="Z39" s="97"/>
      <c r="AA39" s="98"/>
      <c r="AB39" s="99"/>
      <c r="AC39" s="100"/>
      <c r="AD39" s="101"/>
      <c r="AE39" s="102"/>
      <c r="AF39" s="72"/>
      <c r="AG39" s="72"/>
      <c r="AS39" s="72"/>
      <c r="AT39" s="72"/>
      <c r="AU39" s="72"/>
      <c r="AV39" s="72"/>
      <c r="AW39" s="72"/>
      <c r="AX39" s="72"/>
      <c r="AY39" s="72"/>
      <c r="AZ39" s="72"/>
      <c r="BA39" s="72"/>
      <c r="BB39" s="72"/>
      <c r="BC39" s="72"/>
      <c r="BD39" s="72"/>
      <c r="BE39" s="72"/>
      <c r="BF39" s="72"/>
      <c r="BG39" s="72"/>
      <c r="BH39" s="72"/>
      <c r="BI39" s="72"/>
      <c r="BJ39" s="72"/>
      <c r="BK39" s="72"/>
      <c r="BL39" s="72"/>
      <c r="BM39" s="72"/>
      <c r="BN39" s="72"/>
      <c r="BO39" s="72"/>
      <c r="BP39" s="72"/>
      <c r="BQ39" s="72"/>
      <c r="BR39" s="72"/>
      <c r="BS39" s="72"/>
    </row>
    <row r="40" spans="2:71" x14ac:dyDescent="0.25">
      <c r="B40" s="73">
        <v>38</v>
      </c>
      <c r="C40" s="108"/>
      <c r="D40" s="104"/>
      <c r="E40" s="76"/>
      <c r="F40" s="77"/>
      <c r="G40" s="78"/>
      <c r="H40" s="79"/>
      <c r="I40" s="80"/>
      <c r="J40" s="81"/>
      <c r="K40" s="82"/>
      <c r="L40" s="83"/>
      <c r="M40" s="84"/>
      <c r="N40" s="85"/>
      <c r="O40" s="86"/>
      <c r="P40" s="87"/>
      <c r="Q40" s="88"/>
      <c r="R40" s="89"/>
      <c r="S40" s="90"/>
      <c r="T40" s="91"/>
      <c r="U40" s="92"/>
      <c r="V40" s="93"/>
      <c r="W40" s="94"/>
      <c r="X40" s="95"/>
      <c r="Y40" s="96"/>
      <c r="Z40" s="97"/>
      <c r="AA40" s="98"/>
      <c r="AB40" s="99"/>
      <c r="AC40" s="100"/>
      <c r="AD40" s="101"/>
      <c r="AE40" s="102"/>
      <c r="AF40" s="72"/>
      <c r="AG40" s="72"/>
      <c r="AS40" s="72"/>
      <c r="AT40" s="72"/>
      <c r="AU40" s="72"/>
      <c r="AV40" s="72"/>
      <c r="AW40" s="72"/>
      <c r="AX40" s="72"/>
      <c r="AY40" s="72"/>
      <c r="AZ40" s="72"/>
      <c r="BA40" s="72"/>
      <c r="BB40" s="72"/>
      <c r="BC40" s="72"/>
      <c r="BD40" s="72"/>
      <c r="BE40" s="72"/>
      <c r="BF40" s="72"/>
      <c r="BG40" s="72"/>
      <c r="BH40" s="72"/>
      <c r="BI40" s="72"/>
      <c r="BJ40" s="72"/>
      <c r="BK40" s="72"/>
      <c r="BL40" s="72"/>
      <c r="BM40" s="72"/>
      <c r="BN40" s="72"/>
      <c r="BO40" s="72"/>
      <c r="BP40" s="72"/>
      <c r="BQ40" s="72"/>
      <c r="BR40" s="72"/>
      <c r="BS40" s="72"/>
    </row>
    <row r="41" spans="2:71" x14ac:dyDescent="0.25">
      <c r="B41" s="103">
        <v>39</v>
      </c>
      <c r="C41" s="108"/>
      <c r="D41" s="104"/>
      <c r="E41" s="76"/>
      <c r="F41" s="77"/>
      <c r="G41" s="78"/>
      <c r="H41" s="79"/>
      <c r="I41" s="80"/>
      <c r="J41" s="81"/>
      <c r="K41" s="82"/>
      <c r="L41" s="83"/>
      <c r="M41" s="84"/>
      <c r="N41" s="85"/>
      <c r="O41" s="86"/>
      <c r="P41" s="87"/>
      <c r="Q41" s="88"/>
      <c r="R41" s="89"/>
      <c r="S41" s="90"/>
      <c r="T41" s="91"/>
      <c r="U41" s="92"/>
      <c r="V41" s="93"/>
      <c r="W41" s="94"/>
      <c r="X41" s="95"/>
      <c r="Y41" s="96"/>
      <c r="Z41" s="97"/>
      <c r="AA41" s="98"/>
      <c r="AB41" s="99"/>
      <c r="AC41" s="100"/>
      <c r="AD41" s="101"/>
      <c r="AE41" s="102"/>
      <c r="AF41" s="72"/>
      <c r="AG41" s="72"/>
      <c r="AS41" s="72"/>
      <c r="AT41" s="72"/>
      <c r="AU41" s="72"/>
      <c r="AV41" s="72"/>
      <c r="AW41" s="72"/>
      <c r="AX41" s="72"/>
      <c r="AY41" s="72"/>
      <c r="AZ41" s="72"/>
      <c r="BA41" s="72"/>
      <c r="BB41" s="72"/>
      <c r="BC41" s="72"/>
      <c r="BD41" s="72"/>
      <c r="BE41" s="72"/>
      <c r="BF41" s="72"/>
      <c r="BG41" s="72"/>
      <c r="BH41" s="72"/>
      <c r="BI41" s="72"/>
      <c r="BJ41" s="72"/>
      <c r="BK41" s="72"/>
      <c r="BL41" s="72"/>
      <c r="BM41" s="72"/>
      <c r="BN41" s="72"/>
      <c r="BO41" s="72"/>
      <c r="BP41" s="72"/>
      <c r="BQ41" s="72"/>
      <c r="BR41" s="72"/>
      <c r="BS41" s="72"/>
    </row>
    <row r="42" spans="2:71" ht="13.8" thickBot="1" x14ac:dyDescent="0.3">
      <c r="B42" s="118">
        <v>40</v>
      </c>
      <c r="C42" s="119"/>
      <c r="D42" s="120"/>
      <c r="E42" s="121"/>
      <c r="F42" s="122"/>
      <c r="G42" s="123"/>
      <c r="H42" s="124"/>
      <c r="I42" s="125"/>
      <c r="J42" s="126"/>
      <c r="K42" s="127"/>
      <c r="L42" s="128"/>
      <c r="M42" s="129"/>
      <c r="N42" s="130"/>
      <c r="O42" s="131"/>
      <c r="P42" s="132"/>
      <c r="Q42" s="133"/>
      <c r="R42" s="134"/>
      <c r="S42" s="135"/>
      <c r="T42" s="136"/>
      <c r="U42" s="137"/>
      <c r="V42" s="138"/>
      <c r="W42" s="139"/>
      <c r="X42" s="140"/>
      <c r="Y42" s="141"/>
      <c r="Z42" s="142"/>
      <c r="AA42" s="143"/>
      <c r="AB42" s="144"/>
      <c r="AC42" s="145"/>
      <c r="AD42" s="146"/>
      <c r="AE42" s="147"/>
      <c r="AF42" s="72"/>
      <c r="AS42" s="72"/>
      <c r="AT42" s="72"/>
      <c r="AU42" s="72"/>
      <c r="AV42" s="72"/>
      <c r="AW42" s="72"/>
      <c r="AX42" s="72"/>
      <c r="AY42" s="72"/>
      <c r="AZ42" s="72"/>
      <c r="BA42" s="72"/>
      <c r="BB42" s="72"/>
      <c r="BC42" s="72"/>
      <c r="BD42" s="72"/>
      <c r="BE42" s="72"/>
      <c r="BF42" s="72"/>
      <c r="BG42" s="72"/>
      <c r="BH42" s="72"/>
      <c r="BI42" s="72"/>
      <c r="BJ42" s="72"/>
      <c r="BK42" s="72"/>
      <c r="BL42" s="72"/>
      <c r="BM42" s="72"/>
      <c r="BN42" s="72"/>
      <c r="BO42" s="72"/>
      <c r="BP42" s="72"/>
      <c r="BQ42" s="72"/>
      <c r="BR42" s="72"/>
      <c r="BS42" s="72"/>
    </row>
    <row r="44" spans="2:71" x14ac:dyDescent="0.25">
      <c r="AF44" s="72"/>
      <c r="AG44" s="72"/>
      <c r="AH44" s="72"/>
      <c r="AI44" s="72"/>
      <c r="AJ44" s="72"/>
      <c r="AK44" s="72"/>
      <c r="AL44" s="72"/>
      <c r="AM44" s="72"/>
      <c r="AN44" s="72"/>
      <c r="AO44" s="72"/>
      <c r="AP44" s="72"/>
      <c r="AQ44" s="72"/>
      <c r="AR44" s="72"/>
      <c r="AS44" s="72"/>
      <c r="AT44" s="72"/>
      <c r="AU44" s="72"/>
      <c r="AV44" s="72"/>
      <c r="AW44" s="72"/>
      <c r="AX44" s="72"/>
      <c r="AY44" s="72"/>
      <c r="AZ44" s="72"/>
      <c r="BA44" s="72"/>
      <c r="BB44" s="72"/>
      <c r="BC44" s="72"/>
      <c r="BD44" s="72"/>
      <c r="BE44" s="72"/>
      <c r="BF44" s="72"/>
      <c r="BG44" s="72"/>
      <c r="BH44" s="72"/>
      <c r="BI44" s="72"/>
      <c r="BJ44" s="72"/>
      <c r="BK44" s="72"/>
      <c r="BL44" s="72"/>
      <c r="BM44" s="72"/>
      <c r="BN44" s="72"/>
      <c r="BO44" s="72"/>
      <c r="BP44" s="72"/>
      <c r="BQ44" s="72"/>
      <c r="BR44" s="72"/>
      <c r="BS44" s="72"/>
    </row>
    <row r="45" spans="2:71" x14ac:dyDescent="0.25">
      <c r="AF45" s="72"/>
      <c r="AG45" s="72"/>
      <c r="AH45" s="72"/>
      <c r="AI45" s="72"/>
      <c r="AJ45" s="72"/>
      <c r="AK45" s="72"/>
      <c r="AL45" s="72"/>
      <c r="AM45" s="72"/>
      <c r="AN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row>
    <row r="46" spans="2:71" ht="13.8" x14ac:dyDescent="0.25">
      <c r="C46" s="149"/>
      <c r="N46" s="149"/>
      <c r="AF46" s="72"/>
      <c r="AG46" s="72"/>
      <c r="AH46" s="72"/>
      <c r="AI46" s="72"/>
      <c r="AJ46" s="72"/>
      <c r="AK46" s="72"/>
      <c r="AL46" s="72"/>
      <c r="AM46" s="72"/>
      <c r="AN46" s="72"/>
      <c r="AO46" s="72"/>
      <c r="AP46" s="72"/>
      <c r="AQ46" s="72"/>
      <c r="AR46" s="72"/>
      <c r="AS46" s="72"/>
      <c r="AT46" s="72"/>
      <c r="AU46" s="72"/>
      <c r="AV46" s="72"/>
      <c r="AW46" s="72"/>
      <c r="AX46" s="72"/>
      <c r="AY46" s="72"/>
      <c r="AZ46" s="72"/>
      <c r="BA46" s="72"/>
      <c r="BB46" s="72"/>
      <c r="BC46" s="72"/>
      <c r="BD46" s="72"/>
      <c r="BE46" s="72"/>
      <c r="BF46" s="72"/>
      <c r="BG46" s="72"/>
      <c r="BH46" s="72"/>
      <c r="BI46" s="72"/>
      <c r="BJ46" s="72"/>
      <c r="BK46" s="72"/>
      <c r="BL46" s="72"/>
      <c r="BM46" s="72"/>
      <c r="BN46" s="72"/>
      <c r="BO46" s="72"/>
      <c r="BP46" s="72"/>
      <c r="BQ46" s="72"/>
      <c r="BR46" s="72"/>
      <c r="BS46" s="72"/>
    </row>
    <row r="47" spans="2:71" x14ac:dyDescent="0.25">
      <c r="AF47" s="72"/>
      <c r="AG47" s="72"/>
      <c r="AH47" s="72"/>
      <c r="AI47" s="72"/>
      <c r="AJ47" s="72"/>
      <c r="AK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2"/>
      <c r="BI47" s="72"/>
      <c r="BJ47" s="72"/>
      <c r="BK47" s="72"/>
      <c r="BL47" s="72"/>
      <c r="BM47" s="72"/>
      <c r="BN47" s="72"/>
      <c r="BO47" s="72"/>
      <c r="BP47" s="72"/>
      <c r="BQ47" s="72"/>
      <c r="BR47" s="72"/>
      <c r="BS47" s="72"/>
    </row>
    <row r="48" spans="2:71" x14ac:dyDescent="0.25">
      <c r="AF48" s="72"/>
      <c r="AG48" s="72"/>
      <c r="AH48" s="72"/>
      <c r="AI48" s="72"/>
      <c r="AJ48" s="72"/>
      <c r="AK48" s="72"/>
      <c r="AL48" s="72"/>
      <c r="AM48" s="72"/>
      <c r="AN48" s="72"/>
      <c r="AO48" s="72"/>
      <c r="AP48" s="72"/>
      <c r="AQ48" s="72"/>
      <c r="AR48" s="72"/>
      <c r="AS48" s="72"/>
      <c r="AT48" s="72"/>
      <c r="AU48" s="72"/>
      <c r="AV48" s="72"/>
      <c r="AW48" s="72"/>
      <c r="AX48" s="72"/>
      <c r="AY48" s="72"/>
      <c r="AZ48" s="72"/>
      <c r="BA48" s="72"/>
      <c r="BB48" s="72"/>
      <c r="BC48" s="72"/>
      <c r="BD48" s="72"/>
      <c r="BE48" s="72"/>
      <c r="BF48" s="72"/>
      <c r="BG48" s="72"/>
      <c r="BH48" s="72"/>
      <c r="BI48" s="72"/>
      <c r="BJ48" s="72"/>
      <c r="BK48" s="72"/>
      <c r="BL48" s="72"/>
      <c r="BM48" s="72"/>
      <c r="BN48" s="72"/>
      <c r="BO48" s="72"/>
      <c r="BP48" s="72"/>
      <c r="BQ48" s="72"/>
      <c r="BR48" s="72"/>
      <c r="BS48" s="72"/>
    </row>
    <row r="49" spans="1:71" x14ac:dyDescent="0.25">
      <c r="AG49" s="72"/>
      <c r="AH49" s="72"/>
      <c r="AI49" s="72"/>
      <c r="AJ49" s="72"/>
      <c r="AK49" s="72"/>
      <c r="AL49" s="72"/>
      <c r="AM49" s="72"/>
      <c r="AN49" s="72"/>
      <c r="AO49" s="72"/>
      <c r="AP49" s="72"/>
      <c r="AQ49" s="72"/>
      <c r="AR49" s="72"/>
      <c r="AS49" s="72"/>
      <c r="AT49" s="72"/>
      <c r="AU49" s="72"/>
      <c r="AV49" s="72"/>
      <c r="AW49" s="72"/>
      <c r="AX49" s="72"/>
      <c r="AY49" s="72"/>
      <c r="AZ49" s="72"/>
      <c r="BA49" s="72"/>
      <c r="BB49" s="72"/>
      <c r="BC49" s="72"/>
      <c r="BD49" s="72"/>
      <c r="BE49" s="72"/>
      <c r="BF49" s="72"/>
      <c r="BG49" s="72"/>
      <c r="BH49" s="72"/>
      <c r="BI49" s="72"/>
      <c r="BJ49" s="72"/>
      <c r="BK49" s="72"/>
      <c r="BL49" s="72"/>
      <c r="BM49" s="72"/>
      <c r="BN49" s="72"/>
      <c r="BO49" s="72"/>
      <c r="BP49" s="72"/>
      <c r="BQ49" s="72"/>
      <c r="BR49" s="72"/>
      <c r="BS49" s="72"/>
    </row>
    <row r="50" spans="1:71" ht="13.8" thickBot="1" x14ac:dyDescent="0.3">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row>
    <row r="51" spans="1:71" x14ac:dyDescent="0.25">
      <c r="A51" s="150" t="s">
        <v>41</v>
      </c>
      <c r="AF51" s="72"/>
      <c r="AG51" s="72"/>
      <c r="AH51" s="72"/>
      <c r="AI51" s="72"/>
      <c r="AJ51" s="72"/>
      <c r="AK51" s="72"/>
      <c r="AL51" s="72"/>
      <c r="AM51" s="72"/>
      <c r="AN51" s="72"/>
      <c r="AO51" s="72"/>
      <c r="AP51" s="72"/>
      <c r="AQ51" s="72"/>
      <c r="AR51" s="72"/>
      <c r="AS51" s="72"/>
      <c r="AT51" s="72"/>
      <c r="AU51" s="72"/>
      <c r="AV51" s="72"/>
      <c r="AW51" s="72"/>
      <c r="AX51" s="72"/>
      <c r="AY51" s="72"/>
      <c r="AZ51" s="72"/>
      <c r="BA51" s="72"/>
      <c r="BB51" s="72"/>
      <c r="BC51" s="72"/>
      <c r="BD51" s="72"/>
      <c r="BE51" s="72"/>
      <c r="BF51" s="72"/>
      <c r="BG51" s="72"/>
      <c r="BH51" s="72"/>
      <c r="BI51" s="72"/>
      <c r="BJ51" s="72"/>
      <c r="BK51" s="72"/>
      <c r="BL51" s="72"/>
      <c r="BM51" s="72"/>
      <c r="BN51" s="72"/>
      <c r="BO51" s="72"/>
      <c r="BP51" s="72"/>
      <c r="BQ51" s="72"/>
      <c r="BR51" s="72"/>
      <c r="BS51" s="72"/>
    </row>
    <row r="52" spans="1:71" ht="13.8" thickBot="1" x14ac:dyDescent="0.3">
      <c r="A52" s="151" t="s">
        <v>42</v>
      </c>
      <c r="AF52" s="72"/>
      <c r="AG52" s="72"/>
      <c r="AH52" s="72"/>
      <c r="AI52" s="72"/>
      <c r="AJ52" s="72"/>
      <c r="AK52" s="72"/>
      <c r="AL52" s="72"/>
      <c r="AM52" s="72"/>
      <c r="AN52" s="72"/>
      <c r="AO52" s="72"/>
      <c r="AP52" s="72"/>
      <c r="AQ52" s="72"/>
      <c r="AR52" s="72"/>
      <c r="AS52" s="72"/>
      <c r="AT52" s="72"/>
      <c r="AU52" s="72"/>
      <c r="AV52" s="72"/>
      <c r="AW52" s="72"/>
      <c r="AX52" s="72"/>
      <c r="AY52" s="72"/>
      <c r="AZ52" s="72"/>
      <c r="BA52" s="72"/>
      <c r="BB52" s="72"/>
      <c r="BC52" s="72"/>
      <c r="BD52" s="72"/>
      <c r="BE52" s="72"/>
      <c r="BF52" s="72"/>
      <c r="BG52" s="72"/>
      <c r="BH52" s="72"/>
      <c r="BI52" s="72"/>
      <c r="BJ52" s="72"/>
      <c r="BK52" s="72"/>
      <c r="BL52" s="72"/>
      <c r="BM52" s="72"/>
      <c r="BN52" s="72"/>
      <c r="BO52" s="72"/>
      <c r="BP52" s="72"/>
      <c r="BQ52" s="72"/>
      <c r="BR52" s="72"/>
      <c r="BS52" s="72"/>
    </row>
    <row r="53" spans="1:71" ht="13.8" thickBot="1" x14ac:dyDescent="0.3">
      <c r="A53" s="152">
        <v>1</v>
      </c>
      <c r="AG53" s="72"/>
      <c r="AH53" s="72"/>
      <c r="AI53" s="72"/>
      <c r="AJ53" s="72"/>
      <c r="AK53" s="72"/>
      <c r="AL53" s="72"/>
      <c r="AM53" s="72"/>
      <c r="AN53" s="72"/>
      <c r="AO53" s="72"/>
      <c r="AP53" s="72"/>
      <c r="AQ53" s="72"/>
      <c r="AR53" s="72"/>
      <c r="AS53" s="72"/>
      <c r="AT53" s="72"/>
      <c r="AU53" s="72"/>
      <c r="AV53" s="72"/>
      <c r="AW53" s="72"/>
      <c r="AX53" s="72"/>
      <c r="AY53" s="72"/>
      <c r="AZ53" s="72"/>
      <c r="BA53" s="72"/>
      <c r="BB53" s="72"/>
      <c r="BC53" s="72"/>
      <c r="BD53" s="72"/>
      <c r="BE53" s="72"/>
      <c r="BF53" s="72"/>
      <c r="BG53" s="72"/>
      <c r="BH53" s="72"/>
      <c r="BI53" s="72"/>
      <c r="BJ53" s="72"/>
      <c r="BK53" s="72"/>
      <c r="BL53" s="72"/>
      <c r="BM53" s="72"/>
      <c r="BN53" s="72"/>
      <c r="BO53" s="72"/>
      <c r="BP53" s="72"/>
      <c r="BQ53" s="72"/>
      <c r="BR53" s="72"/>
      <c r="BS53" s="72"/>
    </row>
    <row r="54" spans="1:71" x14ac:dyDescent="0.25">
      <c r="Y54" s="148"/>
      <c r="Z54" s="148"/>
      <c r="AA54" s="148"/>
      <c r="AB54" s="148"/>
      <c r="AC54" s="148"/>
      <c r="AD54" s="148"/>
      <c r="AE54" s="148"/>
      <c r="AF54" s="148"/>
      <c r="AG54" s="72"/>
      <c r="AH54" s="72"/>
      <c r="AI54" s="72"/>
      <c r="AJ54" s="72"/>
      <c r="AK54" s="72"/>
      <c r="AL54" s="72"/>
      <c r="AM54" s="72"/>
      <c r="AN54" s="72"/>
      <c r="AO54" s="72"/>
      <c r="AP54" s="72"/>
      <c r="AQ54" s="72"/>
      <c r="AR54" s="72"/>
      <c r="AS54" s="72"/>
      <c r="AT54" s="72"/>
      <c r="AU54" s="72"/>
      <c r="AV54" s="72"/>
      <c r="AW54" s="72"/>
      <c r="AX54" s="72"/>
      <c r="AY54" s="72"/>
      <c r="AZ54" s="72"/>
      <c r="BA54" s="72"/>
      <c r="BB54" s="72"/>
      <c r="BC54" s="72"/>
      <c r="BD54" s="72"/>
      <c r="BE54" s="72"/>
      <c r="BF54" s="72"/>
      <c r="BG54" s="72"/>
      <c r="BH54" s="72"/>
      <c r="BI54" s="72"/>
      <c r="BJ54" s="72"/>
      <c r="BK54" s="72"/>
      <c r="BL54" s="72"/>
      <c r="BM54" s="72"/>
      <c r="BN54" s="72"/>
      <c r="BO54" s="72"/>
      <c r="BP54" s="72"/>
      <c r="BQ54" s="72"/>
      <c r="BR54" s="72"/>
      <c r="BS54" s="72"/>
    </row>
    <row r="55" spans="1:71" x14ac:dyDescent="0.25">
      <c r="Y55" s="148"/>
      <c r="Z55" s="148"/>
      <c r="AA55" s="148"/>
      <c r="AB55" s="148"/>
      <c r="AC55" s="148"/>
      <c r="AD55" s="148"/>
      <c r="AE55" s="148"/>
      <c r="AF55" s="148"/>
      <c r="AG55" s="72"/>
      <c r="AH55" s="72"/>
      <c r="AI55" s="72"/>
      <c r="AJ55" s="72"/>
      <c r="AK55" s="72"/>
      <c r="AL55" s="72"/>
      <c r="AM55" s="72"/>
      <c r="AN55" s="72"/>
      <c r="AO55" s="72"/>
      <c r="AP55" s="72"/>
      <c r="AQ55" s="72"/>
      <c r="AR55" s="72"/>
      <c r="AS55" s="72"/>
      <c r="AT55" s="72"/>
      <c r="AU55" s="72"/>
      <c r="AV55" s="72"/>
      <c r="AW55" s="72"/>
      <c r="AX55" s="72"/>
      <c r="AY55" s="72"/>
      <c r="AZ55" s="72"/>
      <c r="BA55" s="72"/>
      <c r="BB55" s="72"/>
      <c r="BC55" s="72"/>
      <c r="BD55" s="72"/>
      <c r="BE55" s="72"/>
      <c r="BF55" s="72"/>
      <c r="BG55" s="72"/>
      <c r="BH55" s="72"/>
      <c r="BI55" s="72"/>
      <c r="BJ55" s="72"/>
      <c r="BK55" s="72"/>
      <c r="BL55" s="72"/>
      <c r="BM55" s="72"/>
      <c r="BN55" s="72"/>
      <c r="BO55" s="72"/>
      <c r="BP55" s="72"/>
      <c r="BQ55" s="72"/>
      <c r="BR55" s="72"/>
      <c r="BS55" s="72"/>
    </row>
    <row r="56" spans="1:71" x14ac:dyDescent="0.25">
      <c r="AF56" s="72"/>
      <c r="AG56" s="72"/>
      <c r="AH56" s="72"/>
      <c r="AI56" s="72"/>
      <c r="AJ56" s="72"/>
      <c r="AK56" s="72"/>
      <c r="AL56" s="72"/>
      <c r="AM56" s="72"/>
      <c r="AN56" s="72"/>
      <c r="AO56" s="72"/>
      <c r="AP56" s="72"/>
      <c r="AQ56" s="72"/>
      <c r="AR56" s="72"/>
      <c r="AS56" s="72"/>
      <c r="AT56" s="72"/>
      <c r="AU56" s="72"/>
      <c r="AV56" s="72"/>
      <c r="AW56" s="72"/>
      <c r="AX56" s="72"/>
      <c r="AY56" s="72"/>
      <c r="AZ56" s="72"/>
      <c r="BA56" s="72"/>
      <c r="BB56" s="72"/>
      <c r="BC56" s="72"/>
      <c r="BD56" s="72"/>
      <c r="BE56" s="72"/>
      <c r="BF56" s="72"/>
      <c r="BG56" s="72"/>
      <c r="BH56" s="72"/>
      <c r="BI56" s="72"/>
      <c r="BJ56" s="72"/>
      <c r="BK56" s="72"/>
      <c r="BL56" s="72"/>
      <c r="BM56" s="72"/>
      <c r="BN56" s="72"/>
      <c r="BO56" s="72"/>
      <c r="BP56" s="72"/>
      <c r="BQ56" s="72"/>
      <c r="BR56" s="72"/>
      <c r="BS56" s="72"/>
    </row>
    <row r="57" spans="1:71" x14ac:dyDescent="0.25">
      <c r="AF57" s="72"/>
      <c r="AG57" s="72"/>
      <c r="AH57" s="72"/>
      <c r="AI57" s="72"/>
      <c r="AJ57" s="72"/>
      <c r="AK57" s="72"/>
      <c r="AL57" s="72"/>
      <c r="AM57" s="72"/>
      <c r="AN57" s="72"/>
      <c r="AO57" s="72"/>
      <c r="AP57" s="72"/>
      <c r="AQ57" s="72"/>
      <c r="AR57" s="72"/>
      <c r="AS57" s="72"/>
      <c r="AT57" s="72"/>
      <c r="AU57" s="72"/>
      <c r="AV57" s="72"/>
      <c r="AW57" s="72"/>
      <c r="AX57" s="72"/>
      <c r="AY57" s="72"/>
      <c r="AZ57" s="72"/>
      <c r="BA57" s="72"/>
      <c r="BB57" s="72"/>
      <c r="BC57" s="72"/>
      <c r="BD57" s="72"/>
      <c r="BE57" s="72"/>
      <c r="BF57" s="72"/>
      <c r="BG57" s="72"/>
      <c r="BH57" s="72"/>
      <c r="BI57" s="72"/>
      <c r="BJ57" s="72"/>
      <c r="BK57" s="72"/>
      <c r="BL57" s="72"/>
      <c r="BM57" s="72"/>
      <c r="BN57" s="72"/>
      <c r="BO57" s="72"/>
      <c r="BP57" s="72"/>
      <c r="BQ57" s="72"/>
      <c r="BR57" s="72"/>
      <c r="BS57" s="72"/>
    </row>
    <row r="58" spans="1:71" x14ac:dyDescent="0.25">
      <c r="AF58" s="72"/>
      <c r="AG58" s="72"/>
      <c r="AH58" s="72"/>
      <c r="AI58" s="72"/>
      <c r="AJ58" s="72"/>
      <c r="AK58" s="72"/>
      <c r="AL58" s="72"/>
      <c r="AM58" s="72"/>
      <c r="AN58" s="72"/>
      <c r="AO58" s="72"/>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2"/>
      <c r="BO58" s="72"/>
      <c r="BP58" s="72"/>
      <c r="BQ58" s="72"/>
      <c r="BR58" s="72"/>
      <c r="BS58" s="72"/>
    </row>
    <row r="59" spans="1:71" x14ac:dyDescent="0.25">
      <c r="AF59" s="72"/>
      <c r="AG59" s="72"/>
      <c r="AH59" s="72"/>
      <c r="AI59" s="72"/>
      <c r="AJ59" s="72"/>
      <c r="AK59" s="72"/>
      <c r="AL59" s="72"/>
      <c r="AM59" s="72"/>
      <c r="AN59" s="72"/>
      <c r="AO59" s="72"/>
      <c r="AP59" s="72"/>
      <c r="AQ59" s="72"/>
      <c r="AR59" s="72"/>
      <c r="AS59" s="72"/>
      <c r="AT59" s="72"/>
      <c r="AU59" s="72"/>
      <c r="AV59" s="72"/>
      <c r="AW59" s="72"/>
      <c r="AX59" s="72"/>
      <c r="AY59" s="72"/>
      <c r="AZ59" s="72"/>
      <c r="BA59" s="72"/>
      <c r="BB59" s="72"/>
      <c r="BC59" s="72"/>
      <c r="BD59" s="72"/>
      <c r="BE59" s="72"/>
      <c r="BF59" s="72"/>
      <c r="BG59" s="72"/>
      <c r="BH59" s="72"/>
      <c r="BI59" s="72"/>
      <c r="BJ59" s="72"/>
      <c r="BK59" s="72"/>
      <c r="BL59" s="72"/>
      <c r="BM59" s="72"/>
      <c r="BN59" s="72"/>
      <c r="BO59" s="72"/>
      <c r="BP59" s="72"/>
      <c r="BQ59" s="72"/>
      <c r="BR59" s="72"/>
      <c r="BS59" s="72"/>
    </row>
    <row r="60" spans="1:71" x14ac:dyDescent="0.25">
      <c r="AF60" s="72"/>
      <c r="AG60" s="72"/>
      <c r="AH60" s="72"/>
      <c r="AI60" s="72"/>
      <c r="AJ60" s="72"/>
      <c r="AK60" s="72"/>
      <c r="AL60" s="72"/>
      <c r="AM60" s="72"/>
      <c r="AN60" s="72"/>
      <c r="AO60" s="72"/>
      <c r="AP60" s="72"/>
      <c r="AQ60" s="72"/>
      <c r="AR60" s="72"/>
      <c r="AS60" s="72"/>
      <c r="AT60" s="72"/>
      <c r="AU60" s="72"/>
      <c r="AV60" s="72"/>
      <c r="AW60" s="72"/>
      <c r="AX60" s="72"/>
      <c r="AY60" s="72"/>
      <c r="AZ60" s="72"/>
      <c r="BA60" s="72"/>
      <c r="BB60" s="72"/>
      <c r="BC60" s="72"/>
      <c r="BD60" s="72"/>
      <c r="BE60" s="72"/>
      <c r="BF60" s="72"/>
      <c r="BG60" s="72"/>
      <c r="BH60" s="72"/>
      <c r="BI60" s="72"/>
      <c r="BJ60" s="72"/>
      <c r="BK60" s="72"/>
      <c r="BL60" s="72"/>
      <c r="BM60" s="72"/>
      <c r="BN60" s="72"/>
      <c r="BO60" s="72"/>
      <c r="BP60" s="72"/>
      <c r="BQ60" s="72"/>
      <c r="BR60" s="72"/>
      <c r="BS60" s="72"/>
    </row>
    <row r="61" spans="1:71" x14ac:dyDescent="0.25">
      <c r="AF61" s="72"/>
      <c r="AG61" s="72"/>
      <c r="AH61" s="72"/>
      <c r="AI61" s="72"/>
      <c r="AJ61" s="72"/>
      <c r="AK61" s="72"/>
      <c r="AL61" s="72"/>
      <c r="AM61" s="72"/>
      <c r="AN61" s="72"/>
      <c r="AO61" s="72"/>
      <c r="AP61" s="72"/>
      <c r="AQ61" s="72"/>
      <c r="AR61" s="72"/>
      <c r="AS61" s="72"/>
      <c r="AT61" s="72"/>
      <c r="AU61" s="72"/>
      <c r="AV61" s="72"/>
      <c r="AW61" s="72"/>
      <c r="AX61" s="72"/>
      <c r="AY61" s="72"/>
      <c r="AZ61" s="72"/>
      <c r="BA61" s="72"/>
      <c r="BB61" s="72"/>
      <c r="BC61" s="72"/>
      <c r="BD61" s="72"/>
      <c r="BE61" s="72"/>
      <c r="BF61" s="72"/>
      <c r="BG61" s="72"/>
      <c r="BH61" s="72"/>
      <c r="BI61" s="72"/>
      <c r="BJ61" s="72"/>
      <c r="BK61" s="72"/>
      <c r="BL61" s="72"/>
      <c r="BM61" s="72"/>
      <c r="BN61" s="72"/>
      <c r="BO61" s="72"/>
      <c r="BP61" s="72"/>
      <c r="BQ61" s="72"/>
      <c r="BR61" s="72"/>
      <c r="BS61" s="72"/>
    </row>
    <row r="62" spans="1:71" x14ac:dyDescent="0.25">
      <c r="AF62" s="72"/>
      <c r="AG62" s="72"/>
      <c r="AH62" s="72"/>
      <c r="AI62" s="72"/>
      <c r="AJ62" s="72"/>
      <c r="AK62" s="72"/>
      <c r="AL62" s="72"/>
      <c r="AM62" s="72"/>
      <c r="AN62" s="72"/>
      <c r="AO62" s="72"/>
      <c r="AP62" s="72"/>
      <c r="AQ62" s="72"/>
      <c r="AR62" s="72"/>
      <c r="AS62" s="72"/>
      <c r="AT62" s="72"/>
      <c r="AU62" s="72"/>
      <c r="AV62" s="72"/>
      <c r="AW62" s="72"/>
      <c r="AX62" s="72"/>
      <c r="AY62" s="72"/>
      <c r="AZ62" s="72"/>
      <c r="BA62" s="72"/>
      <c r="BB62" s="72"/>
      <c r="BC62" s="72"/>
      <c r="BD62" s="72"/>
      <c r="BE62" s="72"/>
      <c r="BF62" s="72"/>
      <c r="BG62" s="72"/>
      <c r="BH62" s="72"/>
      <c r="BI62" s="72"/>
      <c r="BJ62" s="72"/>
      <c r="BK62" s="72"/>
      <c r="BL62" s="72"/>
      <c r="BM62" s="72"/>
      <c r="BN62" s="72"/>
      <c r="BO62" s="72"/>
      <c r="BP62" s="72"/>
      <c r="BQ62" s="72"/>
      <c r="BR62" s="72"/>
      <c r="BS62" s="72"/>
    </row>
    <row r="63" spans="1:71" x14ac:dyDescent="0.25">
      <c r="AF63" s="72"/>
      <c r="AG63" s="72"/>
      <c r="AH63" s="72"/>
      <c r="AI63" s="72"/>
      <c r="AJ63" s="72"/>
      <c r="AK63" s="72"/>
      <c r="AL63" s="72"/>
      <c r="AM63" s="72"/>
      <c r="AN63" s="72"/>
      <c r="AO63" s="72"/>
      <c r="AP63" s="72"/>
      <c r="AQ63" s="72"/>
      <c r="AR63" s="72"/>
      <c r="AS63" s="72"/>
      <c r="AT63" s="72"/>
      <c r="AU63" s="72"/>
      <c r="AV63" s="72"/>
      <c r="AW63" s="72"/>
      <c r="AX63" s="72"/>
      <c r="AY63" s="72"/>
      <c r="AZ63" s="72"/>
      <c r="BA63" s="72"/>
      <c r="BB63" s="72"/>
      <c r="BC63" s="72"/>
      <c r="BD63" s="72"/>
      <c r="BE63" s="72"/>
      <c r="BF63" s="72"/>
      <c r="BG63" s="72"/>
      <c r="BH63" s="72"/>
      <c r="BI63" s="72"/>
      <c r="BJ63" s="72"/>
      <c r="BK63" s="72"/>
      <c r="BL63" s="72"/>
      <c r="BM63" s="72"/>
      <c r="BN63" s="72"/>
      <c r="BO63" s="72"/>
      <c r="BP63" s="72"/>
      <c r="BQ63" s="72"/>
      <c r="BR63" s="72"/>
      <c r="BS63" s="72"/>
    </row>
    <row r="64" spans="1:71" x14ac:dyDescent="0.25">
      <c r="AF64" s="72"/>
      <c r="AG64" s="72"/>
      <c r="AH64" s="72"/>
      <c r="AI64" s="72"/>
      <c r="AJ64" s="72"/>
      <c r="AK64" s="72"/>
      <c r="AL64" s="72"/>
      <c r="AM64" s="72"/>
      <c r="AN64" s="72"/>
      <c r="AO64" s="72"/>
      <c r="AP64" s="72"/>
      <c r="AQ64" s="72"/>
      <c r="AR64" s="72"/>
      <c r="AS64" s="72"/>
      <c r="AT64" s="72"/>
      <c r="AU64" s="72"/>
      <c r="AV64" s="72"/>
      <c r="AW64" s="72"/>
      <c r="AX64" s="72"/>
      <c r="AY64" s="72"/>
      <c r="AZ64" s="72"/>
      <c r="BA64" s="72"/>
      <c r="BB64" s="72"/>
      <c r="BC64" s="72"/>
      <c r="BD64" s="72"/>
      <c r="BE64" s="72"/>
      <c r="BF64" s="72"/>
      <c r="BG64" s="72"/>
      <c r="BH64" s="72"/>
      <c r="BI64" s="72"/>
      <c r="BJ64" s="72"/>
      <c r="BK64" s="72"/>
      <c r="BL64" s="72"/>
      <c r="BM64" s="72"/>
      <c r="BN64" s="72"/>
      <c r="BO64" s="72"/>
      <c r="BP64" s="72"/>
      <c r="BQ64" s="72"/>
      <c r="BR64" s="72"/>
      <c r="BS64" s="72"/>
    </row>
    <row r="65" spans="3:71" x14ac:dyDescent="0.25">
      <c r="AF65" s="72"/>
      <c r="AG65" s="72"/>
      <c r="AH65" s="72"/>
      <c r="AI65" s="72"/>
      <c r="AJ65" s="72"/>
      <c r="AK65" s="72"/>
      <c r="AL65" s="72"/>
      <c r="AM65" s="72"/>
      <c r="AN65" s="72"/>
      <c r="AO65" s="72"/>
      <c r="AP65" s="72"/>
      <c r="AQ65" s="72"/>
      <c r="AR65" s="72"/>
      <c r="AS65" s="72"/>
      <c r="AT65" s="72"/>
      <c r="AU65" s="72"/>
      <c r="AV65" s="72"/>
      <c r="AW65" s="72"/>
      <c r="AX65" s="72"/>
      <c r="AY65" s="72"/>
      <c r="AZ65" s="72"/>
      <c r="BA65" s="72"/>
      <c r="BB65" s="72"/>
      <c r="BC65" s="72"/>
      <c r="BD65" s="72"/>
      <c r="BE65" s="72"/>
      <c r="BF65" s="72"/>
      <c r="BG65" s="72"/>
      <c r="BH65" s="72"/>
      <c r="BI65" s="72"/>
      <c r="BJ65" s="72"/>
      <c r="BK65" s="72"/>
      <c r="BL65" s="72"/>
      <c r="BM65" s="72"/>
      <c r="BN65" s="72"/>
      <c r="BO65" s="72"/>
      <c r="BP65" s="72"/>
      <c r="BQ65" s="72"/>
      <c r="BR65" s="72"/>
      <c r="BS65" s="72"/>
    </row>
    <row r="66" spans="3:71" x14ac:dyDescent="0.25">
      <c r="AF66" s="72"/>
      <c r="AG66" s="72"/>
      <c r="AH66" s="72"/>
      <c r="AI66" s="72"/>
      <c r="AJ66" s="72"/>
      <c r="AK66" s="72"/>
      <c r="AL66" s="72"/>
      <c r="AM66" s="72"/>
      <c r="AN66" s="72"/>
      <c r="AO66" s="72"/>
      <c r="AP66" s="72"/>
      <c r="AQ66" s="72"/>
      <c r="AR66" s="72"/>
      <c r="AS66" s="72"/>
      <c r="AT66" s="72"/>
      <c r="AU66" s="72"/>
      <c r="AV66" s="72"/>
      <c r="AW66" s="72"/>
      <c r="AX66" s="72"/>
      <c r="AY66" s="72"/>
      <c r="AZ66" s="72"/>
      <c r="BA66" s="72"/>
      <c r="BB66" s="72"/>
      <c r="BC66" s="72"/>
      <c r="BD66" s="72"/>
      <c r="BE66" s="72"/>
      <c r="BF66" s="72"/>
      <c r="BG66" s="72"/>
      <c r="BH66" s="72"/>
      <c r="BI66" s="72"/>
      <c r="BJ66" s="72"/>
      <c r="BK66" s="72"/>
      <c r="BL66" s="72"/>
      <c r="BM66" s="72"/>
      <c r="BN66" s="72"/>
      <c r="BO66" s="72"/>
      <c r="BP66" s="72"/>
      <c r="BQ66" s="72"/>
      <c r="BR66" s="72"/>
      <c r="BS66" s="72"/>
    </row>
    <row r="67" spans="3:71" x14ac:dyDescent="0.25">
      <c r="AF67" s="72"/>
      <c r="AG67" s="72"/>
      <c r="AH67" s="72"/>
      <c r="AI67" s="72"/>
      <c r="AJ67" s="72"/>
      <c r="AK67" s="72"/>
      <c r="AL67" s="72"/>
      <c r="AM67" s="72"/>
      <c r="AN67" s="72"/>
      <c r="AO67" s="72"/>
      <c r="AP67" s="72"/>
      <c r="AQ67" s="72"/>
      <c r="AR67" s="72"/>
      <c r="AS67" s="72"/>
      <c r="AT67" s="72"/>
      <c r="AU67" s="72"/>
      <c r="AV67" s="72"/>
      <c r="AW67" s="72"/>
      <c r="AX67" s="72"/>
      <c r="AY67" s="72"/>
      <c r="AZ67" s="72"/>
      <c r="BA67" s="72"/>
      <c r="BB67" s="72"/>
      <c r="BC67" s="72"/>
      <c r="BD67" s="72"/>
      <c r="BE67" s="72"/>
      <c r="BF67" s="72"/>
      <c r="BG67" s="72"/>
      <c r="BH67" s="72"/>
      <c r="BI67" s="72"/>
      <c r="BJ67" s="72"/>
      <c r="BK67" s="72"/>
      <c r="BL67" s="72"/>
      <c r="BM67" s="72"/>
      <c r="BN67" s="72"/>
      <c r="BO67" s="72"/>
      <c r="BP67" s="72"/>
      <c r="BQ67" s="72"/>
      <c r="BR67" s="72"/>
      <c r="BS67" s="72"/>
    </row>
    <row r="68" spans="3:71" x14ac:dyDescent="0.25">
      <c r="AF68" s="72"/>
      <c r="AG68" s="72"/>
      <c r="AH68" s="72"/>
      <c r="AI68" s="72"/>
      <c r="AJ68" s="72"/>
      <c r="AK68" s="72"/>
      <c r="AL68" s="72"/>
      <c r="AM68" s="72"/>
      <c r="AN68" s="72"/>
      <c r="AO68" s="72"/>
      <c r="AP68" s="72"/>
      <c r="AQ68" s="72"/>
      <c r="AR68" s="72"/>
      <c r="AS68" s="72"/>
      <c r="AT68" s="72"/>
      <c r="AU68" s="72"/>
      <c r="AV68" s="72"/>
      <c r="AW68" s="72"/>
      <c r="AX68" s="72"/>
      <c r="AY68" s="72"/>
      <c r="AZ68" s="72"/>
      <c r="BA68" s="72"/>
      <c r="BB68" s="72"/>
      <c r="BC68" s="72"/>
      <c r="BD68" s="72"/>
      <c r="BE68" s="72"/>
      <c r="BF68" s="72"/>
      <c r="BG68" s="72"/>
      <c r="BH68" s="72"/>
      <c r="BI68" s="72"/>
      <c r="BJ68" s="72"/>
      <c r="BK68" s="72"/>
      <c r="BL68" s="72"/>
      <c r="BM68" s="72"/>
      <c r="BN68" s="72"/>
      <c r="BO68" s="72"/>
      <c r="BP68" s="72"/>
      <c r="BQ68" s="72"/>
      <c r="BR68" s="72"/>
      <c r="BS68" s="72"/>
    </row>
    <row r="69" spans="3:71" x14ac:dyDescent="0.25">
      <c r="AF69" s="72"/>
      <c r="AG69" s="72"/>
      <c r="AH69" s="72"/>
      <c r="AI69" s="72"/>
      <c r="AJ69" s="72"/>
      <c r="AK69" s="72"/>
      <c r="AL69" s="72"/>
      <c r="AM69" s="72"/>
      <c r="AN69" s="72"/>
      <c r="AO69" s="72"/>
      <c r="AP69" s="72"/>
      <c r="AQ69" s="72"/>
      <c r="AR69" s="72"/>
      <c r="AS69" s="72"/>
      <c r="AT69" s="72"/>
      <c r="AU69" s="72"/>
      <c r="AV69" s="72"/>
      <c r="AW69" s="72"/>
      <c r="AX69" s="72"/>
      <c r="AY69" s="72"/>
      <c r="AZ69" s="72"/>
      <c r="BA69" s="72"/>
      <c r="BB69" s="72"/>
      <c r="BC69" s="72"/>
      <c r="BD69" s="72"/>
      <c r="BE69" s="72"/>
      <c r="BF69" s="72"/>
      <c r="BG69" s="72"/>
      <c r="BH69" s="72"/>
      <c r="BI69" s="72"/>
      <c r="BJ69" s="72"/>
      <c r="BK69" s="72"/>
      <c r="BL69" s="72"/>
      <c r="BM69" s="72"/>
      <c r="BN69" s="72"/>
      <c r="BO69" s="72"/>
      <c r="BP69" s="72"/>
      <c r="BQ69" s="72"/>
      <c r="BR69" s="72"/>
      <c r="BS69" s="72"/>
    </row>
    <row r="70" spans="3:71" x14ac:dyDescent="0.25">
      <c r="AF70" s="72"/>
      <c r="AG70" s="72"/>
      <c r="AH70" s="72"/>
      <c r="AI70" s="72"/>
      <c r="AJ70" s="72"/>
      <c r="AK70" s="72"/>
      <c r="AL70" s="72"/>
      <c r="AM70" s="72"/>
      <c r="AN70" s="72"/>
      <c r="AO70" s="72"/>
      <c r="AP70" s="72"/>
      <c r="AQ70" s="72"/>
      <c r="AR70" s="72"/>
      <c r="AS70" s="72"/>
      <c r="AT70" s="72"/>
      <c r="AU70" s="72"/>
      <c r="AV70" s="72"/>
      <c r="AW70" s="72"/>
      <c r="AX70" s="72"/>
      <c r="AY70" s="72"/>
      <c r="AZ70" s="72"/>
      <c r="BA70" s="72"/>
      <c r="BB70" s="72"/>
      <c r="BC70" s="72"/>
      <c r="BD70" s="72"/>
      <c r="BE70" s="72"/>
      <c r="BF70" s="72"/>
      <c r="BG70" s="72"/>
      <c r="BH70" s="72"/>
      <c r="BI70" s="72"/>
      <c r="BJ70" s="72"/>
      <c r="BK70" s="72"/>
      <c r="BL70" s="72"/>
      <c r="BM70" s="72"/>
      <c r="BN70" s="72"/>
      <c r="BO70" s="72"/>
      <c r="BP70" s="72"/>
      <c r="BQ70" s="72"/>
      <c r="BR70" s="72"/>
      <c r="BS70" s="72"/>
    </row>
    <row r="71" spans="3:71" x14ac:dyDescent="0.25">
      <c r="AF71" s="72"/>
      <c r="AG71" s="72"/>
      <c r="AH71" s="72"/>
      <c r="AI71" s="72"/>
      <c r="AJ71" s="72"/>
      <c r="AK71" s="72"/>
      <c r="AL71" s="72"/>
      <c r="AM71" s="72"/>
      <c r="AN71" s="72"/>
      <c r="AO71" s="72"/>
      <c r="AP71" s="72"/>
      <c r="AQ71" s="72"/>
      <c r="AR71" s="72"/>
      <c r="AS71" s="72"/>
      <c r="AT71" s="72"/>
      <c r="AU71" s="72"/>
      <c r="AV71" s="72"/>
      <c r="AW71" s="72"/>
      <c r="AX71" s="72"/>
      <c r="AY71" s="72"/>
      <c r="AZ71" s="72"/>
      <c r="BA71" s="72"/>
      <c r="BB71" s="72"/>
      <c r="BC71" s="72"/>
      <c r="BD71" s="72"/>
      <c r="BE71" s="72"/>
      <c r="BF71" s="72"/>
      <c r="BG71" s="72"/>
      <c r="BH71" s="72"/>
      <c r="BI71" s="72"/>
      <c r="BJ71" s="72"/>
      <c r="BK71" s="72"/>
      <c r="BL71" s="72"/>
      <c r="BM71" s="72"/>
      <c r="BN71" s="72"/>
      <c r="BO71" s="72"/>
      <c r="BP71" s="72"/>
      <c r="BQ71" s="72"/>
      <c r="BR71" s="72"/>
      <c r="BS71" s="72"/>
    </row>
    <row r="72" spans="3:71" x14ac:dyDescent="0.25">
      <c r="AF72" s="72"/>
      <c r="AG72" s="72"/>
      <c r="AH72" s="72"/>
      <c r="AI72" s="72"/>
      <c r="AJ72" s="72"/>
      <c r="AK72" s="72"/>
      <c r="AL72" s="72"/>
      <c r="AM72" s="72"/>
      <c r="AN72" s="72"/>
      <c r="AO72" s="72"/>
      <c r="AP72" s="72"/>
      <c r="AQ72" s="72"/>
      <c r="AR72" s="72"/>
      <c r="AS72" s="72"/>
      <c r="AT72" s="72"/>
      <c r="AU72" s="72"/>
      <c r="AV72" s="72"/>
      <c r="AW72" s="72"/>
      <c r="AX72" s="72"/>
      <c r="AY72" s="72"/>
      <c r="AZ72" s="72"/>
      <c r="BA72" s="72"/>
      <c r="BB72" s="72"/>
      <c r="BC72" s="72"/>
      <c r="BD72" s="72"/>
      <c r="BE72" s="72"/>
      <c r="BF72" s="72"/>
      <c r="BG72" s="72"/>
      <c r="BH72" s="72"/>
      <c r="BI72" s="72"/>
      <c r="BJ72" s="72"/>
      <c r="BK72" s="72"/>
      <c r="BL72" s="72"/>
      <c r="BM72" s="72"/>
      <c r="BN72" s="72"/>
      <c r="BO72" s="72"/>
      <c r="BP72" s="72"/>
      <c r="BQ72" s="72"/>
      <c r="BR72" s="72"/>
      <c r="BS72" s="72"/>
    </row>
    <row r="73" spans="3:71" x14ac:dyDescent="0.25">
      <c r="AF73" s="72"/>
      <c r="AG73" s="72"/>
      <c r="AH73" s="72"/>
      <c r="AI73" s="72"/>
      <c r="AJ73" s="72"/>
      <c r="AK73" s="72"/>
      <c r="AL73" s="72"/>
      <c r="AM73" s="72"/>
      <c r="AN73" s="72"/>
      <c r="AO73" s="72"/>
      <c r="AP73" s="72"/>
      <c r="AQ73" s="72"/>
      <c r="AR73" s="72"/>
      <c r="AS73" s="72"/>
      <c r="AT73" s="72"/>
      <c r="AU73" s="72"/>
      <c r="AV73" s="72"/>
      <c r="AW73" s="72"/>
      <c r="AX73" s="72"/>
      <c r="AY73" s="72"/>
      <c r="AZ73" s="72"/>
      <c r="BA73" s="72"/>
      <c r="BB73" s="72"/>
      <c r="BC73" s="72"/>
      <c r="BD73" s="72"/>
      <c r="BE73" s="72"/>
      <c r="BF73" s="72"/>
      <c r="BG73" s="72"/>
      <c r="BH73" s="72"/>
      <c r="BI73" s="72"/>
      <c r="BJ73" s="72"/>
      <c r="BK73" s="72"/>
      <c r="BL73" s="72"/>
      <c r="BM73" s="72"/>
      <c r="BN73" s="72"/>
      <c r="BO73" s="72"/>
      <c r="BP73" s="72"/>
      <c r="BQ73" s="72"/>
      <c r="BR73" s="72"/>
      <c r="BS73" s="72"/>
    </row>
    <row r="74" spans="3:71" x14ac:dyDescent="0.25">
      <c r="AF74" s="72"/>
      <c r="AG74" s="72"/>
      <c r="AH74" s="72"/>
      <c r="AI74" s="72"/>
      <c r="AJ74" s="72"/>
      <c r="AK74" s="72"/>
      <c r="AL74" s="72"/>
      <c r="AM74" s="72"/>
      <c r="AN74" s="72"/>
      <c r="AO74" s="72"/>
      <c r="AP74" s="72"/>
      <c r="AQ74" s="72"/>
      <c r="AR74" s="72"/>
      <c r="AS74" s="72"/>
      <c r="AT74" s="72"/>
      <c r="AU74" s="72"/>
      <c r="AV74" s="72"/>
      <c r="AW74" s="72"/>
      <c r="AX74" s="72"/>
      <c r="AY74" s="72"/>
      <c r="AZ74" s="72"/>
      <c r="BA74" s="72"/>
      <c r="BB74" s="72"/>
      <c r="BC74" s="72"/>
      <c r="BD74" s="72"/>
      <c r="BE74" s="72"/>
      <c r="BF74" s="72"/>
      <c r="BG74" s="72"/>
      <c r="BH74" s="72"/>
      <c r="BI74" s="72"/>
      <c r="BJ74" s="72"/>
      <c r="BK74" s="72"/>
      <c r="BL74" s="72"/>
      <c r="BM74" s="72"/>
      <c r="BN74" s="72"/>
      <c r="BO74" s="72"/>
      <c r="BP74" s="72"/>
      <c r="BQ74" s="72"/>
      <c r="BR74" s="72"/>
      <c r="BS74" s="72"/>
    </row>
    <row r="75" spans="3:71" x14ac:dyDescent="0.25">
      <c r="C75" s="153"/>
      <c r="AF75" s="72"/>
      <c r="AG75" s="72"/>
      <c r="AH75" s="72"/>
      <c r="AI75" s="72"/>
      <c r="AJ75" s="72"/>
      <c r="AK75" s="72"/>
      <c r="AL75" s="72"/>
      <c r="AM75" s="72"/>
      <c r="AN75" s="72"/>
      <c r="AO75" s="72"/>
      <c r="AP75" s="72"/>
      <c r="AQ75" s="72"/>
      <c r="AR75" s="72"/>
      <c r="AS75" s="72"/>
      <c r="AT75" s="72"/>
      <c r="AU75" s="72"/>
      <c r="AV75" s="72"/>
      <c r="AW75" s="72"/>
      <c r="AX75" s="72"/>
      <c r="AY75" s="72"/>
      <c r="AZ75" s="72"/>
      <c r="BA75" s="72"/>
      <c r="BB75" s="72"/>
      <c r="BC75" s="72"/>
      <c r="BD75" s="72"/>
      <c r="BE75" s="72"/>
      <c r="BF75" s="72"/>
      <c r="BG75" s="72"/>
      <c r="BH75" s="72"/>
      <c r="BI75" s="72"/>
      <c r="BJ75" s="72"/>
      <c r="BK75" s="72"/>
      <c r="BL75" s="72"/>
      <c r="BM75" s="72"/>
      <c r="BN75" s="72"/>
      <c r="BO75" s="72"/>
      <c r="BP75" s="72"/>
      <c r="BQ75" s="72"/>
      <c r="BR75" s="72"/>
      <c r="BS75" s="72"/>
    </row>
    <row r="76" spans="3:71" x14ac:dyDescent="0.25">
      <c r="AF76" s="72"/>
      <c r="AG76" s="72"/>
      <c r="AH76" s="72"/>
      <c r="AI76" s="72"/>
      <c r="AJ76" s="72"/>
      <c r="AK76" s="72"/>
      <c r="AL76" s="72"/>
      <c r="AM76" s="72"/>
      <c r="AN76" s="72"/>
      <c r="AO76" s="72"/>
      <c r="AP76" s="72"/>
      <c r="AQ76" s="72"/>
      <c r="AR76" s="72"/>
      <c r="AS76" s="72"/>
      <c r="AT76" s="72"/>
      <c r="AU76" s="72"/>
      <c r="AV76" s="72"/>
      <c r="AW76" s="72"/>
      <c r="AX76" s="72"/>
      <c r="AY76" s="72"/>
      <c r="AZ76" s="72"/>
      <c r="BA76" s="72"/>
      <c r="BB76" s="72"/>
      <c r="BC76" s="72"/>
      <c r="BD76" s="72"/>
      <c r="BE76" s="72"/>
      <c r="BF76" s="72"/>
      <c r="BG76" s="72"/>
      <c r="BH76" s="72"/>
      <c r="BI76" s="72"/>
      <c r="BJ76" s="72"/>
      <c r="BK76" s="72"/>
      <c r="BL76" s="72"/>
      <c r="BM76" s="72"/>
      <c r="BN76" s="72"/>
      <c r="BO76" s="72"/>
      <c r="BP76" s="72"/>
      <c r="BQ76" s="72"/>
      <c r="BR76" s="72"/>
      <c r="BS76" s="72"/>
    </row>
    <row r="77" spans="3:71" x14ac:dyDescent="0.25">
      <c r="AF77" s="72"/>
      <c r="AG77" s="72"/>
      <c r="AH77" s="72"/>
      <c r="AI77" s="72"/>
      <c r="AJ77" s="72"/>
      <c r="AK77" s="72"/>
      <c r="AL77" s="72"/>
      <c r="AM77" s="72"/>
      <c r="AN77" s="72"/>
      <c r="AO77" s="72"/>
      <c r="AP77" s="72"/>
      <c r="AQ77" s="72"/>
      <c r="AR77" s="72"/>
      <c r="AS77" s="72"/>
      <c r="AT77" s="72"/>
      <c r="AU77" s="72"/>
      <c r="AV77" s="72"/>
      <c r="AW77" s="72"/>
      <c r="AX77" s="72"/>
      <c r="AY77" s="72"/>
      <c r="AZ77" s="72"/>
      <c r="BA77" s="72"/>
      <c r="BB77" s="72"/>
      <c r="BC77" s="72"/>
      <c r="BD77" s="72"/>
      <c r="BE77" s="72"/>
      <c r="BF77" s="72"/>
      <c r="BG77" s="72"/>
      <c r="BH77" s="72"/>
      <c r="BI77" s="72"/>
      <c r="BJ77" s="72"/>
      <c r="BK77" s="72"/>
      <c r="BL77" s="72"/>
      <c r="BM77" s="72"/>
      <c r="BN77" s="72"/>
      <c r="BO77" s="72"/>
      <c r="BP77" s="72"/>
      <c r="BQ77" s="72"/>
      <c r="BR77" s="72"/>
      <c r="BS77" s="72"/>
    </row>
    <row r="78" spans="3:71" x14ac:dyDescent="0.25">
      <c r="AF78" s="72"/>
      <c r="AG78" s="72"/>
      <c r="AH78" s="72"/>
      <c r="AI78" s="72"/>
      <c r="AJ78" s="72"/>
      <c r="AK78" s="72"/>
      <c r="AL78" s="72"/>
      <c r="AM78" s="72"/>
      <c r="AN78" s="72"/>
      <c r="AO78" s="72"/>
      <c r="AP78" s="72"/>
      <c r="AQ78" s="72"/>
      <c r="AR78" s="72"/>
      <c r="AS78" s="72"/>
      <c r="AT78" s="72"/>
      <c r="AU78" s="72"/>
      <c r="AV78" s="72"/>
      <c r="AW78" s="72"/>
      <c r="AX78" s="72"/>
      <c r="AY78" s="72"/>
      <c r="AZ78" s="72"/>
      <c r="BA78" s="72"/>
      <c r="BB78" s="72"/>
      <c r="BC78" s="72"/>
      <c r="BD78" s="72"/>
      <c r="BE78" s="72"/>
      <c r="BF78" s="72"/>
      <c r="BG78" s="72"/>
      <c r="BH78" s="72"/>
      <c r="BI78" s="72"/>
      <c r="BJ78" s="72"/>
      <c r="BK78" s="72"/>
      <c r="BL78" s="72"/>
      <c r="BM78" s="72"/>
      <c r="BN78" s="72"/>
      <c r="BO78" s="72"/>
      <c r="BP78" s="72"/>
      <c r="BQ78" s="72"/>
      <c r="BR78" s="72"/>
      <c r="BS78" s="72"/>
    </row>
    <row r="79" spans="3:71" x14ac:dyDescent="0.25">
      <c r="AF79" s="72"/>
      <c r="AG79" s="72"/>
      <c r="AH79" s="72"/>
      <c r="AI79" s="72"/>
      <c r="AJ79" s="72"/>
      <c r="AK79" s="72"/>
      <c r="AL79" s="72"/>
      <c r="AM79" s="72"/>
      <c r="AN79" s="72"/>
      <c r="AO79" s="72"/>
      <c r="AP79" s="72"/>
      <c r="AQ79" s="72"/>
      <c r="AR79" s="72"/>
      <c r="AS79" s="72"/>
      <c r="AT79" s="72"/>
      <c r="AU79" s="72"/>
      <c r="AV79" s="72"/>
      <c r="AW79" s="72"/>
      <c r="AX79" s="72"/>
      <c r="AY79" s="72"/>
      <c r="AZ79" s="72"/>
      <c r="BA79" s="72"/>
      <c r="BB79" s="72"/>
      <c r="BC79" s="72"/>
      <c r="BD79" s="72"/>
      <c r="BE79" s="72"/>
      <c r="BF79" s="72"/>
      <c r="BG79" s="72"/>
      <c r="BH79" s="72"/>
      <c r="BI79" s="72"/>
      <c r="BJ79" s="72"/>
      <c r="BK79" s="72"/>
      <c r="BL79" s="72"/>
      <c r="BM79" s="72"/>
      <c r="BN79" s="72"/>
      <c r="BO79" s="72"/>
      <c r="BP79" s="72"/>
      <c r="BQ79" s="72"/>
      <c r="BR79" s="72"/>
      <c r="BS79" s="72"/>
    </row>
    <row r="80" spans="3:71" x14ac:dyDescent="0.25">
      <c r="AF80" s="72"/>
      <c r="AG80" s="72"/>
      <c r="AH80" s="72"/>
      <c r="AI80" s="72"/>
      <c r="AJ80" s="72"/>
      <c r="AK80" s="72"/>
      <c r="AL80" s="72"/>
      <c r="AM80" s="72"/>
      <c r="AN80" s="72"/>
      <c r="AO80" s="72"/>
      <c r="AP80" s="72"/>
      <c r="AQ80" s="72"/>
      <c r="AR80" s="72"/>
      <c r="AS80" s="72"/>
      <c r="AT80" s="72"/>
      <c r="AU80" s="72"/>
      <c r="AV80" s="72"/>
      <c r="AW80" s="72"/>
      <c r="AX80" s="72"/>
      <c r="AY80" s="72"/>
      <c r="AZ80" s="72"/>
      <c r="BA80" s="72"/>
      <c r="BB80" s="72"/>
      <c r="BC80" s="72"/>
      <c r="BD80" s="72"/>
      <c r="BE80" s="72"/>
      <c r="BF80" s="72"/>
      <c r="BG80" s="72"/>
      <c r="BH80" s="72"/>
      <c r="BI80" s="72"/>
      <c r="BJ80" s="72"/>
      <c r="BK80" s="72"/>
      <c r="BL80" s="72"/>
      <c r="BM80" s="72"/>
      <c r="BN80" s="72"/>
      <c r="BO80" s="72"/>
      <c r="BP80" s="72"/>
      <c r="BQ80" s="72"/>
      <c r="BR80" s="72"/>
      <c r="BS80" s="72"/>
    </row>
    <row r="81" spans="32:71" x14ac:dyDescent="0.25">
      <c r="AF81" s="72"/>
      <c r="AG81" s="72"/>
      <c r="AH81" s="72"/>
      <c r="AI81" s="72"/>
      <c r="AJ81" s="72"/>
      <c r="AK81" s="72"/>
      <c r="AL81" s="72"/>
      <c r="AM81" s="72"/>
      <c r="AN81" s="72"/>
      <c r="AO81" s="72"/>
      <c r="AP81" s="72"/>
      <c r="AQ81" s="72"/>
      <c r="AR81" s="72"/>
      <c r="AS81" s="72"/>
      <c r="AT81" s="72"/>
      <c r="AU81" s="72"/>
      <c r="AV81" s="72"/>
      <c r="AW81" s="72"/>
      <c r="AX81" s="72"/>
      <c r="AY81" s="72"/>
      <c r="AZ81" s="72"/>
      <c r="BA81" s="72"/>
      <c r="BB81" s="72"/>
      <c r="BC81" s="72"/>
      <c r="BD81" s="72"/>
      <c r="BE81" s="72"/>
      <c r="BF81" s="72"/>
      <c r="BG81" s="72"/>
      <c r="BH81" s="72"/>
      <c r="BI81" s="72"/>
      <c r="BJ81" s="72"/>
      <c r="BK81" s="72"/>
      <c r="BL81" s="72"/>
      <c r="BM81" s="72"/>
      <c r="BN81" s="72"/>
      <c r="BO81" s="72"/>
      <c r="BP81" s="72"/>
      <c r="BQ81" s="72"/>
      <c r="BR81" s="72"/>
      <c r="BS81" s="72"/>
    </row>
    <row r="207" spans="2:7" x14ac:dyDescent="0.25">
      <c r="B207" s="1208"/>
      <c r="C207" s="1209"/>
      <c r="D207" s="1209"/>
      <c r="E207" s="1209"/>
      <c r="F207" s="1209"/>
      <c r="G207" s="1209"/>
    </row>
  </sheetData>
  <sheetProtection sheet="1" objects="1" scenarios="1" formatCells="0" formatColumns="0" formatRows="0"/>
  <mergeCells count="9">
    <mergeCell ref="T1:V1"/>
    <mergeCell ref="Z1:AA1"/>
    <mergeCell ref="AB1:AD1"/>
    <mergeCell ref="C1:D1"/>
    <mergeCell ref="H1:J1"/>
    <mergeCell ref="K1:M1"/>
    <mergeCell ref="N1:P1"/>
    <mergeCell ref="Q1:S1"/>
    <mergeCell ref="E1:G1"/>
  </mergeCells>
  <conditionalFormatting sqref="H3:V42 Z3:AD42">
    <cfRule type="expression" dxfId="1" priority="1" stopIfTrue="1">
      <formula>$W3&lt;&gt;0</formula>
    </cfRule>
  </conditionalFormatting>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autoFill="0" autoPict="0" macro="[0]!Ribbon_Solve">
                <anchor moveWithCells="1" sizeWithCells="1">
                  <from>
                    <xdr:col>11</xdr:col>
                    <xdr:colOff>556260</xdr:colOff>
                    <xdr:row>55</xdr:row>
                    <xdr:rowOff>30480</xdr:rowOff>
                  </from>
                  <to>
                    <xdr:col>13</xdr:col>
                    <xdr:colOff>175260</xdr:colOff>
                    <xdr:row>56</xdr:row>
                    <xdr:rowOff>106680</xdr:rowOff>
                  </to>
                </anchor>
              </controlPr>
            </control>
          </mc:Choice>
        </mc:AlternateContent>
        <mc:AlternateContent xmlns:mc="http://schemas.openxmlformats.org/markup-compatibility/2006">
          <mc:Choice Requires="x14">
            <control shapeId="2050" r:id="rId5" name="Button 2">
              <controlPr defaultSize="0" autoFill="0" autoPict="0" macro="[0]!Ribbon_Solve_DoNotdumpEleLoad">
                <anchor>
                  <from>
                    <xdr:col>0</xdr:col>
                    <xdr:colOff>228600</xdr:colOff>
                    <xdr:row>0</xdr:row>
                    <xdr:rowOff>144780</xdr:rowOff>
                  </from>
                  <to>
                    <xdr:col>1</xdr:col>
                    <xdr:colOff>487680</xdr:colOff>
                    <xdr:row>0</xdr:row>
                    <xdr:rowOff>487680</xdr:rowOff>
                  </to>
                </anchor>
              </controlPr>
            </control>
          </mc:Choice>
        </mc:AlternateContent>
        <mc:AlternateContent xmlns:mc="http://schemas.openxmlformats.org/markup-compatibility/2006">
          <mc:Choice Requires="x14">
            <control shapeId="2051" r:id="rId6" name="Button 3">
              <controlPr defaultSize="0" autoFill="0" autoPict="0" macro="[0]!Ribbon_Solve_DoNotdumpEleLoad">
                <anchor>
                  <from>
                    <xdr:col>32</xdr:col>
                    <xdr:colOff>152400</xdr:colOff>
                    <xdr:row>23</xdr:row>
                    <xdr:rowOff>99060</xdr:rowOff>
                  </from>
                  <to>
                    <xdr:col>33</xdr:col>
                    <xdr:colOff>99060</xdr:colOff>
                    <xdr:row>25</xdr:row>
                    <xdr:rowOff>99060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B1:X58"/>
  <sheetViews>
    <sheetView zoomScale="70" zoomScaleNormal="70" workbookViewId="0">
      <selection activeCell="D2" sqref="D2"/>
    </sheetView>
  </sheetViews>
  <sheetFormatPr defaultColWidth="11.44140625" defaultRowHeight="13.2" x14ac:dyDescent="0.25"/>
  <cols>
    <col min="1" max="1" width="6.5546875" style="41" customWidth="1"/>
    <col min="2" max="2" width="9.44140625" style="41" customWidth="1"/>
    <col min="3" max="16" width="10.44140625" style="41" customWidth="1"/>
    <col min="17" max="17" width="14.44140625" style="41" bestFit="1" customWidth="1"/>
    <col min="18" max="18" width="12.44140625" style="41" bestFit="1" customWidth="1"/>
    <col min="19" max="16384" width="11.44140625" style="41"/>
  </cols>
  <sheetData>
    <row r="1" spans="2:21" ht="31.5" customHeight="1" thickTop="1" thickBot="1" x14ac:dyDescent="0.35">
      <c r="C1" s="154" t="s">
        <v>43</v>
      </c>
      <c r="D1" s="155">
        <v>11</v>
      </c>
      <c r="G1" s="1295" t="s">
        <v>4</v>
      </c>
      <c r="H1" s="1295"/>
      <c r="I1" s="1295"/>
      <c r="J1" s="1295" t="s">
        <v>44</v>
      </c>
      <c r="K1" s="1295"/>
      <c r="L1" s="1295"/>
      <c r="M1" s="1295" t="s">
        <v>45</v>
      </c>
      <c r="N1" s="1295"/>
      <c r="O1" s="1295"/>
      <c r="P1" s="1295"/>
      <c r="Q1" s="1295"/>
      <c r="R1" s="1295"/>
    </row>
    <row r="2" spans="2:21" ht="21" customHeight="1" thickBot="1" x14ac:dyDescent="0.3">
      <c r="C2" s="156" t="s">
        <v>15</v>
      </c>
      <c r="D2" s="157" t="s">
        <v>46</v>
      </c>
      <c r="E2" s="158" t="s">
        <v>16</v>
      </c>
      <c r="F2" s="159" t="s">
        <v>17</v>
      </c>
      <c r="G2" s="160" t="s">
        <v>21</v>
      </c>
      <c r="H2" s="161" t="s">
        <v>22</v>
      </c>
      <c r="I2" s="162" t="s">
        <v>23</v>
      </c>
      <c r="J2" s="163" t="s">
        <v>34</v>
      </c>
      <c r="K2" s="164" t="s">
        <v>35</v>
      </c>
      <c r="L2" s="165" t="s">
        <v>47</v>
      </c>
      <c r="M2" s="166" t="s">
        <v>18</v>
      </c>
      <c r="N2" s="167" t="s">
        <v>19</v>
      </c>
      <c r="O2" s="168" t="s">
        <v>48</v>
      </c>
      <c r="P2" s="169"/>
      <c r="Q2" s="169"/>
      <c r="R2" s="169"/>
    </row>
    <row r="3" spans="2:21" ht="15" customHeight="1" thickTop="1" x14ac:dyDescent="0.25">
      <c r="C3" s="170" t="s">
        <v>49</v>
      </c>
      <c r="D3" s="171">
        <f ca="1">INDIRECT(ADDRESS(ROW(System!$B$3)+$D$1,COLUMN(System!$B$3)+1,,,"System"))</f>
        <v>0</v>
      </c>
      <c r="E3" s="172" t="str">
        <f ca="1">INDEX(x_node,D3+1,1)</f>
        <v>x</v>
      </c>
      <c r="F3" s="173" t="str">
        <f ca="1">INDEX(z_node,D3+1,1)</f>
        <v>z</v>
      </c>
      <c r="G3" s="174" t="str">
        <f ca="1">INDEX(Px_node,D3+1,1)</f>
        <v>Px</v>
      </c>
      <c r="H3" s="175" t="str">
        <f ca="1">INDEX(Pz_node,D3+1,1)</f>
        <v>Pz</v>
      </c>
      <c r="I3" s="176" t="str">
        <f ca="1">INDEX(My_node,D3+1,1)</f>
        <v>My</v>
      </c>
      <c r="J3" s="177" t="str">
        <f ca="1">INDEX(u0_node,D3+1,1)</f>
        <v>u0</v>
      </c>
      <c r="K3" s="178" t="str">
        <f ca="1">INDEX(w0_node,D3+1,1)</f>
        <v>w0</v>
      </c>
      <c r="L3" s="179" t="str">
        <f ca="1">INDEX(phi0_node,D3+1,1)</f>
        <v>j0</v>
      </c>
      <c r="M3" s="180" t="str">
        <f ca="1">INDEX(u_node,D3+1,1)</f>
        <v>u</v>
      </c>
      <c r="N3" s="181" t="str">
        <f ca="1">INDEX(w_node,D3+1,1)</f>
        <v>w</v>
      </c>
      <c r="O3" s="182" t="str">
        <f ca="1">INDEX(phi_node,D3+1,1)</f>
        <v>phi</v>
      </c>
      <c r="P3" s="148"/>
      <c r="Q3" s="148"/>
      <c r="R3" s="148"/>
    </row>
    <row r="4" spans="2:21" ht="15" customHeight="1" thickBot="1" x14ac:dyDescent="0.3">
      <c r="C4" s="183" t="s">
        <v>50</v>
      </c>
      <c r="D4" s="184">
        <f ca="1">INDIRECT(ADDRESS(ROW(System!$B$3)+$D$1,COLUMN(System!$B$3)+2,,,"System"))</f>
        <v>0</v>
      </c>
      <c r="E4" s="185" t="str">
        <f ca="1">INDEX(x_node,D4+1,1)</f>
        <v>x</v>
      </c>
      <c r="F4" s="186" t="str">
        <f ca="1">INDEX(z_node,D4+1,1)</f>
        <v>z</v>
      </c>
      <c r="G4" s="187" t="str">
        <f ca="1">INDEX(Px_node,D4+1,1)</f>
        <v>Px</v>
      </c>
      <c r="H4" s="188" t="str">
        <f ca="1">INDEX(Pz_node,D4+1,1)</f>
        <v>Pz</v>
      </c>
      <c r="I4" s="189" t="str">
        <f ca="1">INDEX(My_node,D4+1,1)</f>
        <v>My</v>
      </c>
      <c r="J4" s="190" t="str">
        <f ca="1">INDEX(u0_node,D4+1,1)</f>
        <v>u0</v>
      </c>
      <c r="K4" s="191" t="str">
        <f ca="1">INDEX(w0_node,D4+1,1)</f>
        <v>w0</v>
      </c>
      <c r="L4" s="192" t="str">
        <f ca="1">INDEX(phi0_node,D4+1,1)</f>
        <v>j0</v>
      </c>
      <c r="M4" s="193" t="str">
        <f ca="1">INDEX(u_node,D4+1,1)</f>
        <v>u</v>
      </c>
      <c r="N4" s="194" t="str">
        <f ca="1">INDEX(w_node,D4+1,1)</f>
        <v>w</v>
      </c>
      <c r="O4" s="195" t="str">
        <f ca="1">INDEX(phi_node,D4+1,1)</f>
        <v>phi</v>
      </c>
      <c r="P4" s="148"/>
      <c r="Q4" s="148"/>
      <c r="R4" s="148"/>
    </row>
    <row r="5" spans="2:21" ht="36" customHeight="1" thickBot="1" x14ac:dyDescent="0.35">
      <c r="C5" s="1296" t="s">
        <v>51</v>
      </c>
      <c r="D5" s="1296"/>
      <c r="E5" s="1296" t="s">
        <v>52</v>
      </c>
      <c r="F5" s="1296"/>
      <c r="G5" s="1297" t="s">
        <v>53</v>
      </c>
      <c r="H5" s="1297"/>
      <c r="I5" s="1297" t="s">
        <v>54</v>
      </c>
      <c r="J5" s="1297"/>
      <c r="K5" s="1297"/>
      <c r="L5" s="1297"/>
      <c r="M5" s="1296" t="s">
        <v>55</v>
      </c>
      <c r="N5" s="1296"/>
      <c r="O5" s="1295" t="s">
        <v>56</v>
      </c>
      <c r="P5" s="1295"/>
      <c r="Q5" s="1295"/>
      <c r="R5" s="196" t="s">
        <v>57</v>
      </c>
    </row>
    <row r="6" spans="2:21" ht="20.25" customHeight="1" x14ac:dyDescent="0.25">
      <c r="C6" s="197" t="s">
        <v>58</v>
      </c>
      <c r="D6" s="198" t="s">
        <v>59</v>
      </c>
      <c r="E6" s="199" t="s">
        <v>60</v>
      </c>
      <c r="F6" s="200" t="s">
        <v>61</v>
      </c>
      <c r="G6" s="201" t="s">
        <v>62</v>
      </c>
      <c r="H6" s="202" t="s">
        <v>63</v>
      </c>
      <c r="I6" s="203" t="s">
        <v>64</v>
      </c>
      <c r="J6" s="204" t="s">
        <v>65</v>
      </c>
      <c r="K6" s="204" t="s">
        <v>66</v>
      </c>
      <c r="L6" s="205" t="s">
        <v>67</v>
      </c>
      <c r="M6" s="206" t="s">
        <v>68</v>
      </c>
      <c r="N6" s="207" t="s">
        <v>69</v>
      </c>
      <c r="O6" s="208" t="s">
        <v>70</v>
      </c>
      <c r="P6" s="209" t="s">
        <v>71</v>
      </c>
      <c r="Q6" s="210" t="s">
        <v>72</v>
      </c>
      <c r="R6" s="211" t="s">
        <v>73</v>
      </c>
      <c r="S6" s="212"/>
    </row>
    <row r="7" spans="2:21" ht="18.75" customHeight="1" thickBot="1" x14ac:dyDescent="0.3">
      <c r="C7" s="213">
        <f>INDEX(EI_ele,ElementNummer+1,1)</f>
        <v>0</v>
      </c>
      <c r="D7" s="214">
        <f>INDEX(EA_ele,ElementNummer+1,1)</f>
        <v>0</v>
      </c>
      <c r="E7" s="215" t="e">
        <f ca="1">INDEX(qxLoc_ele,ElementNummer+1,1) - INDEX(qzGlob_ele,ElementNummer+1,1)*sin+INDEX(qxGlob_ele,ElementNummer+1,1)*cos</f>
        <v>#VALUE!</v>
      </c>
      <c r="F7" s="216" t="e">
        <f ca="1">INDEX(qzLoc_ele,ElementNummer+1,1) + INDEX(qzGlob_ele,ElementNummer+1,1)*cos+INDEX(qxGlob_ele,ElementNummer+1,1)*sin</f>
        <v>#VALUE!</v>
      </c>
      <c r="G7" s="217" t="e">
        <f ca="1">SQRT( (E4-E3)^2+(F4-F3)^2)</f>
        <v>#VALUE!</v>
      </c>
      <c r="H7" s="218" t="e">
        <f ca="1">IF(sin&gt;=0,ACOS(cos),-ACOS(cos))*180/PI()</f>
        <v>#VALUE!</v>
      </c>
      <c r="I7" s="219">
        <f ca="1">INDIRECT("System!X" &amp; 3+ElementNummer)</f>
        <v>0</v>
      </c>
      <c r="J7" s="220">
        <f ca="1">INDIRECT("System!Y" &amp; 3+ElementNummer)</f>
        <v>0</v>
      </c>
      <c r="K7" s="220">
        <f ca="1">INDIRECT("System!Z" &amp; 3+ElementNummer)</f>
        <v>0</v>
      </c>
      <c r="L7" s="221">
        <f ca="1">INDIRECT("System!AA" &amp; 3+ElementNummer)</f>
        <v>0</v>
      </c>
      <c r="M7" s="222">
        <f ca="1">INDIRECT("System!AC" &amp; 3+ElementNummer) *INDIRECT("System!AD" &amp; 3+ElementNummer)</f>
        <v>0</v>
      </c>
      <c r="N7" s="223">
        <f ca="1">IF( INDIRECT("System!AE" &amp; 3+ElementNummer) &lt;&gt; 0,     INDIRECT("System!AB"&amp;3+ElementNummer)*INDIRECT("System!AD"&amp;3+ElementNummer)/INDIRECT("System!AE"&amp;3+ElementNummer),  0)</f>
        <v>0</v>
      </c>
      <c r="O7" s="224" t="str">
        <f ca="1">IF(N10=4,ABS(INDIRECT("System!AP" &amp; 3+ElementNummer)),"n. verw.")</f>
        <v>n. verw.</v>
      </c>
      <c r="P7" s="225" t="str">
        <f>IF(N10=4,(O7/(4*EI))^0.25*L,"n. verw.")</f>
        <v>n. verw.</v>
      </c>
      <c r="Q7" s="226" t="str">
        <f ca="1">IF(N10=4,IF(SIGN(INDIRECT("System!AP" &amp; 3+ElementNummer))&lt;0,"ja","nein"),"n.verw.")</f>
        <v>n.verw.</v>
      </c>
      <c r="R7" s="227" t="str">
        <f ca="1">IF(N10=5,INDIRECT("System!I" &amp; 3+ElementNummer),"n. verw.")</f>
        <v>n. verw.</v>
      </c>
      <c r="S7" s="212"/>
      <c r="T7" s="212"/>
    </row>
    <row r="8" spans="2:21" ht="27.75" customHeight="1" thickBot="1" x14ac:dyDescent="0.3">
      <c r="C8" s="149" t="s">
        <v>74</v>
      </c>
    </row>
    <row r="9" spans="2:21" ht="18.75" customHeight="1" thickBot="1" x14ac:dyDescent="0.3">
      <c r="C9" s="228" t="s">
        <v>75</v>
      </c>
      <c r="D9" s="229" t="s">
        <v>76</v>
      </c>
      <c r="E9" s="229" t="s">
        <v>77</v>
      </c>
      <c r="F9" s="230" t="s">
        <v>49</v>
      </c>
      <c r="G9" s="229" t="s">
        <v>78</v>
      </c>
      <c r="H9" s="229" t="s">
        <v>79</v>
      </c>
      <c r="I9" s="229" t="s">
        <v>80</v>
      </c>
      <c r="J9" s="229" t="s">
        <v>81</v>
      </c>
      <c r="K9" s="231" t="s">
        <v>82</v>
      </c>
      <c r="M9" s="232" t="s">
        <v>83</v>
      </c>
      <c r="N9" s="1278" t="s">
        <v>84</v>
      </c>
      <c r="O9" s="1279"/>
    </row>
    <row r="10" spans="2:21" ht="18.75" customHeight="1" thickTop="1" thickBot="1" x14ac:dyDescent="0.3">
      <c r="C10" s="233">
        <f ca="1">INDIRECT(ADDRESS(ROW(System!$B$3)+$D$1,COLUMN(System!$AH$3),,,"System"))</f>
        <v>0</v>
      </c>
      <c r="D10" s="234">
        <f ca="1">INDIRECT(ADDRESS(ROW(System!$B$3)+$D$1,COLUMN(System!$AF$3),,,"System"))</f>
        <v>0</v>
      </c>
      <c r="E10" s="234">
        <f ca="1">INDIRECT(ADDRESS(ROW(System!$B$3)+$D$1,COLUMN(System!$AG$3),,,"System"))</f>
        <v>0</v>
      </c>
      <c r="F10" s="234" t="e">
        <f ca="1">L*SQRT(ABS(C10)/EI)</f>
        <v>#VALUE!</v>
      </c>
      <c r="G10" s="234" t="e">
        <f ca="1">IF(ISNUMBER(D1),Ap($F$10,$C$10),"??")</f>
        <v>#VALUE!</v>
      </c>
      <c r="H10" s="234" t="e">
        <f ca="1">IF(ISNUMBER(D1),Bp($F$10,$C$10),"??")</f>
        <v>#VALUE!</v>
      </c>
      <c r="I10" s="234" t="e">
        <f ca="1">IF(ISNUMBER(D1),Cp($F$10,$C$10),"??")</f>
        <v>#VALUE!</v>
      </c>
      <c r="J10" s="234" t="e">
        <f ca="1">IF(ISNUMBER(D1),Dp($F$10,$C$10),"??")</f>
        <v>#VALUE!</v>
      </c>
      <c r="K10" s="235" t="e">
        <f ca="1">IF(ISNUMBER(D1),vp($F$10,$C$10),"??")</f>
        <v>#VALUE!</v>
      </c>
      <c r="M10" s="236">
        <f>INDEX(GE_ele,ElementNummer+1,1)</f>
        <v>0</v>
      </c>
      <c r="N10" s="237">
        <f>IF(INDEX(Theorie_ele,ElementNummer+1,1)&gt;1000,INDEX(Theorie_ele,ElementNummer+1,1)-1000,INDEX(Theorie_ele,ElementNummer+1,1))</f>
        <v>0</v>
      </c>
      <c r="O10" s="238" t="str">
        <f>IF(N10=0,"Default",IF(N10=1,"Th.I.O.",IF(N10=2,"Th.II.O.",IF(N10=3,"FG-Theorie",IF(N10=4,"El. Bettung",IF(N10=5,"Timoshenko","??"))))))</f>
        <v>Default</v>
      </c>
    </row>
    <row r="11" spans="2:21" ht="15" customHeight="1" x14ac:dyDescent="0.25"/>
    <row r="12" spans="2:21" ht="15" customHeight="1" x14ac:dyDescent="0.25"/>
    <row r="13" spans="2:21" ht="15" customHeight="1" thickBot="1" x14ac:dyDescent="0.3"/>
    <row r="14" spans="2:21" s="239" customFormat="1" ht="21" customHeight="1" thickBot="1" x14ac:dyDescent="0.3">
      <c r="C14" s="1280" t="s">
        <v>85</v>
      </c>
      <c r="D14" s="1281"/>
      <c r="E14" s="1281"/>
      <c r="F14" s="1281"/>
      <c r="G14" s="1281"/>
      <c r="H14" s="1282"/>
      <c r="J14" s="1283" t="s">
        <v>86</v>
      </c>
      <c r="K14" s="1284"/>
      <c r="L14" s="1285"/>
      <c r="S14" s="41"/>
      <c r="T14" s="41"/>
      <c r="U14" s="41"/>
    </row>
    <row r="15" spans="2:21" s="239" customFormat="1" ht="18.75" customHeight="1" thickBot="1" x14ac:dyDescent="0.3">
      <c r="B15" s="240" t="s">
        <v>87</v>
      </c>
      <c r="C15" s="241">
        <v>1</v>
      </c>
      <c r="D15" s="242">
        <v>2</v>
      </c>
      <c r="E15" s="243">
        <v>3</v>
      </c>
      <c r="F15" s="244">
        <v>4</v>
      </c>
      <c r="G15" s="242">
        <v>5</v>
      </c>
      <c r="H15" s="245">
        <v>6</v>
      </c>
      <c r="J15" s="246" t="s">
        <v>88</v>
      </c>
      <c r="K15" s="247" t="s">
        <v>89</v>
      </c>
      <c r="L15" s="248" t="s">
        <v>90</v>
      </c>
      <c r="N15" s="169" t="s">
        <v>91</v>
      </c>
      <c r="O15" s="169" t="s">
        <v>92</v>
      </c>
      <c r="R15" s="41"/>
      <c r="S15" s="41"/>
      <c r="T15" s="41"/>
      <c r="U15" s="41"/>
    </row>
    <row r="16" spans="2:21" ht="12.75" customHeight="1" x14ac:dyDescent="0.25">
      <c r="B16" s="249">
        <v>1</v>
      </c>
      <c r="C16" s="250" t="e">
        <f t="array" ref="C16:H21">GetEleStiff(ElementNummer,1)</f>
        <v>#VALUE!</v>
      </c>
      <c r="D16" s="251" t="e">
        <v>#VALUE!</v>
      </c>
      <c r="E16" s="252" t="e">
        <v>#VALUE!</v>
      </c>
      <c r="F16" s="253" t="e">
        <v>#VALUE!</v>
      </c>
      <c r="G16" s="251" t="e">
        <v>#VALUE!</v>
      </c>
      <c r="H16" s="254" t="e">
        <v>#VALUE!</v>
      </c>
      <c r="I16" s="9"/>
      <c r="J16" s="276" t="e">
        <f t="array" ref="J16:J21">TRANSPOSE(GetEleLoad(ElementNummer,1))</f>
        <v>#VALUE!</v>
      </c>
      <c r="K16" s="281" t="e">
        <f t="array" ref="K16:K21">-MMULT(k_e,D35:D40)</f>
        <v>#VALUE!</v>
      </c>
      <c r="L16" s="286" t="e">
        <f t="array" ref="L16:L21">J16:J21+K16:K21</f>
        <v>#VALUE!</v>
      </c>
      <c r="N16" s="291" t="e">
        <f ca="1">qx*L/2+F0- EA * epsT</f>
        <v>#VALUE!</v>
      </c>
      <c r="O16" s="292" t="e">
        <f ca="1">-qx*L/2 + EA*epsT</f>
        <v>#VALUE!</v>
      </c>
      <c r="Q16" s="239"/>
    </row>
    <row r="17" spans="2:15" ht="12.75" customHeight="1" x14ac:dyDescent="0.25">
      <c r="B17" s="293">
        <v>2</v>
      </c>
      <c r="C17" s="255" t="e">
        <v>#VALUE!</v>
      </c>
      <c r="D17" s="256" t="e">
        <v>#VALUE!</v>
      </c>
      <c r="E17" s="257" t="e">
        <v>#VALUE!</v>
      </c>
      <c r="F17" s="258" t="e">
        <v>#VALUE!</v>
      </c>
      <c r="G17" s="259" t="e">
        <v>#VALUE!</v>
      </c>
      <c r="H17" s="260" t="e">
        <v>#VALUE!</v>
      </c>
      <c r="I17" s="9"/>
      <c r="J17" s="277" t="e">
        <v>#VALUE!</v>
      </c>
      <c r="K17" s="282" t="e">
        <v>#VALUE!</v>
      </c>
      <c r="L17" s="287" t="e">
        <v>#VALUE!</v>
      </c>
      <c r="N17" s="294">
        <f ca="1">IStGE(GE,qz*L/2+F0*(e_2-e_1)/L,(qz/2*L^2-(Mk))/L,(qz/2*L^2+(-Mi))/L- 0*F0/ (2 * L) * (2 * e_1 + e_2 ))-N*psi</f>
        <v>0</v>
      </c>
      <c r="O17" s="295">
        <f ca="1">-IStGE(GE,(qz+qs-8*f*F0/L^2)*L/2,((qz+qs-8*f*F0/L^2)/2*L^2-(Mk))/L - F0*(e_2-e_1)/L, ((qz+qs-8*f*F0/L^2)/2*L^2+(-Mi))/L - F0*(e_2-e_1)/L, qz*L/2 - 4*F0*f/L - F0*(e_2-e_1)/L )</f>
        <v>0</v>
      </c>
    </row>
    <row r="18" spans="2:15" ht="13.8" thickBot="1" x14ac:dyDescent="0.3">
      <c r="B18" s="296">
        <v>3</v>
      </c>
      <c r="C18" s="261" t="e">
        <v>#VALUE!</v>
      </c>
      <c r="D18" s="262" t="e">
        <v>#VALUE!</v>
      </c>
      <c r="E18" s="263" t="e">
        <v>#VALUE!</v>
      </c>
      <c r="F18" s="264" t="e">
        <v>#VALUE!</v>
      </c>
      <c r="G18" s="265" t="e">
        <v>#VALUE!</v>
      </c>
      <c r="H18" s="266" t="e">
        <v>#VALUE!</v>
      </c>
      <c r="I18" s="9"/>
      <c r="J18" s="278" t="e">
        <v>#VALUE!</v>
      </c>
      <c r="K18" s="283" t="e">
        <v>#VALUE!</v>
      </c>
      <c r="L18" s="288" t="e">
        <v>#VALUE!</v>
      </c>
      <c r="N18" s="294">
        <f ca="1">IStGE(GE,-(Astr-Bstr)*Vstr*(qz+qs)*L^2/24+ F0* ( e_1 + 2/3 * f)-EI*kappaT,0,-Cstr*Vstr*(qz+qs)*L^2/24+ F0/ 2 * (2 * e_1 + e_2 + 2 * f)- 3 / 2 * EI*kappaT)</f>
        <v>0</v>
      </c>
      <c r="O18" s="297">
        <f ca="1">-IStGE(GE,-(Astr-Bstr)*Vstr*(qz+qs-8*f*F0/L^2)*L^2/24 - EI*kappaT,-F0*e_1,-Cstr*Vstr*(qz+qs-8*f*F0/L^2)*L^2/24 + F0*e_2/2-3/2*EI*kappaT,-F0*e_1)</f>
        <v>0</v>
      </c>
    </row>
    <row r="19" spans="2:15" ht="13.8" thickTop="1" x14ac:dyDescent="0.25">
      <c r="B19" s="298">
        <v>4</v>
      </c>
      <c r="C19" s="267" t="e">
        <v>#VALUE!</v>
      </c>
      <c r="D19" s="268" t="e">
        <v>#VALUE!</v>
      </c>
      <c r="E19" s="269" t="e">
        <v>#VALUE!</v>
      </c>
      <c r="F19" s="250" t="e">
        <v>#VALUE!</v>
      </c>
      <c r="G19" s="251" t="e">
        <v>#VALUE!</v>
      </c>
      <c r="H19" s="254" t="e">
        <v>#VALUE!</v>
      </c>
      <c r="I19" s="9"/>
      <c r="J19" s="279" t="e">
        <v>#VALUE!</v>
      </c>
      <c r="K19" s="284" t="e">
        <v>#VALUE!</v>
      </c>
      <c r="L19" s="289" t="e">
        <v>#VALUE!</v>
      </c>
      <c r="N19" s="294" t="e">
        <f ca="1">qx*L/2-F0+EA * epsT</f>
        <v>#VALUE!</v>
      </c>
      <c r="O19" s="299" t="e">
        <f ca="1">-qx*L/2 - EA*epsT</f>
        <v>#VALUE!</v>
      </c>
    </row>
    <row r="20" spans="2:15" x14ac:dyDescent="0.25">
      <c r="B20" s="293">
        <v>5</v>
      </c>
      <c r="C20" s="255" t="e">
        <v>#VALUE!</v>
      </c>
      <c r="D20" s="270" t="e">
        <v>#VALUE!</v>
      </c>
      <c r="E20" s="271" t="e">
        <v>#VALUE!</v>
      </c>
      <c r="F20" s="255" t="e">
        <v>#VALUE!</v>
      </c>
      <c r="G20" s="256" t="e">
        <v>#VALUE!</v>
      </c>
      <c r="H20" s="260" t="e">
        <v>#VALUE!</v>
      </c>
      <c r="I20" s="9"/>
      <c r="J20" s="277" t="e">
        <v>#VALUE!</v>
      </c>
      <c r="K20" s="282" t="e">
        <v>#VALUE!</v>
      </c>
      <c r="L20" s="287" t="e">
        <v>#VALUE!</v>
      </c>
      <c r="N20" s="294">
        <f ca="1">IStGE(GE,qz*L/2-F0*(e_2-e_1)/L,(qz/2*L^2+(Mk))/L- 0*F0/ (2 * L) * (2 * e_1 + e_2 ),(qz/2*L^2-(-Mi))/L+ 0*F0/ (2 * L) * (2 * e_1 + e_2 ))+N*psi</f>
        <v>0</v>
      </c>
      <c r="O20" s="295">
        <f ca="1">-IStGE(GE,(qz+qs-8*f*F0/L^2)*L/2,((qz+qs-8*f*F0/L^2)/2*L^2+(Mk))/L + F0*(e_2-e_1)/L,((qz+qs-8*f*F0/L^2)/2*L^2-(-Mi))/L  + F0*(e_2-e_1)/L,qz*L/2 - 4*F0*f/L  +  F0*(e_2-e_1)/L)</f>
        <v>0</v>
      </c>
    </row>
    <row r="21" spans="2:15" ht="13.8" thickBot="1" x14ac:dyDescent="0.3">
      <c r="B21" s="300">
        <v>6</v>
      </c>
      <c r="C21" s="272" t="e">
        <v>#VALUE!</v>
      </c>
      <c r="D21" s="273" t="e">
        <v>#VALUE!</v>
      </c>
      <c r="E21" s="274" t="e">
        <v>#VALUE!</v>
      </c>
      <c r="F21" s="272" t="e">
        <v>#VALUE!</v>
      </c>
      <c r="G21" s="273" t="e">
        <v>#VALUE!</v>
      </c>
      <c r="H21" s="275" t="e">
        <v>#VALUE!</v>
      </c>
      <c r="I21" s="9"/>
      <c r="J21" s="280" t="e">
        <v>#VALUE!</v>
      </c>
      <c r="K21" s="285" t="e">
        <v>#VALUE!</v>
      </c>
      <c r="L21" s="290" t="e">
        <v>#VALUE!</v>
      </c>
      <c r="N21" s="301">
        <f ca="1">IStGE(GE,(Astr-Bstr)*Vstr*(qz+qs)*L^2/24 - F0 * ( e_2 + 2/3 * f)+EI*kappaT,Cstr*Vstr*(qz+qs)*L^2/24- F0 / 2 * (e_1 + 2 * e_2 + 2 * f)+3/2*EI*kappaT,0)</f>
        <v>0</v>
      </c>
      <c r="O21" s="302">
        <f ca="1">-IStGE(GE,(Astr-Bstr)*Vstr*(qz+qs-8*f*F0/L^2)*L^2/24+EI*kappaT,Cstr*Vstr*(qz+qs-8*f*F0/L^2)*L^2/24 - F0*(e_1/2)+ 3/2*EI*kappaT,F0*e_2,F0*e_2)</f>
        <v>0</v>
      </c>
    </row>
    <row r="22" spans="2:15" ht="13.8" thickBot="1" x14ac:dyDescent="0.3">
      <c r="B22" s="148"/>
      <c r="J22" s="303"/>
    </row>
    <row r="23" spans="2:15" ht="21" customHeight="1" thickBot="1" x14ac:dyDescent="0.3">
      <c r="B23" s="148"/>
      <c r="C23" s="1286" t="s">
        <v>93</v>
      </c>
      <c r="D23" s="1287"/>
      <c r="E23" s="1287"/>
      <c r="F23" s="1287"/>
      <c r="G23" s="1287"/>
      <c r="H23" s="1288"/>
      <c r="J23" s="303"/>
    </row>
    <row r="24" spans="2:15" ht="18.75" customHeight="1" thickBot="1" x14ac:dyDescent="0.3">
      <c r="B24" s="304" t="s">
        <v>94</v>
      </c>
      <c r="C24" s="305" t="str">
        <f ca="1">INDIRECT("Knoten!E" &amp; (D3+2))</f>
        <v>u</v>
      </c>
      <c r="D24" s="306" t="str">
        <f ca="1">INDIRECT("Knoten!F" &amp; (D3+2))</f>
        <v>w</v>
      </c>
      <c r="E24" s="307" t="str">
        <f ca="1">INDIRECT("Knoten!G" &amp; (D3+2))</f>
        <v>phi</v>
      </c>
      <c r="F24" s="308" t="str">
        <f ca="1">INDIRECT("Knoten!E" &amp; (D4+2))</f>
        <v>u</v>
      </c>
      <c r="G24" s="306" t="str">
        <f ca="1">INDIRECT("Knoten!F" &amp; (D4+2))</f>
        <v>w</v>
      </c>
      <c r="H24" s="309" t="str">
        <f ca="1">INDIRECT("Knoten!G" &amp; (D4+2))</f>
        <v>phi</v>
      </c>
      <c r="I24" s="310" t="s">
        <v>95</v>
      </c>
      <c r="J24" s="1289" t="s">
        <v>96</v>
      </c>
      <c r="K24" s="1290"/>
      <c r="L24" s="1291"/>
    </row>
    <row r="25" spans="2:15" ht="18.75" customHeight="1" thickBot="1" x14ac:dyDescent="0.3">
      <c r="B25" s="311" t="s">
        <v>87</v>
      </c>
      <c r="C25" s="312">
        <v>1</v>
      </c>
      <c r="D25" s="313">
        <v>2</v>
      </c>
      <c r="E25" s="314">
        <v>3</v>
      </c>
      <c r="F25" s="315">
        <v>4</v>
      </c>
      <c r="G25" s="313">
        <v>5</v>
      </c>
      <c r="H25" s="316">
        <v>6</v>
      </c>
      <c r="I25" s="317" t="s">
        <v>97</v>
      </c>
      <c r="J25" s="318" t="s">
        <v>88</v>
      </c>
      <c r="K25" s="319" t="s">
        <v>89</v>
      </c>
      <c r="L25" s="317" t="s">
        <v>90</v>
      </c>
    </row>
    <row r="26" spans="2:15" x14ac:dyDescent="0.25">
      <c r="B26" s="249">
        <v>1</v>
      </c>
      <c r="C26" s="250" t="e">
        <f t="array" ref="C26:H31">MMULT(TRANSPOSE(T),MMULT(k_e,T))</f>
        <v>#VALUE!</v>
      </c>
      <c r="D26" s="251" t="e">
        <v>#VALUE!</v>
      </c>
      <c r="E26" s="252" t="e">
        <v>#VALUE!</v>
      </c>
      <c r="F26" s="253" t="e">
        <v>#VALUE!</v>
      </c>
      <c r="G26" s="251" t="e">
        <v>#VALUE!</v>
      </c>
      <c r="H26" s="320" t="e">
        <v>#VALUE!</v>
      </c>
      <c r="I26" s="324" t="str">
        <f ca="1">INDIRECT("Knoten!E" &amp; (D3+2))</f>
        <v>u</v>
      </c>
      <c r="J26" s="325" t="e">
        <f t="array" aca="1" ref="J26:J31" ca="1">MMULT(TRANSPOSE(T),p)</f>
        <v>#VALUE!</v>
      </c>
      <c r="K26" s="330" t="e">
        <f t="array" ref="K26:K31">-MMULT(k_Global,E35:E40)</f>
        <v>#VALUE!</v>
      </c>
      <c r="L26" s="325" t="e">
        <f t="shared" ref="L26:L31" ca="1" si="0">J26+K26</f>
        <v>#VALUE!</v>
      </c>
    </row>
    <row r="27" spans="2:15" x14ac:dyDescent="0.25">
      <c r="B27" s="293">
        <v>2</v>
      </c>
      <c r="C27" s="255" t="e">
        <v>#VALUE!</v>
      </c>
      <c r="D27" s="256" t="e">
        <v>#VALUE!</v>
      </c>
      <c r="E27" s="257" t="e">
        <v>#VALUE!</v>
      </c>
      <c r="F27" s="258" t="e">
        <v>#VALUE!</v>
      </c>
      <c r="G27" s="259" t="e">
        <v>#VALUE!</v>
      </c>
      <c r="H27" s="321" t="e">
        <v>#VALUE!</v>
      </c>
      <c r="I27" s="335" t="str">
        <f ca="1">INDIRECT("Knoten!F" &amp; (D3+2))</f>
        <v>w</v>
      </c>
      <c r="J27" s="326" t="e">
        <f ca="1"/>
        <v>#VALUE!</v>
      </c>
      <c r="K27" s="331" t="e">
        <v>#VALUE!</v>
      </c>
      <c r="L27" s="326" t="e">
        <f t="shared" ca="1" si="0"/>
        <v>#VALUE!</v>
      </c>
    </row>
    <row r="28" spans="2:15" ht="13.8" thickBot="1" x14ac:dyDescent="0.3">
      <c r="B28" s="296">
        <v>3</v>
      </c>
      <c r="C28" s="261" t="e">
        <v>#VALUE!</v>
      </c>
      <c r="D28" s="262" t="e">
        <v>#VALUE!</v>
      </c>
      <c r="E28" s="263" t="e">
        <v>#VALUE!</v>
      </c>
      <c r="F28" s="264" t="e">
        <v>#VALUE!</v>
      </c>
      <c r="G28" s="265" t="e">
        <v>#VALUE!</v>
      </c>
      <c r="H28" s="322" t="e">
        <v>#VALUE!</v>
      </c>
      <c r="I28" s="336" t="str">
        <f ca="1">INDIRECT("Knoten!G" &amp; (D3+2))</f>
        <v>phi</v>
      </c>
      <c r="J28" s="327" t="e">
        <f ca="1"/>
        <v>#VALUE!</v>
      </c>
      <c r="K28" s="332" t="e">
        <v>#VALUE!</v>
      </c>
      <c r="L28" s="327" t="e">
        <f t="shared" ca="1" si="0"/>
        <v>#VALUE!</v>
      </c>
    </row>
    <row r="29" spans="2:15" ht="13.8" thickTop="1" x14ac:dyDescent="0.25">
      <c r="B29" s="298">
        <v>4</v>
      </c>
      <c r="C29" s="267" t="e">
        <v>#VALUE!</v>
      </c>
      <c r="D29" s="268" t="e">
        <v>#VALUE!</v>
      </c>
      <c r="E29" s="269" t="e">
        <v>#VALUE!</v>
      </c>
      <c r="F29" s="250" t="e">
        <v>#VALUE!</v>
      </c>
      <c r="G29" s="251" t="e">
        <v>#VALUE!</v>
      </c>
      <c r="H29" s="320" t="e">
        <v>#VALUE!</v>
      </c>
      <c r="I29" s="337" t="str">
        <f ca="1">INDIRECT("Knoten!E" &amp; (D4+2))</f>
        <v>u</v>
      </c>
      <c r="J29" s="328" t="e">
        <f ca="1"/>
        <v>#VALUE!</v>
      </c>
      <c r="K29" s="333" t="e">
        <v>#VALUE!</v>
      </c>
      <c r="L29" s="328" t="e">
        <f t="shared" ca="1" si="0"/>
        <v>#VALUE!</v>
      </c>
    </row>
    <row r="30" spans="2:15" x14ac:dyDescent="0.25">
      <c r="B30" s="293">
        <v>5</v>
      </c>
      <c r="C30" s="255" t="e">
        <v>#VALUE!</v>
      </c>
      <c r="D30" s="270" t="e">
        <v>#VALUE!</v>
      </c>
      <c r="E30" s="271" t="e">
        <v>#VALUE!</v>
      </c>
      <c r="F30" s="255" t="e">
        <v>#VALUE!</v>
      </c>
      <c r="G30" s="256" t="e">
        <v>#VALUE!</v>
      </c>
      <c r="H30" s="321" t="e">
        <v>#VALUE!</v>
      </c>
      <c r="I30" s="335" t="str">
        <f ca="1">INDIRECT("Knoten!F" &amp; (D4+2))</f>
        <v>w</v>
      </c>
      <c r="J30" s="326" t="e">
        <f ca="1"/>
        <v>#VALUE!</v>
      </c>
      <c r="K30" s="331" t="e">
        <v>#VALUE!</v>
      </c>
      <c r="L30" s="326" t="e">
        <f t="shared" ca="1" si="0"/>
        <v>#VALUE!</v>
      </c>
    </row>
    <row r="31" spans="2:15" ht="13.8" thickBot="1" x14ac:dyDescent="0.3">
      <c r="B31" s="300">
        <v>6</v>
      </c>
      <c r="C31" s="272" t="e">
        <v>#VALUE!</v>
      </c>
      <c r="D31" s="273" t="e">
        <v>#VALUE!</v>
      </c>
      <c r="E31" s="274" t="e">
        <v>#VALUE!</v>
      </c>
      <c r="F31" s="272" t="e">
        <v>#VALUE!</v>
      </c>
      <c r="G31" s="273" t="e">
        <v>#VALUE!</v>
      </c>
      <c r="H31" s="323" t="e">
        <v>#VALUE!</v>
      </c>
      <c r="I31" s="338" t="str">
        <f ca="1">INDIRECT("Knoten!G" &amp; (D4+2))</f>
        <v>phi</v>
      </c>
      <c r="J31" s="329" t="e">
        <f ca="1"/>
        <v>#VALUE!</v>
      </c>
      <c r="K31" s="334" t="e">
        <v>#VALUE!</v>
      </c>
      <c r="L31" s="329" t="e">
        <f t="shared" ca="1" si="0"/>
        <v>#VALUE!</v>
      </c>
    </row>
    <row r="32" spans="2:15" ht="13.8" thickBot="1" x14ac:dyDescent="0.3">
      <c r="B32" s="148"/>
    </row>
    <row r="33" spans="2:19" s="239" customFormat="1" ht="22.5" customHeight="1" thickBot="1" x14ac:dyDescent="0.3">
      <c r="B33" s="339" t="s">
        <v>95</v>
      </c>
      <c r="C33" s="340" t="s">
        <v>95</v>
      </c>
      <c r="D33" s="1292" t="s">
        <v>13</v>
      </c>
      <c r="E33" s="1293"/>
      <c r="F33" s="1294"/>
      <c r="G33" s="1294"/>
      <c r="I33" s="341"/>
    </row>
    <row r="34" spans="2:19" s="239" customFormat="1" ht="22.5" customHeight="1" thickBot="1" x14ac:dyDescent="0.3">
      <c r="B34" s="342" t="s">
        <v>98</v>
      </c>
      <c r="C34" s="343" t="s">
        <v>97</v>
      </c>
      <c r="D34" s="344" t="s">
        <v>98</v>
      </c>
      <c r="E34" s="345" t="s">
        <v>97</v>
      </c>
      <c r="F34" s="346"/>
      <c r="G34" s="346"/>
    </row>
    <row r="35" spans="2:19" x14ac:dyDescent="0.25">
      <c r="B35" s="298">
        <v>1</v>
      </c>
      <c r="C35" s="347" t="str">
        <f t="shared" ref="C35:C40" ca="1" si="1">I26</f>
        <v>u</v>
      </c>
      <c r="D35" s="286" t="e">
        <f t="array" aca="1" ref="D35:D40" ca="1">(MMULT(T,E35:E40))</f>
        <v>#VALUE!</v>
      </c>
      <c r="E35" s="348" t="str">
        <f ca="1">J3</f>
        <v>u0</v>
      </c>
    </row>
    <row r="36" spans="2:19" x14ac:dyDescent="0.25">
      <c r="B36" s="293">
        <v>2</v>
      </c>
      <c r="C36" s="349" t="str">
        <f t="shared" ca="1" si="1"/>
        <v>w</v>
      </c>
      <c r="D36" s="287" t="e">
        <f ca="1"/>
        <v>#VALUE!</v>
      </c>
      <c r="E36" s="350" t="str">
        <f ca="1">K3</f>
        <v>w0</v>
      </c>
    </row>
    <row r="37" spans="2:19" ht="13.8" thickBot="1" x14ac:dyDescent="0.3">
      <c r="B37" s="296">
        <v>3</v>
      </c>
      <c r="C37" s="351" t="str">
        <f t="shared" ca="1" si="1"/>
        <v>phi</v>
      </c>
      <c r="D37" s="288" t="e">
        <f ca="1"/>
        <v>#VALUE!</v>
      </c>
      <c r="E37" s="352" t="str">
        <f ca="1">L3</f>
        <v>j0</v>
      </c>
    </row>
    <row r="38" spans="2:19" ht="13.8" thickTop="1" x14ac:dyDescent="0.25">
      <c r="B38" s="298">
        <v>4</v>
      </c>
      <c r="C38" s="353" t="str">
        <f t="shared" ca="1" si="1"/>
        <v>u</v>
      </c>
      <c r="D38" s="289" t="e">
        <f ca="1"/>
        <v>#VALUE!</v>
      </c>
      <c r="E38" s="348" t="str">
        <f ca="1">J4</f>
        <v>u0</v>
      </c>
    </row>
    <row r="39" spans="2:19" x14ac:dyDescent="0.25">
      <c r="B39" s="293">
        <v>5</v>
      </c>
      <c r="C39" s="349" t="str">
        <f t="shared" ca="1" si="1"/>
        <v>w</v>
      </c>
      <c r="D39" s="287" t="e">
        <f ca="1"/>
        <v>#VALUE!</v>
      </c>
      <c r="E39" s="350" t="str">
        <f ca="1">K4</f>
        <v>w0</v>
      </c>
    </row>
    <row r="40" spans="2:19" ht="13.8" thickBot="1" x14ac:dyDescent="0.3">
      <c r="B40" s="300">
        <v>6</v>
      </c>
      <c r="C40" s="354" t="str">
        <f t="shared" ca="1" si="1"/>
        <v>phi</v>
      </c>
      <c r="D40" s="290" t="e">
        <f ca="1"/>
        <v>#VALUE!</v>
      </c>
      <c r="E40" s="355" t="str">
        <f ca="1">L4</f>
        <v>j0</v>
      </c>
    </row>
    <row r="41" spans="2:19" ht="13.8" thickBot="1" x14ac:dyDescent="0.3"/>
    <row r="42" spans="2:19" s="239" customFormat="1" ht="21.75" customHeight="1" thickBot="1" x14ac:dyDescent="0.3">
      <c r="D42" s="1268" t="s">
        <v>99</v>
      </c>
      <c r="E42" s="1269"/>
      <c r="F42" s="1270"/>
      <c r="G42" s="1271" t="s">
        <v>100</v>
      </c>
      <c r="H42" s="1272"/>
      <c r="I42" s="1272"/>
      <c r="J42" s="1272"/>
      <c r="K42" s="1273"/>
      <c r="M42" s="41"/>
      <c r="N42" s="41"/>
      <c r="O42" s="41"/>
      <c r="P42" s="41"/>
    </row>
    <row r="43" spans="2:19" s="239" customFormat="1" ht="17.25" customHeight="1" thickBot="1" x14ac:dyDescent="0.3">
      <c r="B43" s="240" t="s">
        <v>87</v>
      </c>
      <c r="C43" s="356" t="s">
        <v>94</v>
      </c>
      <c r="D43" s="357" t="s">
        <v>101</v>
      </c>
      <c r="E43" s="358" t="s">
        <v>97</v>
      </c>
      <c r="F43" s="357" t="s">
        <v>98</v>
      </c>
      <c r="G43" s="359" t="s">
        <v>101</v>
      </c>
      <c r="H43" s="360" t="s">
        <v>98</v>
      </c>
      <c r="I43" s="361" t="s">
        <v>92</v>
      </c>
      <c r="J43" s="359" t="s">
        <v>101</v>
      </c>
      <c r="K43" s="362" t="s">
        <v>98</v>
      </c>
      <c r="M43" s="41"/>
      <c r="N43" s="41"/>
      <c r="O43" s="41"/>
      <c r="P43" s="41"/>
    </row>
    <row r="44" spans="2:19" ht="15.75" customHeight="1" x14ac:dyDescent="0.25">
      <c r="B44" s="293">
        <v>1</v>
      </c>
      <c r="C44" s="363" t="str">
        <f ca="1">INDIRECT("Knoten!E" &amp; ($D$3+2))</f>
        <v>u</v>
      </c>
      <c r="D44" s="364" t="s">
        <v>102</v>
      </c>
      <c r="E44" s="365" t="e">
        <f ca="1">M3+J3</f>
        <v>#VALUE!</v>
      </c>
      <c r="F44" s="366" t="e">
        <f t="array" aca="1" ref="F44:F49" ca="1">MMULT(C53:H58,E44:E49)</f>
        <v>#VALUE!</v>
      </c>
      <c r="G44" s="371" t="s">
        <v>103</v>
      </c>
      <c r="H44" s="372" t="e">
        <f t="array" ref="H44:H49">MMULT(k_e,v)+I44:I49</f>
        <v>#VALUE!</v>
      </c>
      <c r="I44" s="376" t="e">
        <f t="array" ref="I44:I49">TRANSPOSE(GetEleLZ(ElementNummer,1))</f>
        <v>#VALUE!</v>
      </c>
      <c r="J44" s="381" t="s">
        <v>104</v>
      </c>
      <c r="K44" s="299">
        <f ca="1">-INDIRECT(ADDRESS(ROW(Normalkraft!$J$4)+$D$1,COLUMN(Normalkraft!$J$4),,,"Normalkraft"))</f>
        <v>0</v>
      </c>
    </row>
    <row r="45" spans="2:19" ht="15.6" x14ac:dyDescent="0.25">
      <c r="B45" s="293">
        <v>2</v>
      </c>
      <c r="C45" s="363" t="str">
        <f ca="1">INDIRECT("Knoten!F" &amp; ($D$3+2))</f>
        <v>w</v>
      </c>
      <c r="D45" s="382" t="s">
        <v>105</v>
      </c>
      <c r="E45" s="383" t="e">
        <f ca="1">N3+K3</f>
        <v>#VALUE!</v>
      </c>
      <c r="F45" s="367" t="e">
        <f ca="1"/>
        <v>#VALUE!</v>
      </c>
      <c r="G45" s="384" t="s">
        <v>106</v>
      </c>
      <c r="H45" s="373" t="e">
        <v>#VALUE!</v>
      </c>
      <c r="I45" s="377" t="e">
        <v>#VALUE!</v>
      </c>
      <c r="J45" s="385" t="s">
        <v>107</v>
      </c>
      <c r="K45" s="295">
        <f ca="1">-INDIRECT(ADDRESS(ROW(Querkraft!$J$4)+$D$1,COLUMN(Querkraft!$J$4),,,"Querkraft"))</f>
        <v>0</v>
      </c>
    </row>
    <row r="46" spans="2:19" ht="16.2" thickBot="1" x14ac:dyDescent="0.3">
      <c r="B46" s="296">
        <v>3</v>
      </c>
      <c r="C46" s="386" t="str">
        <f ca="1">INDIRECT("Knoten!G" &amp; ($D$3+2))</f>
        <v>phi</v>
      </c>
      <c r="D46" s="387" t="s">
        <v>108</v>
      </c>
      <c r="E46" s="388" t="e">
        <f ca="1">O3+L3</f>
        <v>#VALUE!</v>
      </c>
      <c r="F46" s="368" t="e">
        <f ca="1"/>
        <v>#VALUE!</v>
      </c>
      <c r="G46" s="389" t="s">
        <v>109</v>
      </c>
      <c r="H46" s="374" t="e">
        <v>#VALUE!</v>
      </c>
      <c r="I46" s="378" t="e">
        <v>#VALUE!</v>
      </c>
      <c r="J46" s="390" t="s">
        <v>110</v>
      </c>
      <c r="K46" s="297">
        <f ca="1">-INDIRECT(ADDRESS(ROW(Momente!$J$4)+$D$1,COLUMN(Momente!$J$4),,,"Momente"))</f>
        <v>0</v>
      </c>
      <c r="O46" s="148"/>
      <c r="P46" s="148"/>
      <c r="Q46" s="148"/>
      <c r="S46" s="148"/>
    </row>
    <row r="47" spans="2:19" ht="16.2" thickTop="1" x14ac:dyDescent="0.25">
      <c r="B47" s="298">
        <v>4</v>
      </c>
      <c r="C47" s="391" t="str">
        <f ca="1">INDIRECT("Knoten!E" &amp; ($D$4+2))</f>
        <v>u</v>
      </c>
      <c r="D47" s="364" t="s">
        <v>111</v>
      </c>
      <c r="E47" s="392" t="e">
        <f ca="1">M4+J4</f>
        <v>#VALUE!</v>
      </c>
      <c r="F47" s="369" t="e">
        <f ca="1"/>
        <v>#VALUE!</v>
      </c>
      <c r="G47" s="371" t="s">
        <v>112</v>
      </c>
      <c r="H47" s="372" t="e">
        <v>#VALUE!</v>
      </c>
      <c r="I47" s="379" t="e">
        <v>#VALUE!</v>
      </c>
      <c r="J47" s="381" t="s">
        <v>113</v>
      </c>
      <c r="K47" s="299">
        <f ca="1">INDIRECT(ADDRESS(ROW(Normalkraft!$T$4)+$D$1,COLUMN(Normalkraft!$T$4),,,"Normalkraft"))</f>
        <v>0</v>
      </c>
      <c r="S47" s="148"/>
    </row>
    <row r="48" spans="2:19" ht="15.6" x14ac:dyDescent="0.25">
      <c r="B48" s="293">
        <v>5</v>
      </c>
      <c r="C48" s="363" t="str">
        <f ca="1">INDIRECT("Knoten!F" &amp; ($D$4+2))</f>
        <v>w</v>
      </c>
      <c r="D48" s="382" t="s">
        <v>114</v>
      </c>
      <c r="E48" s="383" t="e">
        <f ca="1">N4+K4</f>
        <v>#VALUE!</v>
      </c>
      <c r="F48" s="367" t="e">
        <f ca="1"/>
        <v>#VALUE!</v>
      </c>
      <c r="G48" s="384" t="s">
        <v>115</v>
      </c>
      <c r="H48" s="373" t="e">
        <v>#VALUE!</v>
      </c>
      <c r="I48" s="377" t="e">
        <v>#VALUE!</v>
      </c>
      <c r="J48" s="385" t="s">
        <v>116</v>
      </c>
      <c r="K48" s="295">
        <f ca="1">INDIRECT(ADDRESS(ROW(Querkraft!$T$4)+$D$1,COLUMN(Querkraft!$T$4),,,"Querkraft"))</f>
        <v>0</v>
      </c>
    </row>
    <row r="49" spans="2:24" ht="16.2" thickBot="1" x14ac:dyDescent="0.3">
      <c r="B49" s="300">
        <v>6</v>
      </c>
      <c r="C49" s="393" t="str">
        <f ca="1">INDIRECT("Knoten!G" &amp; ($D$4+2))</f>
        <v>phi</v>
      </c>
      <c r="D49" s="394" t="s">
        <v>117</v>
      </c>
      <c r="E49" s="395" t="e">
        <f ca="1">O4+L4</f>
        <v>#VALUE!</v>
      </c>
      <c r="F49" s="370" t="e">
        <f ca="1"/>
        <v>#VALUE!</v>
      </c>
      <c r="G49" s="396" t="s">
        <v>118</v>
      </c>
      <c r="H49" s="375" t="e">
        <v>#VALUE!</v>
      </c>
      <c r="I49" s="380" t="e">
        <v>#VALUE!</v>
      </c>
      <c r="J49" s="397" t="s">
        <v>119</v>
      </c>
      <c r="K49" s="302">
        <f ca="1">INDIRECT(ADDRESS(ROW(Momente!$T$4)+$D$1,COLUMN(Momente!$T$4),,,"Momente"))</f>
        <v>0</v>
      </c>
    </row>
    <row r="50" spans="2:24" ht="13.8" thickBot="1" x14ac:dyDescent="0.3">
      <c r="S50" s="148"/>
      <c r="T50" s="148"/>
      <c r="U50" s="148"/>
      <c r="V50" s="148"/>
      <c r="W50" s="148"/>
    </row>
    <row r="51" spans="2:24" ht="20.25" customHeight="1" thickBot="1" x14ac:dyDescent="0.3">
      <c r="C51" s="1274" t="s">
        <v>120</v>
      </c>
      <c r="D51" s="1275"/>
      <c r="E51" s="1275"/>
      <c r="F51" s="1275"/>
      <c r="G51" s="1275"/>
      <c r="H51" s="1276"/>
      <c r="S51" s="148"/>
    </row>
    <row r="52" spans="2:24" ht="14.4" thickBot="1" x14ac:dyDescent="0.3">
      <c r="C52" s="398">
        <v>1</v>
      </c>
      <c r="D52" s="399">
        <v>2</v>
      </c>
      <c r="E52" s="400">
        <v>3</v>
      </c>
      <c r="F52" s="401">
        <v>4</v>
      </c>
      <c r="G52" s="399">
        <v>5</v>
      </c>
      <c r="H52" s="402">
        <v>6</v>
      </c>
      <c r="J52" s="403" t="s">
        <v>121</v>
      </c>
      <c r="K52" s="404" t="s">
        <v>122</v>
      </c>
      <c r="S52" s="148"/>
    </row>
    <row r="53" spans="2:24" ht="13.8" thickBot="1" x14ac:dyDescent="0.3">
      <c r="B53" s="405">
        <v>1</v>
      </c>
      <c r="C53" s="406" t="e">
        <f ca="1">cos</f>
        <v>#VALUE!</v>
      </c>
      <c r="D53" s="407" t="e">
        <f ca="1">-sin</f>
        <v>#VALUE!</v>
      </c>
      <c r="E53" s="408">
        <v>0</v>
      </c>
      <c r="F53" s="409">
        <v>0</v>
      </c>
      <c r="G53" s="410">
        <v>0</v>
      </c>
      <c r="H53" s="411">
        <v>0</v>
      </c>
      <c r="J53" s="412" t="e">
        <f ca="1">-(F4-F3)/L</f>
        <v>#VALUE!</v>
      </c>
      <c r="K53" s="413" t="e">
        <f ca="1">(E4-E3)/L</f>
        <v>#VALUE!</v>
      </c>
      <c r="S53" s="148"/>
    </row>
    <row r="54" spans="2:24" x14ac:dyDescent="0.25">
      <c r="B54" s="414">
        <v>2</v>
      </c>
      <c r="C54" s="258" t="e">
        <f ca="1">sin</f>
        <v>#VALUE!</v>
      </c>
      <c r="D54" s="259" t="e">
        <f ca="1">cos</f>
        <v>#VALUE!</v>
      </c>
      <c r="E54" s="257">
        <v>0</v>
      </c>
      <c r="F54" s="255">
        <v>0</v>
      </c>
      <c r="G54" s="270">
        <v>0</v>
      </c>
      <c r="H54" s="415">
        <v>0</v>
      </c>
    </row>
    <row r="55" spans="2:24" ht="13.8" thickBot="1" x14ac:dyDescent="0.3">
      <c r="B55" s="416">
        <v>3</v>
      </c>
      <c r="C55" s="264">
        <v>0</v>
      </c>
      <c r="D55" s="265">
        <v>0</v>
      </c>
      <c r="E55" s="417">
        <v>1</v>
      </c>
      <c r="F55" s="261">
        <v>0</v>
      </c>
      <c r="G55" s="262">
        <v>0</v>
      </c>
      <c r="H55" s="418">
        <v>0</v>
      </c>
    </row>
    <row r="56" spans="2:24" ht="13.8" thickTop="1" x14ac:dyDescent="0.25">
      <c r="B56" s="419">
        <v>4</v>
      </c>
      <c r="C56" s="267">
        <v>0</v>
      </c>
      <c r="D56" s="268">
        <v>0</v>
      </c>
      <c r="E56" s="269">
        <v>0</v>
      </c>
      <c r="F56" s="253" t="e">
        <f ca="1">cos</f>
        <v>#VALUE!</v>
      </c>
      <c r="G56" s="251" t="e">
        <f ca="1">-sin</f>
        <v>#VALUE!</v>
      </c>
      <c r="H56" s="254">
        <v>0</v>
      </c>
    </row>
    <row r="57" spans="2:24" x14ac:dyDescent="0.25">
      <c r="B57" s="414">
        <v>5</v>
      </c>
      <c r="C57" s="255">
        <v>0</v>
      </c>
      <c r="D57" s="270">
        <v>0</v>
      </c>
      <c r="E57" s="271">
        <v>0</v>
      </c>
      <c r="F57" s="258" t="e">
        <f ca="1">sin</f>
        <v>#VALUE!</v>
      </c>
      <c r="G57" s="259" t="e">
        <f ca="1">cos</f>
        <v>#VALUE!</v>
      </c>
      <c r="H57" s="260">
        <v>0</v>
      </c>
    </row>
    <row r="58" spans="2:24" ht="13.8" thickBot="1" x14ac:dyDescent="0.3">
      <c r="B58" s="420">
        <v>6</v>
      </c>
      <c r="C58" s="272">
        <v>0</v>
      </c>
      <c r="D58" s="273">
        <v>0</v>
      </c>
      <c r="E58" s="274">
        <v>0</v>
      </c>
      <c r="F58" s="421">
        <v>0</v>
      </c>
      <c r="G58" s="422">
        <v>0</v>
      </c>
      <c r="H58" s="423">
        <v>1</v>
      </c>
      <c r="S58" s="1277"/>
      <c r="T58" s="1277"/>
      <c r="V58" s="148"/>
      <c r="X58" s="148"/>
    </row>
  </sheetData>
  <sheetProtection formatCells="0"/>
  <mergeCells count="21">
    <mergeCell ref="G1:I1"/>
    <mergeCell ref="J1:L1"/>
    <mergeCell ref="M1:O1"/>
    <mergeCell ref="P1:R1"/>
    <mergeCell ref="C5:D5"/>
    <mergeCell ref="E5:F5"/>
    <mergeCell ref="G5:H5"/>
    <mergeCell ref="I5:L5"/>
    <mergeCell ref="M5:N5"/>
    <mergeCell ref="O5:Q5"/>
    <mergeCell ref="D42:F42"/>
    <mergeCell ref="G42:K42"/>
    <mergeCell ref="C51:H51"/>
    <mergeCell ref="S58:T58"/>
    <mergeCell ref="N9:O9"/>
    <mergeCell ref="C14:H14"/>
    <mergeCell ref="J14:L14"/>
    <mergeCell ref="C23:H23"/>
    <mergeCell ref="J24:L24"/>
    <mergeCell ref="D33:E33"/>
    <mergeCell ref="F33:G33"/>
  </mergeCells>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FromEleSheetSolve">
                <anchor>
                  <from>
                    <xdr:col>5</xdr:col>
                    <xdr:colOff>0</xdr:colOff>
                    <xdr:row>0</xdr:row>
                    <xdr:rowOff>38100</xdr:rowOff>
                  </from>
                  <to>
                    <xdr:col>6</xdr:col>
                    <xdr:colOff>0</xdr:colOff>
                    <xdr:row>0</xdr:row>
                    <xdr:rowOff>373380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B1:BY164"/>
  <sheetViews>
    <sheetView zoomScale="80" zoomScaleNormal="80" workbookViewId="0">
      <pane xSplit="2" ySplit="3" topLeftCell="C4" activePane="bottomRight" state="frozen"/>
      <selection activeCell="U4" sqref="U4"/>
      <selection pane="topRight" activeCell="U4" sqref="U4"/>
      <selection pane="bottomLeft" activeCell="U4" sqref="U4"/>
      <selection pane="bottomRight" activeCell="G5" sqref="G5"/>
    </sheetView>
  </sheetViews>
  <sheetFormatPr defaultColWidth="11.44140625" defaultRowHeight="13.2" x14ac:dyDescent="0.25"/>
  <cols>
    <col min="1" max="1" width="6.5546875" style="41" customWidth="1"/>
    <col min="2" max="2" width="9.44140625" style="41" customWidth="1"/>
    <col min="3" max="4" width="8.5546875" style="41" customWidth="1"/>
    <col min="5" max="5" width="6.5546875" style="41" customWidth="1"/>
    <col min="6" max="6" width="8.5546875" style="41" customWidth="1"/>
    <col min="7" max="9" width="11.44140625" style="41" customWidth="1"/>
    <col min="10" max="10" width="8.5546875" style="41" customWidth="1"/>
    <col min="11" max="11" width="8.5546875" style="148" customWidth="1"/>
    <col min="12" max="13" width="7.5546875" style="41" customWidth="1"/>
    <col min="14" max="14" width="7.44140625" style="41" customWidth="1"/>
    <col min="15" max="15" width="7.5546875" style="41" customWidth="1"/>
    <col min="16" max="24" width="8.5546875" style="41" customWidth="1"/>
    <col min="25" max="26" width="9.5546875" style="41" customWidth="1"/>
    <col min="27" max="27" width="8.5546875" style="41" customWidth="1"/>
    <col min="28" max="28" width="10" style="41" customWidth="1"/>
    <col min="29" max="29" width="10.5546875" style="41" customWidth="1"/>
    <col min="30" max="30" width="9.5546875" style="41" customWidth="1"/>
    <col min="31" max="31" width="8.5546875" style="41" customWidth="1"/>
    <col min="32" max="32" width="10.5546875" style="41" customWidth="1"/>
    <col min="33" max="33" width="11.44140625" style="41" customWidth="1"/>
    <col min="34" max="37" width="13.44140625" style="41" customWidth="1"/>
    <col min="38" max="38" width="13.5546875" style="41" customWidth="1"/>
    <col min="39" max="39" width="14.44140625" style="41" customWidth="1"/>
    <col min="40" max="41" width="9.5546875" style="41" customWidth="1"/>
    <col min="42" max="42" width="15.5546875" style="41" customWidth="1"/>
    <col min="43" max="43" width="12.5546875" style="602" customWidth="1"/>
    <col min="44" max="44" width="15.5546875" style="41" customWidth="1"/>
    <col min="45" max="16384" width="11.44140625" style="41"/>
  </cols>
  <sheetData>
    <row r="1" spans="2:77" s="424" customFormat="1" ht="25.5" customHeight="1" thickBot="1" x14ac:dyDescent="0.3">
      <c r="E1" s="1317" t="s">
        <v>53</v>
      </c>
      <c r="F1" s="1318"/>
      <c r="K1" s="425"/>
      <c r="L1" s="1309" t="s">
        <v>123</v>
      </c>
      <c r="M1" s="1319"/>
      <c r="N1" s="1319"/>
      <c r="O1" s="1310"/>
      <c r="P1" s="1311" t="s">
        <v>124</v>
      </c>
      <c r="Q1" s="1312"/>
      <c r="R1" s="1312"/>
      <c r="S1" s="1312"/>
      <c r="T1" s="1312"/>
      <c r="U1" s="1312"/>
      <c r="V1" s="1312"/>
      <c r="W1" s="1313"/>
      <c r="X1" s="1320" t="s">
        <v>54</v>
      </c>
      <c r="Y1" s="1321"/>
      <c r="Z1" s="1321"/>
      <c r="AA1" s="1321"/>
      <c r="AB1" s="1322" t="s">
        <v>125</v>
      </c>
      <c r="AC1" s="1323"/>
      <c r="AD1" s="1323"/>
      <c r="AE1" s="1324"/>
      <c r="AF1" s="1325" t="s">
        <v>126</v>
      </c>
      <c r="AG1" s="1326"/>
      <c r="AH1" s="1326"/>
      <c r="AI1" s="1326"/>
      <c r="AJ1" s="1326"/>
      <c r="AK1" s="1326"/>
      <c r="AL1" s="1327"/>
      <c r="AM1" s="1302" t="s">
        <v>127</v>
      </c>
      <c r="AN1" s="1302"/>
      <c r="AO1" s="1303"/>
      <c r="AP1" s="426" t="s">
        <v>128</v>
      </c>
      <c r="AQ1" s="427"/>
      <c r="AR1" s="428" t="s">
        <v>129</v>
      </c>
      <c r="AU1" s="429" t="s">
        <v>43</v>
      </c>
      <c r="BD1" s="430"/>
      <c r="BE1" s="430"/>
      <c r="BF1" s="431"/>
      <c r="BG1" s="431"/>
      <c r="BH1" s="432"/>
      <c r="BI1" s="430"/>
    </row>
    <row r="2" spans="2:77" s="424" customFormat="1" ht="20.100000000000001" customHeight="1" thickBot="1" x14ac:dyDescent="0.3">
      <c r="C2" s="1304" t="s">
        <v>130</v>
      </c>
      <c r="D2" s="1305"/>
      <c r="E2" s="433" t="s">
        <v>131</v>
      </c>
      <c r="F2" s="434" t="s">
        <v>132</v>
      </c>
      <c r="G2" s="1306" t="s">
        <v>51</v>
      </c>
      <c r="H2" s="1307"/>
      <c r="I2" s="1308"/>
      <c r="K2" s="425"/>
      <c r="L2" s="1309" t="s">
        <v>98</v>
      </c>
      <c r="M2" s="1310"/>
      <c r="N2" s="1309" t="s">
        <v>97</v>
      </c>
      <c r="O2" s="1310"/>
      <c r="P2" s="1311" t="s">
        <v>98</v>
      </c>
      <c r="Q2" s="1312"/>
      <c r="R2" s="1312"/>
      <c r="S2" s="1313"/>
      <c r="T2" s="1311" t="s">
        <v>97</v>
      </c>
      <c r="U2" s="1312"/>
      <c r="V2" s="1312"/>
      <c r="W2" s="1312"/>
      <c r="X2" s="435" t="s">
        <v>133</v>
      </c>
      <c r="Y2" s="1314" t="s">
        <v>134</v>
      </c>
      <c r="Z2" s="1314"/>
      <c r="AA2" s="436" t="s">
        <v>135</v>
      </c>
      <c r="AB2" s="437" t="s">
        <v>136</v>
      </c>
      <c r="AC2" s="438" t="s">
        <v>137</v>
      </c>
      <c r="AD2" s="438" t="s">
        <v>138</v>
      </c>
      <c r="AE2" s="439" t="s">
        <v>139</v>
      </c>
      <c r="AF2" s="440" t="s">
        <v>140</v>
      </c>
      <c r="AG2" s="441" t="s">
        <v>141</v>
      </c>
      <c r="AH2" s="442" t="s">
        <v>142</v>
      </c>
      <c r="AI2" s="443" t="s">
        <v>143</v>
      </c>
      <c r="AJ2" s="444"/>
      <c r="AK2" s="443" t="s">
        <v>144</v>
      </c>
      <c r="AL2" s="445"/>
      <c r="AM2" s="446" t="s">
        <v>145</v>
      </c>
      <c r="AN2" s="1315" t="s">
        <v>146</v>
      </c>
      <c r="AO2" s="1316"/>
      <c r="AP2" s="447" t="s">
        <v>147</v>
      </c>
      <c r="AQ2" s="448" t="s">
        <v>14</v>
      </c>
      <c r="AR2" s="428" t="s">
        <v>148</v>
      </c>
      <c r="AS2" s="1298" t="s">
        <v>149</v>
      </c>
      <c r="AT2" s="1299"/>
      <c r="AU2" s="449" t="s">
        <v>150</v>
      </c>
      <c r="AW2" s="41"/>
      <c r="AX2" s="41"/>
      <c r="AY2" s="41"/>
      <c r="AZ2" s="41"/>
      <c r="BA2" s="41"/>
      <c r="BB2" s="41"/>
      <c r="BC2" s="41"/>
      <c r="BD2" s="41"/>
      <c r="BE2" s="430"/>
      <c r="BF2" s="431"/>
      <c r="BG2" s="431"/>
      <c r="BH2" s="432"/>
      <c r="BI2" s="430"/>
    </row>
    <row r="3" spans="2:77" s="239" customFormat="1" ht="14.4" thickBot="1" x14ac:dyDescent="0.3">
      <c r="B3" s="450" t="s">
        <v>43</v>
      </c>
      <c r="C3" s="451" t="s">
        <v>49</v>
      </c>
      <c r="D3" s="452" t="s">
        <v>50</v>
      </c>
      <c r="E3" s="453" t="s">
        <v>62</v>
      </c>
      <c r="F3" s="454" t="s">
        <v>151</v>
      </c>
      <c r="G3" s="455" t="s">
        <v>58</v>
      </c>
      <c r="H3" s="456" t="s">
        <v>59</v>
      </c>
      <c r="I3" s="457" t="s">
        <v>73</v>
      </c>
      <c r="J3" s="458" t="s">
        <v>152</v>
      </c>
      <c r="K3" s="459" t="s">
        <v>84</v>
      </c>
      <c r="L3" s="460" t="s">
        <v>153</v>
      </c>
      <c r="M3" s="461" t="s">
        <v>154</v>
      </c>
      <c r="N3" s="462" t="s">
        <v>153</v>
      </c>
      <c r="O3" s="461" t="s">
        <v>154</v>
      </c>
      <c r="P3" s="463" t="s">
        <v>155</v>
      </c>
      <c r="Q3" s="464" t="s">
        <v>156</v>
      </c>
      <c r="R3" s="464" t="s">
        <v>157</v>
      </c>
      <c r="S3" s="465" t="s">
        <v>158</v>
      </c>
      <c r="T3" s="463" t="s">
        <v>155</v>
      </c>
      <c r="U3" s="466" t="s">
        <v>156</v>
      </c>
      <c r="V3" s="466" t="s">
        <v>157</v>
      </c>
      <c r="W3" s="464" t="s">
        <v>158</v>
      </c>
      <c r="X3" s="467" t="s">
        <v>159</v>
      </c>
      <c r="Y3" s="468" t="s">
        <v>160</v>
      </c>
      <c r="Z3" s="468" t="s">
        <v>161</v>
      </c>
      <c r="AA3" s="469" t="s">
        <v>67</v>
      </c>
      <c r="AB3" s="451" t="s">
        <v>162</v>
      </c>
      <c r="AC3" s="470" t="s">
        <v>163</v>
      </c>
      <c r="AD3" s="470" t="s">
        <v>164</v>
      </c>
      <c r="AE3" s="471" t="s">
        <v>165</v>
      </c>
      <c r="AF3" s="472" t="s">
        <v>35</v>
      </c>
      <c r="AG3" s="473" t="s">
        <v>166</v>
      </c>
      <c r="AH3" s="473" t="s">
        <v>75</v>
      </c>
      <c r="AI3" s="474" t="s">
        <v>167</v>
      </c>
      <c r="AJ3" s="474" t="s">
        <v>168</v>
      </c>
      <c r="AK3" s="474" t="s">
        <v>169</v>
      </c>
      <c r="AL3" s="475" t="s">
        <v>170</v>
      </c>
      <c r="AM3" s="476" t="s">
        <v>171</v>
      </c>
      <c r="AN3" s="477" t="s">
        <v>172</v>
      </c>
      <c r="AO3" s="478" t="s">
        <v>173</v>
      </c>
      <c r="AP3" s="479" t="s">
        <v>70</v>
      </c>
      <c r="AQ3" s="480" t="s">
        <v>174</v>
      </c>
      <c r="AR3" s="481" t="s">
        <v>30</v>
      </c>
      <c r="AS3" s="482" t="s">
        <v>175</v>
      </c>
      <c r="AT3" s="483" t="s">
        <v>176</v>
      </c>
      <c r="AU3" s="484" t="s">
        <v>177</v>
      </c>
      <c r="AV3" s="485"/>
      <c r="AW3" s="41"/>
      <c r="AX3" s="41"/>
      <c r="AY3" s="41"/>
      <c r="AZ3" s="41"/>
      <c r="BA3" s="41"/>
      <c r="BB3" s="41"/>
      <c r="BC3" s="41"/>
      <c r="BD3" s="41"/>
      <c r="BE3" s="486"/>
      <c r="BF3" s="487"/>
      <c r="BG3" s="487"/>
      <c r="BH3" s="488"/>
      <c r="BI3" s="486"/>
      <c r="BJ3" s="1300"/>
      <c r="BK3" s="1300"/>
      <c r="BL3" s="1300"/>
      <c r="BM3" s="1300"/>
      <c r="BN3" s="486"/>
      <c r="BO3" s="486"/>
      <c r="BP3" s="487"/>
      <c r="BQ3" s="487"/>
      <c r="BR3" s="487"/>
      <c r="BS3" s="487"/>
      <c r="BU3" s="487"/>
      <c r="BV3" s="487"/>
      <c r="BW3" s="487"/>
      <c r="BX3" s="487"/>
      <c r="BY3" s="487"/>
    </row>
    <row r="4" spans="2:77" x14ac:dyDescent="0.25">
      <c r="B4" s="286">
        <v>1</v>
      </c>
      <c r="C4" s="489">
        <v>1</v>
      </c>
      <c r="D4" s="490">
        <v>2</v>
      </c>
      <c r="E4" s="491">
        <v>100</v>
      </c>
      <c r="F4" s="492">
        <v>-36.869897645843999</v>
      </c>
      <c r="G4" s="493">
        <v>1000</v>
      </c>
      <c r="H4" s="494">
        <v>1000</v>
      </c>
      <c r="I4" s="495">
        <v>0</v>
      </c>
      <c r="J4" s="496" t="s">
        <v>1263</v>
      </c>
      <c r="K4" s="497">
        <v>0</v>
      </c>
      <c r="L4" s="498">
        <v>0</v>
      </c>
      <c r="M4" s="499">
        <v>0</v>
      </c>
      <c r="N4" s="500">
        <v>0</v>
      </c>
      <c r="O4" s="501">
        <v>0</v>
      </c>
      <c r="P4" s="502">
        <v>0</v>
      </c>
      <c r="Q4" s="503">
        <v>0</v>
      </c>
      <c r="R4" s="503">
        <v>0</v>
      </c>
      <c r="S4" s="504">
        <v>0</v>
      </c>
      <c r="T4" s="502">
        <v>0</v>
      </c>
      <c r="U4" s="503">
        <v>0</v>
      </c>
      <c r="V4" s="503">
        <v>0</v>
      </c>
      <c r="W4" s="505">
        <v>0</v>
      </c>
      <c r="X4" s="506">
        <v>0</v>
      </c>
      <c r="Y4" s="507">
        <v>0</v>
      </c>
      <c r="Z4" s="507">
        <v>0</v>
      </c>
      <c r="AA4" s="508">
        <v>0</v>
      </c>
      <c r="AB4" s="509">
        <v>0</v>
      </c>
      <c r="AC4" s="510">
        <v>0</v>
      </c>
      <c r="AD4" s="510">
        <v>0</v>
      </c>
      <c r="AE4" s="511">
        <v>0</v>
      </c>
      <c r="AF4" s="512">
        <v>0</v>
      </c>
      <c r="AG4" s="513">
        <v>0</v>
      </c>
      <c r="AH4" s="513">
        <v>0</v>
      </c>
      <c r="AI4" s="514">
        <v>0</v>
      </c>
      <c r="AJ4" s="514">
        <v>0</v>
      </c>
      <c r="AK4" s="514">
        <v>0</v>
      </c>
      <c r="AL4" s="514">
        <v>0</v>
      </c>
      <c r="AM4" s="515">
        <v>0</v>
      </c>
      <c r="AN4" s="516">
        <v>0</v>
      </c>
      <c r="AO4" s="517">
        <v>0</v>
      </c>
      <c r="AP4" s="518">
        <v>0</v>
      </c>
      <c r="AQ4" s="519">
        <v>0</v>
      </c>
      <c r="AR4" s="520">
        <v>0</v>
      </c>
      <c r="AS4" s="521">
        <v>0</v>
      </c>
      <c r="AT4" s="522">
        <v>0</v>
      </c>
      <c r="AU4" s="523" t="b">
        <v>0</v>
      </c>
      <c r="AV4" s="524"/>
      <c r="BE4" s="525"/>
      <c r="BF4" s="526"/>
      <c r="BG4" s="526"/>
      <c r="BH4" s="527"/>
      <c r="BI4" s="525"/>
      <c r="BJ4" s="527"/>
      <c r="BK4" s="525"/>
      <c r="BL4" s="525"/>
      <c r="BM4" s="525"/>
      <c r="BN4" s="525"/>
      <c r="BO4" s="525"/>
      <c r="BP4" s="526"/>
      <c r="BQ4" s="526"/>
      <c r="BR4" s="526"/>
      <c r="BS4" s="526"/>
      <c r="BU4" s="526"/>
      <c r="BV4" s="526"/>
      <c r="BW4" s="526"/>
      <c r="BX4" s="526"/>
      <c r="BY4" s="526"/>
    </row>
    <row r="5" spans="2:77" ht="14.1" customHeight="1" x14ac:dyDescent="0.25">
      <c r="B5" s="287">
        <v>2</v>
      </c>
      <c r="C5" s="528">
        <v>1</v>
      </c>
      <c r="D5" s="529">
        <v>3</v>
      </c>
      <c r="E5" s="530">
        <v>60</v>
      </c>
      <c r="F5" s="531">
        <v>-90.000000000000171</v>
      </c>
      <c r="G5" s="493">
        <v>1000</v>
      </c>
      <c r="H5" s="494">
        <v>1000</v>
      </c>
      <c r="I5" s="495">
        <v>0</v>
      </c>
      <c r="J5" s="532" t="s">
        <v>1263</v>
      </c>
      <c r="K5" s="533">
        <v>0</v>
      </c>
      <c r="L5" s="534">
        <v>0</v>
      </c>
      <c r="M5" s="535">
        <v>0</v>
      </c>
      <c r="N5" s="536">
        <v>0</v>
      </c>
      <c r="O5" s="537">
        <v>0</v>
      </c>
      <c r="P5" s="538">
        <v>0</v>
      </c>
      <c r="Q5" s="539">
        <v>0</v>
      </c>
      <c r="R5" s="539">
        <v>0</v>
      </c>
      <c r="S5" s="540">
        <v>0</v>
      </c>
      <c r="T5" s="538">
        <v>0</v>
      </c>
      <c r="U5" s="539">
        <v>0</v>
      </c>
      <c r="V5" s="539">
        <v>0</v>
      </c>
      <c r="W5" s="541">
        <v>0</v>
      </c>
      <c r="X5" s="542">
        <v>0</v>
      </c>
      <c r="Y5" s="543">
        <v>0</v>
      </c>
      <c r="Z5" s="543">
        <v>0</v>
      </c>
      <c r="AA5" s="544">
        <v>0</v>
      </c>
      <c r="AB5" s="528">
        <v>0</v>
      </c>
      <c r="AC5" s="545">
        <v>0</v>
      </c>
      <c r="AD5" s="545">
        <v>0</v>
      </c>
      <c r="AE5" s="546">
        <v>0</v>
      </c>
      <c r="AF5" s="547">
        <v>0</v>
      </c>
      <c r="AG5" s="548">
        <v>0</v>
      </c>
      <c r="AH5" s="548">
        <v>0</v>
      </c>
      <c r="AI5" s="549">
        <v>0</v>
      </c>
      <c r="AJ5" s="549">
        <v>0</v>
      </c>
      <c r="AK5" s="549">
        <v>0</v>
      </c>
      <c r="AL5" s="549">
        <v>0</v>
      </c>
      <c r="AM5" s="550">
        <v>0</v>
      </c>
      <c r="AN5" s="551">
        <v>0</v>
      </c>
      <c r="AO5" s="552">
        <v>0</v>
      </c>
      <c r="AP5" s="518">
        <v>0</v>
      </c>
      <c r="AQ5" s="519">
        <v>0</v>
      </c>
      <c r="AR5" s="520">
        <v>0</v>
      </c>
      <c r="AS5" s="553">
        <v>0</v>
      </c>
      <c r="AT5" s="522">
        <v>0</v>
      </c>
      <c r="AU5" s="554" t="b">
        <v>0</v>
      </c>
      <c r="AV5" s="524"/>
      <c r="BE5" s="525"/>
      <c r="BF5" s="526"/>
      <c r="BG5" s="526"/>
      <c r="BH5" s="527"/>
      <c r="BI5" s="525"/>
      <c r="BJ5" s="527"/>
      <c r="BK5" s="525"/>
      <c r="BL5" s="525"/>
      <c r="BM5" s="525"/>
      <c r="BN5" s="525"/>
      <c r="BO5" s="525"/>
      <c r="BP5" s="526"/>
      <c r="BQ5" s="526"/>
      <c r="BR5" s="526"/>
      <c r="BS5" s="526"/>
      <c r="BU5" s="526"/>
      <c r="BV5" s="526"/>
      <c r="BW5" s="526"/>
      <c r="BX5" s="526"/>
      <c r="BY5" s="526"/>
    </row>
    <row r="6" spans="2:77" ht="13.5" customHeight="1" x14ac:dyDescent="0.25">
      <c r="B6" s="287">
        <v>3</v>
      </c>
      <c r="C6" s="528">
        <v>1</v>
      </c>
      <c r="D6" s="529">
        <v>4</v>
      </c>
      <c r="E6" s="530">
        <v>72.111025509279784</v>
      </c>
      <c r="F6" s="531">
        <v>56.309932474020194</v>
      </c>
      <c r="G6" s="555">
        <v>1000</v>
      </c>
      <c r="H6" s="494">
        <v>1000</v>
      </c>
      <c r="I6" s="495">
        <v>0</v>
      </c>
      <c r="J6" s="532" t="s">
        <v>1263</v>
      </c>
      <c r="K6" s="533">
        <v>0</v>
      </c>
      <c r="L6" s="534">
        <v>0</v>
      </c>
      <c r="M6" s="535">
        <v>0</v>
      </c>
      <c r="N6" s="536">
        <v>0</v>
      </c>
      <c r="O6" s="537">
        <v>0</v>
      </c>
      <c r="P6" s="538">
        <v>0</v>
      </c>
      <c r="Q6" s="539">
        <v>0</v>
      </c>
      <c r="R6" s="539">
        <v>0</v>
      </c>
      <c r="S6" s="540">
        <v>0</v>
      </c>
      <c r="T6" s="538">
        <v>0</v>
      </c>
      <c r="U6" s="539">
        <v>0</v>
      </c>
      <c r="V6" s="539">
        <v>0</v>
      </c>
      <c r="W6" s="541">
        <v>0</v>
      </c>
      <c r="X6" s="542">
        <v>0</v>
      </c>
      <c r="Y6" s="543">
        <v>0</v>
      </c>
      <c r="Z6" s="543">
        <v>0</v>
      </c>
      <c r="AA6" s="544">
        <v>0</v>
      </c>
      <c r="AB6" s="528">
        <v>0</v>
      </c>
      <c r="AC6" s="545">
        <v>0</v>
      </c>
      <c r="AD6" s="545">
        <v>0</v>
      </c>
      <c r="AE6" s="546">
        <v>0</v>
      </c>
      <c r="AF6" s="547">
        <v>0</v>
      </c>
      <c r="AG6" s="548">
        <v>0</v>
      </c>
      <c r="AH6" s="548">
        <v>0</v>
      </c>
      <c r="AI6" s="549">
        <v>0</v>
      </c>
      <c r="AJ6" s="549">
        <v>0</v>
      </c>
      <c r="AK6" s="549">
        <v>0</v>
      </c>
      <c r="AL6" s="549">
        <v>0</v>
      </c>
      <c r="AM6" s="550">
        <v>0</v>
      </c>
      <c r="AN6" s="551">
        <v>0</v>
      </c>
      <c r="AO6" s="552">
        <v>0</v>
      </c>
      <c r="AP6" s="518">
        <v>0</v>
      </c>
      <c r="AQ6" s="519">
        <v>0</v>
      </c>
      <c r="AR6" s="520">
        <v>0</v>
      </c>
      <c r="AS6" s="556">
        <v>0</v>
      </c>
      <c r="AT6" s="557">
        <v>0</v>
      </c>
      <c r="AU6" s="554" t="b">
        <v>0</v>
      </c>
      <c r="AV6" s="524"/>
      <c r="BE6" s="525"/>
      <c r="BF6" s="525"/>
      <c r="BG6" s="525"/>
      <c r="BH6" s="526"/>
      <c r="BI6" s="526"/>
      <c r="BJ6" s="527"/>
      <c r="BK6" s="525"/>
      <c r="BL6" s="525"/>
      <c r="BM6" s="525"/>
      <c r="BN6" s="525"/>
      <c r="BO6" s="525"/>
      <c r="BP6" s="526"/>
      <c r="BQ6" s="526"/>
      <c r="BR6" s="526"/>
      <c r="BS6" s="526"/>
      <c r="BU6" s="526"/>
      <c r="BV6" s="526"/>
      <c r="BW6" s="526"/>
      <c r="BX6" s="526"/>
      <c r="BY6" s="526"/>
    </row>
    <row r="7" spans="2:77" ht="14.1" customHeight="1" x14ac:dyDescent="0.25">
      <c r="B7" s="287">
        <v>4</v>
      </c>
      <c r="C7" s="528">
        <v>1</v>
      </c>
      <c r="D7" s="529">
        <v>5</v>
      </c>
      <c r="E7" s="530">
        <v>76.157731058639087</v>
      </c>
      <c r="F7" s="531">
        <v>156.80140948635159</v>
      </c>
      <c r="G7" s="555">
        <v>1000</v>
      </c>
      <c r="H7" s="494">
        <v>1000</v>
      </c>
      <c r="I7" s="495">
        <v>0</v>
      </c>
      <c r="J7" s="532" t="s">
        <v>1263</v>
      </c>
      <c r="K7" s="533">
        <v>0</v>
      </c>
      <c r="L7" s="534">
        <v>0</v>
      </c>
      <c r="M7" s="535">
        <v>0</v>
      </c>
      <c r="N7" s="536">
        <v>0</v>
      </c>
      <c r="O7" s="537">
        <v>0</v>
      </c>
      <c r="P7" s="538">
        <v>0</v>
      </c>
      <c r="Q7" s="539">
        <v>0</v>
      </c>
      <c r="R7" s="539">
        <v>0</v>
      </c>
      <c r="S7" s="540">
        <v>0</v>
      </c>
      <c r="T7" s="538">
        <v>0</v>
      </c>
      <c r="U7" s="539">
        <v>0</v>
      </c>
      <c r="V7" s="539">
        <v>0</v>
      </c>
      <c r="W7" s="541">
        <v>0</v>
      </c>
      <c r="X7" s="542">
        <v>0</v>
      </c>
      <c r="Y7" s="543">
        <v>0</v>
      </c>
      <c r="Z7" s="543">
        <v>0</v>
      </c>
      <c r="AA7" s="544">
        <v>0</v>
      </c>
      <c r="AB7" s="528">
        <v>0</v>
      </c>
      <c r="AC7" s="545">
        <v>0</v>
      </c>
      <c r="AD7" s="545">
        <v>0</v>
      </c>
      <c r="AE7" s="546">
        <v>0</v>
      </c>
      <c r="AF7" s="547">
        <v>0</v>
      </c>
      <c r="AG7" s="548">
        <v>0</v>
      </c>
      <c r="AH7" s="548">
        <v>0</v>
      </c>
      <c r="AI7" s="549">
        <v>0</v>
      </c>
      <c r="AJ7" s="549">
        <v>0</v>
      </c>
      <c r="AK7" s="549">
        <v>0</v>
      </c>
      <c r="AL7" s="549">
        <v>0</v>
      </c>
      <c r="AM7" s="550">
        <v>0</v>
      </c>
      <c r="AN7" s="551">
        <v>0</v>
      </c>
      <c r="AO7" s="552">
        <v>0</v>
      </c>
      <c r="AP7" s="518">
        <v>0</v>
      </c>
      <c r="AQ7" s="519">
        <v>0</v>
      </c>
      <c r="AR7" s="520">
        <v>0</v>
      </c>
      <c r="AS7" s="556">
        <v>0</v>
      </c>
      <c r="AT7" s="557">
        <v>0</v>
      </c>
      <c r="AU7" s="554" t="b">
        <v>0</v>
      </c>
      <c r="AV7" s="524"/>
      <c r="BE7" s="525"/>
      <c r="BF7" s="525"/>
      <c r="BG7" s="525"/>
      <c r="BH7" s="526"/>
      <c r="BI7" s="526"/>
      <c r="BJ7" s="527"/>
      <c r="BK7" s="525"/>
      <c r="BL7" s="525"/>
      <c r="BM7" s="525"/>
      <c r="BN7" s="525"/>
      <c r="BO7" s="525"/>
      <c r="BP7" s="526"/>
      <c r="BQ7" s="526"/>
      <c r="BR7" s="526"/>
      <c r="BS7" s="526"/>
      <c r="BU7" s="526"/>
      <c r="BV7" s="526"/>
      <c r="BW7" s="526"/>
      <c r="BX7" s="526"/>
      <c r="BY7" s="526"/>
    </row>
    <row r="8" spans="2:77" ht="14.1" customHeight="1" x14ac:dyDescent="0.25">
      <c r="B8" s="287">
        <v>5</v>
      </c>
      <c r="C8" s="528">
        <v>1</v>
      </c>
      <c r="D8" s="529">
        <v>6</v>
      </c>
      <c r="E8" s="530">
        <v>184.39088914585776</v>
      </c>
      <c r="F8" s="531">
        <v>-130.60129464500423</v>
      </c>
      <c r="G8" s="555">
        <v>1000</v>
      </c>
      <c r="H8" s="494">
        <v>1000</v>
      </c>
      <c r="I8" s="558">
        <v>0</v>
      </c>
      <c r="J8" s="532" t="s">
        <v>1263</v>
      </c>
      <c r="K8" s="533">
        <v>0</v>
      </c>
      <c r="L8" s="534">
        <v>0</v>
      </c>
      <c r="M8" s="535">
        <v>0</v>
      </c>
      <c r="N8" s="536">
        <v>0</v>
      </c>
      <c r="O8" s="537">
        <v>0</v>
      </c>
      <c r="P8" s="538">
        <v>0</v>
      </c>
      <c r="Q8" s="539">
        <v>0</v>
      </c>
      <c r="R8" s="539">
        <v>0</v>
      </c>
      <c r="S8" s="540">
        <v>0</v>
      </c>
      <c r="T8" s="538">
        <v>0</v>
      </c>
      <c r="U8" s="539">
        <v>0</v>
      </c>
      <c r="V8" s="539">
        <v>0</v>
      </c>
      <c r="W8" s="541">
        <v>0</v>
      </c>
      <c r="X8" s="542">
        <v>0</v>
      </c>
      <c r="Y8" s="543">
        <v>0</v>
      </c>
      <c r="Z8" s="543">
        <v>0</v>
      </c>
      <c r="AA8" s="544">
        <v>0</v>
      </c>
      <c r="AB8" s="528">
        <v>0</v>
      </c>
      <c r="AC8" s="545">
        <v>0</v>
      </c>
      <c r="AD8" s="545">
        <v>0</v>
      </c>
      <c r="AE8" s="546">
        <v>0</v>
      </c>
      <c r="AF8" s="547">
        <v>0</v>
      </c>
      <c r="AG8" s="548">
        <v>0</v>
      </c>
      <c r="AH8" s="548">
        <v>0</v>
      </c>
      <c r="AI8" s="549">
        <v>0</v>
      </c>
      <c r="AJ8" s="549">
        <v>0</v>
      </c>
      <c r="AK8" s="549">
        <v>0</v>
      </c>
      <c r="AL8" s="549">
        <v>0</v>
      </c>
      <c r="AM8" s="550">
        <v>0</v>
      </c>
      <c r="AN8" s="551">
        <v>0</v>
      </c>
      <c r="AO8" s="552">
        <v>0</v>
      </c>
      <c r="AP8" s="518">
        <v>0</v>
      </c>
      <c r="AQ8" s="519">
        <v>0</v>
      </c>
      <c r="AR8" s="559">
        <v>0</v>
      </c>
      <c r="AS8" s="556">
        <v>0</v>
      </c>
      <c r="AT8" s="557">
        <v>0</v>
      </c>
      <c r="AU8" s="554" t="b">
        <v>0</v>
      </c>
      <c r="AV8" s="524"/>
      <c r="AW8" s="524"/>
      <c r="AX8" s="527"/>
      <c r="AY8" s="527"/>
      <c r="AZ8" s="527"/>
      <c r="BA8" s="527"/>
      <c r="BB8" s="527"/>
      <c r="BC8" s="527"/>
      <c r="BD8" s="527"/>
      <c r="BE8" s="525"/>
      <c r="BF8" s="525"/>
      <c r="BG8" s="525"/>
      <c r="BH8" s="526"/>
      <c r="BI8" s="526"/>
      <c r="BJ8" s="527"/>
      <c r="BK8" s="525"/>
      <c r="BL8" s="525"/>
      <c r="BM8" s="525"/>
      <c r="BN8" s="525"/>
      <c r="BO8" s="525"/>
      <c r="BP8" s="526"/>
      <c r="BQ8" s="526"/>
      <c r="BR8" s="526"/>
      <c r="BS8" s="526"/>
      <c r="BU8" s="526"/>
      <c r="BV8" s="526"/>
      <c r="BW8" s="526"/>
      <c r="BX8" s="526"/>
      <c r="BY8" s="526"/>
    </row>
    <row r="9" spans="2:77" ht="14.1" customHeight="1" x14ac:dyDescent="0.25">
      <c r="B9" s="287">
        <v>6</v>
      </c>
      <c r="C9" s="528"/>
      <c r="D9" s="529"/>
      <c r="E9" s="530"/>
      <c r="F9" s="531"/>
      <c r="G9" s="560"/>
      <c r="H9" s="561"/>
      <c r="I9" s="562"/>
      <c r="J9" s="532"/>
      <c r="K9" s="533"/>
      <c r="L9" s="534"/>
      <c r="M9" s="535"/>
      <c r="N9" s="536"/>
      <c r="O9" s="537"/>
      <c r="P9" s="538"/>
      <c r="Q9" s="539"/>
      <c r="R9" s="539"/>
      <c r="S9" s="540"/>
      <c r="T9" s="538"/>
      <c r="U9" s="539"/>
      <c r="V9" s="539"/>
      <c r="W9" s="541"/>
      <c r="X9" s="542"/>
      <c r="Y9" s="543"/>
      <c r="Z9" s="543"/>
      <c r="AA9" s="544"/>
      <c r="AB9" s="528"/>
      <c r="AC9" s="545"/>
      <c r="AD9" s="545"/>
      <c r="AE9" s="546"/>
      <c r="AF9" s="547"/>
      <c r="AG9" s="548"/>
      <c r="AH9" s="548"/>
      <c r="AI9" s="549"/>
      <c r="AJ9" s="549"/>
      <c r="AK9" s="549"/>
      <c r="AL9" s="549"/>
      <c r="AM9" s="550"/>
      <c r="AN9" s="551"/>
      <c r="AO9" s="552"/>
      <c r="AP9" s="518"/>
      <c r="AQ9" s="519"/>
      <c r="AR9" s="559"/>
      <c r="AS9" s="556"/>
      <c r="AT9" s="557"/>
      <c r="AU9" s="554"/>
      <c r="AV9" s="524"/>
      <c r="AW9" s="524"/>
      <c r="AX9" s="527"/>
      <c r="AY9" s="527"/>
      <c r="AZ9" s="527"/>
      <c r="BA9" s="527"/>
      <c r="BB9" s="527"/>
      <c r="BC9" s="527"/>
      <c r="BD9" s="527"/>
      <c r="BE9" s="525"/>
      <c r="BF9" s="525"/>
      <c r="BG9" s="525"/>
      <c r="BH9" s="526"/>
      <c r="BI9" s="526"/>
      <c r="BJ9" s="527"/>
      <c r="BK9" s="525"/>
      <c r="BL9" s="525"/>
      <c r="BM9" s="525"/>
      <c r="BN9" s="525"/>
      <c r="BO9" s="525"/>
      <c r="BP9" s="526"/>
      <c r="BQ9" s="526"/>
      <c r="BR9" s="526"/>
      <c r="BS9" s="526"/>
      <c r="BU9" s="526"/>
      <c r="BV9" s="526"/>
      <c r="BW9" s="526"/>
      <c r="BX9" s="526"/>
      <c r="BY9" s="526"/>
    </row>
    <row r="10" spans="2:77" ht="14.1" customHeight="1" x14ac:dyDescent="0.25">
      <c r="B10" s="287">
        <v>7</v>
      </c>
      <c r="C10" s="528"/>
      <c r="D10" s="529"/>
      <c r="E10" s="530"/>
      <c r="F10" s="531"/>
      <c r="G10" s="560"/>
      <c r="H10" s="561"/>
      <c r="I10" s="562"/>
      <c r="J10" s="532"/>
      <c r="K10" s="533"/>
      <c r="L10" s="534"/>
      <c r="M10" s="535"/>
      <c r="N10" s="536"/>
      <c r="O10" s="537"/>
      <c r="P10" s="538"/>
      <c r="Q10" s="539"/>
      <c r="R10" s="539"/>
      <c r="S10" s="540"/>
      <c r="T10" s="538"/>
      <c r="U10" s="539"/>
      <c r="V10" s="539"/>
      <c r="W10" s="541"/>
      <c r="X10" s="542"/>
      <c r="Y10" s="543"/>
      <c r="Z10" s="543"/>
      <c r="AA10" s="544"/>
      <c r="AB10" s="528"/>
      <c r="AC10" s="545"/>
      <c r="AD10" s="545"/>
      <c r="AE10" s="546"/>
      <c r="AF10" s="547"/>
      <c r="AG10" s="548"/>
      <c r="AH10" s="548"/>
      <c r="AI10" s="549"/>
      <c r="AJ10" s="549"/>
      <c r="AK10" s="549"/>
      <c r="AL10" s="549"/>
      <c r="AM10" s="550"/>
      <c r="AN10" s="551"/>
      <c r="AO10" s="552"/>
      <c r="AP10" s="518"/>
      <c r="AQ10" s="519"/>
      <c r="AR10" s="559"/>
      <c r="AS10" s="556"/>
      <c r="AT10" s="557"/>
      <c r="AU10" s="554"/>
      <c r="AV10" s="524"/>
      <c r="AW10" s="524"/>
      <c r="AX10" s="527"/>
      <c r="AY10" s="527"/>
      <c r="AZ10" s="527"/>
      <c r="BA10" s="527"/>
      <c r="BB10" s="527"/>
      <c r="BC10" s="527"/>
      <c r="BD10" s="527"/>
      <c r="BE10" s="525"/>
      <c r="BF10" s="525"/>
      <c r="BG10" s="525"/>
      <c r="BH10" s="526"/>
      <c r="BI10" s="526"/>
      <c r="BJ10" s="527"/>
      <c r="BK10" s="525"/>
      <c r="BL10" s="525"/>
      <c r="BM10" s="525"/>
      <c r="BN10" s="525"/>
      <c r="BO10" s="525"/>
      <c r="BP10" s="526"/>
      <c r="BQ10" s="526"/>
      <c r="BR10" s="526"/>
      <c r="BS10" s="526"/>
      <c r="BU10" s="526"/>
      <c r="BV10" s="526"/>
      <c r="BW10" s="526"/>
      <c r="BX10" s="526"/>
      <c r="BY10" s="526"/>
    </row>
    <row r="11" spans="2:77" ht="14.1" customHeight="1" x14ac:dyDescent="0.25">
      <c r="B11" s="287">
        <v>8</v>
      </c>
      <c r="C11" s="528"/>
      <c r="D11" s="529"/>
      <c r="E11" s="530"/>
      <c r="F11" s="531"/>
      <c r="G11" s="560"/>
      <c r="H11" s="561"/>
      <c r="I11" s="562"/>
      <c r="J11" s="532"/>
      <c r="K11" s="533"/>
      <c r="L11" s="534"/>
      <c r="M11" s="535"/>
      <c r="N11" s="536"/>
      <c r="O11" s="537"/>
      <c r="P11" s="538"/>
      <c r="Q11" s="539"/>
      <c r="R11" s="539"/>
      <c r="S11" s="540"/>
      <c r="T11" s="538"/>
      <c r="U11" s="539"/>
      <c r="V11" s="539"/>
      <c r="W11" s="541"/>
      <c r="X11" s="542"/>
      <c r="Y11" s="543"/>
      <c r="Z11" s="543"/>
      <c r="AA11" s="544"/>
      <c r="AB11" s="528"/>
      <c r="AC11" s="545"/>
      <c r="AD11" s="545"/>
      <c r="AE11" s="546"/>
      <c r="AF11" s="547"/>
      <c r="AG11" s="548"/>
      <c r="AH11" s="548"/>
      <c r="AI11" s="549"/>
      <c r="AJ11" s="549"/>
      <c r="AK11" s="549"/>
      <c r="AL11" s="549"/>
      <c r="AM11" s="550"/>
      <c r="AN11" s="551"/>
      <c r="AO11" s="552"/>
      <c r="AP11" s="518"/>
      <c r="AQ11" s="519"/>
      <c r="AR11" s="559"/>
      <c r="AS11" s="556"/>
      <c r="AT11" s="557"/>
      <c r="AU11" s="554"/>
      <c r="AV11" s="524"/>
      <c r="AW11" s="524"/>
      <c r="AX11" s="527"/>
      <c r="AY11" s="527"/>
      <c r="AZ11" s="527"/>
      <c r="BA11" s="527"/>
      <c r="BB11" s="527"/>
      <c r="BC11" s="527"/>
      <c r="BD11" s="527"/>
      <c r="BE11" s="525"/>
      <c r="BF11" s="525"/>
      <c r="BG11" s="525"/>
      <c r="BH11" s="526"/>
      <c r="BI11" s="526"/>
      <c r="BJ11" s="527"/>
      <c r="BK11" s="525"/>
      <c r="BL11" s="525"/>
      <c r="BM11" s="525"/>
      <c r="BN11" s="525"/>
      <c r="BO11" s="525"/>
      <c r="BP11" s="526"/>
      <c r="BQ11" s="526"/>
      <c r="BR11" s="526"/>
      <c r="BS11" s="526"/>
      <c r="BU11" s="526"/>
      <c r="BV11" s="526"/>
      <c r="BW11" s="526"/>
      <c r="BX11" s="526"/>
      <c r="BY11" s="526"/>
    </row>
    <row r="12" spans="2:77" ht="14.1" customHeight="1" x14ac:dyDescent="0.25">
      <c r="B12" s="287">
        <v>9</v>
      </c>
      <c r="C12" s="528"/>
      <c r="D12" s="529"/>
      <c r="E12" s="530"/>
      <c r="F12" s="531"/>
      <c r="G12" s="560"/>
      <c r="H12" s="561"/>
      <c r="I12" s="562"/>
      <c r="J12" s="532"/>
      <c r="K12" s="533"/>
      <c r="L12" s="534"/>
      <c r="M12" s="535"/>
      <c r="N12" s="536"/>
      <c r="O12" s="537"/>
      <c r="P12" s="538"/>
      <c r="Q12" s="539"/>
      <c r="R12" s="539"/>
      <c r="S12" s="540"/>
      <c r="T12" s="538"/>
      <c r="U12" s="539"/>
      <c r="V12" s="539"/>
      <c r="W12" s="541"/>
      <c r="X12" s="542"/>
      <c r="Y12" s="543"/>
      <c r="Z12" s="543"/>
      <c r="AA12" s="544"/>
      <c r="AB12" s="528"/>
      <c r="AC12" s="545"/>
      <c r="AD12" s="545"/>
      <c r="AE12" s="546"/>
      <c r="AF12" s="547"/>
      <c r="AG12" s="548"/>
      <c r="AH12" s="548"/>
      <c r="AI12" s="549"/>
      <c r="AJ12" s="549"/>
      <c r="AK12" s="549"/>
      <c r="AL12" s="549"/>
      <c r="AM12" s="550"/>
      <c r="AN12" s="551"/>
      <c r="AO12" s="552"/>
      <c r="AP12" s="518"/>
      <c r="AQ12" s="563"/>
      <c r="AR12" s="559"/>
      <c r="AS12" s="556"/>
      <c r="AT12" s="557"/>
      <c r="AU12" s="554"/>
      <c r="AV12" s="524"/>
      <c r="AW12" s="524"/>
      <c r="AX12" s="527"/>
      <c r="AY12" s="527"/>
      <c r="AZ12" s="527"/>
      <c r="BA12" s="527"/>
      <c r="BB12" s="527"/>
      <c r="BC12" s="527"/>
      <c r="BD12" s="527"/>
      <c r="BE12" s="525"/>
      <c r="BF12" s="525"/>
      <c r="BG12" s="525"/>
      <c r="BH12" s="526"/>
      <c r="BI12" s="526"/>
      <c r="BJ12" s="527"/>
      <c r="BK12" s="525"/>
      <c r="BL12" s="525"/>
      <c r="BM12" s="525"/>
      <c r="BN12" s="525"/>
      <c r="BO12" s="525"/>
      <c r="BP12" s="526"/>
      <c r="BQ12" s="526"/>
      <c r="BR12" s="526"/>
      <c r="BS12" s="526"/>
      <c r="BU12" s="526"/>
      <c r="BV12" s="526"/>
      <c r="BW12" s="526"/>
      <c r="BX12" s="526"/>
      <c r="BY12" s="526"/>
    </row>
    <row r="13" spans="2:77" ht="14.1" customHeight="1" x14ac:dyDescent="0.25">
      <c r="B13" s="287">
        <v>10</v>
      </c>
      <c r="C13" s="528"/>
      <c r="D13" s="529"/>
      <c r="E13" s="530"/>
      <c r="F13" s="531"/>
      <c r="G13" s="560"/>
      <c r="H13" s="561"/>
      <c r="I13" s="562"/>
      <c r="J13" s="532"/>
      <c r="K13" s="533"/>
      <c r="L13" s="534"/>
      <c r="M13" s="535"/>
      <c r="N13" s="536"/>
      <c r="O13" s="537"/>
      <c r="P13" s="538"/>
      <c r="Q13" s="539"/>
      <c r="R13" s="539"/>
      <c r="S13" s="540"/>
      <c r="T13" s="538"/>
      <c r="U13" s="539"/>
      <c r="V13" s="539"/>
      <c r="W13" s="541"/>
      <c r="X13" s="542"/>
      <c r="Y13" s="543"/>
      <c r="Z13" s="543"/>
      <c r="AA13" s="544"/>
      <c r="AB13" s="528"/>
      <c r="AC13" s="545"/>
      <c r="AD13" s="545"/>
      <c r="AE13" s="546"/>
      <c r="AF13" s="547"/>
      <c r="AG13" s="548"/>
      <c r="AH13" s="548"/>
      <c r="AI13" s="549"/>
      <c r="AJ13" s="549"/>
      <c r="AK13" s="549"/>
      <c r="AL13" s="549"/>
      <c r="AM13" s="550"/>
      <c r="AN13" s="551"/>
      <c r="AO13" s="552"/>
      <c r="AP13" s="518"/>
      <c r="AQ13" s="563"/>
      <c r="AR13" s="559"/>
      <c r="AS13" s="556"/>
      <c r="AT13" s="557"/>
      <c r="AU13" s="554"/>
      <c r="AV13" s="524"/>
      <c r="AW13" s="524"/>
      <c r="AX13" s="527"/>
      <c r="AY13" s="527"/>
      <c r="AZ13" s="527"/>
      <c r="BA13" s="527"/>
      <c r="BB13" s="527"/>
      <c r="BC13" s="527"/>
      <c r="BD13" s="527"/>
      <c r="BE13" s="525"/>
      <c r="BF13" s="525"/>
      <c r="BG13" s="525"/>
      <c r="BH13" s="526"/>
      <c r="BI13" s="526"/>
      <c r="BJ13" s="527"/>
      <c r="BK13" s="525"/>
      <c r="BL13" s="525"/>
      <c r="BM13" s="525"/>
      <c r="BN13" s="525"/>
      <c r="BO13" s="525"/>
      <c r="BP13" s="526"/>
      <c r="BQ13" s="526"/>
      <c r="BR13" s="526"/>
      <c r="BS13" s="526"/>
      <c r="BU13" s="526"/>
      <c r="BV13" s="526"/>
      <c r="BW13" s="526"/>
      <c r="BX13" s="526"/>
      <c r="BY13" s="526"/>
    </row>
    <row r="14" spans="2:77" ht="14.1" customHeight="1" x14ac:dyDescent="0.25">
      <c r="B14" s="287">
        <v>11</v>
      </c>
      <c r="C14" s="528"/>
      <c r="D14" s="529"/>
      <c r="E14" s="530"/>
      <c r="F14" s="531"/>
      <c r="G14" s="560"/>
      <c r="H14" s="561"/>
      <c r="I14" s="562"/>
      <c r="J14" s="532"/>
      <c r="K14" s="533"/>
      <c r="L14" s="534"/>
      <c r="M14" s="535"/>
      <c r="N14" s="536"/>
      <c r="O14" s="537"/>
      <c r="P14" s="538"/>
      <c r="Q14" s="539"/>
      <c r="R14" s="539"/>
      <c r="S14" s="540"/>
      <c r="T14" s="538"/>
      <c r="U14" s="539"/>
      <c r="V14" s="539"/>
      <c r="W14" s="541"/>
      <c r="X14" s="542"/>
      <c r="Y14" s="543"/>
      <c r="Z14" s="543"/>
      <c r="AA14" s="544"/>
      <c r="AB14" s="528"/>
      <c r="AC14" s="545"/>
      <c r="AD14" s="545"/>
      <c r="AE14" s="546"/>
      <c r="AF14" s="547"/>
      <c r="AG14" s="548"/>
      <c r="AH14" s="548"/>
      <c r="AI14" s="549"/>
      <c r="AJ14" s="549"/>
      <c r="AK14" s="549"/>
      <c r="AL14" s="549"/>
      <c r="AM14" s="550"/>
      <c r="AN14" s="551"/>
      <c r="AO14" s="552"/>
      <c r="AP14" s="518"/>
      <c r="AQ14" s="563"/>
      <c r="AR14" s="559"/>
      <c r="AS14" s="556"/>
      <c r="AT14" s="557"/>
      <c r="AU14" s="554"/>
      <c r="AV14" s="524"/>
      <c r="AW14" s="524"/>
      <c r="AX14" s="527"/>
      <c r="AY14" s="527"/>
      <c r="AZ14" s="527"/>
      <c r="BA14" s="527"/>
      <c r="BB14" s="527"/>
      <c r="BC14" s="527"/>
      <c r="BD14" s="527"/>
      <c r="BE14" s="525"/>
      <c r="BF14" s="525"/>
      <c r="BG14" s="525"/>
      <c r="BH14" s="526"/>
      <c r="BI14" s="526"/>
      <c r="BJ14" s="527"/>
      <c r="BK14" s="525"/>
      <c r="BL14" s="525"/>
      <c r="BM14" s="525"/>
      <c r="BN14" s="525"/>
      <c r="BO14" s="525"/>
      <c r="BP14" s="526"/>
      <c r="BQ14" s="526"/>
      <c r="BR14" s="526"/>
      <c r="BS14" s="526"/>
      <c r="BU14" s="526"/>
      <c r="BV14" s="526"/>
      <c r="BW14" s="526"/>
      <c r="BX14" s="526"/>
      <c r="BY14" s="526"/>
    </row>
    <row r="15" spans="2:77" ht="14.1" customHeight="1" x14ac:dyDescent="0.25">
      <c r="B15" s="287">
        <v>12</v>
      </c>
      <c r="C15" s="528"/>
      <c r="D15" s="529"/>
      <c r="E15" s="530"/>
      <c r="F15" s="531"/>
      <c r="G15" s="560"/>
      <c r="H15" s="561"/>
      <c r="I15" s="562"/>
      <c r="J15" s="532"/>
      <c r="K15" s="533"/>
      <c r="L15" s="534"/>
      <c r="M15" s="535"/>
      <c r="N15" s="536"/>
      <c r="O15" s="537"/>
      <c r="P15" s="538"/>
      <c r="Q15" s="539"/>
      <c r="R15" s="539"/>
      <c r="S15" s="540"/>
      <c r="T15" s="538"/>
      <c r="U15" s="539"/>
      <c r="V15" s="539"/>
      <c r="W15" s="541"/>
      <c r="X15" s="542"/>
      <c r="Y15" s="543"/>
      <c r="Z15" s="543"/>
      <c r="AA15" s="544"/>
      <c r="AB15" s="528"/>
      <c r="AC15" s="545"/>
      <c r="AD15" s="545"/>
      <c r="AE15" s="546"/>
      <c r="AF15" s="547"/>
      <c r="AG15" s="548"/>
      <c r="AH15" s="548"/>
      <c r="AI15" s="549"/>
      <c r="AJ15" s="549"/>
      <c r="AK15" s="549"/>
      <c r="AL15" s="549"/>
      <c r="AM15" s="550"/>
      <c r="AN15" s="551"/>
      <c r="AO15" s="552"/>
      <c r="AP15" s="518"/>
      <c r="AQ15" s="563"/>
      <c r="AR15" s="559"/>
      <c r="AS15" s="556"/>
      <c r="AT15" s="557"/>
      <c r="AU15" s="554"/>
      <c r="AV15" s="524"/>
      <c r="AW15" s="524"/>
      <c r="AX15" s="527"/>
      <c r="AY15" s="527"/>
      <c r="AZ15" s="527"/>
      <c r="BA15" s="527"/>
      <c r="BB15" s="527"/>
      <c r="BC15" s="527"/>
      <c r="BD15" s="527"/>
      <c r="BE15" s="525"/>
      <c r="BF15" s="525"/>
      <c r="BG15" s="525"/>
      <c r="BH15" s="526"/>
      <c r="BI15" s="526"/>
      <c r="BJ15" s="527"/>
      <c r="BK15" s="525"/>
      <c r="BL15" s="525"/>
      <c r="BM15" s="525"/>
      <c r="BN15" s="525"/>
      <c r="BO15" s="525"/>
      <c r="BP15" s="526"/>
      <c r="BQ15" s="526"/>
      <c r="BR15" s="526"/>
      <c r="BS15" s="526"/>
      <c r="BU15" s="526"/>
      <c r="BV15" s="526"/>
      <c r="BW15" s="526"/>
      <c r="BX15" s="526"/>
      <c r="BY15" s="526"/>
    </row>
    <row r="16" spans="2:77" ht="14.1" customHeight="1" x14ac:dyDescent="0.25">
      <c r="B16" s="287">
        <v>13</v>
      </c>
      <c r="C16" s="528"/>
      <c r="D16" s="529"/>
      <c r="E16" s="530"/>
      <c r="F16" s="531"/>
      <c r="G16" s="560"/>
      <c r="H16" s="561"/>
      <c r="I16" s="562"/>
      <c r="J16" s="532"/>
      <c r="K16" s="533"/>
      <c r="L16" s="534"/>
      <c r="M16" s="535"/>
      <c r="N16" s="536"/>
      <c r="O16" s="537"/>
      <c r="P16" s="538"/>
      <c r="Q16" s="539"/>
      <c r="R16" s="539"/>
      <c r="S16" s="540"/>
      <c r="T16" s="538"/>
      <c r="U16" s="539"/>
      <c r="V16" s="539"/>
      <c r="W16" s="541"/>
      <c r="X16" s="542"/>
      <c r="Y16" s="543"/>
      <c r="Z16" s="543"/>
      <c r="AA16" s="544"/>
      <c r="AB16" s="528"/>
      <c r="AC16" s="545"/>
      <c r="AD16" s="545"/>
      <c r="AE16" s="546"/>
      <c r="AF16" s="547"/>
      <c r="AG16" s="548"/>
      <c r="AH16" s="548"/>
      <c r="AI16" s="549"/>
      <c r="AJ16" s="549"/>
      <c r="AK16" s="549"/>
      <c r="AL16" s="549"/>
      <c r="AM16" s="550"/>
      <c r="AN16" s="551"/>
      <c r="AO16" s="552"/>
      <c r="AP16" s="518"/>
      <c r="AQ16" s="563"/>
      <c r="AR16" s="559"/>
      <c r="AS16" s="556"/>
      <c r="AT16" s="557"/>
      <c r="AU16" s="554"/>
      <c r="AV16" s="524"/>
      <c r="AW16" s="524"/>
      <c r="AX16" s="527"/>
      <c r="AY16" s="527"/>
      <c r="AZ16" s="527"/>
      <c r="BA16" s="527"/>
      <c r="BB16" s="527"/>
      <c r="BC16" s="527"/>
      <c r="BD16" s="527"/>
      <c r="BE16" s="525"/>
      <c r="BF16" s="525"/>
      <c r="BG16" s="525"/>
      <c r="BH16" s="526"/>
      <c r="BI16" s="526"/>
      <c r="BJ16" s="527"/>
      <c r="BK16" s="525"/>
      <c r="BL16" s="525"/>
      <c r="BM16" s="525"/>
      <c r="BN16" s="525"/>
      <c r="BO16" s="525"/>
      <c r="BP16" s="526"/>
      <c r="BQ16" s="526"/>
      <c r="BR16" s="526"/>
      <c r="BS16" s="526"/>
      <c r="BU16" s="526"/>
      <c r="BV16" s="526"/>
      <c r="BW16" s="526"/>
      <c r="BX16" s="526"/>
      <c r="BY16" s="526"/>
    </row>
    <row r="17" spans="2:77" ht="14.1" customHeight="1" x14ac:dyDescent="0.25">
      <c r="B17" s="287">
        <v>14</v>
      </c>
      <c r="C17" s="528"/>
      <c r="D17" s="529"/>
      <c r="E17" s="530"/>
      <c r="F17" s="531"/>
      <c r="G17" s="560"/>
      <c r="H17" s="561"/>
      <c r="I17" s="562"/>
      <c r="J17" s="532"/>
      <c r="K17" s="533"/>
      <c r="L17" s="534"/>
      <c r="M17" s="535"/>
      <c r="N17" s="536"/>
      <c r="O17" s="537"/>
      <c r="P17" s="538"/>
      <c r="Q17" s="539"/>
      <c r="R17" s="539"/>
      <c r="S17" s="540"/>
      <c r="T17" s="538"/>
      <c r="U17" s="539"/>
      <c r="V17" s="539"/>
      <c r="W17" s="541"/>
      <c r="X17" s="542"/>
      <c r="Y17" s="543"/>
      <c r="Z17" s="543"/>
      <c r="AA17" s="544"/>
      <c r="AB17" s="528"/>
      <c r="AC17" s="545"/>
      <c r="AD17" s="545"/>
      <c r="AE17" s="546"/>
      <c r="AF17" s="547"/>
      <c r="AG17" s="548"/>
      <c r="AH17" s="548"/>
      <c r="AI17" s="549"/>
      <c r="AJ17" s="549"/>
      <c r="AK17" s="549"/>
      <c r="AL17" s="549"/>
      <c r="AM17" s="550"/>
      <c r="AN17" s="551"/>
      <c r="AO17" s="552"/>
      <c r="AP17" s="518"/>
      <c r="AQ17" s="563"/>
      <c r="AR17" s="559"/>
      <c r="AS17" s="556"/>
      <c r="AT17" s="557"/>
      <c r="AU17" s="554"/>
      <c r="AV17" s="524"/>
      <c r="AW17" s="524"/>
      <c r="AX17" s="527"/>
      <c r="AY17" s="527"/>
      <c r="AZ17" s="527"/>
      <c r="BA17" s="527"/>
      <c r="BB17" s="527"/>
      <c r="BC17" s="527"/>
      <c r="BD17" s="527"/>
      <c r="BE17" s="525"/>
      <c r="BF17" s="525"/>
      <c r="BG17" s="525"/>
      <c r="BH17" s="526"/>
      <c r="BI17" s="526"/>
      <c r="BJ17" s="527"/>
      <c r="BK17" s="525"/>
      <c r="BL17" s="525"/>
      <c r="BM17" s="525"/>
      <c r="BN17" s="525"/>
      <c r="BO17" s="525"/>
      <c r="BP17" s="526"/>
      <c r="BQ17" s="526"/>
      <c r="BR17" s="526"/>
      <c r="BS17" s="526"/>
      <c r="BU17" s="526"/>
      <c r="BV17" s="526"/>
      <c r="BW17" s="526"/>
      <c r="BX17" s="526"/>
      <c r="BY17" s="526"/>
    </row>
    <row r="18" spans="2:77" ht="14.1" customHeight="1" x14ac:dyDescent="0.25">
      <c r="B18" s="287">
        <v>15</v>
      </c>
      <c r="C18" s="528"/>
      <c r="D18" s="529"/>
      <c r="E18" s="530"/>
      <c r="F18" s="531"/>
      <c r="G18" s="560"/>
      <c r="H18" s="561"/>
      <c r="I18" s="562"/>
      <c r="J18" s="532"/>
      <c r="K18" s="533"/>
      <c r="L18" s="534"/>
      <c r="M18" s="535"/>
      <c r="N18" s="536"/>
      <c r="O18" s="537"/>
      <c r="P18" s="538"/>
      <c r="Q18" s="539"/>
      <c r="R18" s="539"/>
      <c r="S18" s="540"/>
      <c r="T18" s="538"/>
      <c r="U18" s="539"/>
      <c r="V18" s="539"/>
      <c r="W18" s="541"/>
      <c r="X18" s="542"/>
      <c r="Y18" s="543"/>
      <c r="Z18" s="543"/>
      <c r="AA18" s="544"/>
      <c r="AB18" s="528"/>
      <c r="AC18" s="545"/>
      <c r="AD18" s="545"/>
      <c r="AE18" s="546"/>
      <c r="AF18" s="547"/>
      <c r="AG18" s="548"/>
      <c r="AH18" s="548"/>
      <c r="AI18" s="549"/>
      <c r="AJ18" s="549"/>
      <c r="AK18" s="549"/>
      <c r="AL18" s="549"/>
      <c r="AM18" s="550"/>
      <c r="AN18" s="551"/>
      <c r="AO18" s="552"/>
      <c r="AP18" s="518"/>
      <c r="AQ18" s="563"/>
      <c r="AR18" s="559"/>
      <c r="AS18" s="553"/>
      <c r="AT18" s="522"/>
      <c r="AU18" s="554"/>
      <c r="AV18" s="524"/>
      <c r="AW18" s="524"/>
      <c r="AY18" s="524"/>
      <c r="AZ18" s="524"/>
      <c r="BA18" s="525"/>
      <c r="BB18" s="525"/>
      <c r="BC18" s="525"/>
      <c r="BD18" s="525"/>
      <c r="BE18" s="525"/>
      <c r="BF18" s="525"/>
      <c r="BG18" s="525"/>
      <c r="BH18" s="526"/>
      <c r="BI18" s="526"/>
      <c r="BJ18" s="527"/>
      <c r="BK18" s="525"/>
      <c r="BL18" s="525"/>
      <c r="BM18" s="525"/>
      <c r="BN18" s="525"/>
      <c r="BO18" s="525"/>
      <c r="BP18" s="526"/>
      <c r="BQ18" s="526"/>
      <c r="BR18" s="526"/>
      <c r="BS18" s="526"/>
      <c r="BU18" s="526"/>
      <c r="BV18" s="526"/>
      <c r="BW18" s="526"/>
      <c r="BX18" s="526"/>
      <c r="BY18" s="526"/>
    </row>
    <row r="19" spans="2:77" ht="14.1" customHeight="1" x14ac:dyDescent="0.25">
      <c r="B19" s="287">
        <v>16</v>
      </c>
      <c r="C19" s="528"/>
      <c r="D19" s="529"/>
      <c r="E19" s="530"/>
      <c r="F19" s="531"/>
      <c r="G19" s="560"/>
      <c r="H19" s="561"/>
      <c r="I19" s="562"/>
      <c r="J19" s="532"/>
      <c r="K19" s="533"/>
      <c r="L19" s="534"/>
      <c r="M19" s="535"/>
      <c r="N19" s="536"/>
      <c r="O19" s="537"/>
      <c r="P19" s="538"/>
      <c r="Q19" s="539"/>
      <c r="R19" s="539"/>
      <c r="S19" s="540"/>
      <c r="T19" s="538"/>
      <c r="U19" s="539"/>
      <c r="V19" s="539"/>
      <c r="W19" s="541"/>
      <c r="X19" s="542"/>
      <c r="Y19" s="543"/>
      <c r="Z19" s="543"/>
      <c r="AA19" s="544"/>
      <c r="AB19" s="528"/>
      <c r="AC19" s="545"/>
      <c r="AD19" s="545"/>
      <c r="AE19" s="546"/>
      <c r="AF19" s="547"/>
      <c r="AG19" s="548"/>
      <c r="AH19" s="548"/>
      <c r="AI19" s="549"/>
      <c r="AJ19" s="549"/>
      <c r="AK19" s="549"/>
      <c r="AL19" s="549"/>
      <c r="AM19" s="550"/>
      <c r="AN19" s="551"/>
      <c r="AO19" s="552"/>
      <c r="AP19" s="518"/>
      <c r="AQ19" s="563"/>
      <c r="AR19" s="559"/>
      <c r="AS19" s="556"/>
      <c r="AT19" s="557"/>
      <c r="AU19" s="554"/>
      <c r="AV19" s="524"/>
      <c r="AW19" s="524"/>
      <c r="AX19" s="525"/>
      <c r="AY19" s="525"/>
      <c r="AZ19" s="526"/>
      <c r="BA19" s="526"/>
      <c r="BB19" s="527"/>
      <c r="BC19" s="525"/>
      <c r="BD19" s="525"/>
      <c r="BE19" s="525"/>
      <c r="BF19" s="525"/>
      <c r="BG19" s="525"/>
      <c r="BH19" s="526"/>
      <c r="BI19" s="526"/>
      <c r="BJ19" s="527"/>
      <c r="BK19" s="525"/>
      <c r="BL19" s="525"/>
      <c r="BM19" s="525"/>
      <c r="BN19" s="525"/>
      <c r="BO19" s="525"/>
      <c r="BP19" s="526"/>
      <c r="BQ19" s="526"/>
      <c r="BR19" s="526"/>
      <c r="BS19" s="526"/>
      <c r="BU19" s="526"/>
      <c r="BV19" s="526"/>
      <c r="BW19" s="526"/>
      <c r="BX19" s="526"/>
      <c r="BY19" s="526"/>
    </row>
    <row r="20" spans="2:77" ht="14.1" customHeight="1" x14ac:dyDescent="0.25">
      <c r="B20" s="287">
        <v>17</v>
      </c>
      <c r="C20" s="528"/>
      <c r="D20" s="529"/>
      <c r="E20" s="530"/>
      <c r="F20" s="531"/>
      <c r="G20" s="560"/>
      <c r="H20" s="561"/>
      <c r="I20" s="562"/>
      <c r="J20" s="532"/>
      <c r="K20" s="533"/>
      <c r="L20" s="534"/>
      <c r="M20" s="535"/>
      <c r="N20" s="536"/>
      <c r="O20" s="537"/>
      <c r="P20" s="538"/>
      <c r="Q20" s="539"/>
      <c r="R20" s="539"/>
      <c r="S20" s="540"/>
      <c r="T20" s="538"/>
      <c r="U20" s="539"/>
      <c r="V20" s="539"/>
      <c r="W20" s="541"/>
      <c r="X20" s="542"/>
      <c r="Y20" s="543"/>
      <c r="Z20" s="543"/>
      <c r="AA20" s="544"/>
      <c r="AB20" s="528"/>
      <c r="AC20" s="545"/>
      <c r="AD20" s="545"/>
      <c r="AE20" s="546"/>
      <c r="AF20" s="547"/>
      <c r="AG20" s="548"/>
      <c r="AH20" s="548"/>
      <c r="AI20" s="549"/>
      <c r="AJ20" s="549"/>
      <c r="AK20" s="549"/>
      <c r="AL20" s="549"/>
      <c r="AM20" s="550"/>
      <c r="AN20" s="551"/>
      <c r="AO20" s="552"/>
      <c r="AP20" s="518"/>
      <c r="AQ20" s="563"/>
      <c r="AR20" s="559"/>
      <c r="AS20" s="556"/>
      <c r="AT20" s="557"/>
      <c r="AU20" s="564"/>
      <c r="AV20" s="527"/>
      <c r="AW20" s="527"/>
      <c r="AX20" s="527"/>
      <c r="AY20" s="527"/>
      <c r="AZ20" s="527"/>
      <c r="BA20" s="527"/>
      <c r="BB20" s="527"/>
      <c r="BC20" s="525"/>
      <c r="BD20" s="525"/>
      <c r="BE20" s="525"/>
      <c r="BF20" s="525"/>
      <c r="BG20" s="525"/>
      <c r="BH20" s="526"/>
      <c r="BI20" s="526"/>
      <c r="BJ20" s="527"/>
      <c r="BK20" s="525"/>
      <c r="BL20" s="525"/>
      <c r="BM20" s="525"/>
      <c r="BN20" s="525"/>
      <c r="BO20" s="525"/>
      <c r="BP20" s="526"/>
      <c r="BQ20" s="526"/>
      <c r="BR20" s="526"/>
      <c r="BS20" s="526"/>
      <c r="BU20" s="526"/>
      <c r="BV20" s="526"/>
      <c r="BW20" s="526"/>
      <c r="BX20" s="526"/>
      <c r="BY20" s="526"/>
    </row>
    <row r="21" spans="2:77" ht="14.1" customHeight="1" x14ac:dyDescent="0.25">
      <c r="B21" s="287">
        <v>18</v>
      </c>
      <c r="C21" s="528"/>
      <c r="D21" s="529"/>
      <c r="E21" s="530"/>
      <c r="F21" s="531"/>
      <c r="G21" s="560"/>
      <c r="H21" s="561"/>
      <c r="I21" s="562"/>
      <c r="J21" s="532"/>
      <c r="K21" s="533"/>
      <c r="L21" s="534"/>
      <c r="M21" s="535"/>
      <c r="N21" s="536"/>
      <c r="O21" s="537"/>
      <c r="P21" s="538"/>
      <c r="Q21" s="539"/>
      <c r="R21" s="539"/>
      <c r="S21" s="540"/>
      <c r="T21" s="538"/>
      <c r="U21" s="539"/>
      <c r="V21" s="539"/>
      <c r="W21" s="541"/>
      <c r="X21" s="542"/>
      <c r="Y21" s="543"/>
      <c r="Z21" s="543"/>
      <c r="AA21" s="544"/>
      <c r="AB21" s="528"/>
      <c r="AC21" s="545"/>
      <c r="AD21" s="545"/>
      <c r="AE21" s="546"/>
      <c r="AF21" s="547"/>
      <c r="AG21" s="548"/>
      <c r="AH21" s="548"/>
      <c r="AI21" s="549"/>
      <c r="AJ21" s="549"/>
      <c r="AK21" s="549"/>
      <c r="AL21" s="549"/>
      <c r="AM21" s="550"/>
      <c r="AN21" s="551"/>
      <c r="AO21" s="552"/>
      <c r="AP21" s="518"/>
      <c r="AQ21" s="563"/>
      <c r="AR21" s="559"/>
      <c r="AS21" s="556"/>
      <c r="AT21" s="557"/>
      <c r="AU21" s="564"/>
      <c r="AV21" s="527"/>
      <c r="AW21" s="527"/>
      <c r="AX21" s="527"/>
      <c r="AY21" s="527"/>
      <c r="AZ21" s="527"/>
      <c r="BA21" s="527"/>
      <c r="BB21" s="527"/>
      <c r="BC21" s="525"/>
      <c r="BD21" s="525"/>
      <c r="BE21" s="525"/>
      <c r="BF21" s="525"/>
      <c r="BG21" s="525"/>
      <c r="BH21" s="526"/>
      <c r="BI21" s="526"/>
      <c r="BJ21" s="527"/>
      <c r="BK21" s="525"/>
      <c r="BL21" s="525"/>
      <c r="BM21" s="525"/>
      <c r="BN21" s="525"/>
      <c r="BO21" s="525"/>
      <c r="BP21" s="526"/>
      <c r="BQ21" s="526"/>
      <c r="BR21" s="526"/>
      <c r="BS21" s="526"/>
      <c r="BU21" s="526"/>
      <c r="BV21" s="526"/>
      <c r="BW21" s="526"/>
      <c r="BX21" s="526"/>
      <c r="BY21" s="526"/>
    </row>
    <row r="22" spans="2:77" ht="14.1" customHeight="1" x14ac:dyDescent="0.25">
      <c r="B22" s="287">
        <v>19</v>
      </c>
      <c r="C22" s="528"/>
      <c r="D22" s="529"/>
      <c r="E22" s="530"/>
      <c r="F22" s="531"/>
      <c r="G22" s="560"/>
      <c r="H22" s="561"/>
      <c r="I22" s="562"/>
      <c r="J22" s="532"/>
      <c r="K22" s="533"/>
      <c r="L22" s="534"/>
      <c r="M22" s="535"/>
      <c r="N22" s="536"/>
      <c r="O22" s="537"/>
      <c r="P22" s="538"/>
      <c r="Q22" s="539"/>
      <c r="R22" s="539"/>
      <c r="S22" s="540"/>
      <c r="T22" s="538"/>
      <c r="U22" s="539"/>
      <c r="V22" s="539"/>
      <c r="W22" s="541"/>
      <c r="X22" s="542"/>
      <c r="Y22" s="543"/>
      <c r="Z22" s="543"/>
      <c r="AA22" s="544"/>
      <c r="AB22" s="528"/>
      <c r="AC22" s="545"/>
      <c r="AD22" s="545"/>
      <c r="AE22" s="546"/>
      <c r="AF22" s="547"/>
      <c r="AG22" s="548"/>
      <c r="AH22" s="548"/>
      <c r="AI22" s="549"/>
      <c r="AJ22" s="549"/>
      <c r="AK22" s="549"/>
      <c r="AL22" s="549"/>
      <c r="AM22" s="550"/>
      <c r="AN22" s="551"/>
      <c r="AO22" s="552"/>
      <c r="AP22" s="518"/>
      <c r="AQ22" s="563"/>
      <c r="AR22" s="559"/>
      <c r="AS22" s="556"/>
      <c r="AT22" s="557"/>
      <c r="AU22" s="564"/>
      <c r="AV22" s="527"/>
      <c r="AW22" s="527"/>
      <c r="AX22" s="527"/>
      <c r="AY22" s="527"/>
      <c r="AZ22" s="527"/>
      <c r="BA22" s="527"/>
      <c r="BB22" s="527"/>
      <c r="BC22" s="525"/>
      <c r="BD22" s="525"/>
      <c r="BE22" s="525"/>
      <c r="BF22" s="525"/>
      <c r="BG22" s="525"/>
      <c r="BH22" s="526"/>
      <c r="BI22" s="526"/>
      <c r="BJ22" s="527"/>
      <c r="BK22" s="525"/>
      <c r="BL22" s="525"/>
      <c r="BM22" s="525"/>
      <c r="BN22" s="525"/>
      <c r="BO22" s="525"/>
      <c r="BP22" s="526"/>
      <c r="BQ22" s="526"/>
      <c r="BR22" s="526"/>
      <c r="BS22" s="526"/>
      <c r="BU22" s="526"/>
      <c r="BV22" s="526"/>
      <c r="BW22" s="526"/>
      <c r="BX22" s="526"/>
      <c r="BY22" s="526"/>
    </row>
    <row r="23" spans="2:77" ht="14.1" customHeight="1" x14ac:dyDescent="0.25">
      <c r="B23" s="565">
        <v>20</v>
      </c>
      <c r="C23" s="528"/>
      <c r="D23" s="529"/>
      <c r="E23" s="530"/>
      <c r="F23" s="531"/>
      <c r="G23" s="560"/>
      <c r="H23" s="561"/>
      <c r="I23" s="562"/>
      <c r="J23" s="532"/>
      <c r="K23" s="533"/>
      <c r="L23" s="534"/>
      <c r="M23" s="535"/>
      <c r="N23" s="536"/>
      <c r="O23" s="537"/>
      <c r="P23" s="538"/>
      <c r="Q23" s="539"/>
      <c r="R23" s="539"/>
      <c r="S23" s="540"/>
      <c r="T23" s="538"/>
      <c r="U23" s="539"/>
      <c r="V23" s="539"/>
      <c r="W23" s="541"/>
      <c r="X23" s="542"/>
      <c r="Y23" s="543"/>
      <c r="Z23" s="543"/>
      <c r="AA23" s="544"/>
      <c r="AB23" s="528"/>
      <c r="AC23" s="545"/>
      <c r="AD23" s="545"/>
      <c r="AE23" s="546"/>
      <c r="AF23" s="547"/>
      <c r="AG23" s="548"/>
      <c r="AH23" s="548"/>
      <c r="AI23" s="549"/>
      <c r="AJ23" s="549"/>
      <c r="AK23" s="549"/>
      <c r="AL23" s="549"/>
      <c r="AM23" s="550"/>
      <c r="AN23" s="551"/>
      <c r="AO23" s="552"/>
      <c r="AP23" s="566"/>
      <c r="AQ23" s="563"/>
      <c r="AR23" s="559"/>
      <c r="AS23" s="556"/>
      <c r="AT23" s="557"/>
      <c r="AU23" s="564"/>
      <c r="AV23" s="527"/>
      <c r="AW23" s="527"/>
      <c r="AX23" s="527"/>
      <c r="AY23" s="527"/>
      <c r="AZ23" s="527"/>
      <c r="BA23" s="527"/>
      <c r="BB23" s="527"/>
      <c r="BC23" s="525"/>
      <c r="BD23" s="525"/>
      <c r="BE23" s="525"/>
      <c r="BF23" s="525"/>
      <c r="BG23" s="525"/>
      <c r="BH23" s="526"/>
      <c r="BI23" s="526"/>
      <c r="BJ23" s="527"/>
      <c r="BK23" s="525"/>
      <c r="BL23" s="525"/>
      <c r="BM23" s="525"/>
      <c r="BN23" s="525"/>
      <c r="BO23" s="525"/>
      <c r="BP23" s="526"/>
      <c r="BQ23" s="526"/>
      <c r="BR23" s="526"/>
      <c r="BS23" s="526"/>
      <c r="BU23" s="526"/>
      <c r="BV23" s="526"/>
      <c r="BW23" s="526"/>
      <c r="BX23" s="526"/>
      <c r="BY23" s="526"/>
    </row>
    <row r="24" spans="2:77" ht="14.1" customHeight="1" x14ac:dyDescent="0.25">
      <c r="B24" s="287">
        <v>21</v>
      </c>
      <c r="C24" s="528"/>
      <c r="D24" s="529"/>
      <c r="E24" s="530"/>
      <c r="F24" s="531"/>
      <c r="G24" s="560"/>
      <c r="H24" s="561"/>
      <c r="I24" s="562"/>
      <c r="J24" s="532"/>
      <c r="K24" s="533"/>
      <c r="L24" s="534"/>
      <c r="M24" s="535"/>
      <c r="N24" s="536"/>
      <c r="O24" s="537"/>
      <c r="P24" s="538"/>
      <c r="Q24" s="539"/>
      <c r="R24" s="539"/>
      <c r="S24" s="540"/>
      <c r="T24" s="538"/>
      <c r="U24" s="539"/>
      <c r="V24" s="539"/>
      <c r="W24" s="541"/>
      <c r="X24" s="542"/>
      <c r="Y24" s="543"/>
      <c r="Z24" s="543"/>
      <c r="AA24" s="544"/>
      <c r="AB24" s="528"/>
      <c r="AC24" s="545"/>
      <c r="AD24" s="545"/>
      <c r="AE24" s="546"/>
      <c r="AF24" s="547"/>
      <c r="AG24" s="548"/>
      <c r="AH24" s="548"/>
      <c r="AI24" s="549"/>
      <c r="AJ24" s="549"/>
      <c r="AK24" s="549"/>
      <c r="AL24" s="549"/>
      <c r="AM24" s="550"/>
      <c r="AN24" s="551"/>
      <c r="AO24" s="552"/>
      <c r="AP24" s="518"/>
      <c r="AQ24" s="563"/>
      <c r="AR24" s="559"/>
      <c r="AS24" s="556"/>
      <c r="AT24" s="557"/>
      <c r="AU24" s="564"/>
      <c r="AV24" s="527"/>
      <c r="AW24" s="527"/>
      <c r="AX24" s="527"/>
      <c r="AY24" s="527"/>
      <c r="AZ24" s="527"/>
      <c r="BA24" s="527"/>
      <c r="BB24" s="527"/>
      <c r="BC24" s="525"/>
      <c r="BD24" s="525"/>
      <c r="BE24" s="525"/>
      <c r="BF24" s="525"/>
      <c r="BG24" s="525"/>
      <c r="BH24" s="526"/>
      <c r="BI24" s="526"/>
      <c r="BJ24" s="527"/>
      <c r="BK24" s="525"/>
      <c r="BL24" s="525"/>
      <c r="BM24" s="525"/>
      <c r="BN24" s="525"/>
      <c r="BO24" s="525"/>
      <c r="BP24" s="526"/>
      <c r="BQ24" s="526"/>
      <c r="BR24" s="526"/>
      <c r="BS24" s="526"/>
      <c r="BU24" s="526"/>
      <c r="BV24" s="526"/>
      <c r="BW24" s="526"/>
      <c r="BX24" s="526"/>
      <c r="BY24" s="526"/>
    </row>
    <row r="25" spans="2:77" ht="14.1" customHeight="1" x14ac:dyDescent="0.25">
      <c r="B25" s="287">
        <v>22</v>
      </c>
      <c r="C25" s="528"/>
      <c r="D25" s="529"/>
      <c r="E25" s="530"/>
      <c r="F25" s="531"/>
      <c r="G25" s="560"/>
      <c r="H25" s="561"/>
      <c r="I25" s="562"/>
      <c r="J25" s="532"/>
      <c r="K25" s="533"/>
      <c r="L25" s="534"/>
      <c r="M25" s="535"/>
      <c r="N25" s="536"/>
      <c r="O25" s="537"/>
      <c r="P25" s="538"/>
      <c r="Q25" s="539"/>
      <c r="R25" s="539"/>
      <c r="S25" s="540"/>
      <c r="T25" s="538"/>
      <c r="U25" s="539"/>
      <c r="V25" s="539"/>
      <c r="W25" s="541"/>
      <c r="X25" s="542"/>
      <c r="Y25" s="543"/>
      <c r="Z25" s="543"/>
      <c r="AA25" s="544"/>
      <c r="AB25" s="528"/>
      <c r="AC25" s="545"/>
      <c r="AD25" s="545"/>
      <c r="AE25" s="546"/>
      <c r="AF25" s="547"/>
      <c r="AG25" s="548"/>
      <c r="AH25" s="548"/>
      <c r="AI25" s="549"/>
      <c r="AJ25" s="549"/>
      <c r="AK25" s="549"/>
      <c r="AL25" s="549"/>
      <c r="AM25" s="550"/>
      <c r="AN25" s="551"/>
      <c r="AO25" s="552"/>
      <c r="AP25" s="518"/>
      <c r="AQ25" s="563"/>
      <c r="AR25" s="559"/>
      <c r="AS25" s="556"/>
      <c r="AT25" s="557"/>
      <c r="AU25" s="564"/>
      <c r="AV25" s="527"/>
      <c r="AW25" s="527"/>
      <c r="AX25" s="527"/>
      <c r="AY25" s="527"/>
      <c r="AZ25" s="527"/>
      <c r="BA25" s="527"/>
      <c r="BB25" s="527"/>
      <c r="BC25" s="525"/>
      <c r="BD25" s="525"/>
      <c r="BE25" s="525"/>
      <c r="BF25" s="525"/>
      <c r="BG25" s="525"/>
      <c r="BH25" s="526"/>
      <c r="BI25" s="526"/>
      <c r="BJ25" s="527"/>
      <c r="BK25" s="525"/>
      <c r="BL25" s="525"/>
      <c r="BM25" s="525"/>
      <c r="BN25" s="525"/>
      <c r="BO25" s="525"/>
      <c r="BP25" s="526"/>
      <c r="BQ25" s="526"/>
      <c r="BR25" s="526"/>
      <c r="BS25" s="526"/>
      <c r="BU25" s="526"/>
      <c r="BV25" s="526"/>
      <c r="BW25" s="526"/>
      <c r="BX25" s="526"/>
      <c r="BY25" s="526"/>
    </row>
    <row r="26" spans="2:77" ht="14.1" customHeight="1" x14ac:dyDescent="0.25">
      <c r="B26" s="287">
        <v>23</v>
      </c>
      <c r="C26" s="528"/>
      <c r="D26" s="529"/>
      <c r="E26" s="530"/>
      <c r="F26" s="531"/>
      <c r="G26" s="560"/>
      <c r="H26" s="561"/>
      <c r="I26" s="562"/>
      <c r="J26" s="532"/>
      <c r="K26" s="533"/>
      <c r="L26" s="534"/>
      <c r="M26" s="535"/>
      <c r="N26" s="536"/>
      <c r="O26" s="537"/>
      <c r="P26" s="538"/>
      <c r="Q26" s="539"/>
      <c r="R26" s="539"/>
      <c r="S26" s="540"/>
      <c r="T26" s="538"/>
      <c r="U26" s="539"/>
      <c r="V26" s="539"/>
      <c r="W26" s="541"/>
      <c r="X26" s="542"/>
      <c r="Y26" s="543"/>
      <c r="Z26" s="543"/>
      <c r="AA26" s="544"/>
      <c r="AB26" s="528"/>
      <c r="AC26" s="545"/>
      <c r="AD26" s="545"/>
      <c r="AE26" s="546"/>
      <c r="AF26" s="547"/>
      <c r="AG26" s="548"/>
      <c r="AH26" s="548"/>
      <c r="AI26" s="549"/>
      <c r="AJ26" s="549"/>
      <c r="AK26" s="549"/>
      <c r="AL26" s="549"/>
      <c r="AM26" s="550"/>
      <c r="AN26" s="551"/>
      <c r="AO26" s="552"/>
      <c r="AP26" s="518"/>
      <c r="AQ26" s="563"/>
      <c r="AR26" s="559"/>
      <c r="AS26" s="556"/>
      <c r="AT26" s="557"/>
      <c r="AU26" s="564"/>
      <c r="AV26" s="527"/>
      <c r="AW26" s="527"/>
      <c r="AX26" s="527"/>
      <c r="AY26" s="527"/>
      <c r="AZ26" s="527"/>
      <c r="BA26" s="527"/>
      <c r="BB26" s="527"/>
      <c r="BC26" s="525"/>
      <c r="BD26" s="525"/>
      <c r="BE26" s="525"/>
      <c r="BF26" s="525"/>
      <c r="BG26" s="525"/>
      <c r="BH26" s="526"/>
      <c r="BI26" s="526"/>
      <c r="BJ26" s="527"/>
      <c r="BK26" s="525"/>
      <c r="BL26" s="525"/>
      <c r="BM26" s="525"/>
      <c r="BN26" s="525"/>
      <c r="BO26" s="525"/>
      <c r="BP26" s="526"/>
      <c r="BQ26" s="526"/>
      <c r="BR26" s="526"/>
      <c r="BS26" s="526"/>
      <c r="BU26" s="526"/>
      <c r="BV26" s="526"/>
      <c r="BW26" s="526"/>
      <c r="BX26" s="526"/>
      <c r="BY26" s="526"/>
    </row>
    <row r="27" spans="2:77" ht="14.1" customHeight="1" x14ac:dyDescent="0.25">
      <c r="B27" s="287">
        <v>24</v>
      </c>
      <c r="C27" s="528"/>
      <c r="D27" s="529"/>
      <c r="E27" s="530"/>
      <c r="F27" s="531"/>
      <c r="G27" s="560"/>
      <c r="H27" s="561"/>
      <c r="I27" s="562"/>
      <c r="J27" s="532"/>
      <c r="K27" s="533"/>
      <c r="L27" s="534"/>
      <c r="M27" s="535"/>
      <c r="N27" s="536"/>
      <c r="O27" s="537"/>
      <c r="P27" s="538"/>
      <c r="Q27" s="539"/>
      <c r="R27" s="539"/>
      <c r="S27" s="540"/>
      <c r="T27" s="538"/>
      <c r="U27" s="539"/>
      <c r="V27" s="539"/>
      <c r="W27" s="541"/>
      <c r="X27" s="542"/>
      <c r="Y27" s="543"/>
      <c r="Z27" s="543"/>
      <c r="AA27" s="544"/>
      <c r="AB27" s="528"/>
      <c r="AC27" s="545"/>
      <c r="AD27" s="545"/>
      <c r="AE27" s="546"/>
      <c r="AF27" s="547"/>
      <c r="AG27" s="548"/>
      <c r="AH27" s="548"/>
      <c r="AI27" s="549"/>
      <c r="AJ27" s="549"/>
      <c r="AK27" s="549"/>
      <c r="AL27" s="549"/>
      <c r="AM27" s="550"/>
      <c r="AN27" s="551"/>
      <c r="AO27" s="552"/>
      <c r="AP27" s="518"/>
      <c r="AQ27" s="563"/>
      <c r="AR27" s="559"/>
      <c r="AS27" s="556"/>
      <c r="AT27" s="557"/>
      <c r="AU27" s="564"/>
      <c r="AV27" s="527"/>
      <c r="AW27" s="527"/>
      <c r="AX27" s="527"/>
      <c r="AY27" s="527"/>
      <c r="AZ27" s="527"/>
      <c r="BA27" s="527"/>
      <c r="BB27" s="527"/>
      <c r="BC27" s="525"/>
      <c r="BD27" s="525"/>
      <c r="BE27" s="525"/>
      <c r="BF27" s="525"/>
      <c r="BG27" s="525"/>
      <c r="BH27" s="526"/>
      <c r="BI27" s="526"/>
      <c r="BJ27" s="527"/>
      <c r="BK27" s="525"/>
      <c r="BL27" s="525"/>
      <c r="BM27" s="525"/>
      <c r="BN27" s="525"/>
      <c r="BO27" s="525"/>
      <c r="BP27" s="526"/>
      <c r="BQ27" s="526"/>
      <c r="BR27" s="526"/>
      <c r="BS27" s="526"/>
      <c r="BU27" s="526"/>
      <c r="BV27" s="526"/>
      <c r="BW27" s="526"/>
      <c r="BX27" s="526"/>
      <c r="BY27" s="526"/>
    </row>
    <row r="28" spans="2:77" ht="14.1" customHeight="1" x14ac:dyDescent="0.25">
      <c r="B28" s="287">
        <v>25</v>
      </c>
      <c r="C28" s="528"/>
      <c r="D28" s="529"/>
      <c r="E28" s="530"/>
      <c r="F28" s="531"/>
      <c r="G28" s="560"/>
      <c r="H28" s="561"/>
      <c r="I28" s="562"/>
      <c r="J28" s="532"/>
      <c r="K28" s="533"/>
      <c r="L28" s="534"/>
      <c r="M28" s="535"/>
      <c r="N28" s="536"/>
      <c r="O28" s="537"/>
      <c r="P28" s="538"/>
      <c r="Q28" s="539"/>
      <c r="R28" s="539"/>
      <c r="S28" s="540"/>
      <c r="T28" s="538"/>
      <c r="U28" s="539"/>
      <c r="V28" s="539"/>
      <c r="W28" s="541"/>
      <c r="X28" s="542"/>
      <c r="Y28" s="543"/>
      <c r="Z28" s="543"/>
      <c r="AA28" s="544"/>
      <c r="AB28" s="528"/>
      <c r="AC28" s="545"/>
      <c r="AD28" s="545"/>
      <c r="AE28" s="546"/>
      <c r="AF28" s="547"/>
      <c r="AG28" s="548"/>
      <c r="AH28" s="548"/>
      <c r="AI28" s="549"/>
      <c r="AJ28" s="549"/>
      <c r="AK28" s="549"/>
      <c r="AL28" s="549"/>
      <c r="AM28" s="550"/>
      <c r="AN28" s="551"/>
      <c r="AO28" s="552"/>
      <c r="AP28" s="518"/>
      <c r="AQ28" s="563"/>
      <c r="AR28" s="559"/>
      <c r="AS28" s="556"/>
      <c r="AT28" s="557"/>
      <c r="AU28" s="564"/>
      <c r="AV28" s="527"/>
      <c r="AW28" s="527"/>
      <c r="AX28" s="527"/>
      <c r="AY28" s="527"/>
      <c r="AZ28" s="527"/>
      <c r="BA28" s="527"/>
      <c r="BB28" s="527"/>
      <c r="BC28" s="525"/>
      <c r="BD28" s="525"/>
      <c r="BE28" s="525"/>
      <c r="BF28" s="525"/>
      <c r="BG28" s="525"/>
      <c r="BH28" s="526"/>
      <c r="BI28" s="526"/>
      <c r="BJ28" s="527"/>
      <c r="BK28" s="525"/>
      <c r="BL28" s="525"/>
      <c r="BM28" s="525"/>
      <c r="BN28" s="525"/>
      <c r="BO28" s="525"/>
      <c r="BP28" s="526"/>
      <c r="BQ28" s="526"/>
      <c r="BR28" s="526"/>
      <c r="BS28" s="526"/>
      <c r="BU28" s="526"/>
      <c r="BV28" s="526"/>
      <c r="BW28" s="526"/>
      <c r="BX28" s="526"/>
      <c r="BY28" s="526"/>
    </row>
    <row r="29" spans="2:77" ht="14.1" customHeight="1" x14ac:dyDescent="0.25">
      <c r="B29" s="287">
        <v>26</v>
      </c>
      <c r="C29" s="528"/>
      <c r="D29" s="529"/>
      <c r="E29" s="530"/>
      <c r="F29" s="531"/>
      <c r="G29" s="560"/>
      <c r="H29" s="561"/>
      <c r="I29" s="562"/>
      <c r="J29" s="532"/>
      <c r="K29" s="533"/>
      <c r="L29" s="534"/>
      <c r="M29" s="535"/>
      <c r="N29" s="536"/>
      <c r="O29" s="537"/>
      <c r="P29" s="538"/>
      <c r="Q29" s="539"/>
      <c r="R29" s="539"/>
      <c r="S29" s="540"/>
      <c r="T29" s="538"/>
      <c r="U29" s="539"/>
      <c r="V29" s="539"/>
      <c r="W29" s="541"/>
      <c r="X29" s="542"/>
      <c r="Y29" s="543"/>
      <c r="Z29" s="543"/>
      <c r="AA29" s="544"/>
      <c r="AB29" s="528"/>
      <c r="AC29" s="545"/>
      <c r="AD29" s="545"/>
      <c r="AE29" s="546"/>
      <c r="AF29" s="547"/>
      <c r="AG29" s="548"/>
      <c r="AH29" s="548"/>
      <c r="AI29" s="549"/>
      <c r="AJ29" s="549"/>
      <c r="AK29" s="549"/>
      <c r="AL29" s="549"/>
      <c r="AM29" s="550"/>
      <c r="AN29" s="551"/>
      <c r="AO29" s="552"/>
      <c r="AP29" s="518"/>
      <c r="AQ29" s="563"/>
      <c r="AR29" s="559"/>
      <c r="AS29" s="556"/>
      <c r="AT29" s="557"/>
      <c r="AU29" s="564"/>
      <c r="AV29" s="527"/>
      <c r="AW29" s="527"/>
      <c r="AX29" s="527"/>
      <c r="AY29" s="527"/>
      <c r="AZ29" s="527"/>
      <c r="BA29" s="527"/>
      <c r="BB29" s="527"/>
      <c r="BC29" s="525"/>
      <c r="BD29" s="525"/>
      <c r="BE29" s="525"/>
      <c r="BF29" s="525"/>
      <c r="BG29" s="525"/>
      <c r="BH29" s="526"/>
      <c r="BI29" s="526"/>
      <c r="BJ29" s="527"/>
      <c r="BK29" s="525"/>
      <c r="BL29" s="525"/>
      <c r="BM29" s="525"/>
      <c r="BN29" s="525"/>
      <c r="BO29" s="525"/>
      <c r="BP29" s="526"/>
      <c r="BQ29" s="526"/>
      <c r="BR29" s="526"/>
      <c r="BS29" s="526"/>
      <c r="BU29" s="526"/>
      <c r="BV29" s="526"/>
      <c r="BW29" s="526"/>
      <c r="BX29" s="526"/>
      <c r="BY29" s="526"/>
    </row>
    <row r="30" spans="2:77" ht="14.1" customHeight="1" x14ac:dyDescent="0.25">
      <c r="B30" s="287">
        <v>27</v>
      </c>
      <c r="C30" s="528"/>
      <c r="D30" s="529"/>
      <c r="E30" s="530"/>
      <c r="F30" s="531"/>
      <c r="G30" s="560"/>
      <c r="H30" s="561"/>
      <c r="I30" s="562"/>
      <c r="J30" s="532"/>
      <c r="K30" s="533"/>
      <c r="L30" s="534"/>
      <c r="M30" s="535"/>
      <c r="N30" s="536"/>
      <c r="O30" s="537"/>
      <c r="P30" s="538"/>
      <c r="Q30" s="539"/>
      <c r="R30" s="539"/>
      <c r="S30" s="540"/>
      <c r="T30" s="538"/>
      <c r="U30" s="539"/>
      <c r="V30" s="539"/>
      <c r="W30" s="541"/>
      <c r="X30" s="542"/>
      <c r="Y30" s="543"/>
      <c r="Z30" s="543"/>
      <c r="AA30" s="544"/>
      <c r="AB30" s="528"/>
      <c r="AC30" s="545"/>
      <c r="AD30" s="545"/>
      <c r="AE30" s="546"/>
      <c r="AF30" s="547"/>
      <c r="AG30" s="548"/>
      <c r="AH30" s="548"/>
      <c r="AI30" s="549"/>
      <c r="AJ30" s="549"/>
      <c r="AK30" s="549"/>
      <c r="AL30" s="549"/>
      <c r="AM30" s="550"/>
      <c r="AN30" s="551"/>
      <c r="AO30" s="552"/>
      <c r="AP30" s="518"/>
      <c r="AQ30" s="563"/>
      <c r="AR30" s="559"/>
      <c r="AS30" s="556"/>
      <c r="AT30" s="557"/>
      <c r="AU30" s="564"/>
      <c r="AV30" s="527"/>
      <c r="AW30" s="527"/>
      <c r="AX30" s="527"/>
      <c r="AY30" s="527"/>
      <c r="AZ30" s="527"/>
      <c r="BA30" s="527"/>
      <c r="BB30" s="527"/>
      <c r="BC30" s="525"/>
      <c r="BD30" s="525"/>
      <c r="BE30" s="525"/>
      <c r="BF30" s="525"/>
      <c r="BG30" s="525"/>
      <c r="BH30" s="526"/>
      <c r="BI30" s="526"/>
      <c r="BJ30" s="527"/>
      <c r="BK30" s="525"/>
      <c r="BL30" s="525"/>
      <c r="BM30" s="525"/>
      <c r="BN30" s="525"/>
      <c r="BO30" s="525"/>
      <c r="BP30" s="526"/>
      <c r="BQ30" s="526"/>
      <c r="BR30" s="526"/>
      <c r="BS30" s="526"/>
      <c r="BU30" s="526"/>
      <c r="BV30" s="526"/>
      <c r="BW30" s="526"/>
      <c r="BX30" s="526"/>
      <c r="BY30" s="526"/>
    </row>
    <row r="31" spans="2:77" ht="14.1" customHeight="1" x14ac:dyDescent="0.25">
      <c r="B31" s="287">
        <v>28</v>
      </c>
      <c r="C31" s="528"/>
      <c r="D31" s="529"/>
      <c r="E31" s="530"/>
      <c r="F31" s="531"/>
      <c r="G31" s="560"/>
      <c r="H31" s="561"/>
      <c r="I31" s="562"/>
      <c r="J31" s="532"/>
      <c r="K31" s="533"/>
      <c r="L31" s="534"/>
      <c r="M31" s="535"/>
      <c r="N31" s="536"/>
      <c r="O31" s="537"/>
      <c r="P31" s="538"/>
      <c r="Q31" s="539"/>
      <c r="R31" s="539"/>
      <c r="S31" s="540"/>
      <c r="T31" s="538"/>
      <c r="U31" s="539"/>
      <c r="V31" s="539"/>
      <c r="W31" s="541"/>
      <c r="X31" s="542"/>
      <c r="Y31" s="543"/>
      <c r="Z31" s="543"/>
      <c r="AA31" s="544"/>
      <c r="AB31" s="528"/>
      <c r="AC31" s="545"/>
      <c r="AD31" s="545"/>
      <c r="AE31" s="546"/>
      <c r="AF31" s="547"/>
      <c r="AG31" s="548"/>
      <c r="AH31" s="548"/>
      <c r="AI31" s="549"/>
      <c r="AJ31" s="549"/>
      <c r="AK31" s="549"/>
      <c r="AL31" s="549"/>
      <c r="AM31" s="550"/>
      <c r="AN31" s="551"/>
      <c r="AO31" s="552"/>
      <c r="AP31" s="518"/>
      <c r="AQ31" s="563"/>
      <c r="AR31" s="559"/>
      <c r="AS31" s="556"/>
      <c r="AT31" s="557"/>
      <c r="AU31" s="564"/>
      <c r="AV31" s="527"/>
      <c r="AW31" s="527"/>
      <c r="AX31" s="527"/>
      <c r="AY31" s="527"/>
      <c r="AZ31" s="527"/>
      <c r="BA31" s="527"/>
      <c r="BB31" s="527"/>
      <c r="BC31" s="525"/>
      <c r="BD31" s="525"/>
      <c r="BE31" s="525"/>
      <c r="BF31" s="525"/>
      <c r="BG31" s="525"/>
      <c r="BH31" s="526"/>
      <c r="BI31" s="526"/>
      <c r="BJ31" s="527"/>
      <c r="BK31" s="525"/>
      <c r="BL31" s="525"/>
      <c r="BM31" s="525"/>
      <c r="BN31" s="525"/>
      <c r="BO31" s="525"/>
      <c r="BP31" s="526"/>
      <c r="BQ31" s="526"/>
      <c r="BR31" s="526"/>
      <c r="BS31" s="526"/>
      <c r="BU31" s="526"/>
      <c r="BV31" s="526"/>
      <c r="BW31" s="526"/>
      <c r="BX31" s="526"/>
      <c r="BY31" s="526"/>
    </row>
    <row r="32" spans="2:77" ht="14.1" customHeight="1" x14ac:dyDescent="0.25">
      <c r="B32" s="287">
        <v>29</v>
      </c>
      <c r="C32" s="528"/>
      <c r="D32" s="529"/>
      <c r="E32" s="530"/>
      <c r="F32" s="531"/>
      <c r="G32" s="560"/>
      <c r="H32" s="561"/>
      <c r="I32" s="562"/>
      <c r="J32" s="532"/>
      <c r="K32" s="533"/>
      <c r="L32" s="534"/>
      <c r="M32" s="535"/>
      <c r="N32" s="536"/>
      <c r="O32" s="537"/>
      <c r="P32" s="538"/>
      <c r="Q32" s="539"/>
      <c r="R32" s="539"/>
      <c r="S32" s="540"/>
      <c r="T32" s="538"/>
      <c r="U32" s="539"/>
      <c r="V32" s="539"/>
      <c r="W32" s="541"/>
      <c r="X32" s="542"/>
      <c r="Y32" s="543"/>
      <c r="Z32" s="543"/>
      <c r="AA32" s="544"/>
      <c r="AB32" s="528"/>
      <c r="AC32" s="545"/>
      <c r="AD32" s="545"/>
      <c r="AE32" s="546"/>
      <c r="AF32" s="547"/>
      <c r="AG32" s="548"/>
      <c r="AH32" s="548"/>
      <c r="AI32" s="549"/>
      <c r="AJ32" s="549"/>
      <c r="AK32" s="549"/>
      <c r="AL32" s="549"/>
      <c r="AM32" s="550"/>
      <c r="AN32" s="551"/>
      <c r="AO32" s="552"/>
      <c r="AP32" s="518"/>
      <c r="AQ32" s="563"/>
      <c r="AR32" s="559"/>
      <c r="AS32" s="556"/>
      <c r="AT32" s="557"/>
      <c r="AU32" s="564"/>
      <c r="AV32" s="527"/>
      <c r="AW32" s="527"/>
      <c r="AX32" s="527"/>
      <c r="AY32" s="527"/>
      <c r="AZ32" s="527"/>
      <c r="BA32" s="527"/>
      <c r="BB32" s="527"/>
      <c r="BC32" s="525"/>
      <c r="BD32" s="525"/>
      <c r="BE32" s="525"/>
      <c r="BF32" s="525"/>
      <c r="BG32" s="525"/>
      <c r="BH32" s="526"/>
      <c r="BI32" s="526"/>
      <c r="BJ32" s="527"/>
      <c r="BK32" s="525"/>
      <c r="BL32" s="525"/>
      <c r="BM32" s="525"/>
      <c r="BN32" s="525"/>
      <c r="BO32" s="525"/>
      <c r="BP32" s="526"/>
      <c r="BQ32" s="526"/>
      <c r="BR32" s="526"/>
      <c r="BS32" s="526"/>
      <c r="BU32" s="526"/>
      <c r="BV32" s="526"/>
      <c r="BW32" s="526"/>
      <c r="BX32" s="526"/>
      <c r="BY32" s="526"/>
    </row>
    <row r="33" spans="2:77" ht="14.1" customHeight="1" x14ac:dyDescent="0.25">
      <c r="B33" s="287">
        <v>30</v>
      </c>
      <c r="C33" s="528"/>
      <c r="D33" s="529"/>
      <c r="E33" s="530"/>
      <c r="F33" s="531"/>
      <c r="G33" s="560"/>
      <c r="H33" s="561"/>
      <c r="I33" s="562"/>
      <c r="J33" s="532"/>
      <c r="K33" s="533"/>
      <c r="L33" s="534"/>
      <c r="M33" s="535"/>
      <c r="N33" s="536"/>
      <c r="O33" s="537"/>
      <c r="P33" s="538"/>
      <c r="Q33" s="539"/>
      <c r="R33" s="539"/>
      <c r="S33" s="540"/>
      <c r="T33" s="538"/>
      <c r="U33" s="539"/>
      <c r="V33" s="539"/>
      <c r="W33" s="541"/>
      <c r="X33" s="542"/>
      <c r="Y33" s="543"/>
      <c r="Z33" s="543"/>
      <c r="AA33" s="544"/>
      <c r="AB33" s="528"/>
      <c r="AC33" s="545"/>
      <c r="AD33" s="545"/>
      <c r="AE33" s="546"/>
      <c r="AF33" s="547"/>
      <c r="AG33" s="548"/>
      <c r="AH33" s="548"/>
      <c r="AI33" s="549"/>
      <c r="AJ33" s="549"/>
      <c r="AK33" s="549"/>
      <c r="AL33" s="549"/>
      <c r="AM33" s="550"/>
      <c r="AN33" s="551"/>
      <c r="AO33" s="552"/>
      <c r="AP33" s="518"/>
      <c r="AQ33" s="563"/>
      <c r="AR33" s="559"/>
      <c r="AS33" s="556"/>
      <c r="AT33" s="557"/>
      <c r="AU33" s="564"/>
      <c r="AV33" s="527"/>
      <c r="AW33" s="527"/>
      <c r="AX33" s="527"/>
      <c r="AY33" s="527"/>
      <c r="AZ33" s="527"/>
      <c r="BA33" s="527"/>
      <c r="BB33" s="527"/>
      <c r="BC33" s="525"/>
      <c r="BD33" s="525"/>
      <c r="BE33" s="525"/>
      <c r="BF33" s="525"/>
      <c r="BG33" s="525"/>
      <c r="BH33" s="526"/>
      <c r="BI33" s="526"/>
      <c r="BJ33" s="527"/>
      <c r="BK33" s="525"/>
      <c r="BL33" s="525"/>
      <c r="BM33" s="525"/>
      <c r="BN33" s="525"/>
      <c r="BO33" s="525"/>
      <c r="BP33" s="526"/>
      <c r="BQ33" s="526"/>
      <c r="BR33" s="526"/>
      <c r="BS33" s="526"/>
      <c r="BU33" s="526"/>
      <c r="BV33" s="526"/>
      <c r="BW33" s="526"/>
      <c r="BX33" s="526"/>
      <c r="BY33" s="526"/>
    </row>
    <row r="34" spans="2:77" ht="14.1" customHeight="1" x14ac:dyDescent="0.25">
      <c r="B34" s="287">
        <v>31</v>
      </c>
      <c r="C34" s="528"/>
      <c r="D34" s="529"/>
      <c r="E34" s="530"/>
      <c r="F34" s="531"/>
      <c r="G34" s="560"/>
      <c r="H34" s="561"/>
      <c r="I34" s="562"/>
      <c r="J34" s="532"/>
      <c r="K34" s="533"/>
      <c r="L34" s="534"/>
      <c r="M34" s="535"/>
      <c r="N34" s="536"/>
      <c r="O34" s="537"/>
      <c r="P34" s="538"/>
      <c r="Q34" s="539"/>
      <c r="R34" s="539"/>
      <c r="S34" s="540"/>
      <c r="T34" s="538"/>
      <c r="U34" s="539"/>
      <c r="V34" s="539"/>
      <c r="W34" s="541"/>
      <c r="X34" s="542"/>
      <c r="Y34" s="543"/>
      <c r="Z34" s="543"/>
      <c r="AA34" s="544"/>
      <c r="AB34" s="528"/>
      <c r="AC34" s="545"/>
      <c r="AD34" s="545"/>
      <c r="AE34" s="546"/>
      <c r="AF34" s="547"/>
      <c r="AG34" s="548"/>
      <c r="AH34" s="548"/>
      <c r="AI34" s="549"/>
      <c r="AJ34" s="549"/>
      <c r="AK34" s="549"/>
      <c r="AL34" s="549"/>
      <c r="AM34" s="550"/>
      <c r="AN34" s="551"/>
      <c r="AO34" s="552"/>
      <c r="AP34" s="518"/>
      <c r="AQ34" s="563"/>
      <c r="AR34" s="559"/>
      <c r="AS34" s="556"/>
      <c r="AT34" s="557"/>
      <c r="AU34" s="564"/>
      <c r="AV34" s="527"/>
      <c r="AW34" s="527"/>
      <c r="AX34" s="527"/>
      <c r="AY34" s="527"/>
      <c r="AZ34" s="527"/>
      <c r="BA34" s="527"/>
      <c r="BB34" s="527"/>
      <c r="BC34" s="525"/>
      <c r="BD34" s="525"/>
      <c r="BE34" s="525"/>
      <c r="BF34" s="525"/>
      <c r="BG34" s="525"/>
      <c r="BH34" s="526"/>
      <c r="BI34" s="526"/>
      <c r="BJ34" s="527"/>
      <c r="BK34" s="525"/>
      <c r="BL34" s="525"/>
      <c r="BM34" s="525"/>
      <c r="BN34" s="525"/>
      <c r="BO34" s="525"/>
      <c r="BP34" s="526"/>
      <c r="BQ34" s="526"/>
      <c r="BR34" s="526"/>
      <c r="BS34" s="526"/>
      <c r="BU34" s="526"/>
      <c r="BV34" s="526"/>
      <c r="BW34" s="526"/>
      <c r="BX34" s="526"/>
      <c r="BY34" s="526"/>
    </row>
    <row r="35" spans="2:77" ht="14.1" customHeight="1" x14ac:dyDescent="0.25">
      <c r="B35" s="287">
        <v>32</v>
      </c>
      <c r="C35" s="528"/>
      <c r="D35" s="529"/>
      <c r="E35" s="530"/>
      <c r="F35" s="531"/>
      <c r="G35" s="560"/>
      <c r="H35" s="561"/>
      <c r="I35" s="562"/>
      <c r="J35" s="532"/>
      <c r="K35" s="533"/>
      <c r="L35" s="534"/>
      <c r="M35" s="535"/>
      <c r="N35" s="536"/>
      <c r="O35" s="537"/>
      <c r="P35" s="538"/>
      <c r="Q35" s="539"/>
      <c r="R35" s="539"/>
      <c r="S35" s="540"/>
      <c r="T35" s="538"/>
      <c r="U35" s="539"/>
      <c r="V35" s="539"/>
      <c r="W35" s="541"/>
      <c r="X35" s="542"/>
      <c r="Y35" s="543"/>
      <c r="Z35" s="543"/>
      <c r="AA35" s="544"/>
      <c r="AB35" s="528"/>
      <c r="AC35" s="545"/>
      <c r="AD35" s="545"/>
      <c r="AE35" s="546"/>
      <c r="AF35" s="547"/>
      <c r="AG35" s="548"/>
      <c r="AH35" s="548"/>
      <c r="AI35" s="549"/>
      <c r="AJ35" s="549"/>
      <c r="AK35" s="549"/>
      <c r="AL35" s="549"/>
      <c r="AM35" s="550"/>
      <c r="AN35" s="551"/>
      <c r="AO35" s="552"/>
      <c r="AP35" s="518"/>
      <c r="AQ35" s="563"/>
      <c r="AR35" s="559"/>
      <c r="AS35" s="556"/>
      <c r="AT35" s="557"/>
      <c r="AU35" s="564"/>
      <c r="AV35" s="527"/>
      <c r="AW35" s="527"/>
      <c r="AX35" s="527"/>
      <c r="AY35" s="527"/>
      <c r="AZ35" s="527"/>
      <c r="BA35" s="527"/>
      <c r="BB35" s="527"/>
      <c r="BC35" s="525"/>
      <c r="BD35" s="525"/>
      <c r="BE35" s="525"/>
      <c r="BF35" s="525"/>
      <c r="BG35" s="525"/>
      <c r="BH35" s="526"/>
      <c r="BI35" s="526"/>
      <c r="BJ35" s="527"/>
      <c r="BK35" s="525"/>
      <c r="BL35" s="525"/>
      <c r="BM35" s="525"/>
      <c r="BN35" s="525"/>
      <c r="BO35" s="525"/>
      <c r="BP35" s="526"/>
      <c r="BQ35" s="526"/>
      <c r="BR35" s="526"/>
      <c r="BS35" s="526"/>
      <c r="BU35" s="526"/>
      <c r="BV35" s="526"/>
      <c r="BW35" s="526"/>
      <c r="BX35" s="526"/>
      <c r="BY35" s="526"/>
    </row>
    <row r="36" spans="2:77" ht="14.1" customHeight="1" x14ac:dyDescent="0.25">
      <c r="B36" s="287">
        <v>33</v>
      </c>
      <c r="C36" s="528"/>
      <c r="D36" s="529"/>
      <c r="E36" s="530"/>
      <c r="F36" s="531"/>
      <c r="G36" s="560"/>
      <c r="H36" s="561"/>
      <c r="I36" s="562"/>
      <c r="J36" s="532"/>
      <c r="K36" s="533"/>
      <c r="L36" s="534"/>
      <c r="M36" s="535"/>
      <c r="N36" s="536"/>
      <c r="O36" s="537"/>
      <c r="P36" s="538"/>
      <c r="Q36" s="539"/>
      <c r="R36" s="539"/>
      <c r="S36" s="540"/>
      <c r="T36" s="538"/>
      <c r="U36" s="539"/>
      <c r="V36" s="539"/>
      <c r="W36" s="541"/>
      <c r="X36" s="542"/>
      <c r="Y36" s="543"/>
      <c r="Z36" s="543"/>
      <c r="AA36" s="544"/>
      <c r="AB36" s="528"/>
      <c r="AC36" s="545"/>
      <c r="AD36" s="545"/>
      <c r="AE36" s="546"/>
      <c r="AF36" s="547"/>
      <c r="AG36" s="548"/>
      <c r="AH36" s="548"/>
      <c r="AI36" s="549"/>
      <c r="AJ36" s="549"/>
      <c r="AK36" s="549"/>
      <c r="AL36" s="549"/>
      <c r="AM36" s="550"/>
      <c r="AN36" s="551"/>
      <c r="AO36" s="552"/>
      <c r="AP36" s="518"/>
      <c r="AQ36" s="563"/>
      <c r="AR36" s="559"/>
      <c r="AS36" s="556"/>
      <c r="AT36" s="557"/>
      <c r="AU36" s="554"/>
      <c r="AV36" s="524"/>
      <c r="AW36" s="524"/>
      <c r="AX36" s="525"/>
      <c r="AY36" s="525"/>
      <c r="AZ36" s="525"/>
      <c r="BA36" s="525"/>
      <c r="BB36" s="525"/>
      <c r="BC36" s="525"/>
      <c r="BD36" s="525"/>
      <c r="BE36" s="525"/>
      <c r="BF36" s="525"/>
      <c r="BG36" s="525"/>
      <c r="BH36" s="526"/>
      <c r="BI36" s="526"/>
      <c r="BJ36" s="527"/>
      <c r="BK36" s="525"/>
      <c r="BL36" s="525"/>
      <c r="BM36" s="525"/>
      <c r="BN36" s="525"/>
      <c r="BO36" s="525"/>
      <c r="BP36" s="526"/>
      <c r="BQ36" s="526"/>
      <c r="BR36" s="526"/>
      <c r="BS36" s="526"/>
      <c r="BU36" s="526"/>
      <c r="BV36" s="526"/>
      <c r="BW36" s="526"/>
      <c r="BX36" s="526"/>
      <c r="BY36" s="526"/>
    </row>
    <row r="37" spans="2:77" ht="14.1" customHeight="1" x14ac:dyDescent="0.25">
      <c r="B37" s="287">
        <v>34</v>
      </c>
      <c r="C37" s="528"/>
      <c r="D37" s="529"/>
      <c r="E37" s="530"/>
      <c r="F37" s="531"/>
      <c r="G37" s="560"/>
      <c r="H37" s="561"/>
      <c r="I37" s="562"/>
      <c r="J37" s="532"/>
      <c r="K37" s="533"/>
      <c r="L37" s="534"/>
      <c r="M37" s="535"/>
      <c r="N37" s="536"/>
      <c r="O37" s="537"/>
      <c r="P37" s="538"/>
      <c r="Q37" s="539"/>
      <c r="R37" s="539"/>
      <c r="S37" s="540"/>
      <c r="T37" s="538"/>
      <c r="U37" s="539"/>
      <c r="V37" s="539"/>
      <c r="W37" s="541"/>
      <c r="X37" s="542"/>
      <c r="Y37" s="543"/>
      <c r="Z37" s="543"/>
      <c r="AA37" s="544"/>
      <c r="AB37" s="528"/>
      <c r="AC37" s="545"/>
      <c r="AD37" s="545"/>
      <c r="AE37" s="546"/>
      <c r="AF37" s="547"/>
      <c r="AG37" s="548"/>
      <c r="AH37" s="548"/>
      <c r="AI37" s="549"/>
      <c r="AJ37" s="549"/>
      <c r="AK37" s="549"/>
      <c r="AL37" s="549"/>
      <c r="AM37" s="550"/>
      <c r="AN37" s="551"/>
      <c r="AO37" s="552"/>
      <c r="AP37" s="518"/>
      <c r="AQ37" s="563"/>
      <c r="AR37" s="559"/>
      <c r="AS37" s="556"/>
      <c r="AT37" s="557"/>
      <c r="AU37" s="554"/>
      <c r="AV37" s="524"/>
      <c r="AW37" s="524"/>
      <c r="AX37" s="525"/>
      <c r="AY37" s="525"/>
      <c r="AZ37" s="525"/>
      <c r="BA37" s="525"/>
      <c r="BB37" s="525"/>
      <c r="BC37" s="525"/>
      <c r="BD37" s="525"/>
      <c r="BE37" s="525"/>
      <c r="BF37" s="525"/>
      <c r="BG37" s="525"/>
      <c r="BH37" s="526"/>
      <c r="BI37" s="526"/>
      <c r="BJ37" s="527"/>
      <c r="BK37" s="525"/>
      <c r="BL37" s="525"/>
      <c r="BM37" s="525"/>
      <c r="BN37" s="525"/>
      <c r="BO37" s="525"/>
      <c r="BP37" s="526"/>
      <c r="BQ37" s="526"/>
      <c r="BR37" s="526"/>
      <c r="BS37" s="526"/>
      <c r="BU37" s="526"/>
      <c r="BV37" s="526"/>
      <c r="BW37" s="526"/>
      <c r="BX37" s="526"/>
      <c r="BY37" s="526"/>
    </row>
    <row r="38" spans="2:77" ht="14.1" customHeight="1" x14ac:dyDescent="0.25">
      <c r="B38" s="287">
        <v>35</v>
      </c>
      <c r="C38" s="528"/>
      <c r="D38" s="529"/>
      <c r="E38" s="530"/>
      <c r="F38" s="531"/>
      <c r="G38" s="560"/>
      <c r="H38" s="561"/>
      <c r="I38" s="562"/>
      <c r="J38" s="532"/>
      <c r="K38" s="533"/>
      <c r="L38" s="534"/>
      <c r="M38" s="535"/>
      <c r="N38" s="536"/>
      <c r="O38" s="537"/>
      <c r="P38" s="538"/>
      <c r="Q38" s="539"/>
      <c r="R38" s="539"/>
      <c r="S38" s="540"/>
      <c r="T38" s="538"/>
      <c r="U38" s="539"/>
      <c r="V38" s="539"/>
      <c r="W38" s="541"/>
      <c r="X38" s="542"/>
      <c r="Y38" s="543"/>
      <c r="Z38" s="543"/>
      <c r="AA38" s="544"/>
      <c r="AB38" s="528"/>
      <c r="AC38" s="545"/>
      <c r="AD38" s="545"/>
      <c r="AE38" s="546"/>
      <c r="AF38" s="547"/>
      <c r="AG38" s="548"/>
      <c r="AH38" s="548"/>
      <c r="AI38" s="549"/>
      <c r="AJ38" s="549"/>
      <c r="AK38" s="549"/>
      <c r="AL38" s="549"/>
      <c r="AM38" s="550"/>
      <c r="AN38" s="551"/>
      <c r="AO38" s="552"/>
      <c r="AP38" s="518"/>
      <c r="AQ38" s="563"/>
      <c r="AR38" s="559"/>
      <c r="AS38" s="556"/>
      <c r="AT38" s="557"/>
      <c r="AU38" s="554"/>
      <c r="AV38" s="524"/>
      <c r="AW38" s="524"/>
      <c r="AX38" s="525"/>
      <c r="AY38" s="525"/>
      <c r="AZ38" s="525"/>
      <c r="BA38" s="525"/>
      <c r="BB38" s="525"/>
      <c r="BC38" s="525"/>
      <c r="BD38" s="525"/>
      <c r="BE38" s="525"/>
      <c r="BF38" s="525"/>
      <c r="BG38" s="525"/>
      <c r="BH38" s="526"/>
      <c r="BI38" s="526"/>
      <c r="BJ38" s="527"/>
      <c r="BK38" s="525"/>
      <c r="BL38" s="525"/>
      <c r="BM38" s="525"/>
      <c r="BN38" s="525"/>
      <c r="BO38" s="525"/>
      <c r="BP38" s="526"/>
      <c r="BQ38" s="526"/>
      <c r="BR38" s="526"/>
      <c r="BS38" s="526"/>
      <c r="BU38" s="526"/>
      <c r="BW38" s="526"/>
      <c r="BX38" s="526"/>
      <c r="BY38" s="526"/>
    </row>
    <row r="39" spans="2:77" ht="14.1" customHeight="1" x14ac:dyDescent="0.25">
      <c r="B39" s="287">
        <v>36</v>
      </c>
      <c r="C39" s="528"/>
      <c r="D39" s="529"/>
      <c r="E39" s="530"/>
      <c r="F39" s="531"/>
      <c r="G39" s="560"/>
      <c r="H39" s="561"/>
      <c r="I39" s="562"/>
      <c r="J39" s="532"/>
      <c r="K39" s="533"/>
      <c r="L39" s="534"/>
      <c r="M39" s="535"/>
      <c r="N39" s="536"/>
      <c r="O39" s="537"/>
      <c r="P39" s="538"/>
      <c r="Q39" s="539"/>
      <c r="R39" s="539"/>
      <c r="S39" s="540"/>
      <c r="T39" s="538"/>
      <c r="U39" s="539"/>
      <c r="V39" s="539"/>
      <c r="W39" s="541"/>
      <c r="X39" s="542"/>
      <c r="Y39" s="543"/>
      <c r="Z39" s="543"/>
      <c r="AA39" s="544"/>
      <c r="AB39" s="528"/>
      <c r="AC39" s="545"/>
      <c r="AD39" s="545"/>
      <c r="AE39" s="546"/>
      <c r="AF39" s="547"/>
      <c r="AG39" s="548"/>
      <c r="AH39" s="548"/>
      <c r="AI39" s="549"/>
      <c r="AJ39" s="549"/>
      <c r="AK39" s="549"/>
      <c r="AL39" s="549"/>
      <c r="AM39" s="550"/>
      <c r="AN39" s="551"/>
      <c r="AO39" s="552"/>
      <c r="AP39" s="518"/>
      <c r="AQ39" s="563"/>
      <c r="AR39" s="559"/>
      <c r="AS39" s="556"/>
      <c r="AT39" s="557"/>
      <c r="AU39" s="554"/>
      <c r="AV39" s="524"/>
      <c r="AW39" s="524"/>
      <c r="AX39" s="525"/>
      <c r="AY39" s="525"/>
      <c r="AZ39" s="525"/>
      <c r="BA39" s="525"/>
      <c r="BB39" s="525"/>
      <c r="BC39" s="525"/>
      <c r="BD39" s="525"/>
      <c r="BE39" s="525"/>
      <c r="BF39" s="525"/>
      <c r="BG39" s="525"/>
      <c r="BH39" s="526"/>
      <c r="BI39" s="526"/>
      <c r="BJ39" s="527"/>
      <c r="BK39" s="525"/>
      <c r="BL39" s="525"/>
      <c r="BM39" s="525"/>
      <c r="BN39" s="525"/>
      <c r="BO39" s="525"/>
      <c r="BP39" s="526"/>
      <c r="BQ39" s="526"/>
      <c r="BR39" s="526"/>
      <c r="BS39" s="526"/>
      <c r="BU39" s="526"/>
      <c r="BV39" s="526"/>
      <c r="BW39" s="526"/>
      <c r="BX39" s="526"/>
      <c r="BY39" s="526"/>
    </row>
    <row r="40" spans="2:77" ht="14.1" customHeight="1" x14ac:dyDescent="0.25">
      <c r="B40" s="287">
        <v>37</v>
      </c>
      <c r="C40" s="528"/>
      <c r="D40" s="529"/>
      <c r="E40" s="530"/>
      <c r="F40" s="531"/>
      <c r="G40" s="560"/>
      <c r="H40" s="561"/>
      <c r="I40" s="562"/>
      <c r="J40" s="532"/>
      <c r="K40" s="533"/>
      <c r="L40" s="534"/>
      <c r="M40" s="535"/>
      <c r="N40" s="536"/>
      <c r="O40" s="537"/>
      <c r="P40" s="538"/>
      <c r="Q40" s="539"/>
      <c r="R40" s="539"/>
      <c r="S40" s="540"/>
      <c r="T40" s="538"/>
      <c r="U40" s="539"/>
      <c r="V40" s="539"/>
      <c r="W40" s="541"/>
      <c r="X40" s="542"/>
      <c r="Y40" s="543"/>
      <c r="Z40" s="543"/>
      <c r="AA40" s="544"/>
      <c r="AB40" s="528"/>
      <c r="AC40" s="545"/>
      <c r="AD40" s="545"/>
      <c r="AE40" s="546"/>
      <c r="AF40" s="547"/>
      <c r="AG40" s="548"/>
      <c r="AH40" s="548"/>
      <c r="AI40" s="549"/>
      <c r="AJ40" s="549"/>
      <c r="AK40" s="549"/>
      <c r="AL40" s="549"/>
      <c r="AM40" s="550"/>
      <c r="AN40" s="551"/>
      <c r="AO40" s="552"/>
      <c r="AP40" s="518"/>
      <c r="AQ40" s="563"/>
      <c r="AR40" s="559"/>
      <c r="AS40" s="556"/>
      <c r="AT40" s="557"/>
      <c r="AU40" s="554"/>
      <c r="AV40" s="524"/>
      <c r="AW40" s="524"/>
      <c r="AX40" s="525"/>
      <c r="AY40" s="525"/>
      <c r="AZ40" s="525"/>
      <c r="BA40" s="525"/>
      <c r="BB40" s="525"/>
      <c r="BC40" s="525"/>
      <c r="BD40" s="525"/>
      <c r="BE40" s="525"/>
      <c r="BF40" s="525"/>
      <c r="BG40" s="525"/>
      <c r="BH40" s="526"/>
      <c r="BI40" s="526"/>
      <c r="BJ40" s="527"/>
      <c r="BK40" s="525"/>
      <c r="BL40" s="525"/>
      <c r="BM40" s="525"/>
      <c r="BN40" s="525"/>
      <c r="BO40" s="525"/>
      <c r="BP40" s="526"/>
      <c r="BQ40" s="526"/>
      <c r="BR40" s="526"/>
      <c r="BS40" s="526"/>
      <c r="BU40" s="526"/>
      <c r="BV40" s="526"/>
      <c r="BW40" s="526"/>
      <c r="BX40" s="526"/>
      <c r="BY40" s="526"/>
    </row>
    <row r="41" spans="2:77" ht="14.1" customHeight="1" x14ac:dyDescent="0.25">
      <c r="B41" s="287">
        <v>38</v>
      </c>
      <c r="C41" s="528"/>
      <c r="D41" s="529"/>
      <c r="E41" s="530"/>
      <c r="F41" s="531"/>
      <c r="G41" s="560"/>
      <c r="H41" s="561"/>
      <c r="I41" s="562"/>
      <c r="J41" s="532"/>
      <c r="K41" s="533"/>
      <c r="L41" s="534"/>
      <c r="M41" s="535"/>
      <c r="N41" s="536"/>
      <c r="O41" s="537"/>
      <c r="P41" s="538"/>
      <c r="Q41" s="539"/>
      <c r="R41" s="539"/>
      <c r="S41" s="540"/>
      <c r="T41" s="538"/>
      <c r="U41" s="539"/>
      <c r="V41" s="539"/>
      <c r="W41" s="541"/>
      <c r="X41" s="542"/>
      <c r="Y41" s="543"/>
      <c r="Z41" s="543"/>
      <c r="AA41" s="544"/>
      <c r="AB41" s="528"/>
      <c r="AC41" s="545"/>
      <c r="AD41" s="545"/>
      <c r="AE41" s="546"/>
      <c r="AF41" s="547"/>
      <c r="AG41" s="548"/>
      <c r="AH41" s="548"/>
      <c r="AI41" s="549"/>
      <c r="AJ41" s="549"/>
      <c r="AK41" s="549"/>
      <c r="AL41" s="549"/>
      <c r="AM41" s="550"/>
      <c r="AN41" s="551"/>
      <c r="AO41" s="552"/>
      <c r="AP41" s="518"/>
      <c r="AQ41" s="563"/>
      <c r="AR41" s="559"/>
      <c r="AS41" s="556"/>
      <c r="AT41" s="557"/>
      <c r="AU41" s="554"/>
      <c r="AV41" s="524"/>
      <c r="AW41" s="524"/>
      <c r="BD41" s="525"/>
      <c r="BE41" s="525"/>
      <c r="BF41" s="525"/>
      <c r="BG41" s="525"/>
      <c r="BH41" s="526"/>
      <c r="BI41" s="526"/>
      <c r="BJ41" s="527"/>
      <c r="BK41" s="525"/>
      <c r="BL41" s="525"/>
      <c r="BM41" s="525"/>
      <c r="BN41" s="525"/>
      <c r="BO41" s="525"/>
      <c r="BP41" s="526"/>
      <c r="BQ41" s="526"/>
      <c r="BR41" s="526"/>
      <c r="BS41" s="526"/>
      <c r="BU41" s="526"/>
      <c r="BV41" s="526"/>
      <c r="BW41" s="526"/>
      <c r="BX41" s="526"/>
      <c r="BY41" s="526"/>
    </row>
    <row r="42" spans="2:77" ht="14.1" customHeight="1" x14ac:dyDescent="0.25">
      <c r="B42" s="287">
        <v>39</v>
      </c>
      <c r="C42" s="528"/>
      <c r="D42" s="529"/>
      <c r="E42" s="530"/>
      <c r="F42" s="531"/>
      <c r="G42" s="560"/>
      <c r="H42" s="561"/>
      <c r="I42" s="562"/>
      <c r="J42" s="532"/>
      <c r="K42" s="533"/>
      <c r="L42" s="534"/>
      <c r="M42" s="535"/>
      <c r="N42" s="536"/>
      <c r="O42" s="537"/>
      <c r="P42" s="538"/>
      <c r="Q42" s="539"/>
      <c r="R42" s="539"/>
      <c r="S42" s="540"/>
      <c r="T42" s="538"/>
      <c r="U42" s="539"/>
      <c r="V42" s="539"/>
      <c r="W42" s="541"/>
      <c r="X42" s="542"/>
      <c r="Y42" s="543"/>
      <c r="Z42" s="543"/>
      <c r="AA42" s="544"/>
      <c r="AB42" s="528"/>
      <c r="AC42" s="545"/>
      <c r="AD42" s="545"/>
      <c r="AE42" s="546"/>
      <c r="AF42" s="547"/>
      <c r="AG42" s="548"/>
      <c r="AH42" s="548"/>
      <c r="AI42" s="549"/>
      <c r="AJ42" s="549"/>
      <c r="AK42" s="549"/>
      <c r="AL42" s="549"/>
      <c r="AM42" s="550"/>
      <c r="AN42" s="551"/>
      <c r="AO42" s="552"/>
      <c r="AP42" s="518"/>
      <c r="AQ42" s="563"/>
      <c r="AR42" s="559"/>
      <c r="AS42" s="556"/>
      <c r="AT42" s="557"/>
      <c r="AU42" s="554"/>
      <c r="AV42" s="524"/>
      <c r="AW42" s="524"/>
      <c r="AX42" s="525"/>
      <c r="AY42" s="525"/>
      <c r="AZ42" s="526"/>
      <c r="BA42" s="526"/>
      <c r="BB42" s="527"/>
      <c r="BC42" s="525"/>
      <c r="BD42" s="525"/>
      <c r="BE42" s="525"/>
      <c r="BF42" s="525"/>
      <c r="BG42" s="525"/>
      <c r="BH42" s="526"/>
      <c r="BI42" s="526"/>
      <c r="BJ42" s="527"/>
      <c r="BK42" s="525"/>
      <c r="BL42" s="525"/>
      <c r="BM42" s="525"/>
      <c r="BN42" s="525"/>
      <c r="BO42" s="525"/>
      <c r="BP42" s="526"/>
      <c r="BQ42" s="526"/>
      <c r="BR42" s="526"/>
      <c r="BS42" s="526"/>
      <c r="BU42" s="526"/>
      <c r="BV42" s="526"/>
      <c r="BW42" s="526"/>
      <c r="BX42" s="526"/>
      <c r="BY42" s="526"/>
    </row>
    <row r="43" spans="2:77" ht="14.1" customHeight="1" thickBot="1" x14ac:dyDescent="0.3">
      <c r="B43" s="290">
        <v>40</v>
      </c>
      <c r="C43" s="567"/>
      <c r="D43" s="568"/>
      <c r="E43" s="569"/>
      <c r="F43" s="570"/>
      <c r="G43" s="571"/>
      <c r="H43" s="572"/>
      <c r="I43" s="573"/>
      <c r="J43" s="574"/>
      <c r="K43" s="575"/>
      <c r="L43" s="576"/>
      <c r="M43" s="577"/>
      <c r="N43" s="578"/>
      <c r="O43" s="579"/>
      <c r="P43" s="580"/>
      <c r="Q43" s="581"/>
      <c r="R43" s="581"/>
      <c r="S43" s="582"/>
      <c r="T43" s="580"/>
      <c r="U43" s="581"/>
      <c r="V43" s="581"/>
      <c r="W43" s="583"/>
      <c r="X43" s="584"/>
      <c r="Y43" s="585"/>
      <c r="Z43" s="585"/>
      <c r="AA43" s="586"/>
      <c r="AB43" s="567"/>
      <c r="AC43" s="587"/>
      <c r="AD43" s="587"/>
      <c r="AE43" s="588"/>
      <c r="AF43" s="589"/>
      <c r="AG43" s="590"/>
      <c r="AH43" s="590"/>
      <c r="AI43" s="591"/>
      <c r="AJ43" s="591"/>
      <c r="AK43" s="591"/>
      <c r="AL43" s="591"/>
      <c r="AM43" s="592"/>
      <c r="AN43" s="593"/>
      <c r="AO43" s="594"/>
      <c r="AP43" s="595"/>
      <c r="AQ43" s="596"/>
      <c r="AR43" s="597"/>
      <c r="AS43" s="598"/>
      <c r="AT43" s="599"/>
      <c r="AU43" s="600"/>
      <c r="AV43" s="524"/>
      <c r="AW43" s="524"/>
      <c r="AX43" s="525"/>
      <c r="AY43" s="525"/>
      <c r="AZ43" s="526"/>
      <c r="BA43" s="526"/>
      <c r="BB43" s="527"/>
      <c r="BC43" s="525"/>
      <c r="BD43" s="525"/>
      <c r="BE43" s="525"/>
      <c r="BF43" s="525"/>
      <c r="BG43" s="525"/>
      <c r="BH43" s="526"/>
      <c r="BI43" s="526"/>
      <c r="BJ43" s="527"/>
      <c r="BK43" s="525"/>
      <c r="BL43" s="525"/>
      <c r="BM43" s="525"/>
      <c r="BN43" s="525"/>
      <c r="BO43" s="525"/>
      <c r="BP43" s="526"/>
      <c r="BQ43" s="526"/>
      <c r="BR43" s="526"/>
      <c r="BS43" s="526"/>
      <c r="BU43" s="526"/>
      <c r="BV43" s="526"/>
      <c r="BW43" s="526"/>
      <c r="BX43" s="526"/>
      <c r="BY43" s="526"/>
    </row>
    <row r="44" spans="2:77" x14ac:dyDescent="0.25">
      <c r="K44" s="41"/>
      <c r="AQ44" s="41"/>
      <c r="AX44" s="525"/>
      <c r="AY44" s="525"/>
      <c r="AZ44" s="526"/>
      <c r="BA44" s="526"/>
      <c r="BB44" s="527"/>
      <c r="BC44" s="525"/>
    </row>
    <row r="45" spans="2:77" x14ac:dyDescent="0.25">
      <c r="K45" s="601"/>
      <c r="AR45" s="525"/>
    </row>
    <row r="46" spans="2:77" x14ac:dyDescent="0.25">
      <c r="K46" s="601"/>
      <c r="AR46" s="525"/>
    </row>
    <row r="47" spans="2:77" x14ac:dyDescent="0.25">
      <c r="K47" s="601"/>
      <c r="AR47" s="525"/>
    </row>
    <row r="48" spans="2:77" x14ac:dyDescent="0.25">
      <c r="K48" s="601"/>
      <c r="AR48" s="525"/>
    </row>
    <row r="49" spans="11:44" x14ac:dyDescent="0.25">
      <c r="K49" s="601"/>
      <c r="AR49" s="525"/>
    </row>
    <row r="50" spans="11:44" x14ac:dyDescent="0.25">
      <c r="K50" s="601"/>
      <c r="AR50" s="525"/>
    </row>
    <row r="51" spans="11:44" x14ac:dyDescent="0.25">
      <c r="K51" s="601"/>
      <c r="AR51" s="525"/>
    </row>
    <row r="52" spans="11:44" x14ac:dyDescent="0.25">
      <c r="K52" s="601"/>
      <c r="AR52" s="525"/>
    </row>
    <row r="53" spans="11:44" x14ac:dyDescent="0.25">
      <c r="K53" s="601"/>
      <c r="AR53" s="525"/>
    </row>
    <row r="54" spans="11:44" x14ac:dyDescent="0.25">
      <c r="K54" s="601"/>
      <c r="AR54" s="525"/>
    </row>
    <row r="55" spans="11:44" x14ac:dyDescent="0.25">
      <c r="K55" s="601"/>
      <c r="AR55" s="525"/>
    </row>
    <row r="56" spans="11:44" x14ac:dyDescent="0.25">
      <c r="K56" s="601"/>
      <c r="AR56" s="525"/>
    </row>
    <row r="57" spans="11:44" x14ac:dyDescent="0.25">
      <c r="K57" s="601"/>
      <c r="AQ57" s="525"/>
      <c r="AR57" s="525"/>
    </row>
    <row r="58" spans="11:44" x14ac:dyDescent="0.25">
      <c r="K58" s="601"/>
      <c r="AQ58" s="525"/>
      <c r="AR58" s="525"/>
    </row>
    <row r="81" spans="20:31" x14ac:dyDescent="0.25">
      <c r="T81" s="525"/>
      <c r="U81" s="525"/>
      <c r="V81" s="525"/>
      <c r="X81" s="525"/>
      <c r="Y81" s="525"/>
      <c r="Z81" s="1301"/>
      <c r="AA81" s="1301"/>
      <c r="AB81" s="1301"/>
      <c r="AC81" s="1301"/>
      <c r="AD81" s="525"/>
      <c r="AE81" s="525"/>
    </row>
    <row r="82" spans="20:31" x14ac:dyDescent="0.25">
      <c r="T82" s="525"/>
      <c r="U82" s="525"/>
      <c r="V82" s="525"/>
      <c r="X82" s="525"/>
      <c r="Y82" s="525"/>
      <c r="Z82" s="527"/>
      <c r="AA82" s="525"/>
      <c r="AB82" s="525"/>
      <c r="AC82" s="525"/>
      <c r="AD82" s="525"/>
      <c r="AE82" s="525"/>
    </row>
    <row r="83" spans="20:31" x14ac:dyDescent="0.25">
      <c r="T83" s="525"/>
      <c r="U83" s="525"/>
      <c r="V83" s="525"/>
      <c r="X83" s="525"/>
      <c r="Y83" s="525"/>
      <c r="Z83" s="527"/>
      <c r="AA83" s="525"/>
      <c r="AB83" s="525"/>
      <c r="AC83" s="525"/>
      <c r="AD83" s="525"/>
      <c r="AE83" s="525"/>
    </row>
    <row r="84" spans="20:31" x14ac:dyDescent="0.25">
      <c r="T84" s="525"/>
      <c r="U84" s="525"/>
      <c r="V84" s="525"/>
      <c r="X84" s="525"/>
      <c r="Y84" s="525"/>
      <c r="Z84" s="527"/>
      <c r="AA84" s="525"/>
      <c r="AB84" s="525"/>
      <c r="AC84" s="525"/>
      <c r="AD84" s="525"/>
      <c r="AE84" s="525"/>
    </row>
    <row r="85" spans="20:31" x14ac:dyDescent="0.25">
      <c r="T85" s="525"/>
      <c r="U85" s="525"/>
      <c r="V85" s="525"/>
      <c r="X85" s="525"/>
      <c r="Y85" s="525"/>
      <c r="Z85" s="527"/>
      <c r="AA85" s="525"/>
      <c r="AB85" s="525"/>
      <c r="AC85" s="525"/>
      <c r="AD85" s="525"/>
      <c r="AE85" s="525"/>
    </row>
    <row r="86" spans="20:31" x14ac:dyDescent="0.25">
      <c r="T86" s="525"/>
      <c r="U86" s="525"/>
      <c r="V86" s="525"/>
      <c r="X86" s="525"/>
      <c r="Y86" s="525"/>
      <c r="Z86" s="527"/>
      <c r="AA86" s="525"/>
      <c r="AB86" s="525"/>
      <c r="AC86" s="525"/>
      <c r="AD86" s="525"/>
      <c r="AE86" s="525"/>
    </row>
    <row r="87" spans="20:31" x14ac:dyDescent="0.25">
      <c r="T87" s="525"/>
      <c r="U87" s="525"/>
      <c r="V87" s="525"/>
      <c r="X87" s="525"/>
      <c r="Y87" s="525"/>
      <c r="Z87" s="527"/>
      <c r="AA87" s="525"/>
      <c r="AB87" s="525"/>
      <c r="AC87" s="525"/>
      <c r="AD87" s="525"/>
      <c r="AE87" s="525"/>
    </row>
    <row r="88" spans="20:31" x14ac:dyDescent="0.25">
      <c r="T88" s="525"/>
      <c r="U88" s="525"/>
      <c r="V88" s="525"/>
      <c r="X88" s="525"/>
      <c r="Y88" s="525"/>
      <c r="Z88" s="527"/>
      <c r="AA88" s="525"/>
      <c r="AB88" s="525"/>
      <c r="AC88" s="525"/>
      <c r="AD88" s="525"/>
      <c r="AE88" s="525"/>
    </row>
    <row r="89" spans="20:31" x14ac:dyDescent="0.25">
      <c r="T89" s="525"/>
      <c r="U89" s="525"/>
      <c r="V89" s="525"/>
      <c r="X89" s="525"/>
      <c r="Y89" s="525"/>
      <c r="Z89" s="527"/>
      <c r="AA89" s="525"/>
      <c r="AB89" s="525"/>
      <c r="AC89" s="525"/>
      <c r="AD89" s="525"/>
      <c r="AE89" s="525"/>
    </row>
    <row r="90" spans="20:31" x14ac:dyDescent="0.25">
      <c r="T90" s="525"/>
      <c r="U90" s="525"/>
      <c r="V90" s="525"/>
      <c r="X90" s="525"/>
      <c r="Y90" s="525"/>
      <c r="Z90" s="527"/>
      <c r="AA90" s="525"/>
      <c r="AB90" s="525"/>
      <c r="AC90" s="525"/>
      <c r="AD90" s="525"/>
      <c r="AE90" s="525"/>
    </row>
    <row r="91" spans="20:31" x14ac:dyDescent="0.25">
      <c r="T91" s="525"/>
      <c r="U91" s="525"/>
      <c r="V91" s="525"/>
      <c r="X91" s="525"/>
      <c r="Y91" s="525"/>
      <c r="Z91" s="527"/>
      <c r="AA91" s="525"/>
      <c r="AB91" s="525"/>
      <c r="AC91" s="525"/>
      <c r="AD91" s="525"/>
      <c r="AE91" s="525"/>
    </row>
    <row r="92" spans="20:31" x14ac:dyDescent="0.25">
      <c r="T92" s="525"/>
      <c r="U92" s="525"/>
      <c r="V92" s="525"/>
      <c r="X92" s="525"/>
      <c r="Y92" s="525"/>
      <c r="Z92" s="527"/>
      <c r="AA92" s="525"/>
      <c r="AB92" s="525"/>
      <c r="AC92" s="525"/>
      <c r="AD92" s="525"/>
      <c r="AE92" s="525"/>
    </row>
    <row r="93" spans="20:31" x14ac:dyDescent="0.25">
      <c r="T93" s="525"/>
      <c r="U93" s="525"/>
      <c r="V93" s="525"/>
      <c r="X93" s="525"/>
      <c r="Y93" s="525"/>
      <c r="Z93" s="527"/>
      <c r="AA93" s="525"/>
      <c r="AB93" s="525"/>
      <c r="AC93" s="525"/>
      <c r="AD93" s="525"/>
      <c r="AE93" s="525"/>
    </row>
    <row r="94" spans="20:31" x14ac:dyDescent="0.25">
      <c r="T94" s="525"/>
      <c r="U94" s="525"/>
      <c r="V94" s="525"/>
      <c r="X94" s="525"/>
      <c r="Y94" s="525"/>
      <c r="Z94" s="527"/>
      <c r="AA94" s="525"/>
      <c r="AB94" s="525"/>
      <c r="AC94" s="525"/>
      <c r="AD94" s="525"/>
      <c r="AE94" s="525"/>
    </row>
    <row r="95" spans="20:31" x14ac:dyDescent="0.25">
      <c r="T95" s="525"/>
      <c r="U95" s="525"/>
      <c r="V95" s="525"/>
      <c r="X95" s="525"/>
      <c r="Y95" s="525"/>
      <c r="Z95" s="527"/>
      <c r="AA95" s="525"/>
      <c r="AB95" s="525"/>
      <c r="AC95" s="525"/>
      <c r="AD95" s="525"/>
      <c r="AE95" s="525"/>
    </row>
    <row r="96" spans="20:31" x14ac:dyDescent="0.25">
      <c r="T96" s="525"/>
      <c r="U96" s="525"/>
      <c r="V96" s="525"/>
      <c r="X96" s="525"/>
      <c r="Y96" s="525"/>
      <c r="Z96" s="527"/>
      <c r="AA96" s="525"/>
      <c r="AB96" s="525"/>
      <c r="AC96" s="525"/>
      <c r="AD96" s="525"/>
      <c r="AE96" s="525"/>
    </row>
    <row r="97" spans="18:56" x14ac:dyDescent="0.25">
      <c r="T97" s="525"/>
      <c r="U97" s="525"/>
      <c r="V97" s="525"/>
      <c r="X97" s="525"/>
      <c r="Y97" s="525"/>
      <c r="Z97" s="527"/>
      <c r="AA97" s="525"/>
      <c r="AB97" s="525"/>
      <c r="AC97" s="525"/>
      <c r="AD97" s="525"/>
      <c r="AE97" s="525"/>
    </row>
    <row r="98" spans="18:56" x14ac:dyDescent="0.25">
      <c r="T98" s="525"/>
      <c r="U98" s="525"/>
      <c r="V98" s="525"/>
      <c r="X98" s="525"/>
      <c r="Y98" s="525"/>
      <c r="Z98" s="527"/>
      <c r="AA98" s="525"/>
      <c r="AB98" s="525"/>
      <c r="AC98" s="525"/>
      <c r="AD98" s="525"/>
      <c r="AE98" s="525"/>
    </row>
    <row r="99" spans="18:56" x14ac:dyDescent="0.25">
      <c r="T99" s="525"/>
      <c r="U99" s="525"/>
      <c r="V99" s="525"/>
      <c r="X99" s="525"/>
      <c r="Y99" s="525"/>
      <c r="Z99" s="527"/>
      <c r="AA99" s="525"/>
      <c r="AB99" s="525"/>
      <c r="AC99" s="525"/>
      <c r="AD99" s="525"/>
      <c r="AE99" s="525"/>
    </row>
    <row r="100" spans="18:56" x14ac:dyDescent="0.25">
      <c r="T100" s="525"/>
      <c r="U100" s="525"/>
      <c r="V100" s="525"/>
      <c r="X100" s="525"/>
      <c r="Y100" s="525"/>
      <c r="Z100" s="527"/>
      <c r="AA100" s="525"/>
      <c r="AB100" s="525"/>
      <c r="AC100" s="525"/>
      <c r="AD100" s="525"/>
      <c r="AE100" s="525"/>
    </row>
    <row r="101" spans="18:56" x14ac:dyDescent="0.25">
      <c r="T101" s="525"/>
      <c r="U101" s="525"/>
      <c r="V101" s="525"/>
      <c r="X101" s="525"/>
      <c r="Y101" s="525"/>
      <c r="Z101" s="527"/>
      <c r="AA101" s="525"/>
      <c r="AB101" s="525"/>
      <c r="AC101" s="525"/>
      <c r="AD101" s="525"/>
      <c r="AE101" s="525"/>
    </row>
    <row r="102" spans="18:56" x14ac:dyDescent="0.25">
      <c r="T102" s="525"/>
      <c r="U102" s="525"/>
      <c r="V102" s="525"/>
      <c r="X102" s="525"/>
      <c r="Y102" s="525"/>
      <c r="Z102" s="527"/>
      <c r="AA102" s="525"/>
      <c r="AB102" s="525"/>
      <c r="AC102" s="525"/>
      <c r="AD102" s="525"/>
      <c r="AE102" s="525"/>
    </row>
    <row r="103" spans="18:56" x14ac:dyDescent="0.25">
      <c r="T103" s="525"/>
      <c r="U103" s="525"/>
      <c r="V103" s="525"/>
      <c r="X103" s="525"/>
      <c r="Y103" s="525"/>
      <c r="Z103" s="527"/>
      <c r="AA103" s="525"/>
      <c r="AB103" s="525"/>
      <c r="AC103" s="525"/>
      <c r="AD103" s="525"/>
      <c r="AE103" s="525"/>
    </row>
    <row r="104" spans="18:56" x14ac:dyDescent="0.25">
      <c r="R104" s="603"/>
      <c r="S104" s="604"/>
      <c r="T104" s="525"/>
      <c r="U104" s="525"/>
      <c r="V104" s="525"/>
      <c r="X104" s="525"/>
      <c r="Y104" s="525"/>
      <c r="Z104" s="527"/>
      <c r="AA104" s="525"/>
      <c r="AB104" s="525"/>
      <c r="AC104" s="525"/>
      <c r="AD104" s="525"/>
      <c r="AE104" s="525"/>
    </row>
    <row r="105" spans="18:56" x14ac:dyDescent="0.25">
      <c r="R105" s="603"/>
      <c r="S105" s="604"/>
      <c r="T105" s="525"/>
      <c r="U105" s="525"/>
      <c r="V105" s="525"/>
      <c r="X105" s="525"/>
      <c r="Y105" s="525"/>
      <c r="Z105" s="527"/>
      <c r="AA105" s="525"/>
      <c r="AB105" s="525"/>
      <c r="AC105" s="525"/>
      <c r="AD105" s="525"/>
      <c r="AE105" s="525"/>
    </row>
    <row r="106" spans="18:56" x14ac:dyDescent="0.25">
      <c r="R106" s="603"/>
      <c r="S106" s="604"/>
      <c r="T106" s="525"/>
      <c r="U106" s="525"/>
      <c r="V106" s="525"/>
      <c r="X106" s="525"/>
      <c r="Y106" s="525"/>
      <c r="Z106" s="527"/>
      <c r="AA106" s="525"/>
      <c r="AB106" s="525"/>
      <c r="AC106" s="525"/>
      <c r="AD106" s="525"/>
      <c r="AE106" s="525"/>
    </row>
    <row r="107" spans="18:56" x14ac:dyDescent="0.25">
      <c r="R107" s="603"/>
      <c r="S107" s="604"/>
      <c r="T107" s="525"/>
      <c r="U107" s="525"/>
      <c r="V107" s="525"/>
      <c r="X107" s="525"/>
      <c r="Y107" s="525"/>
      <c r="Z107" s="527"/>
      <c r="AA107" s="525"/>
      <c r="AB107" s="525"/>
      <c r="AC107" s="525"/>
      <c r="AD107" s="525"/>
      <c r="AE107" s="525"/>
    </row>
    <row r="108" spans="18:56" x14ac:dyDescent="0.25">
      <c r="R108" s="603"/>
      <c r="S108" s="604"/>
      <c r="T108" s="525"/>
      <c r="U108" s="525"/>
      <c r="V108" s="525"/>
      <c r="X108" s="525"/>
      <c r="Y108" s="525"/>
      <c r="Z108" s="527"/>
      <c r="AA108" s="525"/>
      <c r="AB108" s="525"/>
      <c r="AC108" s="525"/>
      <c r="AD108" s="525"/>
      <c r="AE108" s="525"/>
    </row>
    <row r="109" spans="18:56" x14ac:dyDescent="0.25">
      <c r="R109" s="603"/>
      <c r="S109" s="604"/>
      <c r="T109" s="525"/>
      <c r="U109" s="525"/>
      <c r="V109" s="525"/>
      <c r="X109" s="525"/>
      <c r="Y109" s="525"/>
      <c r="Z109" s="527"/>
      <c r="AA109" s="525"/>
      <c r="AB109" s="525"/>
      <c r="AC109" s="525"/>
      <c r="AD109" s="525"/>
      <c r="AE109" s="525"/>
    </row>
    <row r="110" spans="18:56" x14ac:dyDescent="0.25">
      <c r="R110" s="603"/>
      <c r="S110" s="604"/>
      <c r="T110" s="525"/>
      <c r="U110" s="525"/>
      <c r="V110" s="525"/>
      <c r="X110" s="525"/>
      <c r="Y110" s="525"/>
      <c r="Z110" s="527"/>
      <c r="AA110" s="525"/>
      <c r="AB110" s="525"/>
      <c r="AC110" s="525"/>
      <c r="AD110" s="525"/>
      <c r="AE110" s="525"/>
      <c r="BC110" s="41">
        <f>COLUMN(Knoten!C4)</f>
        <v>3</v>
      </c>
      <c r="BD110" s="41">
        <f>COLUMN(Knoten!D5)</f>
        <v>4</v>
      </c>
    </row>
    <row r="111" spans="18:56" x14ac:dyDescent="0.25">
      <c r="R111" s="603"/>
      <c r="S111" s="604"/>
      <c r="T111" s="525"/>
      <c r="U111" s="525"/>
      <c r="V111" s="525"/>
      <c r="X111" s="525"/>
      <c r="Y111" s="525"/>
      <c r="Z111" s="527"/>
      <c r="AA111" s="525"/>
      <c r="AB111" s="525"/>
      <c r="AC111" s="525"/>
      <c r="AD111" s="525"/>
      <c r="AE111" s="525"/>
    </row>
    <row r="112" spans="18:56" x14ac:dyDescent="0.25">
      <c r="R112" s="603"/>
      <c r="S112" s="604"/>
      <c r="T112" s="525"/>
      <c r="U112" s="525"/>
      <c r="V112" s="525"/>
      <c r="X112" s="525"/>
      <c r="Y112" s="525"/>
      <c r="Z112" s="527"/>
      <c r="AA112" s="525"/>
      <c r="AB112" s="525"/>
      <c r="AC112" s="525"/>
      <c r="AD112" s="525"/>
      <c r="AE112" s="525"/>
    </row>
    <row r="113" spans="18:69" x14ac:dyDescent="0.25">
      <c r="R113" s="603"/>
      <c r="S113" s="604"/>
      <c r="T113" s="525"/>
      <c r="U113" s="525"/>
      <c r="V113" s="525"/>
      <c r="X113" s="525"/>
      <c r="Y113" s="525"/>
      <c r="Z113" s="527"/>
      <c r="AA113" s="525"/>
      <c r="AB113" s="525"/>
      <c r="AC113" s="525"/>
      <c r="AD113" s="525"/>
      <c r="AE113" s="525"/>
    </row>
    <row r="114" spans="18:69" x14ac:dyDescent="0.25">
      <c r="R114" s="603"/>
      <c r="S114" s="604"/>
      <c r="T114" s="525"/>
      <c r="U114" s="525"/>
      <c r="V114" s="525"/>
      <c r="X114" s="525"/>
      <c r="Y114" s="525"/>
      <c r="Z114" s="527"/>
      <c r="AA114" s="525"/>
      <c r="AB114" s="525"/>
      <c r="AC114" s="525"/>
      <c r="AD114" s="525"/>
      <c r="AE114" s="525"/>
    </row>
    <row r="115" spans="18:69" x14ac:dyDescent="0.25">
      <c r="R115" s="603"/>
      <c r="S115" s="604"/>
      <c r="T115" s="525"/>
      <c r="U115" s="525"/>
      <c r="V115" s="525"/>
      <c r="X115" s="525"/>
      <c r="Y115" s="525"/>
      <c r="Z115" s="527"/>
      <c r="AA115" s="525"/>
      <c r="AB115" s="525"/>
      <c r="AC115" s="525"/>
      <c r="AD115" s="525"/>
      <c r="AE115" s="525"/>
    </row>
    <row r="116" spans="18:69" x14ac:dyDescent="0.25">
      <c r="V116" s="525"/>
      <c r="X116" s="525"/>
      <c r="Y116" s="525"/>
      <c r="Z116" s="527"/>
      <c r="AA116" s="525"/>
      <c r="AB116" s="525"/>
      <c r="AC116" s="525"/>
      <c r="AD116" s="525"/>
      <c r="AE116" s="525"/>
    </row>
    <row r="117" spans="18:69" x14ac:dyDescent="0.25">
      <c r="V117" s="525"/>
      <c r="X117" s="525"/>
      <c r="Y117" s="525"/>
      <c r="Z117" s="527"/>
      <c r="AA117" s="525"/>
      <c r="AB117" s="525"/>
      <c r="AC117" s="525"/>
      <c r="AD117" s="525"/>
      <c r="AE117" s="525"/>
    </row>
    <row r="118" spans="18:69" x14ac:dyDescent="0.25">
      <c r="V118" s="525"/>
      <c r="X118" s="525"/>
      <c r="Y118" s="525"/>
      <c r="Z118" s="527"/>
      <c r="AA118" s="525"/>
      <c r="AB118" s="525"/>
      <c r="AC118" s="525"/>
      <c r="AD118" s="525"/>
      <c r="AE118" s="525"/>
    </row>
    <row r="119" spans="18:69" x14ac:dyDescent="0.25">
      <c r="V119" s="525"/>
      <c r="X119" s="525"/>
      <c r="Y119" s="525"/>
      <c r="Z119" s="527"/>
      <c r="AA119" s="525"/>
      <c r="AB119" s="525"/>
      <c r="AC119" s="525"/>
      <c r="AD119" s="525"/>
      <c r="AE119" s="525"/>
      <c r="BC119" s="41" t="s">
        <v>178</v>
      </c>
      <c r="BD119" s="41">
        <f>(MIN(Knoten!C3:C43)+MAX(Knoten!C3:C43))/2</f>
        <v>-80</v>
      </c>
      <c r="BF119" s="41" t="s">
        <v>179</v>
      </c>
      <c r="BG119" s="41">
        <f>(MIN(Knoten!D3:D43)+MAX(Knoten!D3:D43))/2</f>
        <v>40</v>
      </c>
    </row>
    <row r="120" spans="18:69" ht="13.8" thickBot="1" x14ac:dyDescent="0.3">
      <c r="V120" s="525"/>
      <c r="X120" s="525"/>
      <c r="Y120" s="525"/>
      <c r="Z120" s="527"/>
      <c r="AA120" s="525"/>
      <c r="AB120" s="525"/>
      <c r="AC120" s="525"/>
      <c r="AD120" s="525"/>
      <c r="AE120" s="525"/>
    </row>
    <row r="121" spans="18:69" ht="13.8" thickBot="1" x14ac:dyDescent="0.3">
      <c r="V121" s="525"/>
      <c r="X121" s="525"/>
      <c r="Y121" s="525"/>
      <c r="Z121" s="527"/>
      <c r="AA121" s="525"/>
      <c r="AB121" s="525"/>
      <c r="AC121" s="525"/>
      <c r="AD121" s="525"/>
      <c r="AE121" s="525"/>
      <c r="BC121" s="605" t="s">
        <v>180</v>
      </c>
      <c r="BD121" s="606" t="s">
        <v>181</v>
      </c>
      <c r="BE121" s="605" t="s">
        <v>182</v>
      </c>
      <c r="BF121" s="606" t="s">
        <v>183</v>
      </c>
      <c r="BG121" s="607" t="s">
        <v>62</v>
      </c>
      <c r="BH121" s="607" t="s">
        <v>151</v>
      </c>
      <c r="BI121" s="607" t="s">
        <v>151</v>
      </c>
      <c r="BJ121" s="605" t="s">
        <v>184</v>
      </c>
      <c r="BK121" s="606" t="s">
        <v>185</v>
      </c>
      <c r="BL121" s="608" t="s">
        <v>153</v>
      </c>
      <c r="BM121" s="609" t="s">
        <v>154</v>
      </c>
      <c r="BN121" s="610" t="s">
        <v>155</v>
      </c>
      <c r="BO121" s="611" t="s">
        <v>156</v>
      </c>
      <c r="BP121" s="611" t="s">
        <v>157</v>
      </c>
      <c r="BQ121" s="611" t="s">
        <v>158</v>
      </c>
    </row>
    <row r="122" spans="18:69" ht="13.8" thickBot="1" x14ac:dyDescent="0.3">
      <c r="V122" s="525"/>
      <c r="X122" s="525"/>
      <c r="Y122" s="525"/>
      <c r="BB122" s="612">
        <v>1</v>
      </c>
      <c r="BC122" s="613">
        <f ca="1">IF(ISNUMBER(C4),INDIRECT("Knoten!C" &amp;C4+ 2)-$BD$119,0)</f>
        <v>20</v>
      </c>
      <c r="BD122" s="614">
        <f ca="1">IF(ISNUMBER(D4),INDIRECT("Knoten!"&amp;ADDRESS(D4+2,3))-$BD$119,0)</f>
        <v>100</v>
      </c>
      <c r="BE122" s="615">
        <f t="shared" ref="BE122:BF161" ca="1" si="0">IF(ISNUMBER(C4),INDIRECT("Knoten!"&amp;ADDRESS(C4+2,4))-$BG$119,0)</f>
        <v>-40</v>
      </c>
      <c r="BF122" s="614">
        <f t="shared" ca="1" si="0"/>
        <v>20</v>
      </c>
      <c r="BG122" s="616">
        <f t="shared" ref="BG122:BG161" ca="1" si="1">IF(ISNUMBER(C4),SQRT((BD122-BC122)^2+(BF122-BE122)^2),"")</f>
        <v>100</v>
      </c>
      <c r="BH122" s="616">
        <f t="shared" ref="BH122:BI161" ca="1" si="2">IF(ISNUMBER(BG122),IF(BJ122&gt;=0,ACOS(BK122),-ACOS(BK122))*180/PI(),"")</f>
        <v>-36.869897645844013</v>
      </c>
      <c r="BI122" s="616">
        <f t="shared" ca="1" si="2"/>
        <v>90</v>
      </c>
      <c r="BJ122" s="615">
        <f ca="1">IF(ISNUMBER(BG122),-(BF122-BE122)/BG122,0)</f>
        <v>-0.6</v>
      </c>
      <c r="BK122" s="614">
        <f t="shared" ref="BK122:BK136" ca="1" si="3">IF(ISNUMBER(BG122),(BD122-BC122)/BG122,"")</f>
        <v>0.8</v>
      </c>
      <c r="BL122" s="617">
        <f t="shared" ref="BL122:BL161" ca="1" si="4">L4+(N4*BK122-O4*BJ122)</f>
        <v>0</v>
      </c>
      <c r="BM122" s="618">
        <f t="shared" ref="BM122:BM161" ca="1" si="5">M4+(N4*BJ122+O4*BK122)</f>
        <v>0</v>
      </c>
      <c r="BN122" s="615">
        <f t="shared" ref="BN122:BN161" ca="1" si="6">P4+(T4*BK122-V4*BJ122)</f>
        <v>0</v>
      </c>
      <c r="BO122" s="619">
        <f t="shared" ref="BO122:BO161" ca="1" si="7">Q4+(U4*BK122-W4*BJ122)</f>
        <v>0</v>
      </c>
      <c r="BP122" s="619">
        <f t="shared" ref="BP122:BP161" ca="1" si="8">R4+(T4*BJ122+V4*BK122)</f>
        <v>0</v>
      </c>
      <c r="BQ122" s="619">
        <f t="shared" ref="BQ122:BQ161" ca="1" si="9">S4+(U4*BJ122+W4*BK122)</f>
        <v>0</v>
      </c>
    </row>
    <row r="123" spans="18:69" ht="13.8" thickBot="1" x14ac:dyDescent="0.3">
      <c r="BB123" s="612">
        <v>2</v>
      </c>
      <c r="BC123" s="613">
        <f t="shared" ref="BC123:BC161" ca="1" si="10">IF(ISNUMBER(C5),INDIRECT("Knoten!C" &amp;C5+ 2)-$BD$119,0)</f>
        <v>20</v>
      </c>
      <c r="BD123" s="614">
        <f t="shared" ref="BD123:BD128" ca="1" si="11">IF(ISNUMBER(D5),INDIRECT("Knoten!"&amp;ADDRESS(D5+2,3))-$BD$119,0)</f>
        <v>20</v>
      </c>
      <c r="BE123" s="615">
        <f t="shared" ca="1" si="0"/>
        <v>-40</v>
      </c>
      <c r="BF123" s="614">
        <f t="shared" ca="1" si="0"/>
        <v>20</v>
      </c>
      <c r="BG123" s="616">
        <f t="shared" ca="1" si="1"/>
        <v>60</v>
      </c>
      <c r="BH123" s="616">
        <f t="shared" ca="1" si="2"/>
        <v>-90</v>
      </c>
      <c r="BI123" s="616">
        <f t="shared" ca="1" si="2"/>
        <v>90</v>
      </c>
      <c r="BJ123" s="615">
        <f ca="1">IF(ISNUMBER(BG123),-(BF123-BE123)/BG123,0)</f>
        <v>-1</v>
      </c>
      <c r="BK123" s="614">
        <f t="shared" ca="1" si="3"/>
        <v>0</v>
      </c>
      <c r="BL123" s="617">
        <f t="shared" ca="1" si="4"/>
        <v>0</v>
      </c>
      <c r="BM123" s="618">
        <f t="shared" ca="1" si="5"/>
        <v>0</v>
      </c>
      <c r="BN123" s="615">
        <f t="shared" ca="1" si="6"/>
        <v>0</v>
      </c>
      <c r="BO123" s="619">
        <f t="shared" ca="1" si="7"/>
        <v>0</v>
      </c>
      <c r="BP123" s="619">
        <f t="shared" ca="1" si="8"/>
        <v>0</v>
      </c>
      <c r="BQ123" s="619">
        <f t="shared" ca="1" si="9"/>
        <v>0</v>
      </c>
    </row>
    <row r="124" spans="18:69" ht="13.8" thickBot="1" x14ac:dyDescent="0.3">
      <c r="BB124" s="612">
        <v>3</v>
      </c>
      <c r="BC124" s="613">
        <f t="shared" ca="1" si="10"/>
        <v>20</v>
      </c>
      <c r="BD124" s="614">
        <f t="shared" ca="1" si="11"/>
        <v>60</v>
      </c>
      <c r="BE124" s="615">
        <f t="shared" ca="1" si="0"/>
        <v>-40</v>
      </c>
      <c r="BF124" s="614">
        <f t="shared" ca="1" si="0"/>
        <v>-100</v>
      </c>
      <c r="BG124" s="616">
        <f t="shared" ca="1" si="1"/>
        <v>72.111025509279784</v>
      </c>
      <c r="BH124" s="616">
        <f t="shared" ca="1" si="2"/>
        <v>56.309932474020215</v>
      </c>
      <c r="BI124" s="616">
        <f t="shared" ca="1" si="2"/>
        <v>90</v>
      </c>
      <c r="BJ124" s="615">
        <f t="shared" ref="BJ124:BJ161" ca="1" si="12">IF(ISNUMBER(BG124),-(BF124-BE124)/BG124,0)</f>
        <v>0.83205029433784372</v>
      </c>
      <c r="BK124" s="614">
        <f t="shared" ca="1" si="3"/>
        <v>0.55470019622522915</v>
      </c>
      <c r="BL124" s="617">
        <f t="shared" ca="1" si="4"/>
        <v>0</v>
      </c>
      <c r="BM124" s="618">
        <f t="shared" ca="1" si="5"/>
        <v>0</v>
      </c>
      <c r="BN124" s="615">
        <f t="shared" ca="1" si="6"/>
        <v>0</v>
      </c>
      <c r="BO124" s="619">
        <f t="shared" ca="1" si="7"/>
        <v>0</v>
      </c>
      <c r="BP124" s="619">
        <f t="shared" ca="1" si="8"/>
        <v>0</v>
      </c>
      <c r="BQ124" s="619">
        <f t="shared" ca="1" si="9"/>
        <v>0</v>
      </c>
    </row>
    <row r="125" spans="18:69" ht="13.8" thickBot="1" x14ac:dyDescent="0.3">
      <c r="BB125" s="612">
        <v>4</v>
      </c>
      <c r="BC125" s="613">
        <f t="shared" ca="1" si="10"/>
        <v>20</v>
      </c>
      <c r="BD125" s="614">
        <f t="shared" ca="1" si="11"/>
        <v>-50</v>
      </c>
      <c r="BE125" s="615">
        <f t="shared" ca="1" si="0"/>
        <v>-40</v>
      </c>
      <c r="BF125" s="614">
        <f t="shared" ca="1" si="0"/>
        <v>-70</v>
      </c>
      <c r="BG125" s="616">
        <f t="shared" ca="1" si="1"/>
        <v>76.157731058639087</v>
      </c>
      <c r="BH125" s="616">
        <f t="shared" ca="1" si="2"/>
        <v>156.80140948635179</v>
      </c>
      <c r="BI125" s="616">
        <f t="shared" ca="1" si="2"/>
        <v>-90</v>
      </c>
      <c r="BJ125" s="615">
        <f t="shared" ca="1" si="12"/>
        <v>0.39391929857916763</v>
      </c>
      <c r="BK125" s="614">
        <f t="shared" ca="1" si="3"/>
        <v>-0.91914503001805781</v>
      </c>
      <c r="BL125" s="617">
        <f t="shared" ca="1" si="4"/>
        <v>0</v>
      </c>
      <c r="BM125" s="618">
        <f t="shared" ca="1" si="5"/>
        <v>0</v>
      </c>
      <c r="BN125" s="615">
        <f t="shared" ca="1" si="6"/>
        <v>0</v>
      </c>
      <c r="BO125" s="619">
        <f t="shared" ca="1" si="7"/>
        <v>0</v>
      </c>
      <c r="BP125" s="619">
        <f t="shared" ca="1" si="8"/>
        <v>0</v>
      </c>
      <c r="BQ125" s="619">
        <f t="shared" ca="1" si="9"/>
        <v>0</v>
      </c>
    </row>
    <row r="126" spans="18:69" ht="13.8" thickBot="1" x14ac:dyDescent="0.3">
      <c r="BB126" s="612">
        <v>5</v>
      </c>
      <c r="BC126" s="613">
        <f t="shared" ca="1" si="10"/>
        <v>20</v>
      </c>
      <c r="BD126" s="614">
        <f t="shared" ca="1" si="11"/>
        <v>-100</v>
      </c>
      <c r="BE126" s="615">
        <f t="shared" ca="1" si="0"/>
        <v>-40</v>
      </c>
      <c r="BF126" s="614">
        <f t="shared" ca="1" si="0"/>
        <v>100</v>
      </c>
      <c r="BG126" s="616">
        <f t="shared" ca="1" si="1"/>
        <v>184.39088914585776</v>
      </c>
      <c r="BH126" s="616">
        <f t="shared" ca="1" si="2"/>
        <v>-130.60129464500449</v>
      </c>
      <c r="BI126" s="616">
        <f t="shared" ca="1" si="2"/>
        <v>-90</v>
      </c>
      <c r="BJ126" s="615">
        <f t="shared" ca="1" si="12"/>
        <v>-0.75925660236529657</v>
      </c>
      <c r="BK126" s="614">
        <f t="shared" ca="1" si="3"/>
        <v>-0.65079137345596849</v>
      </c>
      <c r="BL126" s="617">
        <f t="shared" ca="1" si="4"/>
        <v>0</v>
      </c>
      <c r="BM126" s="618">
        <f t="shared" ca="1" si="5"/>
        <v>0</v>
      </c>
      <c r="BN126" s="615">
        <f t="shared" ca="1" si="6"/>
        <v>0</v>
      </c>
      <c r="BO126" s="619">
        <f t="shared" ca="1" si="7"/>
        <v>0</v>
      </c>
      <c r="BP126" s="619">
        <f t="shared" ca="1" si="8"/>
        <v>0</v>
      </c>
      <c r="BQ126" s="619">
        <f t="shared" ca="1" si="9"/>
        <v>0</v>
      </c>
    </row>
    <row r="127" spans="18:69" ht="13.8" thickBot="1" x14ac:dyDescent="0.3">
      <c r="BB127" s="612">
        <v>6</v>
      </c>
      <c r="BC127" s="613">
        <f t="shared" ca="1" si="10"/>
        <v>0</v>
      </c>
      <c r="BD127" s="614">
        <f t="shared" ca="1" si="11"/>
        <v>0</v>
      </c>
      <c r="BE127" s="615">
        <f t="shared" ca="1" si="0"/>
        <v>0</v>
      </c>
      <c r="BF127" s="614">
        <f t="shared" ca="1" si="0"/>
        <v>0</v>
      </c>
      <c r="BG127" s="616" t="str">
        <f t="shared" si="1"/>
        <v/>
      </c>
      <c r="BH127" s="616" t="str">
        <f t="shared" si="2"/>
        <v/>
      </c>
      <c r="BI127" s="616" t="str">
        <f t="shared" si="2"/>
        <v/>
      </c>
      <c r="BJ127" s="615">
        <f t="shared" si="12"/>
        <v>0</v>
      </c>
      <c r="BK127" s="614" t="str">
        <f t="shared" si="3"/>
        <v/>
      </c>
      <c r="BL127" s="617" t="e">
        <f t="shared" si="4"/>
        <v>#VALUE!</v>
      </c>
      <c r="BM127" s="618" t="e">
        <f t="shared" si="5"/>
        <v>#VALUE!</v>
      </c>
      <c r="BN127" s="615" t="e">
        <f t="shared" si="6"/>
        <v>#VALUE!</v>
      </c>
      <c r="BO127" s="619" t="e">
        <f t="shared" si="7"/>
        <v>#VALUE!</v>
      </c>
      <c r="BP127" s="619" t="e">
        <f t="shared" si="8"/>
        <v>#VALUE!</v>
      </c>
      <c r="BQ127" s="619" t="e">
        <f t="shared" si="9"/>
        <v>#VALUE!</v>
      </c>
    </row>
    <row r="128" spans="18:69" ht="13.8" thickBot="1" x14ac:dyDescent="0.3">
      <c r="BB128" s="612">
        <v>7</v>
      </c>
      <c r="BC128" s="613">
        <f t="shared" ca="1" si="10"/>
        <v>0</v>
      </c>
      <c r="BD128" s="614">
        <f t="shared" ca="1" si="11"/>
        <v>0</v>
      </c>
      <c r="BE128" s="615">
        <f t="shared" ca="1" si="0"/>
        <v>0</v>
      </c>
      <c r="BF128" s="614">
        <f t="shared" ca="1" si="0"/>
        <v>0</v>
      </c>
      <c r="BG128" s="616" t="str">
        <f t="shared" si="1"/>
        <v/>
      </c>
      <c r="BH128" s="616" t="str">
        <f t="shared" si="2"/>
        <v/>
      </c>
      <c r="BI128" s="616" t="str">
        <f t="shared" si="2"/>
        <v/>
      </c>
      <c r="BJ128" s="615">
        <f t="shared" si="12"/>
        <v>0</v>
      </c>
      <c r="BK128" s="614" t="str">
        <f t="shared" si="3"/>
        <v/>
      </c>
      <c r="BL128" s="617" t="e">
        <f t="shared" si="4"/>
        <v>#VALUE!</v>
      </c>
      <c r="BM128" s="618" t="e">
        <f t="shared" si="5"/>
        <v>#VALUE!</v>
      </c>
      <c r="BN128" s="615" t="e">
        <f t="shared" si="6"/>
        <v>#VALUE!</v>
      </c>
      <c r="BO128" s="619" t="e">
        <f t="shared" si="7"/>
        <v>#VALUE!</v>
      </c>
      <c r="BP128" s="619" t="e">
        <f t="shared" si="8"/>
        <v>#VALUE!</v>
      </c>
      <c r="BQ128" s="619" t="e">
        <f t="shared" si="9"/>
        <v>#VALUE!</v>
      </c>
    </row>
    <row r="129" spans="54:69" ht="13.8" thickBot="1" x14ac:dyDescent="0.3">
      <c r="BB129" s="612">
        <v>8</v>
      </c>
      <c r="BC129" s="613">
        <f t="shared" ca="1" si="10"/>
        <v>0</v>
      </c>
      <c r="BD129" s="614">
        <f ca="1">IF(ISNUMBER(D11),INDIRECT("Knoten!"&amp;ADDRESS(D11+2,COLUMN(Knoten!C10)))-$BD$119,0)</f>
        <v>0</v>
      </c>
      <c r="BE129" s="615">
        <f t="shared" ca="1" si="0"/>
        <v>0</v>
      </c>
      <c r="BF129" s="614">
        <f t="shared" ca="1" si="0"/>
        <v>0</v>
      </c>
      <c r="BG129" s="616" t="str">
        <f t="shared" si="1"/>
        <v/>
      </c>
      <c r="BH129" s="616" t="str">
        <f t="shared" si="2"/>
        <v/>
      </c>
      <c r="BI129" s="616" t="str">
        <f t="shared" si="2"/>
        <v/>
      </c>
      <c r="BJ129" s="615">
        <f t="shared" si="12"/>
        <v>0</v>
      </c>
      <c r="BK129" s="614" t="str">
        <f t="shared" si="3"/>
        <v/>
      </c>
      <c r="BL129" s="617" t="e">
        <f t="shared" si="4"/>
        <v>#VALUE!</v>
      </c>
      <c r="BM129" s="618" t="e">
        <f t="shared" si="5"/>
        <v>#VALUE!</v>
      </c>
      <c r="BN129" s="615" t="e">
        <f t="shared" si="6"/>
        <v>#VALUE!</v>
      </c>
      <c r="BO129" s="619" t="e">
        <f t="shared" si="7"/>
        <v>#VALUE!</v>
      </c>
      <c r="BP129" s="619" t="e">
        <f t="shared" si="8"/>
        <v>#VALUE!</v>
      </c>
      <c r="BQ129" s="619" t="e">
        <f t="shared" si="9"/>
        <v>#VALUE!</v>
      </c>
    </row>
    <row r="130" spans="54:69" ht="13.8" thickBot="1" x14ac:dyDescent="0.3">
      <c r="BB130" s="612">
        <v>9</v>
      </c>
      <c r="BC130" s="613">
        <f t="shared" ca="1" si="10"/>
        <v>0</v>
      </c>
      <c r="BD130" s="614">
        <f ca="1">IF(ISNUMBER(D12),INDIRECT("Knoten!"&amp;ADDRESS(D12+2,COLUMN(Knoten!C11)))-$BD$119,0)</f>
        <v>0</v>
      </c>
      <c r="BE130" s="615">
        <f t="shared" ca="1" si="0"/>
        <v>0</v>
      </c>
      <c r="BF130" s="614">
        <f t="shared" ca="1" si="0"/>
        <v>0</v>
      </c>
      <c r="BG130" s="616" t="str">
        <f t="shared" si="1"/>
        <v/>
      </c>
      <c r="BH130" s="616" t="str">
        <f t="shared" si="2"/>
        <v/>
      </c>
      <c r="BI130" s="616" t="str">
        <f t="shared" si="2"/>
        <v/>
      </c>
      <c r="BJ130" s="615">
        <f t="shared" si="12"/>
        <v>0</v>
      </c>
      <c r="BK130" s="614" t="str">
        <f t="shared" si="3"/>
        <v/>
      </c>
      <c r="BL130" s="617" t="e">
        <f t="shared" si="4"/>
        <v>#VALUE!</v>
      </c>
      <c r="BM130" s="618" t="e">
        <f t="shared" si="5"/>
        <v>#VALUE!</v>
      </c>
      <c r="BN130" s="615" t="e">
        <f t="shared" si="6"/>
        <v>#VALUE!</v>
      </c>
      <c r="BO130" s="619" t="e">
        <f t="shared" si="7"/>
        <v>#VALUE!</v>
      </c>
      <c r="BP130" s="619" t="e">
        <f t="shared" si="8"/>
        <v>#VALUE!</v>
      </c>
      <c r="BQ130" s="619" t="e">
        <f t="shared" si="9"/>
        <v>#VALUE!</v>
      </c>
    </row>
    <row r="131" spans="54:69" ht="13.8" thickBot="1" x14ac:dyDescent="0.3">
      <c r="BB131" s="612">
        <v>10</v>
      </c>
      <c r="BC131" s="613">
        <f t="shared" ca="1" si="10"/>
        <v>0</v>
      </c>
      <c r="BD131" s="614">
        <f ca="1">IF(ISNUMBER(D13),INDIRECT("Knoten!"&amp;ADDRESS(D13+2,COLUMN(Knoten!C12)))-$BD$119,0)</f>
        <v>0</v>
      </c>
      <c r="BE131" s="615">
        <f t="shared" ca="1" si="0"/>
        <v>0</v>
      </c>
      <c r="BF131" s="614">
        <f t="shared" ca="1" si="0"/>
        <v>0</v>
      </c>
      <c r="BG131" s="616" t="str">
        <f t="shared" si="1"/>
        <v/>
      </c>
      <c r="BH131" s="616" t="str">
        <f t="shared" si="2"/>
        <v/>
      </c>
      <c r="BI131" s="616" t="str">
        <f t="shared" si="2"/>
        <v/>
      </c>
      <c r="BJ131" s="615">
        <f t="shared" si="12"/>
        <v>0</v>
      </c>
      <c r="BK131" s="614" t="str">
        <f t="shared" si="3"/>
        <v/>
      </c>
      <c r="BL131" s="617" t="e">
        <f t="shared" si="4"/>
        <v>#VALUE!</v>
      </c>
      <c r="BM131" s="618" t="e">
        <f t="shared" si="5"/>
        <v>#VALUE!</v>
      </c>
      <c r="BN131" s="615" t="e">
        <f t="shared" si="6"/>
        <v>#VALUE!</v>
      </c>
      <c r="BO131" s="619" t="e">
        <f t="shared" si="7"/>
        <v>#VALUE!</v>
      </c>
      <c r="BP131" s="619" t="e">
        <f t="shared" si="8"/>
        <v>#VALUE!</v>
      </c>
      <c r="BQ131" s="619" t="e">
        <f t="shared" si="9"/>
        <v>#VALUE!</v>
      </c>
    </row>
    <row r="132" spans="54:69" ht="13.8" thickBot="1" x14ac:dyDescent="0.3">
      <c r="BB132" s="612">
        <v>11</v>
      </c>
      <c r="BC132" s="613">
        <f t="shared" ca="1" si="10"/>
        <v>0</v>
      </c>
      <c r="BD132" s="614">
        <f ca="1">IF(ISNUMBER(D14),INDIRECT("Knoten!"&amp;ADDRESS(D14+2,COLUMN(Knoten!C13)))-$BD$119,0)</f>
        <v>0</v>
      </c>
      <c r="BE132" s="615">
        <f t="shared" ca="1" si="0"/>
        <v>0</v>
      </c>
      <c r="BF132" s="614">
        <f t="shared" ca="1" si="0"/>
        <v>0</v>
      </c>
      <c r="BG132" s="616" t="str">
        <f t="shared" si="1"/>
        <v/>
      </c>
      <c r="BH132" s="616" t="str">
        <f t="shared" si="2"/>
        <v/>
      </c>
      <c r="BI132" s="616" t="str">
        <f t="shared" si="2"/>
        <v/>
      </c>
      <c r="BJ132" s="615">
        <f t="shared" si="12"/>
        <v>0</v>
      </c>
      <c r="BK132" s="614" t="str">
        <f t="shared" si="3"/>
        <v/>
      </c>
      <c r="BL132" s="617" t="e">
        <f t="shared" si="4"/>
        <v>#VALUE!</v>
      </c>
      <c r="BM132" s="618" t="e">
        <f t="shared" si="5"/>
        <v>#VALUE!</v>
      </c>
      <c r="BN132" s="615" t="e">
        <f t="shared" si="6"/>
        <v>#VALUE!</v>
      </c>
      <c r="BO132" s="619" t="e">
        <f t="shared" si="7"/>
        <v>#VALUE!</v>
      </c>
      <c r="BP132" s="619" t="e">
        <f t="shared" si="8"/>
        <v>#VALUE!</v>
      </c>
      <c r="BQ132" s="619" t="e">
        <f t="shared" si="9"/>
        <v>#VALUE!</v>
      </c>
    </row>
    <row r="133" spans="54:69" ht="13.8" thickBot="1" x14ac:dyDescent="0.3">
      <c r="BB133" s="612">
        <v>12</v>
      </c>
      <c r="BC133" s="613">
        <f t="shared" ca="1" si="10"/>
        <v>0</v>
      </c>
      <c r="BD133" s="614">
        <f ca="1">IF(ISNUMBER(D15),INDIRECT("Knoten!"&amp;ADDRESS(D15+2,COLUMN(Knoten!C14)))-$BD$119,0)</f>
        <v>0</v>
      </c>
      <c r="BE133" s="615">
        <f t="shared" ca="1" si="0"/>
        <v>0</v>
      </c>
      <c r="BF133" s="614">
        <f t="shared" ca="1" si="0"/>
        <v>0</v>
      </c>
      <c r="BG133" s="616" t="str">
        <f t="shared" si="1"/>
        <v/>
      </c>
      <c r="BH133" s="616" t="str">
        <f t="shared" si="2"/>
        <v/>
      </c>
      <c r="BI133" s="616" t="str">
        <f t="shared" si="2"/>
        <v/>
      </c>
      <c r="BJ133" s="615">
        <f t="shared" si="12"/>
        <v>0</v>
      </c>
      <c r="BK133" s="614" t="str">
        <f t="shared" si="3"/>
        <v/>
      </c>
      <c r="BL133" s="617" t="e">
        <f t="shared" si="4"/>
        <v>#VALUE!</v>
      </c>
      <c r="BM133" s="618" t="e">
        <f t="shared" si="5"/>
        <v>#VALUE!</v>
      </c>
      <c r="BN133" s="615" t="e">
        <f t="shared" si="6"/>
        <v>#VALUE!</v>
      </c>
      <c r="BO133" s="619" t="e">
        <f t="shared" si="7"/>
        <v>#VALUE!</v>
      </c>
      <c r="BP133" s="619" t="e">
        <f t="shared" si="8"/>
        <v>#VALUE!</v>
      </c>
      <c r="BQ133" s="619" t="e">
        <f t="shared" si="9"/>
        <v>#VALUE!</v>
      </c>
    </row>
    <row r="134" spans="54:69" ht="13.8" thickBot="1" x14ac:dyDescent="0.3">
      <c r="BB134" s="612">
        <v>13</v>
      </c>
      <c r="BC134" s="613">
        <f t="shared" ca="1" si="10"/>
        <v>0</v>
      </c>
      <c r="BD134" s="614">
        <f ca="1">IF(ISNUMBER(D16),INDIRECT("Knoten!"&amp;ADDRESS(D16+2,COLUMN(Knoten!C15)))-$BD$119,0)</f>
        <v>0</v>
      </c>
      <c r="BE134" s="615">
        <f t="shared" ca="1" si="0"/>
        <v>0</v>
      </c>
      <c r="BF134" s="614">
        <f t="shared" ca="1" si="0"/>
        <v>0</v>
      </c>
      <c r="BG134" s="616" t="str">
        <f t="shared" si="1"/>
        <v/>
      </c>
      <c r="BH134" s="616" t="str">
        <f t="shared" si="2"/>
        <v/>
      </c>
      <c r="BI134" s="616" t="str">
        <f t="shared" si="2"/>
        <v/>
      </c>
      <c r="BJ134" s="615">
        <f t="shared" si="12"/>
        <v>0</v>
      </c>
      <c r="BK134" s="614" t="str">
        <f t="shared" si="3"/>
        <v/>
      </c>
      <c r="BL134" s="617" t="e">
        <f t="shared" si="4"/>
        <v>#VALUE!</v>
      </c>
      <c r="BM134" s="618" t="e">
        <f t="shared" si="5"/>
        <v>#VALUE!</v>
      </c>
      <c r="BN134" s="615" t="e">
        <f t="shared" si="6"/>
        <v>#VALUE!</v>
      </c>
      <c r="BO134" s="619" t="e">
        <f t="shared" si="7"/>
        <v>#VALUE!</v>
      </c>
      <c r="BP134" s="619" t="e">
        <f t="shared" si="8"/>
        <v>#VALUE!</v>
      </c>
      <c r="BQ134" s="619" t="e">
        <f t="shared" si="9"/>
        <v>#VALUE!</v>
      </c>
    </row>
    <row r="135" spans="54:69" ht="13.8" thickBot="1" x14ac:dyDescent="0.3">
      <c r="BB135" s="612">
        <v>14</v>
      </c>
      <c r="BC135" s="613">
        <f t="shared" ca="1" si="10"/>
        <v>0</v>
      </c>
      <c r="BD135" s="614">
        <f ca="1">IF(ISNUMBER(D17),INDIRECT("Knoten!"&amp;ADDRESS(D17+2,COLUMN(Knoten!C16)))-$BD$119,0)</f>
        <v>0</v>
      </c>
      <c r="BE135" s="615">
        <f t="shared" ca="1" si="0"/>
        <v>0</v>
      </c>
      <c r="BF135" s="614">
        <f t="shared" ca="1" si="0"/>
        <v>0</v>
      </c>
      <c r="BG135" s="616" t="str">
        <f t="shared" si="1"/>
        <v/>
      </c>
      <c r="BH135" s="616" t="str">
        <f t="shared" si="2"/>
        <v/>
      </c>
      <c r="BI135" s="616" t="str">
        <f t="shared" si="2"/>
        <v/>
      </c>
      <c r="BJ135" s="615">
        <f t="shared" si="12"/>
        <v>0</v>
      </c>
      <c r="BK135" s="614" t="str">
        <f t="shared" si="3"/>
        <v/>
      </c>
      <c r="BL135" s="617" t="e">
        <f t="shared" si="4"/>
        <v>#VALUE!</v>
      </c>
      <c r="BM135" s="618" t="e">
        <f t="shared" si="5"/>
        <v>#VALUE!</v>
      </c>
      <c r="BN135" s="615" t="e">
        <f t="shared" si="6"/>
        <v>#VALUE!</v>
      </c>
      <c r="BO135" s="619" t="e">
        <f t="shared" si="7"/>
        <v>#VALUE!</v>
      </c>
      <c r="BP135" s="619" t="e">
        <f t="shared" si="8"/>
        <v>#VALUE!</v>
      </c>
      <c r="BQ135" s="619" t="e">
        <f t="shared" si="9"/>
        <v>#VALUE!</v>
      </c>
    </row>
    <row r="136" spans="54:69" ht="13.8" thickBot="1" x14ac:dyDescent="0.3">
      <c r="BB136" s="612">
        <v>15</v>
      </c>
      <c r="BC136" s="613">
        <f t="shared" ca="1" si="10"/>
        <v>0</v>
      </c>
      <c r="BD136" s="614">
        <f ca="1">IF(ISNUMBER(D18),INDIRECT("Knoten!"&amp;ADDRESS(D18+2,COLUMN(Knoten!C17)))-$BD$119,0)</f>
        <v>0</v>
      </c>
      <c r="BE136" s="615">
        <f t="shared" ca="1" si="0"/>
        <v>0</v>
      </c>
      <c r="BF136" s="614">
        <f t="shared" ca="1" si="0"/>
        <v>0</v>
      </c>
      <c r="BG136" s="616" t="str">
        <f t="shared" si="1"/>
        <v/>
      </c>
      <c r="BH136" s="616" t="str">
        <f t="shared" si="2"/>
        <v/>
      </c>
      <c r="BI136" s="616" t="str">
        <f t="shared" si="2"/>
        <v/>
      </c>
      <c r="BJ136" s="615">
        <f t="shared" si="12"/>
        <v>0</v>
      </c>
      <c r="BK136" s="614" t="str">
        <f t="shared" si="3"/>
        <v/>
      </c>
      <c r="BL136" s="617" t="e">
        <f t="shared" si="4"/>
        <v>#VALUE!</v>
      </c>
      <c r="BM136" s="618" t="e">
        <f t="shared" si="5"/>
        <v>#VALUE!</v>
      </c>
      <c r="BN136" s="615" t="e">
        <f t="shared" si="6"/>
        <v>#VALUE!</v>
      </c>
      <c r="BO136" s="619" t="e">
        <f t="shared" si="7"/>
        <v>#VALUE!</v>
      </c>
      <c r="BP136" s="619" t="e">
        <f t="shared" si="8"/>
        <v>#VALUE!</v>
      </c>
      <c r="BQ136" s="619" t="e">
        <f t="shared" si="9"/>
        <v>#VALUE!</v>
      </c>
    </row>
    <row r="137" spans="54:69" ht="13.8" thickBot="1" x14ac:dyDescent="0.3">
      <c r="BB137" s="612">
        <v>16</v>
      </c>
      <c r="BC137" s="613">
        <f t="shared" ca="1" si="10"/>
        <v>0</v>
      </c>
      <c r="BD137" s="614">
        <f ca="1">IF(ISNUMBER(D19),INDIRECT("Knoten!"&amp;ADDRESS(D19+2,COLUMN(Knoten!C18)))-$BD$119,0)</f>
        <v>0</v>
      </c>
      <c r="BE137" s="615">
        <f t="shared" ca="1" si="0"/>
        <v>0</v>
      </c>
      <c r="BF137" s="614">
        <f t="shared" ca="1" si="0"/>
        <v>0</v>
      </c>
      <c r="BG137" s="616" t="str">
        <f t="shared" si="1"/>
        <v/>
      </c>
      <c r="BH137" s="616" t="str">
        <f t="shared" si="2"/>
        <v/>
      </c>
      <c r="BI137" s="616" t="str">
        <f t="shared" si="2"/>
        <v/>
      </c>
      <c r="BJ137" s="615">
        <f t="shared" si="12"/>
        <v>0</v>
      </c>
      <c r="BK137" s="614">
        <f>IF(ISNUMBER(BG137),(BD137-BC137)/BG137,0)</f>
        <v>0</v>
      </c>
      <c r="BL137" s="617">
        <f t="shared" si="4"/>
        <v>0</v>
      </c>
      <c r="BM137" s="618">
        <f t="shared" si="5"/>
        <v>0</v>
      </c>
      <c r="BN137" s="615">
        <f t="shared" si="6"/>
        <v>0</v>
      </c>
      <c r="BO137" s="619">
        <f t="shared" si="7"/>
        <v>0</v>
      </c>
      <c r="BP137" s="619">
        <f t="shared" si="8"/>
        <v>0</v>
      </c>
      <c r="BQ137" s="619">
        <f t="shared" si="9"/>
        <v>0</v>
      </c>
    </row>
    <row r="138" spans="54:69" ht="13.8" thickBot="1" x14ac:dyDescent="0.3">
      <c r="BB138" s="612">
        <v>17</v>
      </c>
      <c r="BC138" s="613">
        <f t="shared" ca="1" si="10"/>
        <v>0</v>
      </c>
      <c r="BD138" s="614">
        <f ca="1">IF(ISNUMBER(D20),INDIRECT("Knoten!"&amp;ADDRESS(D20+2,COLUMN(Knoten!C19)))-$BD$119,0)</f>
        <v>0</v>
      </c>
      <c r="BE138" s="615">
        <f t="shared" ca="1" si="0"/>
        <v>0</v>
      </c>
      <c r="BF138" s="614">
        <f t="shared" ca="1" si="0"/>
        <v>0</v>
      </c>
      <c r="BG138" s="616" t="str">
        <f t="shared" si="1"/>
        <v/>
      </c>
      <c r="BH138" s="616" t="str">
        <f t="shared" si="2"/>
        <v/>
      </c>
      <c r="BI138" s="616" t="str">
        <f t="shared" si="2"/>
        <v/>
      </c>
      <c r="BJ138" s="615">
        <f t="shared" si="12"/>
        <v>0</v>
      </c>
      <c r="BK138" s="614">
        <f t="shared" ref="BK138:BK161" si="13">IF(ISNUMBER(BG138),(BD138-BC138)/BG138,0)</f>
        <v>0</v>
      </c>
      <c r="BL138" s="617">
        <f t="shared" si="4"/>
        <v>0</v>
      </c>
      <c r="BM138" s="618">
        <f t="shared" si="5"/>
        <v>0</v>
      </c>
      <c r="BN138" s="615">
        <f t="shared" si="6"/>
        <v>0</v>
      </c>
      <c r="BO138" s="619">
        <f t="shared" si="7"/>
        <v>0</v>
      </c>
      <c r="BP138" s="619">
        <f t="shared" si="8"/>
        <v>0</v>
      </c>
      <c r="BQ138" s="619">
        <f t="shared" si="9"/>
        <v>0</v>
      </c>
    </row>
    <row r="139" spans="54:69" ht="13.8" thickBot="1" x14ac:dyDescent="0.3">
      <c r="BB139" s="612">
        <v>18</v>
      </c>
      <c r="BC139" s="613">
        <f t="shared" ca="1" si="10"/>
        <v>0</v>
      </c>
      <c r="BD139" s="614">
        <f ca="1">IF(ISNUMBER(D21),INDIRECT("Knoten!"&amp;ADDRESS(D21+2,COLUMN(Knoten!C20)))-$BD$119,0)</f>
        <v>0</v>
      </c>
      <c r="BE139" s="615">
        <f t="shared" ca="1" si="0"/>
        <v>0</v>
      </c>
      <c r="BF139" s="614">
        <f t="shared" ca="1" si="0"/>
        <v>0</v>
      </c>
      <c r="BG139" s="616" t="str">
        <f t="shared" si="1"/>
        <v/>
      </c>
      <c r="BH139" s="616" t="str">
        <f t="shared" si="2"/>
        <v/>
      </c>
      <c r="BI139" s="616" t="str">
        <f t="shared" si="2"/>
        <v/>
      </c>
      <c r="BJ139" s="615">
        <f t="shared" si="12"/>
        <v>0</v>
      </c>
      <c r="BK139" s="614">
        <f t="shared" si="13"/>
        <v>0</v>
      </c>
      <c r="BL139" s="617">
        <f t="shared" si="4"/>
        <v>0</v>
      </c>
      <c r="BM139" s="618">
        <f t="shared" si="5"/>
        <v>0</v>
      </c>
      <c r="BN139" s="615">
        <f t="shared" si="6"/>
        <v>0</v>
      </c>
      <c r="BO139" s="619">
        <f t="shared" si="7"/>
        <v>0</v>
      </c>
      <c r="BP139" s="619">
        <f t="shared" si="8"/>
        <v>0</v>
      </c>
      <c r="BQ139" s="619">
        <f t="shared" si="9"/>
        <v>0</v>
      </c>
    </row>
    <row r="140" spans="54:69" ht="13.8" thickBot="1" x14ac:dyDescent="0.3">
      <c r="BB140" s="612">
        <v>19</v>
      </c>
      <c r="BC140" s="613">
        <f t="shared" ca="1" si="10"/>
        <v>0</v>
      </c>
      <c r="BD140" s="614">
        <f ca="1">IF(ISNUMBER(D22),INDIRECT("Knoten!"&amp;ADDRESS(D22+2,COLUMN(Knoten!C21)))-$BD$119,0)</f>
        <v>0</v>
      </c>
      <c r="BE140" s="615">
        <f t="shared" ca="1" si="0"/>
        <v>0</v>
      </c>
      <c r="BF140" s="614">
        <f t="shared" ca="1" si="0"/>
        <v>0</v>
      </c>
      <c r="BG140" s="616" t="str">
        <f t="shared" si="1"/>
        <v/>
      </c>
      <c r="BH140" s="616" t="str">
        <f t="shared" si="2"/>
        <v/>
      </c>
      <c r="BI140" s="616" t="str">
        <f t="shared" si="2"/>
        <v/>
      </c>
      <c r="BJ140" s="615">
        <f t="shared" si="12"/>
        <v>0</v>
      </c>
      <c r="BK140" s="614">
        <f t="shared" si="13"/>
        <v>0</v>
      </c>
      <c r="BL140" s="617">
        <f t="shared" si="4"/>
        <v>0</v>
      </c>
      <c r="BM140" s="618">
        <f t="shared" si="5"/>
        <v>0</v>
      </c>
      <c r="BN140" s="615">
        <f t="shared" si="6"/>
        <v>0</v>
      </c>
      <c r="BO140" s="619">
        <f t="shared" si="7"/>
        <v>0</v>
      </c>
      <c r="BP140" s="619">
        <f t="shared" si="8"/>
        <v>0</v>
      </c>
      <c r="BQ140" s="619">
        <f t="shared" si="9"/>
        <v>0</v>
      </c>
    </row>
    <row r="141" spans="54:69" ht="13.8" thickBot="1" x14ac:dyDescent="0.3">
      <c r="BB141" s="612">
        <v>20</v>
      </c>
      <c r="BC141" s="613">
        <f t="shared" ca="1" si="10"/>
        <v>0</v>
      </c>
      <c r="BD141" s="614">
        <f ca="1">IF(ISNUMBER(D23),INDIRECT("Knoten!"&amp;ADDRESS(D23+2,COLUMN(Knoten!C22)))-$BD$119,0)</f>
        <v>0</v>
      </c>
      <c r="BE141" s="615">
        <f t="shared" ca="1" si="0"/>
        <v>0</v>
      </c>
      <c r="BF141" s="614">
        <f t="shared" ca="1" si="0"/>
        <v>0</v>
      </c>
      <c r="BG141" s="616" t="str">
        <f t="shared" si="1"/>
        <v/>
      </c>
      <c r="BH141" s="616" t="str">
        <f t="shared" si="2"/>
        <v/>
      </c>
      <c r="BI141" s="616" t="str">
        <f t="shared" si="2"/>
        <v/>
      </c>
      <c r="BJ141" s="615">
        <f t="shared" si="12"/>
        <v>0</v>
      </c>
      <c r="BK141" s="614">
        <f t="shared" si="13"/>
        <v>0</v>
      </c>
      <c r="BL141" s="617">
        <f t="shared" si="4"/>
        <v>0</v>
      </c>
      <c r="BM141" s="618">
        <f t="shared" si="5"/>
        <v>0</v>
      </c>
      <c r="BN141" s="615">
        <f t="shared" si="6"/>
        <v>0</v>
      </c>
      <c r="BO141" s="619">
        <f t="shared" si="7"/>
        <v>0</v>
      </c>
      <c r="BP141" s="619">
        <f t="shared" si="8"/>
        <v>0</v>
      </c>
      <c r="BQ141" s="619">
        <f t="shared" si="9"/>
        <v>0</v>
      </c>
    </row>
    <row r="142" spans="54:69" ht="13.8" thickBot="1" x14ac:dyDescent="0.3">
      <c r="BB142" s="612">
        <v>21</v>
      </c>
      <c r="BC142" s="613">
        <f t="shared" ca="1" si="10"/>
        <v>0</v>
      </c>
      <c r="BD142" s="614">
        <f ca="1">IF(ISNUMBER(D24),INDIRECT("Knoten!"&amp;ADDRESS(D24+2,COLUMN(Knoten!C23)))-$BD$119,0)</f>
        <v>0</v>
      </c>
      <c r="BE142" s="615">
        <f t="shared" ca="1" si="0"/>
        <v>0</v>
      </c>
      <c r="BF142" s="614">
        <f t="shared" ca="1" si="0"/>
        <v>0</v>
      </c>
      <c r="BG142" s="616" t="str">
        <f t="shared" si="1"/>
        <v/>
      </c>
      <c r="BH142" s="616" t="str">
        <f t="shared" si="2"/>
        <v/>
      </c>
      <c r="BI142" s="616" t="str">
        <f t="shared" si="2"/>
        <v/>
      </c>
      <c r="BJ142" s="615">
        <f t="shared" si="12"/>
        <v>0</v>
      </c>
      <c r="BK142" s="614">
        <f t="shared" si="13"/>
        <v>0</v>
      </c>
      <c r="BL142" s="617">
        <f t="shared" si="4"/>
        <v>0</v>
      </c>
      <c r="BM142" s="618">
        <f t="shared" si="5"/>
        <v>0</v>
      </c>
      <c r="BN142" s="615">
        <f t="shared" si="6"/>
        <v>0</v>
      </c>
      <c r="BO142" s="619">
        <f t="shared" si="7"/>
        <v>0</v>
      </c>
      <c r="BP142" s="619">
        <f t="shared" si="8"/>
        <v>0</v>
      </c>
      <c r="BQ142" s="619">
        <f t="shared" si="9"/>
        <v>0</v>
      </c>
    </row>
    <row r="143" spans="54:69" ht="13.8" thickBot="1" x14ac:dyDescent="0.3">
      <c r="BB143" s="612">
        <v>22</v>
      </c>
      <c r="BC143" s="613">
        <f t="shared" ca="1" si="10"/>
        <v>0</v>
      </c>
      <c r="BD143" s="614">
        <f ca="1">IF(ISNUMBER(D25),INDIRECT("Knoten!"&amp;ADDRESS(D25+2,COLUMN(Knoten!C24)))-$BD$119,0)</f>
        <v>0</v>
      </c>
      <c r="BE143" s="615">
        <f t="shared" ca="1" si="0"/>
        <v>0</v>
      </c>
      <c r="BF143" s="614">
        <f t="shared" ca="1" si="0"/>
        <v>0</v>
      </c>
      <c r="BG143" s="616" t="str">
        <f t="shared" si="1"/>
        <v/>
      </c>
      <c r="BH143" s="616" t="str">
        <f t="shared" si="2"/>
        <v/>
      </c>
      <c r="BI143" s="616" t="str">
        <f t="shared" si="2"/>
        <v/>
      </c>
      <c r="BJ143" s="615">
        <f t="shared" si="12"/>
        <v>0</v>
      </c>
      <c r="BK143" s="614">
        <f t="shared" si="13"/>
        <v>0</v>
      </c>
      <c r="BL143" s="617">
        <f t="shared" si="4"/>
        <v>0</v>
      </c>
      <c r="BM143" s="618">
        <f t="shared" si="5"/>
        <v>0</v>
      </c>
      <c r="BN143" s="615">
        <f t="shared" si="6"/>
        <v>0</v>
      </c>
      <c r="BO143" s="619">
        <f t="shared" si="7"/>
        <v>0</v>
      </c>
      <c r="BP143" s="619">
        <f t="shared" si="8"/>
        <v>0</v>
      </c>
      <c r="BQ143" s="619">
        <f t="shared" si="9"/>
        <v>0</v>
      </c>
    </row>
    <row r="144" spans="54:69" ht="13.8" thickBot="1" x14ac:dyDescent="0.3">
      <c r="BB144" s="612">
        <v>23</v>
      </c>
      <c r="BC144" s="613">
        <f t="shared" ca="1" si="10"/>
        <v>0</v>
      </c>
      <c r="BD144" s="614">
        <f ca="1">IF(ISNUMBER(D26),INDIRECT("Knoten!"&amp;ADDRESS(D26+2,COLUMN(Knoten!C25)))-$BD$119,0)</f>
        <v>0</v>
      </c>
      <c r="BE144" s="615">
        <f t="shared" ca="1" si="0"/>
        <v>0</v>
      </c>
      <c r="BF144" s="614">
        <f t="shared" ca="1" si="0"/>
        <v>0</v>
      </c>
      <c r="BG144" s="616" t="str">
        <f t="shared" si="1"/>
        <v/>
      </c>
      <c r="BH144" s="616" t="str">
        <f t="shared" si="2"/>
        <v/>
      </c>
      <c r="BI144" s="616" t="str">
        <f t="shared" si="2"/>
        <v/>
      </c>
      <c r="BJ144" s="615">
        <f t="shared" si="12"/>
        <v>0</v>
      </c>
      <c r="BK144" s="614">
        <f t="shared" si="13"/>
        <v>0</v>
      </c>
      <c r="BL144" s="617">
        <f t="shared" si="4"/>
        <v>0</v>
      </c>
      <c r="BM144" s="618">
        <f t="shared" si="5"/>
        <v>0</v>
      </c>
      <c r="BN144" s="615">
        <f t="shared" si="6"/>
        <v>0</v>
      </c>
      <c r="BO144" s="619">
        <f t="shared" si="7"/>
        <v>0</v>
      </c>
      <c r="BP144" s="619">
        <f t="shared" si="8"/>
        <v>0</v>
      </c>
      <c r="BQ144" s="619">
        <f t="shared" si="9"/>
        <v>0</v>
      </c>
    </row>
    <row r="145" spans="54:69" ht="13.8" thickBot="1" x14ac:dyDescent="0.3">
      <c r="BB145" s="612">
        <v>24</v>
      </c>
      <c r="BC145" s="613">
        <f t="shared" ca="1" si="10"/>
        <v>0</v>
      </c>
      <c r="BD145" s="614">
        <f ca="1">IF(ISNUMBER(D27),INDIRECT("Knoten!"&amp;ADDRESS(D27+2,COLUMN(Knoten!C26)))-$BD$119,0)</f>
        <v>0</v>
      </c>
      <c r="BE145" s="615">
        <f t="shared" ca="1" si="0"/>
        <v>0</v>
      </c>
      <c r="BF145" s="614">
        <f t="shared" ca="1" si="0"/>
        <v>0</v>
      </c>
      <c r="BG145" s="616" t="str">
        <f t="shared" si="1"/>
        <v/>
      </c>
      <c r="BH145" s="616" t="str">
        <f t="shared" si="2"/>
        <v/>
      </c>
      <c r="BI145" s="616" t="str">
        <f t="shared" si="2"/>
        <v/>
      </c>
      <c r="BJ145" s="615">
        <f t="shared" si="12"/>
        <v>0</v>
      </c>
      <c r="BK145" s="614">
        <f t="shared" si="13"/>
        <v>0</v>
      </c>
      <c r="BL145" s="617">
        <f t="shared" si="4"/>
        <v>0</v>
      </c>
      <c r="BM145" s="618">
        <f t="shared" si="5"/>
        <v>0</v>
      </c>
      <c r="BN145" s="615">
        <f t="shared" si="6"/>
        <v>0</v>
      </c>
      <c r="BO145" s="619">
        <f t="shared" si="7"/>
        <v>0</v>
      </c>
      <c r="BP145" s="619">
        <f t="shared" si="8"/>
        <v>0</v>
      </c>
      <c r="BQ145" s="619">
        <f t="shared" si="9"/>
        <v>0</v>
      </c>
    </row>
    <row r="146" spans="54:69" ht="13.8" thickBot="1" x14ac:dyDescent="0.3">
      <c r="BB146" s="612">
        <v>25</v>
      </c>
      <c r="BC146" s="613">
        <f t="shared" ca="1" si="10"/>
        <v>0</v>
      </c>
      <c r="BD146" s="614">
        <f ca="1">IF(ISNUMBER(D28),INDIRECT("Knoten!"&amp;ADDRESS(D28+2,COLUMN(Knoten!C27)))-$BD$119,0)</f>
        <v>0</v>
      </c>
      <c r="BE146" s="615">
        <f t="shared" ca="1" si="0"/>
        <v>0</v>
      </c>
      <c r="BF146" s="614">
        <f t="shared" ca="1" si="0"/>
        <v>0</v>
      </c>
      <c r="BG146" s="616" t="str">
        <f>IF(ISNUMBER(C28),SQRT((BD146-BC146)^2+(BF146-BE146)^2),"")</f>
        <v/>
      </c>
      <c r="BH146" s="616" t="str">
        <f t="shared" si="2"/>
        <v/>
      </c>
      <c r="BI146" s="616" t="str">
        <f t="shared" si="2"/>
        <v/>
      </c>
      <c r="BJ146" s="615">
        <f t="shared" si="12"/>
        <v>0</v>
      </c>
      <c r="BK146" s="614">
        <f t="shared" si="13"/>
        <v>0</v>
      </c>
      <c r="BL146" s="617">
        <f t="shared" si="4"/>
        <v>0</v>
      </c>
      <c r="BM146" s="618">
        <f t="shared" si="5"/>
        <v>0</v>
      </c>
      <c r="BN146" s="615">
        <f t="shared" si="6"/>
        <v>0</v>
      </c>
      <c r="BO146" s="619">
        <f t="shared" si="7"/>
        <v>0</v>
      </c>
      <c r="BP146" s="619">
        <f t="shared" si="8"/>
        <v>0</v>
      </c>
      <c r="BQ146" s="619">
        <f t="shared" si="9"/>
        <v>0</v>
      </c>
    </row>
    <row r="147" spans="54:69" ht="13.8" thickBot="1" x14ac:dyDescent="0.3">
      <c r="BB147" s="612">
        <v>26</v>
      </c>
      <c r="BC147" s="613">
        <f t="shared" ca="1" si="10"/>
        <v>0</v>
      </c>
      <c r="BD147" s="614">
        <f ca="1">IF(ISNUMBER(D29),INDIRECT("Knoten!"&amp;ADDRESS(D29+2,COLUMN(Knoten!C28)))-$BD$119,0)</f>
        <v>0</v>
      </c>
      <c r="BE147" s="615">
        <f t="shared" ca="1" si="0"/>
        <v>0</v>
      </c>
      <c r="BF147" s="614">
        <f t="shared" ca="1" si="0"/>
        <v>0</v>
      </c>
      <c r="BG147" s="616" t="str">
        <f t="shared" si="1"/>
        <v/>
      </c>
      <c r="BH147" s="616" t="str">
        <f t="shared" si="2"/>
        <v/>
      </c>
      <c r="BI147" s="616" t="str">
        <f t="shared" si="2"/>
        <v/>
      </c>
      <c r="BJ147" s="615">
        <f t="shared" si="12"/>
        <v>0</v>
      </c>
      <c r="BK147" s="614">
        <f t="shared" si="13"/>
        <v>0</v>
      </c>
      <c r="BL147" s="617">
        <f t="shared" si="4"/>
        <v>0</v>
      </c>
      <c r="BM147" s="618">
        <f t="shared" si="5"/>
        <v>0</v>
      </c>
      <c r="BN147" s="615">
        <f t="shared" si="6"/>
        <v>0</v>
      </c>
      <c r="BO147" s="619">
        <f t="shared" si="7"/>
        <v>0</v>
      </c>
      <c r="BP147" s="619">
        <f t="shared" si="8"/>
        <v>0</v>
      </c>
      <c r="BQ147" s="619">
        <f t="shared" si="9"/>
        <v>0</v>
      </c>
    </row>
    <row r="148" spans="54:69" ht="13.8" thickBot="1" x14ac:dyDescent="0.3">
      <c r="BB148" s="612">
        <v>27</v>
      </c>
      <c r="BC148" s="613">
        <f t="shared" ca="1" si="10"/>
        <v>0</v>
      </c>
      <c r="BD148" s="614">
        <f ca="1">IF(ISNUMBER(D30),INDIRECT("Knoten!"&amp;ADDRESS(D30+2,COLUMN(Knoten!C29)))-$BD$119,0)</f>
        <v>0</v>
      </c>
      <c r="BE148" s="615">
        <f t="shared" ca="1" si="0"/>
        <v>0</v>
      </c>
      <c r="BF148" s="614">
        <f t="shared" ca="1" si="0"/>
        <v>0</v>
      </c>
      <c r="BG148" s="616" t="str">
        <f t="shared" si="1"/>
        <v/>
      </c>
      <c r="BH148" s="616" t="str">
        <f t="shared" si="2"/>
        <v/>
      </c>
      <c r="BI148" s="616" t="str">
        <f t="shared" si="2"/>
        <v/>
      </c>
      <c r="BJ148" s="615">
        <f t="shared" si="12"/>
        <v>0</v>
      </c>
      <c r="BK148" s="614">
        <f t="shared" si="13"/>
        <v>0</v>
      </c>
      <c r="BL148" s="617">
        <f t="shared" si="4"/>
        <v>0</v>
      </c>
      <c r="BM148" s="618">
        <f t="shared" si="5"/>
        <v>0</v>
      </c>
      <c r="BN148" s="615">
        <f t="shared" si="6"/>
        <v>0</v>
      </c>
      <c r="BO148" s="619">
        <f t="shared" si="7"/>
        <v>0</v>
      </c>
      <c r="BP148" s="619">
        <f t="shared" si="8"/>
        <v>0</v>
      </c>
      <c r="BQ148" s="619">
        <f t="shared" si="9"/>
        <v>0</v>
      </c>
    </row>
    <row r="149" spans="54:69" ht="13.8" thickBot="1" x14ac:dyDescent="0.3">
      <c r="BB149" s="612">
        <v>28</v>
      </c>
      <c r="BC149" s="613">
        <f t="shared" ca="1" si="10"/>
        <v>0</v>
      </c>
      <c r="BD149" s="614">
        <f ca="1">IF(ISNUMBER(D31),INDIRECT("Knoten!"&amp;ADDRESS(D31+2,COLUMN(Knoten!C30)))-$BD$119,0)</f>
        <v>0</v>
      </c>
      <c r="BE149" s="615">
        <f t="shared" ca="1" si="0"/>
        <v>0</v>
      </c>
      <c r="BF149" s="614">
        <f t="shared" ca="1" si="0"/>
        <v>0</v>
      </c>
      <c r="BG149" s="616" t="str">
        <f t="shared" si="1"/>
        <v/>
      </c>
      <c r="BH149" s="616" t="str">
        <f t="shared" si="2"/>
        <v/>
      </c>
      <c r="BI149" s="616" t="str">
        <f t="shared" si="2"/>
        <v/>
      </c>
      <c r="BJ149" s="615">
        <f t="shared" si="12"/>
        <v>0</v>
      </c>
      <c r="BK149" s="614">
        <f t="shared" si="13"/>
        <v>0</v>
      </c>
      <c r="BL149" s="617">
        <f t="shared" si="4"/>
        <v>0</v>
      </c>
      <c r="BM149" s="618">
        <f t="shared" si="5"/>
        <v>0</v>
      </c>
      <c r="BN149" s="615">
        <f t="shared" si="6"/>
        <v>0</v>
      </c>
      <c r="BO149" s="619">
        <f t="shared" si="7"/>
        <v>0</v>
      </c>
      <c r="BP149" s="619">
        <f t="shared" si="8"/>
        <v>0</v>
      </c>
      <c r="BQ149" s="619">
        <f t="shared" si="9"/>
        <v>0</v>
      </c>
    </row>
    <row r="150" spans="54:69" ht="13.8" thickBot="1" x14ac:dyDescent="0.3">
      <c r="BB150" s="612">
        <v>29</v>
      </c>
      <c r="BC150" s="613">
        <f t="shared" ca="1" si="10"/>
        <v>0</v>
      </c>
      <c r="BD150" s="614">
        <f ca="1">IF(ISNUMBER(D32),INDIRECT("Knoten!"&amp;ADDRESS(D32+2,COLUMN(Knoten!C31)))-$BD$119,0)</f>
        <v>0</v>
      </c>
      <c r="BE150" s="615">
        <f t="shared" ca="1" si="0"/>
        <v>0</v>
      </c>
      <c r="BF150" s="614">
        <f t="shared" ca="1" si="0"/>
        <v>0</v>
      </c>
      <c r="BG150" s="616" t="str">
        <f t="shared" si="1"/>
        <v/>
      </c>
      <c r="BH150" s="616" t="str">
        <f t="shared" si="2"/>
        <v/>
      </c>
      <c r="BI150" s="616" t="str">
        <f t="shared" si="2"/>
        <v/>
      </c>
      <c r="BJ150" s="615">
        <f t="shared" si="12"/>
        <v>0</v>
      </c>
      <c r="BK150" s="614">
        <f t="shared" si="13"/>
        <v>0</v>
      </c>
      <c r="BL150" s="617">
        <f t="shared" si="4"/>
        <v>0</v>
      </c>
      <c r="BM150" s="618">
        <f t="shared" si="5"/>
        <v>0</v>
      </c>
      <c r="BN150" s="615">
        <f t="shared" si="6"/>
        <v>0</v>
      </c>
      <c r="BO150" s="619">
        <f t="shared" si="7"/>
        <v>0</v>
      </c>
      <c r="BP150" s="619">
        <f t="shared" si="8"/>
        <v>0</v>
      </c>
      <c r="BQ150" s="619">
        <f t="shared" si="9"/>
        <v>0</v>
      </c>
    </row>
    <row r="151" spans="54:69" ht="13.8" thickBot="1" x14ac:dyDescent="0.3">
      <c r="BB151" s="612">
        <v>30</v>
      </c>
      <c r="BC151" s="613">
        <f t="shared" ca="1" si="10"/>
        <v>0</v>
      </c>
      <c r="BD151" s="614">
        <f ca="1">IF(ISNUMBER(D33),INDIRECT("Knoten!"&amp;ADDRESS(D33+2,COLUMN(Knoten!C32)))-$BD$119,0)</f>
        <v>0</v>
      </c>
      <c r="BE151" s="615">
        <f t="shared" ca="1" si="0"/>
        <v>0</v>
      </c>
      <c r="BF151" s="614">
        <f t="shared" ca="1" si="0"/>
        <v>0</v>
      </c>
      <c r="BG151" s="616" t="str">
        <f t="shared" si="1"/>
        <v/>
      </c>
      <c r="BH151" s="616" t="str">
        <f t="shared" si="2"/>
        <v/>
      </c>
      <c r="BI151" s="616" t="str">
        <f t="shared" si="2"/>
        <v/>
      </c>
      <c r="BJ151" s="615">
        <f t="shared" si="12"/>
        <v>0</v>
      </c>
      <c r="BK151" s="614">
        <f t="shared" si="13"/>
        <v>0</v>
      </c>
      <c r="BL151" s="617">
        <f t="shared" si="4"/>
        <v>0</v>
      </c>
      <c r="BM151" s="618">
        <f t="shared" si="5"/>
        <v>0</v>
      </c>
      <c r="BN151" s="615">
        <f t="shared" si="6"/>
        <v>0</v>
      </c>
      <c r="BO151" s="619">
        <f t="shared" si="7"/>
        <v>0</v>
      </c>
      <c r="BP151" s="619">
        <f t="shared" si="8"/>
        <v>0</v>
      </c>
      <c r="BQ151" s="619">
        <f t="shared" si="9"/>
        <v>0</v>
      </c>
    </row>
    <row r="152" spans="54:69" ht="13.8" thickBot="1" x14ac:dyDescent="0.3">
      <c r="BB152" s="612">
        <v>31</v>
      </c>
      <c r="BC152" s="613">
        <f t="shared" ca="1" si="10"/>
        <v>0</v>
      </c>
      <c r="BD152" s="614">
        <f ca="1">IF(ISNUMBER(D34),INDIRECT("Knoten!"&amp;ADDRESS(D34+2,COLUMN(Knoten!C33)))-$BD$119,0)</f>
        <v>0</v>
      </c>
      <c r="BE152" s="615">
        <f t="shared" ca="1" si="0"/>
        <v>0</v>
      </c>
      <c r="BF152" s="614">
        <f t="shared" ca="1" si="0"/>
        <v>0</v>
      </c>
      <c r="BG152" s="616" t="str">
        <f t="shared" si="1"/>
        <v/>
      </c>
      <c r="BH152" s="616" t="str">
        <f t="shared" si="2"/>
        <v/>
      </c>
      <c r="BI152" s="616" t="str">
        <f t="shared" si="2"/>
        <v/>
      </c>
      <c r="BJ152" s="615">
        <f t="shared" si="12"/>
        <v>0</v>
      </c>
      <c r="BK152" s="614">
        <f t="shared" si="13"/>
        <v>0</v>
      </c>
      <c r="BL152" s="617">
        <f t="shared" si="4"/>
        <v>0</v>
      </c>
      <c r="BM152" s="618">
        <f t="shared" si="5"/>
        <v>0</v>
      </c>
      <c r="BN152" s="615">
        <f t="shared" si="6"/>
        <v>0</v>
      </c>
      <c r="BO152" s="619">
        <f t="shared" si="7"/>
        <v>0</v>
      </c>
      <c r="BP152" s="619">
        <f t="shared" si="8"/>
        <v>0</v>
      </c>
      <c r="BQ152" s="619">
        <f t="shared" si="9"/>
        <v>0</v>
      </c>
    </row>
    <row r="153" spans="54:69" ht="13.8" thickBot="1" x14ac:dyDescent="0.3">
      <c r="BB153" s="612">
        <v>32</v>
      </c>
      <c r="BC153" s="613">
        <f t="shared" ca="1" si="10"/>
        <v>0</v>
      </c>
      <c r="BD153" s="614">
        <f ca="1">IF(ISNUMBER(D35),INDIRECT("Knoten!"&amp;ADDRESS(D35+2,COLUMN(Knoten!C34)))-$BD$119,0)</f>
        <v>0</v>
      </c>
      <c r="BE153" s="615">
        <f t="shared" ca="1" si="0"/>
        <v>0</v>
      </c>
      <c r="BF153" s="614">
        <f t="shared" ca="1" si="0"/>
        <v>0</v>
      </c>
      <c r="BG153" s="616" t="str">
        <f t="shared" si="1"/>
        <v/>
      </c>
      <c r="BH153" s="616" t="str">
        <f t="shared" si="2"/>
        <v/>
      </c>
      <c r="BI153" s="616" t="str">
        <f t="shared" si="2"/>
        <v/>
      </c>
      <c r="BJ153" s="615">
        <f t="shared" si="12"/>
        <v>0</v>
      </c>
      <c r="BK153" s="614">
        <f t="shared" si="13"/>
        <v>0</v>
      </c>
      <c r="BL153" s="617">
        <f t="shared" si="4"/>
        <v>0</v>
      </c>
      <c r="BM153" s="618">
        <f t="shared" si="5"/>
        <v>0</v>
      </c>
      <c r="BN153" s="615">
        <f t="shared" si="6"/>
        <v>0</v>
      </c>
      <c r="BO153" s="619">
        <f t="shared" si="7"/>
        <v>0</v>
      </c>
      <c r="BP153" s="619">
        <f t="shared" si="8"/>
        <v>0</v>
      </c>
      <c r="BQ153" s="619">
        <f t="shared" si="9"/>
        <v>0</v>
      </c>
    </row>
    <row r="154" spans="54:69" ht="13.8" thickBot="1" x14ac:dyDescent="0.3">
      <c r="BB154" s="612">
        <v>33</v>
      </c>
      <c r="BC154" s="613">
        <f t="shared" ca="1" si="10"/>
        <v>0</v>
      </c>
      <c r="BD154" s="614">
        <f ca="1">IF(ISNUMBER(D36),INDIRECT("Knoten!"&amp;ADDRESS(D36+2,COLUMN(Knoten!C35)))-$BD$119,0)</f>
        <v>0</v>
      </c>
      <c r="BE154" s="615">
        <f t="shared" ca="1" si="0"/>
        <v>0</v>
      </c>
      <c r="BF154" s="614">
        <f t="shared" ca="1" si="0"/>
        <v>0</v>
      </c>
      <c r="BG154" s="616" t="str">
        <f t="shared" si="1"/>
        <v/>
      </c>
      <c r="BH154" s="616" t="str">
        <f t="shared" si="2"/>
        <v/>
      </c>
      <c r="BI154" s="616" t="str">
        <f t="shared" si="2"/>
        <v/>
      </c>
      <c r="BJ154" s="615">
        <f t="shared" si="12"/>
        <v>0</v>
      </c>
      <c r="BK154" s="614">
        <f t="shared" si="13"/>
        <v>0</v>
      </c>
      <c r="BL154" s="617">
        <f t="shared" si="4"/>
        <v>0</v>
      </c>
      <c r="BM154" s="618">
        <f t="shared" si="5"/>
        <v>0</v>
      </c>
      <c r="BN154" s="615">
        <f t="shared" si="6"/>
        <v>0</v>
      </c>
      <c r="BO154" s="619">
        <f t="shared" si="7"/>
        <v>0</v>
      </c>
      <c r="BP154" s="619">
        <f t="shared" si="8"/>
        <v>0</v>
      </c>
      <c r="BQ154" s="619">
        <f t="shared" si="9"/>
        <v>0</v>
      </c>
    </row>
    <row r="155" spans="54:69" ht="13.8" thickBot="1" x14ac:dyDescent="0.3">
      <c r="BB155" s="612">
        <v>34</v>
      </c>
      <c r="BC155" s="613">
        <f t="shared" ca="1" si="10"/>
        <v>0</v>
      </c>
      <c r="BD155" s="614">
        <f ca="1">IF(ISNUMBER(D37),INDIRECT("Knoten!"&amp;ADDRESS(D37+2,COLUMN(Knoten!C36)))-$BD$119,0)</f>
        <v>0</v>
      </c>
      <c r="BE155" s="615">
        <f t="shared" ca="1" si="0"/>
        <v>0</v>
      </c>
      <c r="BF155" s="614">
        <f t="shared" ca="1" si="0"/>
        <v>0</v>
      </c>
      <c r="BG155" s="616" t="str">
        <f t="shared" si="1"/>
        <v/>
      </c>
      <c r="BH155" s="616" t="str">
        <f t="shared" si="2"/>
        <v/>
      </c>
      <c r="BI155" s="616" t="str">
        <f t="shared" si="2"/>
        <v/>
      </c>
      <c r="BJ155" s="615">
        <f t="shared" si="12"/>
        <v>0</v>
      </c>
      <c r="BK155" s="614">
        <f t="shared" si="13"/>
        <v>0</v>
      </c>
      <c r="BL155" s="617">
        <f t="shared" si="4"/>
        <v>0</v>
      </c>
      <c r="BM155" s="618">
        <f t="shared" si="5"/>
        <v>0</v>
      </c>
      <c r="BN155" s="615">
        <f t="shared" si="6"/>
        <v>0</v>
      </c>
      <c r="BO155" s="619">
        <f t="shared" si="7"/>
        <v>0</v>
      </c>
      <c r="BP155" s="619">
        <f t="shared" si="8"/>
        <v>0</v>
      </c>
      <c r="BQ155" s="619">
        <f t="shared" si="9"/>
        <v>0</v>
      </c>
    </row>
    <row r="156" spans="54:69" ht="13.8" thickBot="1" x14ac:dyDescent="0.3">
      <c r="BB156" s="612">
        <v>35</v>
      </c>
      <c r="BC156" s="613">
        <f t="shared" ca="1" si="10"/>
        <v>0</v>
      </c>
      <c r="BD156" s="614">
        <f ca="1">IF(ISNUMBER(D38),INDIRECT("Knoten!"&amp;ADDRESS(D38+2,COLUMN(Knoten!C37)))-$BD$119,0)</f>
        <v>0</v>
      </c>
      <c r="BE156" s="615">
        <f t="shared" ca="1" si="0"/>
        <v>0</v>
      </c>
      <c r="BF156" s="614">
        <f t="shared" ca="1" si="0"/>
        <v>0</v>
      </c>
      <c r="BG156" s="616" t="str">
        <f t="shared" si="1"/>
        <v/>
      </c>
      <c r="BH156" s="616" t="str">
        <f t="shared" si="2"/>
        <v/>
      </c>
      <c r="BI156" s="616" t="str">
        <f t="shared" si="2"/>
        <v/>
      </c>
      <c r="BJ156" s="615">
        <f t="shared" si="12"/>
        <v>0</v>
      </c>
      <c r="BK156" s="614">
        <f t="shared" si="13"/>
        <v>0</v>
      </c>
      <c r="BL156" s="617">
        <f t="shared" si="4"/>
        <v>0</v>
      </c>
      <c r="BM156" s="618">
        <f t="shared" si="5"/>
        <v>0</v>
      </c>
      <c r="BN156" s="615">
        <f t="shared" si="6"/>
        <v>0</v>
      </c>
      <c r="BO156" s="619">
        <f t="shared" si="7"/>
        <v>0</v>
      </c>
      <c r="BP156" s="619">
        <f t="shared" si="8"/>
        <v>0</v>
      </c>
      <c r="BQ156" s="619">
        <f t="shared" si="9"/>
        <v>0</v>
      </c>
    </row>
    <row r="157" spans="54:69" ht="13.8" thickBot="1" x14ac:dyDescent="0.3">
      <c r="BB157" s="612">
        <v>36</v>
      </c>
      <c r="BC157" s="613">
        <f t="shared" ca="1" si="10"/>
        <v>0</v>
      </c>
      <c r="BD157" s="614">
        <f ca="1">IF(ISNUMBER(D39),INDIRECT("Knoten!"&amp;ADDRESS(D39+2,COLUMN(Knoten!C38)))-$BD$119,0)</f>
        <v>0</v>
      </c>
      <c r="BE157" s="615">
        <f t="shared" ca="1" si="0"/>
        <v>0</v>
      </c>
      <c r="BF157" s="614">
        <f t="shared" ca="1" si="0"/>
        <v>0</v>
      </c>
      <c r="BG157" s="616" t="str">
        <f t="shared" si="1"/>
        <v/>
      </c>
      <c r="BH157" s="616" t="str">
        <f t="shared" si="2"/>
        <v/>
      </c>
      <c r="BI157" s="616" t="str">
        <f t="shared" si="2"/>
        <v/>
      </c>
      <c r="BJ157" s="615">
        <f t="shared" si="12"/>
        <v>0</v>
      </c>
      <c r="BK157" s="614">
        <f t="shared" si="13"/>
        <v>0</v>
      </c>
      <c r="BL157" s="617">
        <f t="shared" si="4"/>
        <v>0</v>
      </c>
      <c r="BM157" s="618">
        <f t="shared" si="5"/>
        <v>0</v>
      </c>
      <c r="BN157" s="615">
        <f t="shared" si="6"/>
        <v>0</v>
      </c>
      <c r="BO157" s="619">
        <f t="shared" si="7"/>
        <v>0</v>
      </c>
      <c r="BP157" s="619">
        <f t="shared" si="8"/>
        <v>0</v>
      </c>
      <c r="BQ157" s="619">
        <f t="shared" si="9"/>
        <v>0</v>
      </c>
    </row>
    <row r="158" spans="54:69" ht="13.8" thickBot="1" x14ac:dyDescent="0.3">
      <c r="BB158" s="612">
        <v>37</v>
      </c>
      <c r="BC158" s="613">
        <f t="shared" ca="1" si="10"/>
        <v>0</v>
      </c>
      <c r="BD158" s="614">
        <f ca="1">IF(ISNUMBER(D40),INDIRECT("Knoten!"&amp;ADDRESS(D40+2,COLUMN(Knoten!C39)))-$BD$119,0)</f>
        <v>0</v>
      </c>
      <c r="BE158" s="615">
        <f t="shared" ca="1" si="0"/>
        <v>0</v>
      </c>
      <c r="BF158" s="614">
        <f t="shared" ca="1" si="0"/>
        <v>0</v>
      </c>
      <c r="BG158" s="616" t="str">
        <f t="shared" si="1"/>
        <v/>
      </c>
      <c r="BH158" s="616" t="str">
        <f t="shared" si="2"/>
        <v/>
      </c>
      <c r="BI158" s="616" t="str">
        <f t="shared" si="2"/>
        <v/>
      </c>
      <c r="BJ158" s="615">
        <f t="shared" si="12"/>
        <v>0</v>
      </c>
      <c r="BK158" s="614">
        <f t="shared" si="13"/>
        <v>0</v>
      </c>
      <c r="BL158" s="617">
        <f t="shared" si="4"/>
        <v>0</v>
      </c>
      <c r="BM158" s="618">
        <f t="shared" si="5"/>
        <v>0</v>
      </c>
      <c r="BN158" s="615">
        <f t="shared" si="6"/>
        <v>0</v>
      </c>
      <c r="BO158" s="619">
        <f t="shared" si="7"/>
        <v>0</v>
      </c>
      <c r="BP158" s="619">
        <f t="shared" si="8"/>
        <v>0</v>
      </c>
      <c r="BQ158" s="619">
        <f t="shared" si="9"/>
        <v>0</v>
      </c>
    </row>
    <row r="159" spans="54:69" ht="13.8" thickBot="1" x14ac:dyDescent="0.3">
      <c r="BB159" s="612">
        <v>38</v>
      </c>
      <c r="BC159" s="613">
        <f t="shared" ca="1" si="10"/>
        <v>0</v>
      </c>
      <c r="BD159" s="614">
        <f ca="1">IF(ISNUMBER(D41),INDIRECT("Knoten!"&amp;ADDRESS(D41+2,COLUMN(Knoten!C40)))-$BD$119,0)</f>
        <v>0</v>
      </c>
      <c r="BE159" s="615">
        <f t="shared" ca="1" si="0"/>
        <v>0</v>
      </c>
      <c r="BF159" s="614">
        <f t="shared" ca="1" si="0"/>
        <v>0</v>
      </c>
      <c r="BG159" s="616" t="str">
        <f t="shared" si="1"/>
        <v/>
      </c>
      <c r="BH159" s="616" t="str">
        <f t="shared" si="2"/>
        <v/>
      </c>
      <c r="BI159" s="616" t="str">
        <f t="shared" si="2"/>
        <v/>
      </c>
      <c r="BJ159" s="615">
        <f t="shared" si="12"/>
        <v>0</v>
      </c>
      <c r="BK159" s="614">
        <f t="shared" si="13"/>
        <v>0</v>
      </c>
      <c r="BL159" s="617">
        <f t="shared" si="4"/>
        <v>0</v>
      </c>
      <c r="BM159" s="618">
        <f t="shared" si="5"/>
        <v>0</v>
      </c>
      <c r="BN159" s="615">
        <f t="shared" si="6"/>
        <v>0</v>
      </c>
      <c r="BO159" s="619">
        <f t="shared" si="7"/>
        <v>0</v>
      </c>
      <c r="BP159" s="619">
        <f t="shared" si="8"/>
        <v>0</v>
      </c>
      <c r="BQ159" s="619">
        <f t="shared" si="9"/>
        <v>0</v>
      </c>
    </row>
    <row r="160" spans="54:69" ht="13.8" thickBot="1" x14ac:dyDescent="0.3">
      <c r="BB160" s="612">
        <v>39</v>
      </c>
      <c r="BC160" s="613">
        <f t="shared" ca="1" si="10"/>
        <v>0</v>
      </c>
      <c r="BD160" s="614">
        <f ca="1">IF(ISNUMBER(D42),INDIRECT("Knoten!"&amp;ADDRESS(D42+2,COLUMN(Knoten!C41)))-$BD$119,0)</f>
        <v>0</v>
      </c>
      <c r="BE160" s="615">
        <f t="shared" ca="1" si="0"/>
        <v>0</v>
      </c>
      <c r="BF160" s="614">
        <f t="shared" ca="1" si="0"/>
        <v>0</v>
      </c>
      <c r="BG160" s="616" t="str">
        <f t="shared" si="1"/>
        <v/>
      </c>
      <c r="BH160" s="616" t="str">
        <f t="shared" si="2"/>
        <v/>
      </c>
      <c r="BI160" s="616" t="str">
        <f t="shared" si="2"/>
        <v/>
      </c>
      <c r="BJ160" s="615">
        <f t="shared" si="12"/>
        <v>0</v>
      </c>
      <c r="BK160" s="614">
        <f t="shared" si="13"/>
        <v>0</v>
      </c>
      <c r="BL160" s="617">
        <f t="shared" si="4"/>
        <v>0</v>
      </c>
      <c r="BM160" s="618">
        <f t="shared" si="5"/>
        <v>0</v>
      </c>
      <c r="BN160" s="615">
        <f t="shared" si="6"/>
        <v>0</v>
      </c>
      <c r="BO160" s="619">
        <f t="shared" si="7"/>
        <v>0</v>
      </c>
      <c r="BP160" s="619">
        <f t="shared" si="8"/>
        <v>0</v>
      </c>
      <c r="BQ160" s="619">
        <f t="shared" si="9"/>
        <v>0</v>
      </c>
    </row>
    <row r="161" spans="54:69" x14ac:dyDescent="0.25">
      <c r="BB161" s="612">
        <v>40</v>
      </c>
      <c r="BC161" s="613">
        <f t="shared" ca="1" si="10"/>
        <v>0</v>
      </c>
      <c r="BD161" s="614">
        <f ca="1">IF(ISNUMBER(D43),INDIRECT("Knoten!"&amp;ADDRESS(D43+2,COLUMN(Knoten!C42)))-$BD$119,0)</f>
        <v>0</v>
      </c>
      <c r="BE161" s="615">
        <f t="shared" ca="1" si="0"/>
        <v>0</v>
      </c>
      <c r="BF161" s="614">
        <f t="shared" ca="1" si="0"/>
        <v>0</v>
      </c>
      <c r="BG161" s="616" t="str">
        <f t="shared" si="1"/>
        <v/>
      </c>
      <c r="BH161" s="616" t="str">
        <f t="shared" si="2"/>
        <v/>
      </c>
      <c r="BI161" s="616" t="str">
        <f t="shared" si="2"/>
        <v/>
      </c>
      <c r="BJ161" s="615">
        <f t="shared" si="12"/>
        <v>0</v>
      </c>
      <c r="BK161" s="614">
        <f t="shared" si="13"/>
        <v>0</v>
      </c>
      <c r="BL161" s="617">
        <f t="shared" si="4"/>
        <v>0</v>
      </c>
      <c r="BM161" s="618">
        <f t="shared" si="5"/>
        <v>0</v>
      </c>
      <c r="BN161" s="615">
        <f t="shared" si="6"/>
        <v>0</v>
      </c>
      <c r="BO161" s="619">
        <f t="shared" si="7"/>
        <v>0</v>
      </c>
      <c r="BP161" s="619">
        <f t="shared" si="8"/>
        <v>0</v>
      </c>
      <c r="BQ161" s="619">
        <f t="shared" si="9"/>
        <v>0</v>
      </c>
    </row>
    <row r="163" spans="54:69" x14ac:dyDescent="0.25">
      <c r="BC163" s="41">
        <f ca="1">MIN(BC122:BD161)</f>
        <v>-100</v>
      </c>
      <c r="BE163" s="41">
        <f ca="1">MIN(BE122:BF161)</f>
        <v>-100</v>
      </c>
    </row>
    <row r="164" spans="54:69" x14ac:dyDescent="0.25">
      <c r="BC164" s="41">
        <f ca="1">MAX(BC123:BD162)</f>
        <v>60</v>
      </c>
      <c r="BE164" s="41">
        <f ca="1">MAX(BE122:BF161)</f>
        <v>100</v>
      </c>
    </row>
  </sheetData>
  <sheetProtection sheet="1" objects="1" scenarios="1" formatCells="0" formatColumns="0" formatRows="0"/>
  <mergeCells count="20">
    <mergeCell ref="AM1:AO1"/>
    <mergeCell ref="C2:D2"/>
    <mergeCell ref="G2:I2"/>
    <mergeCell ref="L2:M2"/>
    <mergeCell ref="N2:O2"/>
    <mergeCell ref="P2:S2"/>
    <mergeCell ref="T2:W2"/>
    <mergeCell ref="Y2:Z2"/>
    <mergeCell ref="AN2:AO2"/>
    <mergeCell ref="E1:F1"/>
    <mergeCell ref="L1:O1"/>
    <mergeCell ref="P1:W1"/>
    <mergeCell ref="X1:AA1"/>
    <mergeCell ref="AB1:AE1"/>
    <mergeCell ref="AF1:AL1"/>
    <mergeCell ref="AS2:AT2"/>
    <mergeCell ref="BJ3:BK3"/>
    <mergeCell ref="BL3:BM3"/>
    <mergeCell ref="Z81:AA81"/>
    <mergeCell ref="AB81:AC81"/>
  </mergeCells>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autoFill="0" autoPict="0" macro="[0]!Ribbon_Solve">
                <anchor moveWithCells="1" sizeWithCells="1">
                  <from>
                    <xdr:col>12</xdr:col>
                    <xdr:colOff>487680</xdr:colOff>
                    <xdr:row>63</xdr:row>
                    <xdr:rowOff>182880</xdr:rowOff>
                  </from>
                  <to>
                    <xdr:col>15</xdr:col>
                    <xdr:colOff>68580</xdr:colOff>
                    <xdr:row>65</xdr:row>
                    <xdr:rowOff>68580</xdr:rowOff>
                  </to>
                </anchor>
              </controlPr>
            </control>
          </mc:Choice>
        </mc:AlternateContent>
        <mc:AlternateContent xmlns:mc="http://schemas.openxmlformats.org/markup-compatibility/2006">
          <mc:Choice Requires="x14">
            <control shapeId="4098" r:id="rId5" name="Button 2">
              <controlPr defaultSize="0" autoFill="0" autoPict="0" macro="[0]!Ribbon_Solve_DoNotdumpEleLoad">
                <anchor>
                  <from>
                    <xdr:col>0</xdr:col>
                    <xdr:colOff>266700</xdr:colOff>
                    <xdr:row>0</xdr:row>
                    <xdr:rowOff>99060</xdr:rowOff>
                  </from>
                  <to>
                    <xdr:col>1</xdr:col>
                    <xdr:colOff>525780</xdr:colOff>
                    <xdr:row>1</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pageSetUpPr fitToPage="1"/>
  </sheetPr>
  <dimension ref="A1:AB1457"/>
  <sheetViews>
    <sheetView zoomScale="90" zoomScaleNormal="90" workbookViewId="0">
      <selection activeCell="E68" sqref="E68:V85"/>
    </sheetView>
  </sheetViews>
  <sheetFormatPr defaultColWidth="11.44140625" defaultRowHeight="13.2" x14ac:dyDescent="0.25"/>
  <cols>
    <col min="1" max="1" width="6.5546875" style="602" customWidth="1"/>
    <col min="2" max="3" width="9.44140625" style="602" customWidth="1"/>
    <col min="4" max="4" width="6.5546875" style="602" customWidth="1"/>
    <col min="5" max="365" width="9.44140625" style="602" customWidth="1"/>
    <col min="366" max="16384" width="11.44140625" style="602"/>
  </cols>
  <sheetData>
    <row r="1" spans="1:26" ht="13.8" thickBot="1" x14ac:dyDescent="0.3">
      <c r="A1" s="1219"/>
      <c r="B1" s="1220" t="s">
        <v>186</v>
      </c>
      <c r="C1" s="1220" t="s">
        <v>187</v>
      </c>
      <c r="D1" s="1220" t="s">
        <v>188</v>
      </c>
      <c r="E1" s="1221">
        <v>1</v>
      </c>
      <c r="F1" s="1222">
        <v>2</v>
      </c>
      <c r="G1" s="1222">
        <v>3</v>
      </c>
      <c r="H1" s="1222">
        <v>4</v>
      </c>
      <c r="I1" s="1222">
        <v>5</v>
      </c>
      <c r="J1" s="1222">
        <v>6</v>
      </c>
      <c r="K1" s="1222">
        <v>7</v>
      </c>
      <c r="L1" s="1222">
        <v>8</v>
      </c>
      <c r="M1" s="1222">
        <v>9</v>
      </c>
      <c r="N1" s="1222">
        <v>10</v>
      </c>
      <c r="O1" s="1222">
        <v>11</v>
      </c>
      <c r="P1" s="1222">
        <v>12</v>
      </c>
      <c r="Q1" s="1222">
        <v>13</v>
      </c>
      <c r="R1" s="1222">
        <v>14</v>
      </c>
      <c r="S1" s="1222">
        <v>15</v>
      </c>
      <c r="T1" s="1222">
        <v>16</v>
      </c>
      <c r="U1" s="1222">
        <v>17</v>
      </c>
      <c r="V1" s="1219">
        <v>18</v>
      </c>
    </row>
    <row r="2" spans="1:26" x14ac:dyDescent="0.25">
      <c r="A2" s="1223">
        <v>1</v>
      </c>
      <c r="B2" s="1224">
        <v>20</v>
      </c>
      <c r="C2" s="1224">
        <v>0.85431463342070157</v>
      </c>
      <c r="D2" s="1224">
        <v>1</v>
      </c>
      <c r="E2" s="1211">
        <v>24.078802414877813</v>
      </c>
      <c r="F2" s="1225">
        <v>0.47411227621809449</v>
      </c>
      <c r="G2" s="1225">
        <v>0.39654618565560784</v>
      </c>
      <c r="H2" s="1225">
        <v>0</v>
      </c>
      <c r="I2" s="1225">
        <v>0</v>
      </c>
      <c r="J2" s="1225">
        <v>0</v>
      </c>
      <c r="K2" s="1225">
        <v>0</v>
      </c>
      <c r="L2" s="1225">
        <v>0</v>
      </c>
      <c r="M2" s="1225">
        <v>0</v>
      </c>
      <c r="N2" s="1225">
        <v>0</v>
      </c>
      <c r="O2" s="1225">
        <v>0</v>
      </c>
      <c r="P2" s="1225">
        <v>0</v>
      </c>
      <c r="Q2" s="1225">
        <v>0</v>
      </c>
      <c r="R2" s="1225">
        <v>0</v>
      </c>
      <c r="S2" s="1225">
        <v>0</v>
      </c>
      <c r="T2" s="1225">
        <v>0</v>
      </c>
      <c r="U2" s="1225">
        <v>0</v>
      </c>
      <c r="V2" s="1226">
        <v>0</v>
      </c>
      <c r="X2" s="1227">
        <v>1</v>
      </c>
      <c r="Y2" s="1228">
        <v>1</v>
      </c>
      <c r="Z2" s="1226">
        <v>18</v>
      </c>
    </row>
    <row r="3" spans="1:26" x14ac:dyDescent="0.25">
      <c r="A3" s="1229">
        <v>2</v>
      </c>
      <c r="B3" s="1230">
        <v>-50</v>
      </c>
      <c r="C3" s="1230">
        <v>-1.43822407811824</v>
      </c>
      <c r="D3" s="1230">
        <v>2</v>
      </c>
      <c r="E3" s="1231">
        <v>0.4741122762180936</v>
      </c>
      <c r="F3" s="1212">
        <v>35.041433496459717</v>
      </c>
      <c r="G3" s="1232">
        <v>-2.7176732617190329E-2</v>
      </c>
      <c r="H3" s="1232">
        <v>0</v>
      </c>
      <c r="I3" s="1232">
        <v>0</v>
      </c>
      <c r="J3" s="1232">
        <v>0</v>
      </c>
      <c r="K3" s="1232">
        <v>0</v>
      </c>
      <c r="L3" s="1232">
        <v>0</v>
      </c>
      <c r="M3" s="1232">
        <v>0</v>
      </c>
      <c r="N3" s="1232">
        <v>0</v>
      </c>
      <c r="O3" s="1232">
        <v>0</v>
      </c>
      <c r="P3" s="1232">
        <v>0</v>
      </c>
      <c r="Q3" s="1232">
        <v>0</v>
      </c>
      <c r="R3" s="1232">
        <v>0</v>
      </c>
      <c r="S3" s="1232">
        <v>0</v>
      </c>
      <c r="T3" s="1232">
        <v>0</v>
      </c>
      <c r="U3" s="1232">
        <v>0</v>
      </c>
      <c r="V3" s="1229">
        <v>0</v>
      </c>
      <c r="X3" s="1230">
        <v>2</v>
      </c>
      <c r="Y3" s="1233">
        <v>1</v>
      </c>
      <c r="Z3" s="1229">
        <v>18</v>
      </c>
    </row>
    <row r="4" spans="1:26" x14ac:dyDescent="0.25">
      <c r="A4" s="1229">
        <v>3</v>
      </c>
      <c r="B4" s="1230">
        <v>50</v>
      </c>
      <c r="C4" s="1230">
        <v>0.27993317582651384</v>
      </c>
      <c r="D4" s="1230">
        <v>3</v>
      </c>
      <c r="E4" s="1231">
        <v>0.39654618565560784</v>
      </c>
      <c r="F4" s="1232">
        <v>-2.717673261719044E-2</v>
      </c>
      <c r="G4" s="1212">
        <v>177.26422891120814</v>
      </c>
      <c r="H4" s="1232">
        <v>0</v>
      </c>
      <c r="I4" s="1232">
        <v>0</v>
      </c>
      <c r="J4" s="1232">
        <v>0</v>
      </c>
      <c r="K4" s="1232">
        <v>0</v>
      </c>
      <c r="L4" s="1232">
        <v>0</v>
      </c>
      <c r="M4" s="1232">
        <v>0</v>
      </c>
      <c r="N4" s="1232">
        <v>0</v>
      </c>
      <c r="O4" s="1232">
        <v>0</v>
      </c>
      <c r="P4" s="1232">
        <v>0</v>
      </c>
      <c r="Q4" s="1232">
        <v>0</v>
      </c>
      <c r="R4" s="1232">
        <v>0</v>
      </c>
      <c r="S4" s="1232">
        <v>0</v>
      </c>
      <c r="T4" s="1232">
        <v>0</v>
      </c>
      <c r="U4" s="1232">
        <v>0</v>
      </c>
      <c r="V4" s="1229">
        <v>0</v>
      </c>
      <c r="X4" s="1230">
        <v>3</v>
      </c>
      <c r="Y4" s="1233">
        <v>1</v>
      </c>
      <c r="Z4" s="1229">
        <v>18</v>
      </c>
    </row>
    <row r="5" spans="1:26" x14ac:dyDescent="0.25">
      <c r="A5" s="1229">
        <v>4</v>
      </c>
      <c r="B5" s="1230">
        <v>0</v>
      </c>
      <c r="C5" s="1230">
        <v>0</v>
      </c>
      <c r="D5" s="1230">
        <v>4</v>
      </c>
      <c r="E5" s="1231">
        <v>0</v>
      </c>
      <c r="F5" s="1232">
        <v>0</v>
      </c>
      <c r="G5" s="1232">
        <v>0</v>
      </c>
      <c r="H5" s="1212">
        <v>1</v>
      </c>
      <c r="I5" s="1232">
        <v>0</v>
      </c>
      <c r="J5" s="1232">
        <v>0</v>
      </c>
      <c r="K5" s="1232">
        <v>0</v>
      </c>
      <c r="L5" s="1232">
        <v>0</v>
      </c>
      <c r="M5" s="1232">
        <v>0</v>
      </c>
      <c r="N5" s="1232">
        <v>0</v>
      </c>
      <c r="O5" s="1232">
        <v>0</v>
      </c>
      <c r="P5" s="1232">
        <v>0</v>
      </c>
      <c r="Q5" s="1232">
        <v>0</v>
      </c>
      <c r="R5" s="1232">
        <v>0</v>
      </c>
      <c r="S5" s="1232">
        <v>0</v>
      </c>
      <c r="T5" s="1232">
        <v>0</v>
      </c>
      <c r="U5" s="1232">
        <v>0</v>
      </c>
      <c r="V5" s="1229">
        <v>0</v>
      </c>
      <c r="X5" s="1230">
        <v>4</v>
      </c>
      <c r="Y5" s="1233">
        <v>4</v>
      </c>
      <c r="Z5" s="1229">
        <v>4</v>
      </c>
    </row>
    <row r="6" spans="1:26" x14ac:dyDescent="0.25">
      <c r="A6" s="1229">
        <v>5</v>
      </c>
      <c r="B6" s="1230">
        <v>0</v>
      </c>
      <c r="C6" s="1230">
        <v>0</v>
      </c>
      <c r="D6" s="1230">
        <v>5</v>
      </c>
      <c r="E6" s="1231">
        <v>0</v>
      </c>
      <c r="F6" s="1232">
        <v>0</v>
      </c>
      <c r="G6" s="1232">
        <v>0</v>
      </c>
      <c r="H6" s="1232">
        <v>0</v>
      </c>
      <c r="I6" s="1212">
        <v>1</v>
      </c>
      <c r="J6" s="1232">
        <v>0</v>
      </c>
      <c r="K6" s="1232">
        <v>0</v>
      </c>
      <c r="L6" s="1232">
        <v>0</v>
      </c>
      <c r="M6" s="1232">
        <v>0</v>
      </c>
      <c r="N6" s="1232">
        <v>0</v>
      </c>
      <c r="O6" s="1232">
        <v>0</v>
      </c>
      <c r="P6" s="1232">
        <v>0</v>
      </c>
      <c r="Q6" s="1232">
        <v>0</v>
      </c>
      <c r="R6" s="1232">
        <v>0</v>
      </c>
      <c r="S6" s="1232">
        <v>0</v>
      </c>
      <c r="T6" s="1232">
        <v>0</v>
      </c>
      <c r="U6" s="1232">
        <v>0</v>
      </c>
      <c r="V6" s="1229">
        <v>0</v>
      </c>
      <c r="X6" s="1230">
        <v>5</v>
      </c>
      <c r="Y6" s="1233">
        <v>5</v>
      </c>
      <c r="Z6" s="1229">
        <v>5</v>
      </c>
    </row>
    <row r="7" spans="1:26" x14ac:dyDescent="0.25">
      <c r="A7" s="1229">
        <v>6</v>
      </c>
      <c r="B7" s="1230">
        <v>0</v>
      </c>
      <c r="C7" s="1230">
        <v>0</v>
      </c>
      <c r="D7" s="1230">
        <v>6</v>
      </c>
      <c r="E7" s="1231">
        <v>0</v>
      </c>
      <c r="F7" s="1232">
        <v>0</v>
      </c>
      <c r="G7" s="1232">
        <v>0</v>
      </c>
      <c r="H7" s="1232">
        <v>0</v>
      </c>
      <c r="I7" s="1232">
        <v>0</v>
      </c>
      <c r="J7" s="1212">
        <v>1</v>
      </c>
      <c r="K7" s="1232">
        <v>0</v>
      </c>
      <c r="L7" s="1232">
        <v>0</v>
      </c>
      <c r="M7" s="1232">
        <v>0</v>
      </c>
      <c r="N7" s="1232">
        <v>0</v>
      </c>
      <c r="O7" s="1232">
        <v>0</v>
      </c>
      <c r="P7" s="1232">
        <v>0</v>
      </c>
      <c r="Q7" s="1232">
        <v>0</v>
      </c>
      <c r="R7" s="1232">
        <v>0</v>
      </c>
      <c r="S7" s="1234">
        <v>0</v>
      </c>
      <c r="T7" s="1234">
        <v>0</v>
      </c>
      <c r="U7" s="1232">
        <v>0</v>
      </c>
      <c r="V7" s="1229">
        <v>0</v>
      </c>
      <c r="X7" s="1230">
        <v>6</v>
      </c>
      <c r="Y7" s="1233">
        <v>6</v>
      </c>
      <c r="Z7" s="1229">
        <v>6</v>
      </c>
    </row>
    <row r="8" spans="1:26" x14ac:dyDescent="0.25">
      <c r="A8" s="1229">
        <v>7</v>
      </c>
      <c r="B8" s="1230">
        <v>0</v>
      </c>
      <c r="C8" s="1230">
        <v>0</v>
      </c>
      <c r="D8" s="1230">
        <v>7</v>
      </c>
      <c r="E8" s="1231">
        <v>0</v>
      </c>
      <c r="F8" s="1232">
        <v>0</v>
      </c>
      <c r="G8" s="1232">
        <v>0</v>
      </c>
      <c r="H8" s="1232">
        <v>0</v>
      </c>
      <c r="I8" s="1234">
        <v>0</v>
      </c>
      <c r="J8" s="1232">
        <v>0</v>
      </c>
      <c r="K8" s="1212">
        <v>1</v>
      </c>
      <c r="L8" s="1232">
        <v>0</v>
      </c>
      <c r="M8" s="1232">
        <v>0</v>
      </c>
      <c r="N8" s="1232">
        <v>0</v>
      </c>
      <c r="O8" s="1232">
        <v>0</v>
      </c>
      <c r="P8" s="1232">
        <v>0</v>
      </c>
      <c r="Q8" s="1232">
        <v>0</v>
      </c>
      <c r="R8" s="1232">
        <v>0</v>
      </c>
      <c r="S8" s="1232">
        <v>0</v>
      </c>
      <c r="T8" s="1232">
        <v>0</v>
      </c>
      <c r="U8" s="1232">
        <v>0</v>
      </c>
      <c r="V8" s="1229">
        <v>0</v>
      </c>
      <c r="X8" s="1230">
        <v>7</v>
      </c>
      <c r="Y8" s="1233">
        <v>7</v>
      </c>
      <c r="Z8" s="1229">
        <v>7</v>
      </c>
    </row>
    <row r="9" spans="1:26" x14ac:dyDescent="0.25">
      <c r="A9" s="1235">
        <v>8</v>
      </c>
      <c r="B9" s="1236">
        <v>0</v>
      </c>
      <c r="C9" s="1236">
        <v>0</v>
      </c>
      <c r="D9" s="1236">
        <v>8</v>
      </c>
      <c r="E9" s="1237">
        <v>0</v>
      </c>
      <c r="F9" s="1234">
        <v>0</v>
      </c>
      <c r="G9" s="1232">
        <v>0</v>
      </c>
      <c r="H9" s="1232">
        <v>0</v>
      </c>
      <c r="I9" s="1234">
        <v>0</v>
      </c>
      <c r="J9" s="1232">
        <v>0</v>
      </c>
      <c r="K9" s="1232">
        <v>0</v>
      </c>
      <c r="L9" s="1212">
        <v>1</v>
      </c>
      <c r="M9" s="1232">
        <v>0</v>
      </c>
      <c r="N9" s="1232">
        <v>0</v>
      </c>
      <c r="O9" s="1232">
        <v>0</v>
      </c>
      <c r="P9" s="1232">
        <v>0</v>
      </c>
      <c r="Q9" s="1234">
        <v>0</v>
      </c>
      <c r="R9" s="1234">
        <v>0</v>
      </c>
      <c r="S9" s="1234">
        <v>0</v>
      </c>
      <c r="T9" s="1232">
        <v>0</v>
      </c>
      <c r="U9" s="1232">
        <v>0</v>
      </c>
      <c r="V9" s="1229">
        <v>0</v>
      </c>
      <c r="X9" s="1230">
        <v>8</v>
      </c>
      <c r="Y9" s="1233">
        <v>8</v>
      </c>
      <c r="Z9" s="1229">
        <v>8</v>
      </c>
    </row>
    <row r="10" spans="1:26" x14ac:dyDescent="0.25">
      <c r="A10" s="1229">
        <v>9</v>
      </c>
      <c r="B10" s="1230">
        <v>0</v>
      </c>
      <c r="C10" s="1230">
        <v>0</v>
      </c>
      <c r="D10" s="1230">
        <v>9</v>
      </c>
      <c r="E10" s="1231">
        <v>0</v>
      </c>
      <c r="F10" s="1232">
        <v>0</v>
      </c>
      <c r="G10" s="1232">
        <v>0</v>
      </c>
      <c r="H10" s="1232">
        <v>0</v>
      </c>
      <c r="I10" s="1232">
        <v>0</v>
      </c>
      <c r="J10" s="1232">
        <v>0</v>
      </c>
      <c r="K10" s="1232">
        <v>0</v>
      </c>
      <c r="L10" s="1232">
        <v>0</v>
      </c>
      <c r="M10" s="1212">
        <v>1</v>
      </c>
      <c r="N10" s="1232">
        <v>0</v>
      </c>
      <c r="O10" s="1232">
        <v>0</v>
      </c>
      <c r="P10" s="1232">
        <v>0</v>
      </c>
      <c r="Q10" s="1234">
        <v>0</v>
      </c>
      <c r="R10" s="1234">
        <v>0</v>
      </c>
      <c r="S10" s="1234">
        <v>0</v>
      </c>
      <c r="T10" s="1232">
        <v>0</v>
      </c>
      <c r="U10" s="1232">
        <v>0</v>
      </c>
      <c r="V10" s="1229">
        <v>0</v>
      </c>
      <c r="X10" s="1230">
        <v>9</v>
      </c>
      <c r="Y10" s="1233">
        <v>9</v>
      </c>
      <c r="Z10" s="1229">
        <v>9</v>
      </c>
    </row>
    <row r="11" spans="1:26" x14ac:dyDescent="0.25">
      <c r="A11" s="1229">
        <v>10</v>
      </c>
      <c r="B11" s="1230">
        <v>0</v>
      </c>
      <c r="C11" s="1230">
        <v>0</v>
      </c>
      <c r="D11" s="1230">
        <v>10</v>
      </c>
      <c r="E11" s="1231">
        <v>0</v>
      </c>
      <c r="F11" s="1232">
        <v>0</v>
      </c>
      <c r="G11" s="1232">
        <v>0</v>
      </c>
      <c r="H11" s="1232">
        <v>0</v>
      </c>
      <c r="I11" s="1232">
        <v>0</v>
      </c>
      <c r="J11" s="1232">
        <v>0</v>
      </c>
      <c r="K11" s="1232">
        <v>0</v>
      </c>
      <c r="L11" s="1232">
        <v>0</v>
      </c>
      <c r="M11" s="1232">
        <v>0</v>
      </c>
      <c r="N11" s="1215">
        <v>1</v>
      </c>
      <c r="O11" s="1234">
        <v>0</v>
      </c>
      <c r="P11" s="1234">
        <v>0</v>
      </c>
      <c r="Q11" s="1234">
        <v>0</v>
      </c>
      <c r="R11" s="1234">
        <v>0</v>
      </c>
      <c r="S11" s="1234">
        <v>0</v>
      </c>
      <c r="T11" s="1232">
        <v>0</v>
      </c>
      <c r="U11" s="1232">
        <v>0</v>
      </c>
      <c r="V11" s="1229">
        <v>0</v>
      </c>
      <c r="X11" s="1230">
        <v>10</v>
      </c>
      <c r="Y11" s="1233">
        <v>10</v>
      </c>
      <c r="Z11" s="1229">
        <v>10</v>
      </c>
    </row>
    <row r="12" spans="1:26" x14ac:dyDescent="0.25">
      <c r="A12" s="1229">
        <v>11</v>
      </c>
      <c r="B12" s="1236">
        <v>0</v>
      </c>
      <c r="C12" s="1230">
        <v>0</v>
      </c>
      <c r="D12" s="1230">
        <v>11</v>
      </c>
      <c r="E12" s="1231">
        <v>0</v>
      </c>
      <c r="F12" s="1232">
        <v>0</v>
      </c>
      <c r="G12" s="1232">
        <v>0</v>
      </c>
      <c r="H12" s="1232">
        <v>0</v>
      </c>
      <c r="I12" s="1232">
        <v>0</v>
      </c>
      <c r="J12" s="1232">
        <v>0</v>
      </c>
      <c r="K12" s="1232">
        <v>0</v>
      </c>
      <c r="L12" s="1232">
        <v>0</v>
      </c>
      <c r="M12" s="1232">
        <v>0</v>
      </c>
      <c r="N12" s="1232">
        <v>0</v>
      </c>
      <c r="O12" s="1215">
        <v>1</v>
      </c>
      <c r="P12" s="1234">
        <v>0</v>
      </c>
      <c r="Q12" s="1234">
        <v>0</v>
      </c>
      <c r="R12" s="1234">
        <v>0</v>
      </c>
      <c r="S12" s="1234">
        <v>0</v>
      </c>
      <c r="T12" s="1232">
        <v>0</v>
      </c>
      <c r="U12" s="1232">
        <v>0</v>
      </c>
      <c r="V12" s="1229">
        <v>0</v>
      </c>
      <c r="X12" s="1230">
        <v>11</v>
      </c>
      <c r="Y12" s="1233">
        <v>11</v>
      </c>
      <c r="Z12" s="1229">
        <v>11</v>
      </c>
    </row>
    <row r="13" spans="1:26" x14ac:dyDescent="0.25">
      <c r="A13" s="1229">
        <v>12</v>
      </c>
      <c r="B13" s="1236">
        <v>0</v>
      </c>
      <c r="C13" s="1230">
        <v>0</v>
      </c>
      <c r="D13" s="1230">
        <v>12</v>
      </c>
      <c r="E13" s="1231">
        <v>0</v>
      </c>
      <c r="F13" s="1232">
        <v>0</v>
      </c>
      <c r="G13" s="1232">
        <v>0</v>
      </c>
      <c r="H13" s="1232">
        <v>0</v>
      </c>
      <c r="I13" s="1232">
        <v>0</v>
      </c>
      <c r="J13" s="1232">
        <v>0</v>
      </c>
      <c r="K13" s="1232">
        <v>0</v>
      </c>
      <c r="L13" s="1232">
        <v>0</v>
      </c>
      <c r="M13" s="1232">
        <v>0</v>
      </c>
      <c r="N13" s="1234">
        <v>0</v>
      </c>
      <c r="O13" s="1234">
        <v>0</v>
      </c>
      <c r="P13" s="1215">
        <v>1</v>
      </c>
      <c r="Q13" s="1234">
        <v>0</v>
      </c>
      <c r="R13" s="1234">
        <v>0</v>
      </c>
      <c r="S13" s="1234">
        <v>0</v>
      </c>
      <c r="T13" s="1232">
        <v>0</v>
      </c>
      <c r="U13" s="1232">
        <v>0</v>
      </c>
      <c r="V13" s="1229">
        <v>0</v>
      </c>
      <c r="X13" s="1230">
        <v>12</v>
      </c>
      <c r="Y13" s="1233">
        <v>12</v>
      </c>
      <c r="Z13" s="1229">
        <v>12</v>
      </c>
    </row>
    <row r="14" spans="1:26" x14ac:dyDescent="0.25">
      <c r="A14" s="1229">
        <v>13</v>
      </c>
      <c r="B14" s="1230">
        <v>0</v>
      </c>
      <c r="C14" s="1230">
        <v>0</v>
      </c>
      <c r="D14" s="1230">
        <v>13</v>
      </c>
      <c r="E14" s="1231">
        <v>0</v>
      </c>
      <c r="F14" s="1232">
        <v>0</v>
      </c>
      <c r="G14" s="1232">
        <v>0</v>
      </c>
      <c r="H14" s="1232">
        <v>0</v>
      </c>
      <c r="I14" s="1232">
        <v>0</v>
      </c>
      <c r="J14" s="1232">
        <v>0</v>
      </c>
      <c r="K14" s="1232">
        <v>0</v>
      </c>
      <c r="L14" s="1232">
        <v>0</v>
      </c>
      <c r="M14" s="1232">
        <v>0</v>
      </c>
      <c r="N14" s="1234">
        <v>0</v>
      </c>
      <c r="O14" s="1234">
        <v>0</v>
      </c>
      <c r="P14" s="1232">
        <v>0</v>
      </c>
      <c r="Q14" s="1215">
        <v>1</v>
      </c>
      <c r="R14" s="1234">
        <v>0</v>
      </c>
      <c r="S14" s="1234">
        <v>0</v>
      </c>
      <c r="T14" s="1232">
        <v>0</v>
      </c>
      <c r="U14" s="1232">
        <v>0</v>
      </c>
      <c r="V14" s="1229">
        <v>0</v>
      </c>
      <c r="X14" s="1230">
        <v>13</v>
      </c>
      <c r="Y14" s="1233">
        <v>13</v>
      </c>
      <c r="Z14" s="1229">
        <v>13</v>
      </c>
    </row>
    <row r="15" spans="1:26" x14ac:dyDescent="0.25">
      <c r="A15" s="1229">
        <v>14</v>
      </c>
      <c r="B15" s="1230">
        <v>0</v>
      </c>
      <c r="C15" s="1230">
        <v>0</v>
      </c>
      <c r="D15" s="1230">
        <v>14</v>
      </c>
      <c r="E15" s="1231">
        <v>0</v>
      </c>
      <c r="F15" s="1232">
        <v>0</v>
      </c>
      <c r="G15" s="1232">
        <v>0</v>
      </c>
      <c r="H15" s="1232">
        <v>0</v>
      </c>
      <c r="I15" s="1232">
        <v>0</v>
      </c>
      <c r="J15" s="1232">
        <v>0</v>
      </c>
      <c r="K15" s="1232">
        <v>0</v>
      </c>
      <c r="L15" s="1232">
        <v>0</v>
      </c>
      <c r="M15" s="1232">
        <v>0</v>
      </c>
      <c r="N15" s="1232">
        <v>0</v>
      </c>
      <c r="O15" s="1232">
        <v>0</v>
      </c>
      <c r="P15" s="1232">
        <v>0</v>
      </c>
      <c r="Q15" s="1232">
        <v>0</v>
      </c>
      <c r="R15" s="1212">
        <v>1</v>
      </c>
      <c r="S15" s="1232">
        <v>0</v>
      </c>
      <c r="T15" s="1232">
        <v>0</v>
      </c>
      <c r="U15" s="1232">
        <v>0</v>
      </c>
      <c r="V15" s="1229">
        <v>0</v>
      </c>
      <c r="X15" s="1230">
        <v>14</v>
      </c>
      <c r="Y15" s="1233">
        <v>14</v>
      </c>
      <c r="Z15" s="1229">
        <v>14</v>
      </c>
    </row>
    <row r="16" spans="1:26" x14ac:dyDescent="0.25">
      <c r="A16" s="1229">
        <v>15</v>
      </c>
      <c r="B16" s="1230">
        <v>0</v>
      </c>
      <c r="C16" s="1230">
        <v>0</v>
      </c>
      <c r="D16" s="1230">
        <v>15</v>
      </c>
      <c r="E16" s="1231">
        <v>0</v>
      </c>
      <c r="F16" s="1232">
        <v>0</v>
      </c>
      <c r="G16" s="1232">
        <v>0</v>
      </c>
      <c r="H16" s="1232">
        <v>0</v>
      </c>
      <c r="I16" s="1232">
        <v>0</v>
      </c>
      <c r="J16" s="1232">
        <v>0</v>
      </c>
      <c r="K16" s="1232">
        <v>0</v>
      </c>
      <c r="L16" s="1232">
        <v>0</v>
      </c>
      <c r="M16" s="1232">
        <v>0</v>
      </c>
      <c r="N16" s="1238">
        <v>0</v>
      </c>
      <c r="O16" s="1234">
        <v>0</v>
      </c>
      <c r="P16" s="1239">
        <v>0</v>
      </c>
      <c r="Q16" s="1238">
        <v>0</v>
      </c>
      <c r="R16" s="1238">
        <v>0</v>
      </c>
      <c r="S16" s="1216">
        <v>1</v>
      </c>
      <c r="T16" s="1232">
        <v>0</v>
      </c>
      <c r="U16" s="1232">
        <v>0</v>
      </c>
      <c r="V16" s="1229">
        <v>0</v>
      </c>
      <c r="X16" s="1230">
        <v>15</v>
      </c>
      <c r="Y16" s="1233">
        <v>15</v>
      </c>
      <c r="Z16" s="1229">
        <v>15</v>
      </c>
    </row>
    <row r="17" spans="1:28" x14ac:dyDescent="0.25">
      <c r="A17" s="1229">
        <v>16</v>
      </c>
      <c r="B17" s="1230">
        <v>0</v>
      </c>
      <c r="C17" s="1230">
        <v>0</v>
      </c>
      <c r="D17" s="1230">
        <v>16</v>
      </c>
      <c r="E17" s="1231">
        <v>0</v>
      </c>
      <c r="F17" s="1232">
        <v>0</v>
      </c>
      <c r="G17" s="1232">
        <v>0</v>
      </c>
      <c r="H17" s="1232">
        <v>0</v>
      </c>
      <c r="I17" s="1232">
        <v>0</v>
      </c>
      <c r="J17" s="1232">
        <v>0</v>
      </c>
      <c r="K17" s="1232">
        <v>0</v>
      </c>
      <c r="L17" s="1232">
        <v>0</v>
      </c>
      <c r="M17" s="1232">
        <v>0</v>
      </c>
      <c r="N17" s="1238">
        <v>0</v>
      </c>
      <c r="O17" s="1234">
        <v>0</v>
      </c>
      <c r="P17" s="1239">
        <v>0</v>
      </c>
      <c r="Q17" s="1238">
        <v>0</v>
      </c>
      <c r="R17" s="1238">
        <v>0</v>
      </c>
      <c r="S17" s="1238">
        <v>0</v>
      </c>
      <c r="T17" s="1212">
        <v>1</v>
      </c>
      <c r="U17" s="1232">
        <v>0</v>
      </c>
      <c r="V17" s="1229">
        <v>0</v>
      </c>
      <c r="X17" s="1230">
        <v>16</v>
      </c>
      <c r="Y17" s="1233">
        <v>16</v>
      </c>
      <c r="Z17" s="1229">
        <v>16</v>
      </c>
    </row>
    <row r="18" spans="1:28" x14ac:dyDescent="0.25">
      <c r="A18" s="1229">
        <v>17</v>
      </c>
      <c r="B18" s="1230">
        <v>0</v>
      </c>
      <c r="C18" s="1230">
        <v>0</v>
      </c>
      <c r="D18" s="1230">
        <v>17</v>
      </c>
      <c r="E18" s="1231">
        <v>0</v>
      </c>
      <c r="F18" s="1232">
        <v>0</v>
      </c>
      <c r="G18" s="1232">
        <v>0</v>
      </c>
      <c r="H18" s="1232">
        <v>0</v>
      </c>
      <c r="I18" s="1232">
        <v>0</v>
      </c>
      <c r="J18" s="1232">
        <v>0</v>
      </c>
      <c r="K18" s="1232">
        <v>0</v>
      </c>
      <c r="L18" s="1232">
        <v>0</v>
      </c>
      <c r="M18" s="1232">
        <v>0</v>
      </c>
      <c r="N18" s="1238">
        <v>0</v>
      </c>
      <c r="O18" s="1238">
        <v>0</v>
      </c>
      <c r="P18" s="1239">
        <v>0</v>
      </c>
      <c r="Q18" s="1238">
        <v>0</v>
      </c>
      <c r="R18" s="1238">
        <v>0</v>
      </c>
      <c r="S18" s="1238">
        <v>0</v>
      </c>
      <c r="T18" s="1232">
        <v>0</v>
      </c>
      <c r="U18" s="1212">
        <v>1</v>
      </c>
      <c r="V18" s="1229">
        <v>0</v>
      </c>
      <c r="X18" s="1230">
        <v>17</v>
      </c>
      <c r="Y18" s="1233">
        <v>17</v>
      </c>
      <c r="Z18" s="1229">
        <v>17</v>
      </c>
    </row>
    <row r="19" spans="1:28" ht="13.8" thickBot="1" x14ac:dyDescent="0.3">
      <c r="A19" s="1219">
        <v>18</v>
      </c>
      <c r="B19" s="1220">
        <v>0</v>
      </c>
      <c r="C19" s="1220">
        <v>0</v>
      </c>
      <c r="D19" s="1220">
        <v>18</v>
      </c>
      <c r="E19" s="1240">
        <v>0</v>
      </c>
      <c r="F19" s="1222">
        <v>0</v>
      </c>
      <c r="G19" s="1222">
        <v>0</v>
      </c>
      <c r="H19" s="1222">
        <v>0</v>
      </c>
      <c r="I19" s="1222">
        <v>0</v>
      </c>
      <c r="J19" s="1222">
        <v>0</v>
      </c>
      <c r="K19" s="1222">
        <v>0</v>
      </c>
      <c r="L19" s="1222">
        <v>0</v>
      </c>
      <c r="M19" s="1222">
        <v>0</v>
      </c>
      <c r="N19" s="1241">
        <v>0</v>
      </c>
      <c r="O19" s="1241">
        <v>0</v>
      </c>
      <c r="P19" s="1242">
        <v>0</v>
      </c>
      <c r="Q19" s="1241">
        <v>0</v>
      </c>
      <c r="R19" s="1241">
        <v>0</v>
      </c>
      <c r="S19" s="1241">
        <v>0</v>
      </c>
      <c r="T19" s="1222">
        <v>0</v>
      </c>
      <c r="U19" s="1222">
        <v>0</v>
      </c>
      <c r="V19" s="1213">
        <v>1</v>
      </c>
      <c r="X19" s="1220">
        <v>18</v>
      </c>
      <c r="Y19" s="1221">
        <v>18</v>
      </c>
      <c r="Z19" s="1219">
        <v>18</v>
      </c>
    </row>
    <row r="20" spans="1:28" x14ac:dyDescent="0.25">
      <c r="O20" s="9"/>
      <c r="P20" s="620"/>
      <c r="Q20" s="9"/>
      <c r="R20" s="9"/>
      <c r="S20" s="9"/>
    </row>
    <row r="21" spans="1:28" x14ac:dyDescent="0.25">
      <c r="P21" s="9"/>
      <c r="Q21" s="9"/>
      <c r="R21" s="9"/>
      <c r="S21" s="9"/>
      <c r="AB21" s="41"/>
    </row>
    <row r="27" spans="1:28" ht="13.8" thickBot="1" x14ac:dyDescent="0.3">
      <c r="E27" s="602" t="s">
        <v>1254</v>
      </c>
    </row>
    <row r="28" spans="1:28" x14ac:dyDescent="0.25">
      <c r="E28" s="1211">
        <v>1</v>
      </c>
      <c r="F28" s="1225">
        <v>1.9690027271669873E-2</v>
      </c>
      <c r="G28" s="1225">
        <v>1.6468683899768615E-2</v>
      </c>
      <c r="H28" s="1225">
        <v>0</v>
      </c>
      <c r="I28" s="1225">
        <v>0</v>
      </c>
      <c r="J28" s="1225">
        <v>0</v>
      </c>
      <c r="K28" s="1225">
        <v>0</v>
      </c>
      <c r="L28" s="1225">
        <v>0</v>
      </c>
      <c r="M28" s="1225">
        <v>0</v>
      </c>
      <c r="N28" s="1225">
        <v>0</v>
      </c>
      <c r="O28" s="1225">
        <v>0</v>
      </c>
      <c r="P28" s="1225">
        <v>0</v>
      </c>
      <c r="Q28" s="1225">
        <v>0</v>
      </c>
      <c r="R28" s="1225">
        <v>0</v>
      </c>
      <c r="S28" s="1225">
        <v>0</v>
      </c>
      <c r="T28" s="1225">
        <v>0</v>
      </c>
      <c r="U28" s="1225">
        <v>0</v>
      </c>
      <c r="V28" s="1226">
        <v>0</v>
      </c>
    </row>
    <row r="29" spans="1:28" x14ac:dyDescent="0.25">
      <c r="E29" s="1231">
        <v>0</v>
      </c>
      <c r="F29" s="1212">
        <v>1</v>
      </c>
      <c r="G29" s="1232">
        <v>-9.9864808595541313E-4</v>
      </c>
      <c r="H29" s="1232">
        <v>0</v>
      </c>
      <c r="I29" s="1232">
        <v>0</v>
      </c>
      <c r="J29" s="1232">
        <v>0</v>
      </c>
      <c r="K29" s="1232">
        <v>0</v>
      </c>
      <c r="L29" s="1232">
        <v>0</v>
      </c>
      <c r="M29" s="1232">
        <v>0</v>
      </c>
      <c r="N29" s="1232">
        <v>0</v>
      </c>
      <c r="O29" s="1232">
        <v>0</v>
      </c>
      <c r="P29" s="1232">
        <v>0</v>
      </c>
      <c r="Q29" s="1232">
        <v>0</v>
      </c>
      <c r="R29" s="1232">
        <v>0</v>
      </c>
      <c r="S29" s="1232">
        <v>0</v>
      </c>
      <c r="T29" s="1232">
        <v>0</v>
      </c>
      <c r="U29" s="1232">
        <v>0</v>
      </c>
      <c r="V29" s="1229">
        <v>0</v>
      </c>
    </row>
    <row r="30" spans="1:28" x14ac:dyDescent="0.25">
      <c r="E30" s="1231">
        <v>0</v>
      </c>
      <c r="F30" s="1232">
        <v>0</v>
      </c>
      <c r="G30" s="1212">
        <v>1</v>
      </c>
      <c r="H30" s="1232">
        <v>0</v>
      </c>
      <c r="I30" s="1232">
        <v>0</v>
      </c>
      <c r="J30" s="1232">
        <v>0</v>
      </c>
      <c r="K30" s="1232">
        <v>0</v>
      </c>
      <c r="L30" s="1232">
        <v>0</v>
      </c>
      <c r="M30" s="1232">
        <v>0</v>
      </c>
      <c r="N30" s="1232">
        <v>0</v>
      </c>
      <c r="O30" s="1232">
        <v>0</v>
      </c>
      <c r="P30" s="1232">
        <v>0</v>
      </c>
      <c r="Q30" s="1232">
        <v>0</v>
      </c>
      <c r="R30" s="1232">
        <v>0</v>
      </c>
      <c r="S30" s="1232">
        <v>0</v>
      </c>
      <c r="T30" s="1232">
        <v>0</v>
      </c>
      <c r="U30" s="1232">
        <v>0</v>
      </c>
      <c r="V30" s="1229">
        <v>0</v>
      </c>
    </row>
    <row r="31" spans="1:28" x14ac:dyDescent="0.25">
      <c r="E31" s="1231">
        <v>0</v>
      </c>
      <c r="F31" s="1232">
        <v>0</v>
      </c>
      <c r="G31" s="1232">
        <v>0</v>
      </c>
      <c r="H31" s="1212">
        <v>1</v>
      </c>
      <c r="I31" s="1232">
        <v>0</v>
      </c>
      <c r="J31" s="1232">
        <v>0</v>
      </c>
      <c r="K31" s="1232">
        <v>0</v>
      </c>
      <c r="L31" s="1232">
        <v>0</v>
      </c>
      <c r="M31" s="1232">
        <v>0</v>
      </c>
      <c r="N31" s="1232">
        <v>0</v>
      </c>
      <c r="O31" s="1232">
        <v>0</v>
      </c>
      <c r="P31" s="1232">
        <v>0</v>
      </c>
      <c r="Q31" s="1232">
        <v>0</v>
      </c>
      <c r="R31" s="1232">
        <v>0</v>
      </c>
      <c r="S31" s="1232">
        <v>0</v>
      </c>
      <c r="T31" s="1232">
        <v>0</v>
      </c>
      <c r="U31" s="1232">
        <v>0</v>
      </c>
      <c r="V31" s="1229">
        <v>0</v>
      </c>
    </row>
    <row r="32" spans="1:28" x14ac:dyDescent="0.25">
      <c r="E32" s="1231">
        <v>0</v>
      </c>
      <c r="F32" s="1232">
        <v>0</v>
      </c>
      <c r="G32" s="1232">
        <v>0</v>
      </c>
      <c r="H32" s="1232">
        <v>0</v>
      </c>
      <c r="I32" s="1212">
        <v>1</v>
      </c>
      <c r="J32" s="1232">
        <v>0</v>
      </c>
      <c r="K32" s="1232">
        <v>0</v>
      </c>
      <c r="L32" s="1232">
        <v>0</v>
      </c>
      <c r="M32" s="1232">
        <v>0</v>
      </c>
      <c r="N32" s="1232">
        <v>0</v>
      </c>
      <c r="O32" s="1232">
        <v>0</v>
      </c>
      <c r="P32" s="1232">
        <v>0</v>
      </c>
      <c r="Q32" s="1232">
        <v>0</v>
      </c>
      <c r="R32" s="1232">
        <v>0</v>
      </c>
      <c r="S32" s="1232">
        <v>0</v>
      </c>
      <c r="T32" s="1232">
        <v>0</v>
      </c>
      <c r="U32" s="1232">
        <v>0</v>
      </c>
      <c r="V32" s="1229">
        <v>0</v>
      </c>
    </row>
    <row r="33" spans="5:22" x14ac:dyDescent="0.25">
      <c r="E33" s="1231">
        <v>0</v>
      </c>
      <c r="F33" s="1232">
        <v>0</v>
      </c>
      <c r="G33" s="1232">
        <v>0</v>
      </c>
      <c r="H33" s="1232">
        <v>0</v>
      </c>
      <c r="I33" s="1232">
        <v>0</v>
      </c>
      <c r="J33" s="1212">
        <v>1</v>
      </c>
      <c r="K33" s="1232">
        <v>0</v>
      </c>
      <c r="L33" s="1232">
        <v>0</v>
      </c>
      <c r="M33" s="1232">
        <v>0</v>
      </c>
      <c r="N33" s="1232">
        <v>0</v>
      </c>
      <c r="O33" s="1232">
        <v>0</v>
      </c>
      <c r="P33" s="1232">
        <v>0</v>
      </c>
      <c r="Q33" s="1232">
        <v>0</v>
      </c>
      <c r="R33" s="1232">
        <v>0</v>
      </c>
      <c r="S33" s="1234">
        <v>0</v>
      </c>
      <c r="T33" s="1234">
        <v>0</v>
      </c>
      <c r="U33" s="1232">
        <v>0</v>
      </c>
      <c r="V33" s="1229">
        <v>0</v>
      </c>
    </row>
    <row r="34" spans="5:22" x14ac:dyDescent="0.25">
      <c r="E34" s="1231">
        <v>0</v>
      </c>
      <c r="F34" s="1232">
        <v>0</v>
      </c>
      <c r="G34" s="1232">
        <v>0</v>
      </c>
      <c r="H34" s="1232">
        <v>0</v>
      </c>
      <c r="I34" s="1234">
        <v>0</v>
      </c>
      <c r="J34" s="1232">
        <v>0</v>
      </c>
      <c r="K34" s="1212">
        <v>1</v>
      </c>
      <c r="L34" s="1232">
        <v>0</v>
      </c>
      <c r="M34" s="1232">
        <v>0</v>
      </c>
      <c r="N34" s="1232">
        <v>0</v>
      </c>
      <c r="O34" s="1232">
        <v>0</v>
      </c>
      <c r="P34" s="1232">
        <v>0</v>
      </c>
      <c r="Q34" s="1232">
        <v>0</v>
      </c>
      <c r="R34" s="1232">
        <v>0</v>
      </c>
      <c r="S34" s="1232">
        <v>0</v>
      </c>
      <c r="T34" s="1232">
        <v>0</v>
      </c>
      <c r="U34" s="1232">
        <v>0</v>
      </c>
      <c r="V34" s="1229">
        <v>0</v>
      </c>
    </row>
    <row r="35" spans="5:22" x14ac:dyDescent="0.25">
      <c r="E35" s="1237">
        <v>0</v>
      </c>
      <c r="F35" s="1234">
        <v>0</v>
      </c>
      <c r="G35" s="1232">
        <v>0</v>
      </c>
      <c r="H35" s="1232">
        <v>0</v>
      </c>
      <c r="I35" s="1234">
        <v>0</v>
      </c>
      <c r="J35" s="1232">
        <v>0</v>
      </c>
      <c r="K35" s="1232">
        <v>0</v>
      </c>
      <c r="L35" s="1212">
        <v>1</v>
      </c>
      <c r="M35" s="1232">
        <v>0</v>
      </c>
      <c r="N35" s="1232">
        <v>0</v>
      </c>
      <c r="O35" s="1232">
        <v>0</v>
      </c>
      <c r="P35" s="1232">
        <v>0</v>
      </c>
      <c r="Q35" s="1234">
        <v>0</v>
      </c>
      <c r="R35" s="1234">
        <v>0</v>
      </c>
      <c r="S35" s="1234">
        <v>0</v>
      </c>
      <c r="T35" s="1232">
        <v>0</v>
      </c>
      <c r="U35" s="1232">
        <v>0</v>
      </c>
      <c r="V35" s="1229">
        <v>0</v>
      </c>
    </row>
    <row r="36" spans="5:22" x14ac:dyDescent="0.25">
      <c r="E36" s="1231">
        <v>0</v>
      </c>
      <c r="F36" s="1232">
        <v>0</v>
      </c>
      <c r="G36" s="1232">
        <v>0</v>
      </c>
      <c r="H36" s="1232">
        <v>0</v>
      </c>
      <c r="I36" s="1232">
        <v>0</v>
      </c>
      <c r="J36" s="1232">
        <v>0</v>
      </c>
      <c r="K36" s="1232">
        <v>0</v>
      </c>
      <c r="L36" s="1232">
        <v>0</v>
      </c>
      <c r="M36" s="1212">
        <v>1</v>
      </c>
      <c r="N36" s="1232">
        <v>0</v>
      </c>
      <c r="O36" s="1232">
        <v>0</v>
      </c>
      <c r="P36" s="1232">
        <v>0</v>
      </c>
      <c r="Q36" s="1234">
        <v>0</v>
      </c>
      <c r="R36" s="1234">
        <v>0</v>
      </c>
      <c r="S36" s="1234">
        <v>0</v>
      </c>
      <c r="T36" s="1232">
        <v>0</v>
      </c>
      <c r="U36" s="1232">
        <v>0</v>
      </c>
      <c r="V36" s="1229">
        <v>0</v>
      </c>
    </row>
    <row r="37" spans="5:22" x14ac:dyDescent="0.25">
      <c r="E37" s="1231">
        <v>0</v>
      </c>
      <c r="F37" s="1232">
        <v>0</v>
      </c>
      <c r="G37" s="1232">
        <v>0</v>
      </c>
      <c r="H37" s="1232">
        <v>0</v>
      </c>
      <c r="I37" s="1232">
        <v>0</v>
      </c>
      <c r="J37" s="1232">
        <v>0</v>
      </c>
      <c r="K37" s="1232">
        <v>0</v>
      </c>
      <c r="L37" s="1232">
        <v>0</v>
      </c>
      <c r="M37" s="1232">
        <v>0</v>
      </c>
      <c r="N37" s="1215">
        <v>1</v>
      </c>
      <c r="O37" s="1234">
        <v>0</v>
      </c>
      <c r="P37" s="1234">
        <v>0</v>
      </c>
      <c r="Q37" s="1234">
        <v>0</v>
      </c>
      <c r="R37" s="1234">
        <v>0</v>
      </c>
      <c r="S37" s="1234">
        <v>0</v>
      </c>
      <c r="T37" s="1232">
        <v>0</v>
      </c>
      <c r="U37" s="1232">
        <v>0</v>
      </c>
      <c r="V37" s="1229">
        <v>0</v>
      </c>
    </row>
    <row r="38" spans="5:22" x14ac:dyDescent="0.25">
      <c r="E38" s="1231">
        <v>0</v>
      </c>
      <c r="F38" s="1232">
        <v>0</v>
      </c>
      <c r="G38" s="1232">
        <v>0</v>
      </c>
      <c r="H38" s="1232">
        <v>0</v>
      </c>
      <c r="I38" s="1232">
        <v>0</v>
      </c>
      <c r="J38" s="1232">
        <v>0</v>
      </c>
      <c r="K38" s="1232">
        <v>0</v>
      </c>
      <c r="L38" s="1232">
        <v>0</v>
      </c>
      <c r="M38" s="1232">
        <v>0</v>
      </c>
      <c r="N38" s="1232">
        <v>0</v>
      </c>
      <c r="O38" s="1215">
        <v>1</v>
      </c>
      <c r="P38" s="1234">
        <v>0</v>
      </c>
      <c r="Q38" s="1234">
        <v>0</v>
      </c>
      <c r="R38" s="1234">
        <v>0</v>
      </c>
      <c r="S38" s="1234">
        <v>0</v>
      </c>
      <c r="T38" s="1232">
        <v>0</v>
      </c>
      <c r="U38" s="1232">
        <v>0</v>
      </c>
      <c r="V38" s="1229">
        <v>0</v>
      </c>
    </row>
    <row r="39" spans="5:22" x14ac:dyDescent="0.25">
      <c r="E39" s="1231">
        <v>0</v>
      </c>
      <c r="F39" s="1232">
        <v>0</v>
      </c>
      <c r="G39" s="1232">
        <v>0</v>
      </c>
      <c r="H39" s="1232">
        <v>0</v>
      </c>
      <c r="I39" s="1232">
        <v>0</v>
      </c>
      <c r="J39" s="1232">
        <v>0</v>
      </c>
      <c r="K39" s="1232">
        <v>0</v>
      </c>
      <c r="L39" s="1232">
        <v>0</v>
      </c>
      <c r="M39" s="1232">
        <v>0</v>
      </c>
      <c r="N39" s="1234">
        <v>0</v>
      </c>
      <c r="O39" s="1234">
        <v>0</v>
      </c>
      <c r="P39" s="1215">
        <v>1</v>
      </c>
      <c r="Q39" s="1234">
        <v>0</v>
      </c>
      <c r="R39" s="1234">
        <v>0</v>
      </c>
      <c r="S39" s="1234">
        <v>0</v>
      </c>
      <c r="T39" s="1232">
        <v>0</v>
      </c>
      <c r="U39" s="1232">
        <v>0</v>
      </c>
      <c r="V39" s="1229">
        <v>0</v>
      </c>
    </row>
    <row r="40" spans="5:22" x14ac:dyDescent="0.25">
      <c r="E40" s="1231">
        <v>0</v>
      </c>
      <c r="F40" s="1232">
        <v>0</v>
      </c>
      <c r="G40" s="1232">
        <v>0</v>
      </c>
      <c r="H40" s="1232">
        <v>0</v>
      </c>
      <c r="I40" s="1232">
        <v>0</v>
      </c>
      <c r="J40" s="1232">
        <v>0</v>
      </c>
      <c r="K40" s="1232">
        <v>0</v>
      </c>
      <c r="L40" s="1232">
        <v>0</v>
      </c>
      <c r="M40" s="1232">
        <v>0</v>
      </c>
      <c r="N40" s="1234">
        <v>0</v>
      </c>
      <c r="O40" s="1234">
        <v>0</v>
      </c>
      <c r="P40" s="1232">
        <v>0</v>
      </c>
      <c r="Q40" s="1215">
        <v>1</v>
      </c>
      <c r="R40" s="1234">
        <v>0</v>
      </c>
      <c r="S40" s="1234">
        <v>0</v>
      </c>
      <c r="T40" s="1232">
        <v>0</v>
      </c>
      <c r="U40" s="1232">
        <v>0</v>
      </c>
      <c r="V40" s="1229">
        <v>0</v>
      </c>
    </row>
    <row r="41" spans="5:22" x14ac:dyDescent="0.25">
      <c r="E41" s="1231">
        <v>0</v>
      </c>
      <c r="F41" s="1232">
        <v>0</v>
      </c>
      <c r="G41" s="1232">
        <v>0</v>
      </c>
      <c r="H41" s="1232">
        <v>0</v>
      </c>
      <c r="I41" s="1232">
        <v>0</v>
      </c>
      <c r="J41" s="1232">
        <v>0</v>
      </c>
      <c r="K41" s="1232">
        <v>0</v>
      </c>
      <c r="L41" s="1232">
        <v>0</v>
      </c>
      <c r="M41" s="1232">
        <v>0</v>
      </c>
      <c r="N41" s="1232">
        <v>0</v>
      </c>
      <c r="O41" s="1232">
        <v>0</v>
      </c>
      <c r="P41" s="1232">
        <v>0</v>
      </c>
      <c r="Q41" s="1232">
        <v>0</v>
      </c>
      <c r="R41" s="1212">
        <v>1</v>
      </c>
      <c r="S41" s="1232">
        <v>0</v>
      </c>
      <c r="T41" s="1232">
        <v>0</v>
      </c>
      <c r="U41" s="1232">
        <v>0</v>
      </c>
      <c r="V41" s="1229">
        <v>0</v>
      </c>
    </row>
    <row r="42" spans="5:22" x14ac:dyDescent="0.25">
      <c r="E42" s="1231">
        <v>0</v>
      </c>
      <c r="F42" s="1232">
        <v>0</v>
      </c>
      <c r="G42" s="1232">
        <v>0</v>
      </c>
      <c r="H42" s="1232">
        <v>0</v>
      </c>
      <c r="I42" s="1232">
        <v>0</v>
      </c>
      <c r="J42" s="1232">
        <v>0</v>
      </c>
      <c r="K42" s="1232">
        <v>0</v>
      </c>
      <c r="L42" s="1232">
        <v>0</v>
      </c>
      <c r="M42" s="1232">
        <v>0</v>
      </c>
      <c r="N42" s="1238">
        <v>0</v>
      </c>
      <c r="O42" s="1234">
        <v>0</v>
      </c>
      <c r="P42" s="1239">
        <v>0</v>
      </c>
      <c r="Q42" s="1238">
        <v>0</v>
      </c>
      <c r="R42" s="1238">
        <v>0</v>
      </c>
      <c r="S42" s="1216">
        <v>1</v>
      </c>
      <c r="T42" s="1232">
        <v>0</v>
      </c>
      <c r="U42" s="1232">
        <v>0</v>
      </c>
      <c r="V42" s="1229">
        <v>0</v>
      </c>
    </row>
    <row r="43" spans="5:22" x14ac:dyDescent="0.25">
      <c r="E43" s="1231">
        <v>0</v>
      </c>
      <c r="F43" s="1232">
        <v>0</v>
      </c>
      <c r="G43" s="1232">
        <v>0</v>
      </c>
      <c r="H43" s="1232">
        <v>0</v>
      </c>
      <c r="I43" s="1232">
        <v>0</v>
      </c>
      <c r="J43" s="1232">
        <v>0</v>
      </c>
      <c r="K43" s="1232">
        <v>0</v>
      </c>
      <c r="L43" s="1232">
        <v>0</v>
      </c>
      <c r="M43" s="1232">
        <v>0</v>
      </c>
      <c r="N43" s="1238">
        <v>0</v>
      </c>
      <c r="O43" s="1234">
        <v>0</v>
      </c>
      <c r="P43" s="1239">
        <v>0</v>
      </c>
      <c r="Q43" s="1238">
        <v>0</v>
      </c>
      <c r="R43" s="1238">
        <v>0</v>
      </c>
      <c r="S43" s="1238">
        <v>0</v>
      </c>
      <c r="T43" s="1212">
        <v>1</v>
      </c>
      <c r="U43" s="1232">
        <v>0</v>
      </c>
      <c r="V43" s="1229">
        <v>0</v>
      </c>
    </row>
    <row r="44" spans="5:22" x14ac:dyDescent="0.25">
      <c r="E44" s="1231">
        <v>0</v>
      </c>
      <c r="F44" s="1232">
        <v>0</v>
      </c>
      <c r="G44" s="1232">
        <v>0</v>
      </c>
      <c r="H44" s="1232">
        <v>0</v>
      </c>
      <c r="I44" s="1232">
        <v>0</v>
      </c>
      <c r="J44" s="1232">
        <v>0</v>
      </c>
      <c r="K44" s="1232">
        <v>0</v>
      </c>
      <c r="L44" s="1232">
        <v>0</v>
      </c>
      <c r="M44" s="1232">
        <v>0</v>
      </c>
      <c r="N44" s="1238">
        <v>0</v>
      </c>
      <c r="O44" s="1238">
        <v>0</v>
      </c>
      <c r="P44" s="1239">
        <v>0</v>
      </c>
      <c r="Q44" s="1238">
        <v>0</v>
      </c>
      <c r="R44" s="1238">
        <v>0</v>
      </c>
      <c r="S44" s="1238">
        <v>0</v>
      </c>
      <c r="T44" s="1232">
        <v>0</v>
      </c>
      <c r="U44" s="1212">
        <v>1</v>
      </c>
      <c r="V44" s="1229">
        <v>0</v>
      </c>
    </row>
    <row r="45" spans="5:22" ht="13.8" thickBot="1" x14ac:dyDescent="0.3">
      <c r="E45" s="1240">
        <v>0</v>
      </c>
      <c r="F45" s="1222">
        <v>0</v>
      </c>
      <c r="G45" s="1222">
        <v>0</v>
      </c>
      <c r="H45" s="1222">
        <v>0</v>
      </c>
      <c r="I45" s="1222">
        <v>0</v>
      </c>
      <c r="J45" s="1222">
        <v>0</v>
      </c>
      <c r="K45" s="1222">
        <v>0</v>
      </c>
      <c r="L45" s="1222">
        <v>0</v>
      </c>
      <c r="M45" s="1222">
        <v>0</v>
      </c>
      <c r="N45" s="1241">
        <v>0</v>
      </c>
      <c r="O45" s="1241">
        <v>0</v>
      </c>
      <c r="P45" s="1242">
        <v>0</v>
      </c>
      <c r="Q45" s="1241">
        <v>0</v>
      </c>
      <c r="R45" s="1241">
        <v>0</v>
      </c>
      <c r="S45" s="1241">
        <v>0</v>
      </c>
      <c r="T45" s="1222">
        <v>0</v>
      </c>
      <c r="U45" s="1222">
        <v>0</v>
      </c>
      <c r="V45" s="1213">
        <v>1</v>
      </c>
    </row>
    <row r="46" spans="5:22" x14ac:dyDescent="0.25">
      <c r="N46" s="41"/>
      <c r="O46" s="41"/>
      <c r="Q46" s="41"/>
      <c r="R46" s="41"/>
      <c r="S46" s="41"/>
    </row>
    <row r="47" spans="5:22" ht="13.8" thickBot="1" x14ac:dyDescent="0.3">
      <c r="E47" s="602" t="s">
        <v>1255</v>
      </c>
    </row>
    <row r="48" spans="5:22" x14ac:dyDescent="0.25">
      <c r="E48" s="1211">
        <v>24.078802414877813</v>
      </c>
      <c r="F48" s="1225">
        <v>0</v>
      </c>
      <c r="G48" s="1225">
        <v>0</v>
      </c>
      <c r="H48" s="1225">
        <v>0</v>
      </c>
      <c r="I48" s="1225">
        <v>0</v>
      </c>
      <c r="J48" s="1225">
        <v>0</v>
      </c>
      <c r="K48" s="1225">
        <v>0</v>
      </c>
      <c r="L48" s="1225">
        <v>0</v>
      </c>
      <c r="M48" s="1225">
        <v>0</v>
      </c>
      <c r="N48" s="1225">
        <v>0</v>
      </c>
      <c r="O48" s="1225">
        <v>0</v>
      </c>
      <c r="P48" s="1225">
        <v>0</v>
      </c>
      <c r="Q48" s="1225">
        <v>0</v>
      </c>
      <c r="R48" s="1225">
        <v>0</v>
      </c>
      <c r="S48" s="1225">
        <v>0</v>
      </c>
      <c r="T48" s="1225">
        <v>0</v>
      </c>
      <c r="U48" s="1225">
        <v>0</v>
      </c>
      <c r="V48" s="1226">
        <v>0</v>
      </c>
    </row>
    <row r="49" spans="5:28" x14ac:dyDescent="0.25">
      <c r="E49" s="1231">
        <v>0</v>
      </c>
      <c r="F49" s="1212">
        <v>35.03209821281115</v>
      </c>
      <c r="G49" s="1232">
        <v>0</v>
      </c>
      <c r="H49" s="1232">
        <v>0</v>
      </c>
      <c r="I49" s="1232">
        <v>0</v>
      </c>
      <c r="J49" s="1232">
        <v>0</v>
      </c>
      <c r="K49" s="1232">
        <v>0</v>
      </c>
      <c r="L49" s="1232">
        <v>0</v>
      </c>
      <c r="M49" s="1232">
        <v>0</v>
      </c>
      <c r="N49" s="1232">
        <v>0</v>
      </c>
      <c r="O49" s="1232">
        <v>0</v>
      </c>
      <c r="P49" s="1232">
        <v>0</v>
      </c>
      <c r="Q49" s="1232">
        <v>0</v>
      </c>
      <c r="R49" s="1232">
        <v>0</v>
      </c>
      <c r="S49" s="1232">
        <v>0</v>
      </c>
      <c r="T49" s="1232">
        <v>0</v>
      </c>
      <c r="U49" s="1232">
        <v>0</v>
      </c>
      <c r="V49" s="1229">
        <v>0</v>
      </c>
    </row>
    <row r="50" spans="5:28" x14ac:dyDescent="0.25">
      <c r="E50" s="1231">
        <v>0</v>
      </c>
      <c r="F50" s="1232">
        <v>0</v>
      </c>
      <c r="G50" s="1212">
        <v>177.25766337998346</v>
      </c>
      <c r="H50" s="1232">
        <v>0</v>
      </c>
      <c r="I50" s="1232">
        <v>0</v>
      </c>
      <c r="J50" s="1232">
        <v>0</v>
      </c>
      <c r="K50" s="1232">
        <v>0</v>
      </c>
      <c r="L50" s="1232">
        <v>0</v>
      </c>
      <c r="M50" s="1232">
        <v>0</v>
      </c>
      <c r="N50" s="1232">
        <v>0</v>
      </c>
      <c r="O50" s="1232">
        <v>0</v>
      </c>
      <c r="P50" s="1232">
        <v>0</v>
      </c>
      <c r="Q50" s="1232">
        <v>0</v>
      </c>
      <c r="R50" s="1232">
        <v>0</v>
      </c>
      <c r="S50" s="1232">
        <v>0</v>
      </c>
      <c r="T50" s="1232">
        <v>0</v>
      </c>
      <c r="U50" s="1232">
        <v>0</v>
      </c>
      <c r="V50" s="1229">
        <v>0</v>
      </c>
    </row>
    <row r="51" spans="5:28" x14ac:dyDescent="0.25">
      <c r="E51" s="1231">
        <v>0</v>
      </c>
      <c r="F51" s="1232">
        <v>0</v>
      </c>
      <c r="G51" s="1232">
        <v>0</v>
      </c>
      <c r="H51" s="1212">
        <v>1</v>
      </c>
      <c r="I51" s="1232">
        <v>0</v>
      </c>
      <c r="J51" s="1232">
        <v>0</v>
      </c>
      <c r="K51" s="1232">
        <v>0</v>
      </c>
      <c r="L51" s="1232">
        <v>0</v>
      </c>
      <c r="M51" s="1232">
        <v>0</v>
      </c>
      <c r="N51" s="1232">
        <v>0</v>
      </c>
      <c r="O51" s="1232">
        <v>0</v>
      </c>
      <c r="P51" s="1232">
        <v>0</v>
      </c>
      <c r="Q51" s="1232">
        <v>0</v>
      </c>
      <c r="R51" s="1232">
        <v>0</v>
      </c>
      <c r="S51" s="1232">
        <v>0</v>
      </c>
      <c r="T51" s="1232">
        <v>0</v>
      </c>
      <c r="U51" s="1232">
        <v>0</v>
      </c>
      <c r="V51" s="1229">
        <v>0</v>
      </c>
    </row>
    <row r="52" spans="5:28" x14ac:dyDescent="0.25">
      <c r="E52" s="1231">
        <v>0</v>
      </c>
      <c r="F52" s="1232">
        <v>0</v>
      </c>
      <c r="G52" s="1232">
        <v>0</v>
      </c>
      <c r="H52" s="1232">
        <v>0</v>
      </c>
      <c r="I52" s="1212">
        <v>1</v>
      </c>
      <c r="J52" s="1232">
        <v>0</v>
      </c>
      <c r="K52" s="1232">
        <v>0</v>
      </c>
      <c r="L52" s="1232">
        <v>0</v>
      </c>
      <c r="M52" s="1232">
        <v>0</v>
      </c>
      <c r="N52" s="1232">
        <v>0</v>
      </c>
      <c r="O52" s="1232">
        <v>0</v>
      </c>
      <c r="P52" s="1232">
        <v>0</v>
      </c>
      <c r="Q52" s="1232">
        <v>0</v>
      </c>
      <c r="R52" s="1232">
        <v>0</v>
      </c>
      <c r="S52" s="1232">
        <v>0</v>
      </c>
      <c r="T52" s="1232">
        <v>0</v>
      </c>
      <c r="U52" s="1232">
        <v>0</v>
      </c>
      <c r="V52" s="1229">
        <v>0</v>
      </c>
    </row>
    <row r="53" spans="5:28" x14ac:dyDescent="0.25">
      <c r="E53" s="1231">
        <v>0</v>
      </c>
      <c r="F53" s="1232">
        <v>0</v>
      </c>
      <c r="G53" s="1232">
        <v>0</v>
      </c>
      <c r="H53" s="1232">
        <v>0</v>
      </c>
      <c r="I53" s="1232">
        <v>0</v>
      </c>
      <c r="J53" s="1212">
        <v>1</v>
      </c>
      <c r="K53" s="1232">
        <v>0</v>
      </c>
      <c r="L53" s="1232">
        <v>0</v>
      </c>
      <c r="M53" s="1232">
        <v>0</v>
      </c>
      <c r="N53" s="1232">
        <v>0</v>
      </c>
      <c r="O53" s="1232">
        <v>0</v>
      </c>
      <c r="P53" s="1232">
        <v>0</v>
      </c>
      <c r="Q53" s="1232">
        <v>0</v>
      </c>
      <c r="R53" s="1232">
        <v>0</v>
      </c>
      <c r="S53" s="1234">
        <v>0</v>
      </c>
      <c r="T53" s="1234">
        <v>0</v>
      </c>
      <c r="U53" s="1232">
        <v>0</v>
      </c>
      <c r="V53" s="1229">
        <v>0</v>
      </c>
      <c r="AB53" s="41"/>
    </row>
    <row r="54" spans="5:28" x14ac:dyDescent="0.25">
      <c r="E54" s="1231">
        <v>0</v>
      </c>
      <c r="F54" s="1232">
        <v>0</v>
      </c>
      <c r="G54" s="1232">
        <v>0</v>
      </c>
      <c r="H54" s="1232">
        <v>0</v>
      </c>
      <c r="I54" s="1234">
        <v>0</v>
      </c>
      <c r="J54" s="1232">
        <v>0</v>
      </c>
      <c r="K54" s="1212">
        <v>1</v>
      </c>
      <c r="L54" s="1232">
        <v>0</v>
      </c>
      <c r="M54" s="1232">
        <v>0</v>
      </c>
      <c r="N54" s="1232">
        <v>0</v>
      </c>
      <c r="O54" s="1232">
        <v>0</v>
      </c>
      <c r="P54" s="1232">
        <v>0</v>
      </c>
      <c r="Q54" s="1232">
        <v>0</v>
      </c>
      <c r="R54" s="1232">
        <v>0</v>
      </c>
      <c r="S54" s="1232">
        <v>0</v>
      </c>
      <c r="T54" s="1232">
        <v>0</v>
      </c>
      <c r="U54" s="1232">
        <v>0</v>
      </c>
      <c r="V54" s="1229">
        <v>0</v>
      </c>
    </row>
    <row r="55" spans="5:28" x14ac:dyDescent="0.25">
      <c r="E55" s="1237">
        <v>0</v>
      </c>
      <c r="F55" s="1234">
        <v>0</v>
      </c>
      <c r="G55" s="1232">
        <v>0</v>
      </c>
      <c r="H55" s="1232">
        <v>0</v>
      </c>
      <c r="I55" s="1234">
        <v>0</v>
      </c>
      <c r="J55" s="1232">
        <v>0</v>
      </c>
      <c r="K55" s="1232">
        <v>0</v>
      </c>
      <c r="L55" s="1212">
        <v>1</v>
      </c>
      <c r="M55" s="1232">
        <v>0</v>
      </c>
      <c r="N55" s="1232">
        <v>0</v>
      </c>
      <c r="O55" s="1232">
        <v>0</v>
      </c>
      <c r="P55" s="1232">
        <v>0</v>
      </c>
      <c r="Q55" s="1234">
        <v>0</v>
      </c>
      <c r="R55" s="1234">
        <v>0</v>
      </c>
      <c r="S55" s="1234">
        <v>0</v>
      </c>
      <c r="T55" s="1232">
        <v>0</v>
      </c>
      <c r="U55" s="1232">
        <v>0</v>
      </c>
      <c r="V55" s="1229">
        <v>0</v>
      </c>
    </row>
    <row r="56" spans="5:28" x14ac:dyDescent="0.25">
      <c r="E56" s="1231">
        <v>0</v>
      </c>
      <c r="F56" s="1232">
        <v>0</v>
      </c>
      <c r="G56" s="1232">
        <v>0</v>
      </c>
      <c r="H56" s="1232">
        <v>0</v>
      </c>
      <c r="I56" s="1232">
        <v>0</v>
      </c>
      <c r="J56" s="1232">
        <v>0</v>
      </c>
      <c r="K56" s="1232">
        <v>0</v>
      </c>
      <c r="L56" s="1232">
        <v>0</v>
      </c>
      <c r="M56" s="1212">
        <v>1</v>
      </c>
      <c r="N56" s="1232">
        <v>0</v>
      </c>
      <c r="O56" s="1232">
        <v>0</v>
      </c>
      <c r="P56" s="1232">
        <v>0</v>
      </c>
      <c r="Q56" s="1234">
        <v>0</v>
      </c>
      <c r="R56" s="1234">
        <v>0</v>
      </c>
      <c r="S56" s="1234">
        <v>0</v>
      </c>
      <c r="T56" s="1232">
        <v>0</v>
      </c>
      <c r="U56" s="1232">
        <v>0</v>
      </c>
      <c r="V56" s="1229">
        <v>0</v>
      </c>
    </row>
    <row r="57" spans="5:28" x14ac:dyDescent="0.25">
      <c r="E57" s="1231">
        <v>0</v>
      </c>
      <c r="F57" s="1232">
        <v>0</v>
      </c>
      <c r="G57" s="1232">
        <v>0</v>
      </c>
      <c r="H57" s="1232">
        <v>0</v>
      </c>
      <c r="I57" s="1232">
        <v>0</v>
      </c>
      <c r="J57" s="1232">
        <v>0</v>
      </c>
      <c r="K57" s="1232">
        <v>0</v>
      </c>
      <c r="L57" s="1232">
        <v>0</v>
      </c>
      <c r="M57" s="1232">
        <v>0</v>
      </c>
      <c r="N57" s="1215">
        <v>1</v>
      </c>
      <c r="O57" s="1234">
        <v>0</v>
      </c>
      <c r="P57" s="1234">
        <v>0</v>
      </c>
      <c r="Q57" s="1234">
        <v>0</v>
      </c>
      <c r="R57" s="1234">
        <v>0</v>
      </c>
      <c r="S57" s="1234">
        <v>0</v>
      </c>
      <c r="T57" s="1232">
        <v>0</v>
      </c>
      <c r="U57" s="1232">
        <v>0</v>
      </c>
      <c r="V57" s="1229">
        <v>0</v>
      </c>
    </row>
    <row r="58" spans="5:28" x14ac:dyDescent="0.25">
      <c r="E58" s="1231">
        <v>0</v>
      </c>
      <c r="F58" s="1232">
        <v>0</v>
      </c>
      <c r="G58" s="1232">
        <v>0</v>
      </c>
      <c r="H58" s="1232">
        <v>0</v>
      </c>
      <c r="I58" s="1232">
        <v>0</v>
      </c>
      <c r="J58" s="1232">
        <v>0</v>
      </c>
      <c r="K58" s="1232">
        <v>0</v>
      </c>
      <c r="L58" s="1232">
        <v>0</v>
      </c>
      <c r="M58" s="1232">
        <v>0</v>
      </c>
      <c r="N58" s="1232">
        <v>0</v>
      </c>
      <c r="O58" s="1215">
        <v>1</v>
      </c>
      <c r="P58" s="1234">
        <v>0</v>
      </c>
      <c r="Q58" s="1234">
        <v>0</v>
      </c>
      <c r="R58" s="1234">
        <v>0</v>
      </c>
      <c r="S58" s="1234">
        <v>0</v>
      </c>
      <c r="T58" s="1232">
        <v>0</v>
      </c>
      <c r="U58" s="1232">
        <v>0</v>
      </c>
      <c r="V58" s="1229">
        <v>0</v>
      </c>
    </row>
    <row r="59" spans="5:28" x14ac:dyDescent="0.25">
      <c r="E59" s="1231">
        <v>0</v>
      </c>
      <c r="F59" s="1232">
        <v>0</v>
      </c>
      <c r="G59" s="1232">
        <v>0</v>
      </c>
      <c r="H59" s="1232">
        <v>0</v>
      </c>
      <c r="I59" s="1232">
        <v>0</v>
      </c>
      <c r="J59" s="1232">
        <v>0</v>
      </c>
      <c r="K59" s="1232">
        <v>0</v>
      </c>
      <c r="L59" s="1232">
        <v>0</v>
      </c>
      <c r="M59" s="1232">
        <v>0</v>
      </c>
      <c r="N59" s="1234">
        <v>0</v>
      </c>
      <c r="O59" s="1234">
        <v>0</v>
      </c>
      <c r="P59" s="1215">
        <v>1</v>
      </c>
      <c r="Q59" s="1234">
        <v>0</v>
      </c>
      <c r="R59" s="1234">
        <v>0</v>
      </c>
      <c r="S59" s="1234">
        <v>0</v>
      </c>
      <c r="T59" s="1232">
        <v>0</v>
      </c>
      <c r="U59" s="1232">
        <v>0</v>
      </c>
      <c r="V59" s="1229">
        <v>0</v>
      </c>
    </row>
    <row r="60" spans="5:28" x14ac:dyDescent="0.25">
      <c r="E60" s="1231">
        <v>0</v>
      </c>
      <c r="F60" s="1232">
        <v>0</v>
      </c>
      <c r="G60" s="1232">
        <v>0</v>
      </c>
      <c r="H60" s="1232">
        <v>0</v>
      </c>
      <c r="I60" s="1232">
        <v>0</v>
      </c>
      <c r="J60" s="1232">
        <v>0</v>
      </c>
      <c r="K60" s="1232">
        <v>0</v>
      </c>
      <c r="L60" s="1232">
        <v>0</v>
      </c>
      <c r="M60" s="1232">
        <v>0</v>
      </c>
      <c r="N60" s="1234">
        <v>0</v>
      </c>
      <c r="O60" s="1234">
        <v>0</v>
      </c>
      <c r="P60" s="1232">
        <v>0</v>
      </c>
      <c r="Q60" s="1215">
        <v>1</v>
      </c>
      <c r="R60" s="1234">
        <v>0</v>
      </c>
      <c r="S60" s="1234">
        <v>0</v>
      </c>
      <c r="T60" s="1232">
        <v>0</v>
      </c>
      <c r="U60" s="1232">
        <v>0</v>
      </c>
      <c r="V60" s="1229">
        <v>0</v>
      </c>
    </row>
    <row r="61" spans="5:28" x14ac:dyDescent="0.25">
      <c r="E61" s="1231">
        <v>0</v>
      </c>
      <c r="F61" s="1232">
        <v>0</v>
      </c>
      <c r="G61" s="1232">
        <v>0</v>
      </c>
      <c r="H61" s="1232">
        <v>0</v>
      </c>
      <c r="I61" s="1232">
        <v>0</v>
      </c>
      <c r="J61" s="1232">
        <v>0</v>
      </c>
      <c r="K61" s="1232">
        <v>0</v>
      </c>
      <c r="L61" s="1232">
        <v>0</v>
      </c>
      <c r="M61" s="1232">
        <v>0</v>
      </c>
      <c r="N61" s="1232">
        <v>0</v>
      </c>
      <c r="O61" s="1232">
        <v>0</v>
      </c>
      <c r="P61" s="1232">
        <v>0</v>
      </c>
      <c r="Q61" s="1232">
        <v>0</v>
      </c>
      <c r="R61" s="1212">
        <v>1</v>
      </c>
      <c r="S61" s="1232">
        <v>0</v>
      </c>
      <c r="T61" s="1232">
        <v>0</v>
      </c>
      <c r="U61" s="1232">
        <v>0</v>
      </c>
      <c r="V61" s="1229">
        <v>0</v>
      </c>
    </row>
    <row r="62" spans="5:28" x14ac:dyDescent="0.25">
      <c r="E62" s="1231">
        <v>0</v>
      </c>
      <c r="F62" s="1232">
        <v>0</v>
      </c>
      <c r="G62" s="1232">
        <v>0</v>
      </c>
      <c r="H62" s="1232">
        <v>0</v>
      </c>
      <c r="I62" s="1232">
        <v>0</v>
      </c>
      <c r="J62" s="1232">
        <v>0</v>
      </c>
      <c r="K62" s="1232">
        <v>0</v>
      </c>
      <c r="L62" s="1232">
        <v>0</v>
      </c>
      <c r="M62" s="1232">
        <v>0</v>
      </c>
      <c r="N62" s="1238">
        <v>0</v>
      </c>
      <c r="O62" s="1234">
        <v>0</v>
      </c>
      <c r="P62" s="1239">
        <v>0</v>
      </c>
      <c r="Q62" s="1238">
        <v>0</v>
      </c>
      <c r="R62" s="1238">
        <v>0</v>
      </c>
      <c r="S62" s="1216">
        <v>1</v>
      </c>
      <c r="T62" s="1232">
        <v>0</v>
      </c>
      <c r="U62" s="1232">
        <v>0</v>
      </c>
      <c r="V62" s="1229">
        <v>0</v>
      </c>
    </row>
    <row r="63" spans="5:28" x14ac:dyDescent="0.25">
      <c r="E63" s="1231">
        <v>0</v>
      </c>
      <c r="F63" s="1232">
        <v>0</v>
      </c>
      <c r="G63" s="1232">
        <v>0</v>
      </c>
      <c r="H63" s="1232">
        <v>0</v>
      </c>
      <c r="I63" s="1232">
        <v>0</v>
      </c>
      <c r="J63" s="1232">
        <v>0</v>
      </c>
      <c r="K63" s="1232">
        <v>0</v>
      </c>
      <c r="L63" s="1232">
        <v>0</v>
      </c>
      <c r="M63" s="1232">
        <v>0</v>
      </c>
      <c r="N63" s="1238">
        <v>0</v>
      </c>
      <c r="O63" s="1234">
        <v>0</v>
      </c>
      <c r="P63" s="1239">
        <v>0</v>
      </c>
      <c r="Q63" s="1238">
        <v>0</v>
      </c>
      <c r="R63" s="1238">
        <v>0</v>
      </c>
      <c r="S63" s="1238">
        <v>0</v>
      </c>
      <c r="T63" s="1212">
        <v>1</v>
      </c>
      <c r="U63" s="1232">
        <v>0</v>
      </c>
      <c r="V63" s="1229">
        <v>0</v>
      </c>
    </row>
    <row r="64" spans="5:28" x14ac:dyDescent="0.25">
      <c r="E64" s="1231">
        <v>0</v>
      </c>
      <c r="F64" s="1232">
        <v>0</v>
      </c>
      <c r="G64" s="1232">
        <v>0</v>
      </c>
      <c r="H64" s="1232">
        <v>0</v>
      </c>
      <c r="I64" s="1232">
        <v>0</v>
      </c>
      <c r="J64" s="1232">
        <v>0</v>
      </c>
      <c r="K64" s="1232">
        <v>0</v>
      </c>
      <c r="L64" s="1232">
        <v>0</v>
      </c>
      <c r="M64" s="1232">
        <v>0</v>
      </c>
      <c r="N64" s="1238">
        <v>0</v>
      </c>
      <c r="O64" s="1238">
        <v>0</v>
      </c>
      <c r="P64" s="1239">
        <v>0</v>
      </c>
      <c r="Q64" s="1238">
        <v>0</v>
      </c>
      <c r="R64" s="1238">
        <v>0</v>
      </c>
      <c r="S64" s="1238">
        <v>0</v>
      </c>
      <c r="T64" s="1232">
        <v>0</v>
      </c>
      <c r="U64" s="1212">
        <v>1</v>
      </c>
      <c r="V64" s="1229">
        <v>0</v>
      </c>
    </row>
    <row r="65" spans="5:28" ht="13.8" thickBot="1" x14ac:dyDescent="0.3">
      <c r="E65" s="1240">
        <v>0</v>
      </c>
      <c r="F65" s="1222">
        <v>0</v>
      </c>
      <c r="G65" s="1222">
        <v>0</v>
      </c>
      <c r="H65" s="1222">
        <v>0</v>
      </c>
      <c r="I65" s="1222">
        <v>0</v>
      </c>
      <c r="J65" s="1222">
        <v>0</v>
      </c>
      <c r="K65" s="1222">
        <v>0</v>
      </c>
      <c r="L65" s="1222">
        <v>0</v>
      </c>
      <c r="M65" s="1222">
        <v>0</v>
      </c>
      <c r="N65" s="1241">
        <v>0</v>
      </c>
      <c r="O65" s="1241">
        <v>0</v>
      </c>
      <c r="P65" s="1242">
        <v>0</v>
      </c>
      <c r="Q65" s="1241">
        <v>0</v>
      </c>
      <c r="R65" s="1241">
        <v>0</v>
      </c>
      <c r="S65" s="1241">
        <v>0</v>
      </c>
      <c r="T65" s="1222">
        <v>0</v>
      </c>
      <c r="U65" s="1222">
        <v>0</v>
      </c>
      <c r="V65" s="1213">
        <v>1</v>
      </c>
    </row>
    <row r="66" spans="5:28" x14ac:dyDescent="0.25">
      <c r="I66" s="41"/>
    </row>
    <row r="67" spans="5:28" ht="13.8" thickBot="1" x14ac:dyDescent="0.3">
      <c r="E67" s="41" t="s">
        <v>62</v>
      </c>
      <c r="F67" s="41"/>
      <c r="I67" s="41"/>
      <c r="Q67" s="41"/>
      <c r="R67" s="41"/>
      <c r="S67" s="41"/>
    </row>
    <row r="68" spans="5:28" x14ac:dyDescent="0.25">
      <c r="E68" s="1211">
        <v>1</v>
      </c>
      <c r="F68" s="1225">
        <v>0</v>
      </c>
      <c r="G68" s="1225">
        <v>0</v>
      </c>
      <c r="H68" s="1225">
        <v>0</v>
      </c>
      <c r="I68" s="1225">
        <v>0</v>
      </c>
      <c r="J68" s="1225">
        <v>0</v>
      </c>
      <c r="K68" s="1225">
        <v>0</v>
      </c>
      <c r="L68" s="1225">
        <v>0</v>
      </c>
      <c r="M68" s="1225">
        <v>0</v>
      </c>
      <c r="N68" s="1225">
        <v>0</v>
      </c>
      <c r="O68" s="1225">
        <v>0</v>
      </c>
      <c r="P68" s="1225">
        <v>0</v>
      </c>
      <c r="Q68" s="1225">
        <v>0</v>
      </c>
      <c r="R68" s="1225">
        <v>0</v>
      </c>
      <c r="S68" s="1225">
        <v>0</v>
      </c>
      <c r="T68" s="1225">
        <v>0</v>
      </c>
      <c r="U68" s="1225">
        <v>0</v>
      </c>
      <c r="V68" s="1226">
        <v>0</v>
      </c>
    </row>
    <row r="69" spans="5:28" x14ac:dyDescent="0.25">
      <c r="E69" s="1231">
        <v>1.9690027271669835E-2</v>
      </c>
      <c r="F69" s="1212">
        <v>1</v>
      </c>
      <c r="G69" s="1232">
        <v>0</v>
      </c>
      <c r="H69" s="1232">
        <v>0</v>
      </c>
      <c r="I69" s="1232">
        <v>0</v>
      </c>
      <c r="J69" s="1232">
        <v>0</v>
      </c>
      <c r="K69" s="1232">
        <v>0</v>
      </c>
      <c r="L69" s="1232">
        <v>0</v>
      </c>
      <c r="M69" s="1232">
        <v>0</v>
      </c>
      <c r="N69" s="1232">
        <v>0</v>
      </c>
      <c r="O69" s="1232">
        <v>0</v>
      </c>
      <c r="P69" s="1232">
        <v>0</v>
      </c>
      <c r="Q69" s="1232">
        <v>0</v>
      </c>
      <c r="R69" s="1232">
        <v>0</v>
      </c>
      <c r="S69" s="1232">
        <v>0</v>
      </c>
      <c r="T69" s="1232">
        <v>0</v>
      </c>
      <c r="U69" s="1232">
        <v>0</v>
      </c>
      <c r="V69" s="1229">
        <v>0</v>
      </c>
    </row>
    <row r="70" spans="5:28" x14ac:dyDescent="0.25">
      <c r="E70" s="1231">
        <v>1.6468683899768615E-2</v>
      </c>
      <c r="F70" s="1232">
        <v>-9.986480859554166E-4</v>
      </c>
      <c r="G70" s="1212">
        <v>1</v>
      </c>
      <c r="H70" s="1232">
        <v>0</v>
      </c>
      <c r="I70" s="1232">
        <v>0</v>
      </c>
      <c r="J70" s="1232">
        <v>0</v>
      </c>
      <c r="K70" s="1232">
        <v>0</v>
      </c>
      <c r="L70" s="1232">
        <v>0</v>
      </c>
      <c r="M70" s="1232">
        <v>0</v>
      </c>
      <c r="N70" s="1232">
        <v>0</v>
      </c>
      <c r="O70" s="1232">
        <v>0</v>
      </c>
      <c r="P70" s="1232">
        <v>0</v>
      </c>
      <c r="Q70" s="1232">
        <v>0</v>
      </c>
      <c r="R70" s="1232">
        <v>0</v>
      </c>
      <c r="S70" s="1232">
        <v>0</v>
      </c>
      <c r="T70" s="1232">
        <v>0</v>
      </c>
      <c r="U70" s="1232">
        <v>0</v>
      </c>
      <c r="V70" s="1229">
        <v>0</v>
      </c>
    </row>
    <row r="71" spans="5:28" x14ac:dyDescent="0.25">
      <c r="E71" s="1231">
        <v>0</v>
      </c>
      <c r="F71" s="1232">
        <v>0</v>
      </c>
      <c r="G71" s="1232">
        <v>0</v>
      </c>
      <c r="H71" s="1212">
        <v>1</v>
      </c>
      <c r="I71" s="1232">
        <v>0</v>
      </c>
      <c r="J71" s="1232">
        <v>0</v>
      </c>
      <c r="K71" s="1232">
        <v>0</v>
      </c>
      <c r="L71" s="1232">
        <v>0</v>
      </c>
      <c r="M71" s="1232">
        <v>0</v>
      </c>
      <c r="N71" s="1232">
        <v>0</v>
      </c>
      <c r="O71" s="1232">
        <v>0</v>
      </c>
      <c r="P71" s="1232">
        <v>0</v>
      </c>
      <c r="Q71" s="1232">
        <v>0</v>
      </c>
      <c r="R71" s="1232">
        <v>0</v>
      </c>
      <c r="S71" s="1232">
        <v>0</v>
      </c>
      <c r="T71" s="1232">
        <v>0</v>
      </c>
      <c r="U71" s="1232">
        <v>0</v>
      </c>
      <c r="V71" s="1229">
        <v>0</v>
      </c>
    </row>
    <row r="72" spans="5:28" x14ac:dyDescent="0.25">
      <c r="E72" s="1231">
        <v>0</v>
      </c>
      <c r="F72" s="1232">
        <v>0</v>
      </c>
      <c r="G72" s="1232">
        <v>0</v>
      </c>
      <c r="H72" s="1232">
        <v>0</v>
      </c>
      <c r="I72" s="1212">
        <v>1</v>
      </c>
      <c r="J72" s="1232">
        <v>0</v>
      </c>
      <c r="K72" s="1232">
        <v>0</v>
      </c>
      <c r="L72" s="1232">
        <v>0</v>
      </c>
      <c r="M72" s="1232">
        <v>0</v>
      </c>
      <c r="N72" s="1232">
        <v>0</v>
      </c>
      <c r="O72" s="1232">
        <v>0</v>
      </c>
      <c r="P72" s="1232">
        <v>0</v>
      </c>
      <c r="Q72" s="1232">
        <v>0</v>
      </c>
      <c r="R72" s="1232">
        <v>0</v>
      </c>
      <c r="S72" s="1232">
        <v>0</v>
      </c>
      <c r="T72" s="1232">
        <v>0</v>
      </c>
      <c r="U72" s="1232">
        <v>0</v>
      </c>
      <c r="V72" s="1229">
        <v>0</v>
      </c>
    </row>
    <row r="73" spans="5:28" x14ac:dyDescent="0.25">
      <c r="E73" s="1231">
        <v>0</v>
      </c>
      <c r="F73" s="1232">
        <v>0</v>
      </c>
      <c r="G73" s="1232">
        <v>0</v>
      </c>
      <c r="H73" s="1232">
        <v>0</v>
      </c>
      <c r="I73" s="1232">
        <v>0</v>
      </c>
      <c r="J73" s="1212">
        <v>1</v>
      </c>
      <c r="K73" s="1232">
        <v>0</v>
      </c>
      <c r="L73" s="1232">
        <v>0</v>
      </c>
      <c r="M73" s="1232">
        <v>0</v>
      </c>
      <c r="N73" s="1232">
        <v>0</v>
      </c>
      <c r="O73" s="1232">
        <v>0</v>
      </c>
      <c r="P73" s="1232">
        <v>0</v>
      </c>
      <c r="Q73" s="1232">
        <v>0</v>
      </c>
      <c r="R73" s="1232">
        <v>0</v>
      </c>
      <c r="S73" s="1234">
        <v>0</v>
      </c>
      <c r="T73" s="1234">
        <v>0</v>
      </c>
      <c r="U73" s="1232">
        <v>0</v>
      </c>
      <c r="V73" s="1229">
        <v>0</v>
      </c>
    </row>
    <row r="74" spans="5:28" x14ac:dyDescent="0.25">
      <c r="E74" s="1231">
        <v>0</v>
      </c>
      <c r="F74" s="1232">
        <v>0</v>
      </c>
      <c r="G74" s="1232">
        <v>0</v>
      </c>
      <c r="H74" s="1232">
        <v>0</v>
      </c>
      <c r="I74" s="1234">
        <v>0</v>
      </c>
      <c r="J74" s="1232">
        <v>0</v>
      </c>
      <c r="K74" s="1212">
        <v>1</v>
      </c>
      <c r="L74" s="1232">
        <v>0</v>
      </c>
      <c r="M74" s="1232">
        <v>0</v>
      </c>
      <c r="N74" s="1232">
        <v>0</v>
      </c>
      <c r="O74" s="1232">
        <v>0</v>
      </c>
      <c r="P74" s="1232">
        <v>0</v>
      </c>
      <c r="Q74" s="1232">
        <v>0</v>
      </c>
      <c r="R74" s="1232">
        <v>0</v>
      </c>
      <c r="S74" s="1232">
        <v>0</v>
      </c>
      <c r="T74" s="1232">
        <v>0</v>
      </c>
      <c r="U74" s="1232">
        <v>0</v>
      </c>
      <c r="V74" s="1229">
        <v>0</v>
      </c>
    </row>
    <row r="75" spans="5:28" x14ac:dyDescent="0.25">
      <c r="E75" s="1237">
        <v>0</v>
      </c>
      <c r="F75" s="1234">
        <v>0</v>
      </c>
      <c r="G75" s="1232">
        <v>0</v>
      </c>
      <c r="H75" s="1232">
        <v>0</v>
      </c>
      <c r="I75" s="1234">
        <v>0</v>
      </c>
      <c r="J75" s="1232">
        <v>0</v>
      </c>
      <c r="K75" s="1232">
        <v>0</v>
      </c>
      <c r="L75" s="1212">
        <v>1</v>
      </c>
      <c r="M75" s="1232">
        <v>0</v>
      </c>
      <c r="N75" s="1232">
        <v>0</v>
      </c>
      <c r="O75" s="1232">
        <v>0</v>
      </c>
      <c r="P75" s="1232">
        <v>0</v>
      </c>
      <c r="Q75" s="1234">
        <v>0</v>
      </c>
      <c r="R75" s="1234">
        <v>0</v>
      </c>
      <c r="S75" s="1234">
        <v>0</v>
      </c>
      <c r="T75" s="1232">
        <v>0</v>
      </c>
      <c r="U75" s="1232">
        <v>0</v>
      </c>
      <c r="V75" s="1229">
        <v>0</v>
      </c>
    </row>
    <row r="76" spans="5:28" x14ac:dyDescent="0.25">
      <c r="E76" s="1231">
        <v>0</v>
      </c>
      <c r="F76" s="1232">
        <v>0</v>
      </c>
      <c r="G76" s="1232">
        <v>0</v>
      </c>
      <c r="H76" s="1232">
        <v>0</v>
      </c>
      <c r="I76" s="1232">
        <v>0</v>
      </c>
      <c r="J76" s="1232">
        <v>0</v>
      </c>
      <c r="K76" s="1232">
        <v>0</v>
      </c>
      <c r="L76" s="1232">
        <v>0</v>
      </c>
      <c r="M76" s="1212">
        <v>1</v>
      </c>
      <c r="N76" s="1232">
        <v>0</v>
      </c>
      <c r="O76" s="1232">
        <v>0</v>
      </c>
      <c r="P76" s="1232">
        <v>0</v>
      </c>
      <c r="Q76" s="1234">
        <v>0</v>
      </c>
      <c r="R76" s="1234">
        <v>0</v>
      </c>
      <c r="S76" s="1234">
        <v>0</v>
      </c>
      <c r="T76" s="1232">
        <v>0</v>
      </c>
      <c r="U76" s="1232">
        <v>0</v>
      </c>
      <c r="V76" s="1229">
        <v>0</v>
      </c>
    </row>
    <row r="77" spans="5:28" x14ac:dyDescent="0.25">
      <c r="E77" s="1231">
        <v>0</v>
      </c>
      <c r="F77" s="1232">
        <v>0</v>
      </c>
      <c r="G77" s="1232">
        <v>0</v>
      </c>
      <c r="H77" s="1232">
        <v>0</v>
      </c>
      <c r="I77" s="1232">
        <v>0</v>
      </c>
      <c r="J77" s="1232">
        <v>0</v>
      </c>
      <c r="K77" s="1232">
        <v>0</v>
      </c>
      <c r="L77" s="1232">
        <v>0</v>
      </c>
      <c r="M77" s="1232">
        <v>0</v>
      </c>
      <c r="N77" s="1215">
        <v>1</v>
      </c>
      <c r="O77" s="1234">
        <v>0</v>
      </c>
      <c r="P77" s="1234">
        <v>0</v>
      </c>
      <c r="Q77" s="1234">
        <v>0</v>
      </c>
      <c r="R77" s="1234">
        <v>0</v>
      </c>
      <c r="S77" s="1234">
        <v>0</v>
      </c>
      <c r="T77" s="1232">
        <v>0</v>
      </c>
      <c r="U77" s="1232">
        <v>0</v>
      </c>
      <c r="V77" s="1229">
        <v>0</v>
      </c>
    </row>
    <row r="78" spans="5:28" x14ac:dyDescent="0.25">
      <c r="E78" s="1231">
        <v>0</v>
      </c>
      <c r="F78" s="1232">
        <v>0</v>
      </c>
      <c r="G78" s="1232">
        <v>0</v>
      </c>
      <c r="H78" s="1232">
        <v>0</v>
      </c>
      <c r="I78" s="1232">
        <v>0</v>
      </c>
      <c r="J78" s="1232">
        <v>0</v>
      </c>
      <c r="K78" s="1232">
        <v>0</v>
      </c>
      <c r="L78" s="1232">
        <v>0</v>
      </c>
      <c r="M78" s="1232">
        <v>0</v>
      </c>
      <c r="N78" s="1232">
        <v>0</v>
      </c>
      <c r="O78" s="1215">
        <v>1</v>
      </c>
      <c r="P78" s="1234">
        <v>0</v>
      </c>
      <c r="Q78" s="1234">
        <v>0</v>
      </c>
      <c r="R78" s="1234">
        <v>0</v>
      </c>
      <c r="S78" s="1234">
        <v>0</v>
      </c>
      <c r="T78" s="1232">
        <v>0</v>
      </c>
      <c r="U78" s="1232">
        <v>0</v>
      </c>
      <c r="V78" s="1229">
        <v>0</v>
      </c>
    </row>
    <row r="79" spans="5:28" x14ac:dyDescent="0.25">
      <c r="E79" s="1231">
        <v>0</v>
      </c>
      <c r="F79" s="1232">
        <v>0</v>
      </c>
      <c r="G79" s="1232">
        <v>0</v>
      </c>
      <c r="H79" s="1232">
        <v>0</v>
      </c>
      <c r="I79" s="1232">
        <v>0</v>
      </c>
      <c r="J79" s="1232">
        <v>0</v>
      </c>
      <c r="K79" s="1232">
        <v>0</v>
      </c>
      <c r="L79" s="1232">
        <v>0</v>
      </c>
      <c r="M79" s="1232">
        <v>0</v>
      </c>
      <c r="N79" s="1234">
        <v>0</v>
      </c>
      <c r="O79" s="1234">
        <v>0</v>
      </c>
      <c r="P79" s="1215">
        <v>1</v>
      </c>
      <c r="Q79" s="1234">
        <v>0</v>
      </c>
      <c r="R79" s="1234">
        <v>0</v>
      </c>
      <c r="S79" s="1234">
        <v>0</v>
      </c>
      <c r="T79" s="1232">
        <v>0</v>
      </c>
      <c r="U79" s="1232">
        <v>0</v>
      </c>
      <c r="V79" s="1229">
        <v>0</v>
      </c>
      <c r="AB79" s="41"/>
    </row>
    <row r="80" spans="5:28" x14ac:dyDescent="0.25">
      <c r="E80" s="1231">
        <v>0</v>
      </c>
      <c r="F80" s="1232">
        <v>0</v>
      </c>
      <c r="G80" s="1232">
        <v>0</v>
      </c>
      <c r="H80" s="1232">
        <v>0</v>
      </c>
      <c r="I80" s="1232">
        <v>0</v>
      </c>
      <c r="J80" s="1232">
        <v>0</v>
      </c>
      <c r="K80" s="1232">
        <v>0</v>
      </c>
      <c r="L80" s="1232">
        <v>0</v>
      </c>
      <c r="M80" s="1232">
        <v>0</v>
      </c>
      <c r="N80" s="1234">
        <v>0</v>
      </c>
      <c r="O80" s="1234">
        <v>0</v>
      </c>
      <c r="P80" s="1232">
        <v>0</v>
      </c>
      <c r="Q80" s="1215">
        <v>1</v>
      </c>
      <c r="R80" s="1234">
        <v>0</v>
      </c>
      <c r="S80" s="1234">
        <v>0</v>
      </c>
      <c r="T80" s="1232">
        <v>0</v>
      </c>
      <c r="U80" s="1232">
        <v>0</v>
      </c>
      <c r="V80" s="1229">
        <v>0</v>
      </c>
    </row>
    <row r="81" spans="5:22" x14ac:dyDescent="0.25">
      <c r="E81" s="1231">
        <v>0</v>
      </c>
      <c r="F81" s="1232">
        <v>0</v>
      </c>
      <c r="G81" s="1232">
        <v>0</v>
      </c>
      <c r="H81" s="1232">
        <v>0</v>
      </c>
      <c r="I81" s="1232">
        <v>0</v>
      </c>
      <c r="J81" s="1232">
        <v>0</v>
      </c>
      <c r="K81" s="1232">
        <v>0</v>
      </c>
      <c r="L81" s="1232">
        <v>0</v>
      </c>
      <c r="M81" s="1232">
        <v>0</v>
      </c>
      <c r="N81" s="1232">
        <v>0</v>
      </c>
      <c r="O81" s="1232">
        <v>0</v>
      </c>
      <c r="P81" s="1232">
        <v>0</v>
      </c>
      <c r="Q81" s="1232">
        <v>0</v>
      </c>
      <c r="R81" s="1212">
        <v>1</v>
      </c>
      <c r="S81" s="1232">
        <v>0</v>
      </c>
      <c r="T81" s="1232">
        <v>0</v>
      </c>
      <c r="U81" s="1232">
        <v>0</v>
      </c>
      <c r="V81" s="1229">
        <v>0</v>
      </c>
    </row>
    <row r="82" spans="5:22" x14ac:dyDescent="0.25">
      <c r="E82" s="1231">
        <v>0</v>
      </c>
      <c r="F82" s="1232">
        <v>0</v>
      </c>
      <c r="G82" s="1232">
        <v>0</v>
      </c>
      <c r="H82" s="1232">
        <v>0</v>
      </c>
      <c r="I82" s="1232">
        <v>0</v>
      </c>
      <c r="J82" s="1232">
        <v>0</v>
      </c>
      <c r="K82" s="1232">
        <v>0</v>
      </c>
      <c r="L82" s="1232">
        <v>0</v>
      </c>
      <c r="M82" s="1232">
        <v>0</v>
      </c>
      <c r="N82" s="1238">
        <v>0</v>
      </c>
      <c r="O82" s="1234">
        <v>0</v>
      </c>
      <c r="P82" s="1239">
        <v>0</v>
      </c>
      <c r="Q82" s="1238">
        <v>0</v>
      </c>
      <c r="R82" s="1238">
        <v>0</v>
      </c>
      <c r="S82" s="1216">
        <v>1</v>
      </c>
      <c r="T82" s="1232">
        <v>0</v>
      </c>
      <c r="U82" s="1232">
        <v>0</v>
      </c>
      <c r="V82" s="1229">
        <v>0</v>
      </c>
    </row>
    <row r="83" spans="5:22" x14ac:dyDescent="0.25">
      <c r="E83" s="1231">
        <v>0</v>
      </c>
      <c r="F83" s="1232">
        <v>0</v>
      </c>
      <c r="G83" s="1232">
        <v>0</v>
      </c>
      <c r="H83" s="1232">
        <v>0</v>
      </c>
      <c r="I83" s="1232">
        <v>0</v>
      </c>
      <c r="J83" s="1232">
        <v>0</v>
      </c>
      <c r="K83" s="1232">
        <v>0</v>
      </c>
      <c r="L83" s="1232">
        <v>0</v>
      </c>
      <c r="M83" s="1232">
        <v>0</v>
      </c>
      <c r="N83" s="1238">
        <v>0</v>
      </c>
      <c r="O83" s="1234">
        <v>0</v>
      </c>
      <c r="P83" s="1239">
        <v>0</v>
      </c>
      <c r="Q83" s="1238">
        <v>0</v>
      </c>
      <c r="R83" s="1238">
        <v>0</v>
      </c>
      <c r="S83" s="1238">
        <v>0</v>
      </c>
      <c r="T83" s="1212">
        <v>1</v>
      </c>
      <c r="U83" s="1232">
        <v>0</v>
      </c>
      <c r="V83" s="1229">
        <v>0</v>
      </c>
    </row>
    <row r="84" spans="5:22" x14ac:dyDescent="0.25">
      <c r="E84" s="1231">
        <v>0</v>
      </c>
      <c r="F84" s="1232">
        <v>0</v>
      </c>
      <c r="G84" s="1232">
        <v>0</v>
      </c>
      <c r="H84" s="1232">
        <v>0</v>
      </c>
      <c r="I84" s="1232">
        <v>0</v>
      </c>
      <c r="J84" s="1232">
        <v>0</v>
      </c>
      <c r="K84" s="1232">
        <v>0</v>
      </c>
      <c r="L84" s="1232">
        <v>0</v>
      </c>
      <c r="M84" s="1232">
        <v>0</v>
      </c>
      <c r="N84" s="1238">
        <v>0</v>
      </c>
      <c r="O84" s="1238">
        <v>0</v>
      </c>
      <c r="P84" s="1239">
        <v>0</v>
      </c>
      <c r="Q84" s="1238">
        <v>0</v>
      </c>
      <c r="R84" s="1238">
        <v>0</v>
      </c>
      <c r="S84" s="1238">
        <v>0</v>
      </c>
      <c r="T84" s="1232">
        <v>0</v>
      </c>
      <c r="U84" s="1212">
        <v>1</v>
      </c>
      <c r="V84" s="1229">
        <v>0</v>
      </c>
    </row>
    <row r="85" spans="5:22" ht="13.8" thickBot="1" x14ac:dyDescent="0.3">
      <c r="E85" s="1240">
        <v>0</v>
      </c>
      <c r="F85" s="1222">
        <v>0</v>
      </c>
      <c r="G85" s="1222">
        <v>0</v>
      </c>
      <c r="H85" s="1222">
        <v>0</v>
      </c>
      <c r="I85" s="1222">
        <v>0</v>
      </c>
      <c r="J85" s="1222">
        <v>0</v>
      </c>
      <c r="K85" s="1222">
        <v>0</v>
      </c>
      <c r="L85" s="1222">
        <v>0</v>
      </c>
      <c r="M85" s="1222">
        <v>0</v>
      </c>
      <c r="N85" s="1241">
        <v>0</v>
      </c>
      <c r="O85" s="1241">
        <v>0</v>
      </c>
      <c r="P85" s="1242">
        <v>0</v>
      </c>
      <c r="Q85" s="1241">
        <v>0</v>
      </c>
      <c r="R85" s="1241">
        <v>0</v>
      </c>
      <c r="S85" s="1241">
        <v>0</v>
      </c>
      <c r="T85" s="1222">
        <v>0</v>
      </c>
      <c r="U85" s="1222">
        <v>0</v>
      </c>
      <c r="V85" s="1213">
        <v>1</v>
      </c>
    </row>
    <row r="91" spans="5:22" x14ac:dyDescent="0.25">
      <c r="S91" s="41"/>
      <c r="T91" s="41"/>
    </row>
    <row r="92" spans="5:22" x14ac:dyDescent="0.25">
      <c r="I92" s="41"/>
    </row>
    <row r="93" spans="5:22" x14ac:dyDescent="0.25">
      <c r="E93" s="41"/>
      <c r="F93" s="41"/>
      <c r="I93" s="41"/>
      <c r="Q93" s="41"/>
      <c r="R93" s="41"/>
      <c r="S93" s="41"/>
    </row>
    <row r="94" spans="5:22" x14ac:dyDescent="0.25">
      <c r="Q94" s="41"/>
      <c r="R94" s="41"/>
      <c r="S94" s="41"/>
    </row>
    <row r="95" spans="5:22" x14ac:dyDescent="0.25">
      <c r="N95" s="41"/>
      <c r="O95" s="41"/>
      <c r="P95" s="41"/>
      <c r="Q95" s="41"/>
      <c r="R95" s="41"/>
      <c r="S95" s="41"/>
    </row>
    <row r="96" spans="5:22" x14ac:dyDescent="0.25">
      <c r="O96" s="41"/>
      <c r="P96" s="41"/>
      <c r="Q96" s="41"/>
      <c r="R96" s="41"/>
      <c r="S96" s="41"/>
    </row>
    <row r="97" spans="5:28" x14ac:dyDescent="0.25">
      <c r="N97" s="41"/>
      <c r="O97" s="41"/>
      <c r="P97" s="41"/>
      <c r="Q97" s="41"/>
      <c r="R97" s="41"/>
      <c r="S97" s="41"/>
    </row>
    <row r="98" spans="5:28" x14ac:dyDescent="0.25">
      <c r="N98" s="41"/>
      <c r="O98" s="41"/>
      <c r="Q98" s="41"/>
      <c r="R98" s="41"/>
      <c r="S98" s="41"/>
    </row>
    <row r="100" spans="5:28" x14ac:dyDescent="0.25">
      <c r="N100" s="9"/>
      <c r="O100" s="41"/>
      <c r="P100" s="620"/>
      <c r="Q100" s="9"/>
      <c r="R100" s="9"/>
      <c r="S100" s="9"/>
    </row>
    <row r="101" spans="5:28" x14ac:dyDescent="0.25">
      <c r="N101" s="9"/>
      <c r="O101" s="41"/>
      <c r="P101" s="620"/>
      <c r="Q101" s="9"/>
      <c r="R101" s="9"/>
      <c r="S101" s="9"/>
    </row>
    <row r="102" spans="5:28" x14ac:dyDescent="0.25">
      <c r="N102" s="9"/>
      <c r="O102" s="9"/>
      <c r="P102" s="620"/>
      <c r="Q102" s="9"/>
      <c r="R102" s="9"/>
      <c r="S102" s="9"/>
    </row>
    <row r="103" spans="5:28" x14ac:dyDescent="0.25">
      <c r="N103" s="9"/>
      <c r="O103" s="9"/>
      <c r="P103" s="620"/>
      <c r="Q103" s="9"/>
      <c r="R103" s="9"/>
      <c r="S103" s="9"/>
    </row>
    <row r="104" spans="5:28" x14ac:dyDescent="0.25">
      <c r="O104" s="9"/>
      <c r="P104" s="620"/>
      <c r="Q104" s="9"/>
      <c r="R104" s="9"/>
      <c r="S104" s="9"/>
    </row>
    <row r="105" spans="5:28" x14ac:dyDescent="0.25">
      <c r="P105" s="9"/>
      <c r="Q105" s="9"/>
      <c r="R105" s="9"/>
      <c r="S105" s="9"/>
      <c r="AB105" s="41"/>
    </row>
    <row r="110" spans="5:28" x14ac:dyDescent="0.25">
      <c r="E110" s="41"/>
      <c r="F110" s="41"/>
      <c r="I110" s="41"/>
      <c r="Q110" s="41"/>
      <c r="R110" s="41"/>
      <c r="S110" s="41"/>
    </row>
    <row r="111" spans="5:28" x14ac:dyDescent="0.25">
      <c r="Q111" s="41"/>
      <c r="R111" s="41"/>
      <c r="S111" s="41"/>
    </row>
    <row r="112" spans="5:28" x14ac:dyDescent="0.25">
      <c r="N112" s="41"/>
      <c r="O112" s="41"/>
      <c r="P112" s="41"/>
      <c r="Q112" s="41"/>
      <c r="R112" s="41"/>
      <c r="S112" s="41"/>
    </row>
    <row r="113" spans="5:28" x14ac:dyDescent="0.25">
      <c r="O113" s="41"/>
      <c r="P113" s="41"/>
      <c r="Q113" s="41"/>
      <c r="R113" s="41"/>
      <c r="S113" s="41"/>
    </row>
    <row r="114" spans="5:28" x14ac:dyDescent="0.25">
      <c r="N114" s="41"/>
      <c r="O114" s="41"/>
      <c r="P114" s="41"/>
      <c r="Q114" s="41"/>
      <c r="R114" s="41"/>
      <c r="S114" s="41"/>
    </row>
    <row r="115" spans="5:28" x14ac:dyDescent="0.25">
      <c r="N115" s="41"/>
      <c r="O115" s="41"/>
      <c r="Q115" s="41"/>
      <c r="R115" s="41"/>
      <c r="S115" s="41"/>
    </row>
    <row r="117" spans="5:28" x14ac:dyDescent="0.25">
      <c r="N117" s="9"/>
      <c r="O117" s="41"/>
      <c r="P117" s="620"/>
      <c r="Q117" s="9"/>
      <c r="R117" s="9"/>
      <c r="S117" s="9"/>
    </row>
    <row r="118" spans="5:28" x14ac:dyDescent="0.25">
      <c r="N118" s="9"/>
      <c r="O118" s="41"/>
      <c r="P118" s="620"/>
      <c r="Q118" s="9"/>
      <c r="R118" s="9"/>
      <c r="S118" s="9"/>
    </row>
    <row r="119" spans="5:28" x14ac:dyDescent="0.25">
      <c r="N119" s="9"/>
      <c r="O119" s="9"/>
      <c r="P119" s="620"/>
      <c r="Q119" s="9"/>
      <c r="R119" s="9"/>
      <c r="S119" s="9"/>
    </row>
    <row r="120" spans="5:28" x14ac:dyDescent="0.25">
      <c r="N120" s="9"/>
      <c r="O120" s="9"/>
      <c r="P120" s="620"/>
      <c r="Q120" s="9"/>
      <c r="R120" s="9"/>
      <c r="S120" s="9"/>
    </row>
    <row r="121" spans="5:28" x14ac:dyDescent="0.25">
      <c r="O121" s="9"/>
      <c r="P121" s="620"/>
      <c r="Q121" s="9"/>
      <c r="R121" s="9"/>
      <c r="S121" s="9"/>
    </row>
    <row r="122" spans="5:28" x14ac:dyDescent="0.25">
      <c r="P122" s="9"/>
      <c r="Q122" s="9"/>
      <c r="R122" s="9"/>
      <c r="S122" s="9"/>
      <c r="AB122" s="41"/>
    </row>
    <row r="126" spans="5:28" x14ac:dyDescent="0.25">
      <c r="I126" s="41"/>
    </row>
    <row r="127" spans="5:28" x14ac:dyDescent="0.25">
      <c r="E127" s="41"/>
      <c r="F127" s="41"/>
      <c r="I127" s="41"/>
    </row>
    <row r="140" spans="5:20" x14ac:dyDescent="0.25">
      <c r="S140" s="41"/>
      <c r="T140" s="41"/>
    </row>
    <row r="141" spans="5:20" x14ac:dyDescent="0.25">
      <c r="I141" s="41"/>
    </row>
    <row r="142" spans="5:20" x14ac:dyDescent="0.25">
      <c r="E142" s="41"/>
      <c r="F142" s="41"/>
      <c r="I142" s="41"/>
      <c r="Q142" s="41"/>
      <c r="R142" s="41"/>
      <c r="S142" s="41"/>
    </row>
    <row r="143" spans="5:20" x14ac:dyDescent="0.25">
      <c r="Q143" s="41"/>
      <c r="R143" s="41"/>
      <c r="S143" s="41"/>
    </row>
    <row r="144" spans="5:20" x14ac:dyDescent="0.25">
      <c r="N144" s="41"/>
      <c r="O144" s="41"/>
      <c r="P144" s="41"/>
      <c r="Q144" s="41"/>
      <c r="R144" s="41"/>
      <c r="S144" s="41"/>
    </row>
    <row r="145" spans="5:20" x14ac:dyDescent="0.25">
      <c r="O145" s="41"/>
      <c r="P145" s="41"/>
      <c r="Q145" s="41"/>
      <c r="R145" s="41"/>
      <c r="S145" s="41"/>
    </row>
    <row r="146" spans="5:20" x14ac:dyDescent="0.25">
      <c r="N146" s="41"/>
      <c r="O146" s="41"/>
      <c r="P146" s="41"/>
      <c r="Q146" s="41"/>
      <c r="R146" s="41"/>
      <c r="S146" s="41"/>
    </row>
    <row r="147" spans="5:20" x14ac:dyDescent="0.25">
      <c r="N147" s="41"/>
      <c r="O147" s="41"/>
      <c r="Q147" s="41"/>
      <c r="R147" s="41"/>
      <c r="S147" s="41"/>
    </row>
    <row r="149" spans="5:20" x14ac:dyDescent="0.25">
      <c r="N149" s="9"/>
      <c r="O149" s="41"/>
      <c r="P149" s="620"/>
      <c r="Q149" s="9"/>
      <c r="R149" s="9"/>
      <c r="S149" s="9"/>
    </row>
    <row r="155" spans="5:20" x14ac:dyDescent="0.25">
      <c r="S155" s="41"/>
      <c r="T155" s="41"/>
    </row>
    <row r="156" spans="5:20" x14ac:dyDescent="0.25">
      <c r="I156" s="41"/>
    </row>
    <row r="157" spans="5:20" x14ac:dyDescent="0.25">
      <c r="E157" s="41"/>
      <c r="F157" s="41"/>
      <c r="I157" s="41"/>
      <c r="Q157" s="41"/>
      <c r="R157" s="41"/>
      <c r="S157" s="41"/>
    </row>
    <row r="158" spans="5:20" x14ac:dyDescent="0.25">
      <c r="Q158" s="41"/>
      <c r="R158" s="41"/>
      <c r="S158" s="41"/>
    </row>
    <row r="159" spans="5:20" x14ac:dyDescent="0.25">
      <c r="N159" s="41"/>
      <c r="O159" s="41"/>
      <c r="P159" s="41"/>
      <c r="Q159" s="41"/>
      <c r="R159" s="41"/>
      <c r="S159" s="41"/>
    </row>
    <row r="160" spans="5:20" x14ac:dyDescent="0.25">
      <c r="O160" s="41"/>
      <c r="P160" s="41"/>
      <c r="Q160" s="41"/>
      <c r="R160" s="41"/>
      <c r="S160" s="41"/>
    </row>
    <row r="161" spans="5:28" x14ac:dyDescent="0.25">
      <c r="N161" s="41"/>
      <c r="O161" s="41"/>
      <c r="P161" s="41"/>
      <c r="Q161" s="41"/>
      <c r="R161" s="41"/>
      <c r="S161" s="41"/>
    </row>
    <row r="162" spans="5:28" x14ac:dyDescent="0.25">
      <c r="N162" s="41"/>
      <c r="O162" s="41"/>
      <c r="Q162" s="41"/>
      <c r="R162" s="41"/>
      <c r="S162" s="41"/>
    </row>
    <row r="164" spans="5:28" x14ac:dyDescent="0.25">
      <c r="N164" s="9"/>
      <c r="O164" s="41"/>
      <c r="P164" s="620"/>
      <c r="Q164" s="9"/>
      <c r="R164" s="9"/>
      <c r="S164" s="9"/>
    </row>
    <row r="165" spans="5:28" x14ac:dyDescent="0.25">
      <c r="N165" s="9"/>
      <c r="O165" s="41"/>
      <c r="P165" s="620"/>
      <c r="Q165" s="9"/>
      <c r="R165" s="9"/>
      <c r="S165" s="9"/>
    </row>
    <row r="166" spans="5:28" x14ac:dyDescent="0.25">
      <c r="N166" s="9"/>
      <c r="O166" s="9"/>
      <c r="P166" s="620"/>
      <c r="Q166" s="9"/>
      <c r="R166" s="9"/>
      <c r="S166" s="9"/>
    </row>
    <row r="167" spans="5:28" x14ac:dyDescent="0.25">
      <c r="N167" s="9"/>
      <c r="O167" s="9"/>
      <c r="P167" s="620"/>
      <c r="Q167" s="9"/>
      <c r="R167" s="9"/>
      <c r="S167" s="9"/>
    </row>
    <row r="168" spans="5:28" x14ac:dyDescent="0.25">
      <c r="O168" s="9"/>
      <c r="P168" s="620"/>
      <c r="Q168" s="9"/>
      <c r="R168" s="9"/>
      <c r="S168" s="9"/>
    </row>
    <row r="169" spans="5:28" x14ac:dyDescent="0.25">
      <c r="P169" s="9"/>
      <c r="Q169" s="9"/>
      <c r="R169" s="9"/>
      <c r="S169" s="9"/>
      <c r="AB169" s="41"/>
    </row>
    <row r="173" spans="5:28" x14ac:dyDescent="0.25">
      <c r="I173" s="41"/>
    </row>
    <row r="174" spans="5:28" x14ac:dyDescent="0.25">
      <c r="E174" s="41"/>
      <c r="F174" s="41"/>
      <c r="I174" s="41"/>
    </row>
    <row r="187" spans="5:20" x14ac:dyDescent="0.25">
      <c r="S187" s="41"/>
      <c r="T187" s="41"/>
    </row>
    <row r="188" spans="5:20" x14ac:dyDescent="0.25">
      <c r="I188" s="41"/>
    </row>
    <row r="189" spans="5:20" x14ac:dyDescent="0.25">
      <c r="I189" s="41"/>
    </row>
    <row r="190" spans="5:20" x14ac:dyDescent="0.25">
      <c r="E190" s="41"/>
      <c r="F190" s="41"/>
      <c r="I190" s="41"/>
      <c r="Q190" s="41"/>
      <c r="R190" s="41"/>
      <c r="S190" s="41"/>
    </row>
    <row r="196" spans="5:20" x14ac:dyDescent="0.25">
      <c r="Q196" s="41"/>
      <c r="R196" s="41"/>
      <c r="S196" s="41"/>
    </row>
    <row r="197" spans="5:20" x14ac:dyDescent="0.25">
      <c r="N197" s="41"/>
      <c r="O197" s="41"/>
      <c r="P197" s="41"/>
      <c r="Q197" s="41"/>
      <c r="R197" s="41"/>
      <c r="S197" s="41"/>
    </row>
    <row r="203" spans="5:20" x14ac:dyDescent="0.25">
      <c r="S203" s="41"/>
      <c r="T203" s="41"/>
    </row>
    <row r="204" spans="5:20" x14ac:dyDescent="0.25">
      <c r="I204" s="41"/>
    </row>
    <row r="205" spans="5:20" x14ac:dyDescent="0.25">
      <c r="E205" s="41"/>
      <c r="F205" s="41"/>
      <c r="I205" s="41"/>
      <c r="Q205" s="41"/>
      <c r="R205" s="41"/>
      <c r="S205" s="41"/>
    </row>
    <row r="206" spans="5:20" x14ac:dyDescent="0.25">
      <c r="Q206" s="41"/>
      <c r="R206" s="41"/>
      <c r="S206" s="41"/>
    </row>
    <row r="207" spans="5:20" x14ac:dyDescent="0.25">
      <c r="N207" s="41"/>
      <c r="O207" s="41"/>
      <c r="P207" s="41"/>
      <c r="Q207" s="41"/>
      <c r="R207" s="41"/>
      <c r="S207" s="41"/>
    </row>
    <row r="208" spans="5:20" x14ac:dyDescent="0.25">
      <c r="O208" s="41"/>
      <c r="P208" s="41"/>
      <c r="Q208" s="41"/>
      <c r="R208" s="41"/>
      <c r="S208" s="41"/>
    </row>
    <row r="209" spans="5:28" x14ac:dyDescent="0.25">
      <c r="N209" s="41"/>
      <c r="O209" s="41"/>
      <c r="P209" s="41"/>
      <c r="Q209" s="41"/>
      <c r="R209" s="41"/>
      <c r="S209" s="41"/>
    </row>
    <row r="210" spans="5:28" x14ac:dyDescent="0.25">
      <c r="N210" s="41"/>
      <c r="O210" s="41"/>
      <c r="Q210" s="41"/>
      <c r="R210" s="41"/>
      <c r="S210" s="41"/>
    </row>
    <row r="212" spans="5:28" x14ac:dyDescent="0.25">
      <c r="N212" s="9"/>
      <c r="O212" s="41"/>
      <c r="P212" s="620"/>
      <c r="Q212" s="9"/>
      <c r="R212" s="9"/>
      <c r="S212" s="9"/>
    </row>
    <row r="213" spans="5:28" x14ac:dyDescent="0.25">
      <c r="N213" s="9"/>
      <c r="O213" s="41"/>
      <c r="P213" s="620"/>
      <c r="Q213" s="9"/>
      <c r="R213" s="9"/>
      <c r="S213" s="9"/>
    </row>
    <row r="214" spans="5:28" x14ac:dyDescent="0.25">
      <c r="N214" s="9"/>
      <c r="O214" s="9"/>
      <c r="P214" s="620"/>
      <c r="Q214" s="9"/>
      <c r="R214" s="9"/>
      <c r="S214" s="9"/>
    </row>
    <row r="215" spans="5:28" x14ac:dyDescent="0.25">
      <c r="N215" s="9"/>
      <c r="O215" s="9"/>
      <c r="P215" s="620"/>
      <c r="Q215" s="9"/>
      <c r="R215" s="9"/>
      <c r="S215" s="9"/>
    </row>
    <row r="216" spans="5:28" x14ac:dyDescent="0.25">
      <c r="O216" s="9"/>
      <c r="P216" s="620"/>
      <c r="Q216" s="9"/>
      <c r="R216" s="9"/>
      <c r="S216" s="9"/>
    </row>
    <row r="217" spans="5:28" x14ac:dyDescent="0.25">
      <c r="P217" s="9"/>
      <c r="Q217" s="9"/>
      <c r="R217" s="9"/>
      <c r="S217" s="9"/>
      <c r="AB217" s="41"/>
    </row>
    <row r="221" spans="5:28" x14ac:dyDescent="0.25">
      <c r="I221" s="41"/>
    </row>
    <row r="222" spans="5:28" x14ac:dyDescent="0.25">
      <c r="E222" s="41"/>
      <c r="F222" s="41"/>
      <c r="I222" s="41"/>
    </row>
    <row r="235" spans="5:20" x14ac:dyDescent="0.25">
      <c r="S235" s="41"/>
      <c r="T235" s="41"/>
    </row>
    <row r="236" spans="5:20" x14ac:dyDescent="0.25">
      <c r="I236" s="41"/>
    </row>
    <row r="237" spans="5:20" x14ac:dyDescent="0.25">
      <c r="E237" s="41"/>
      <c r="F237" s="41"/>
      <c r="I237" s="41"/>
      <c r="Q237" s="41"/>
      <c r="R237" s="41"/>
      <c r="S237" s="41"/>
    </row>
    <row r="238" spans="5:20" x14ac:dyDescent="0.25">
      <c r="Q238" s="41"/>
      <c r="R238" s="41"/>
      <c r="S238" s="41"/>
    </row>
    <row r="239" spans="5:20" x14ac:dyDescent="0.25">
      <c r="N239" s="41"/>
      <c r="O239" s="41"/>
      <c r="P239" s="41"/>
      <c r="Q239" s="41"/>
      <c r="R239" s="41"/>
      <c r="S239" s="41"/>
    </row>
    <row r="240" spans="5:20" x14ac:dyDescent="0.25">
      <c r="O240" s="41"/>
      <c r="P240" s="41"/>
      <c r="Q240" s="41"/>
      <c r="R240" s="41"/>
      <c r="S240" s="41"/>
    </row>
    <row r="241" spans="5:20" x14ac:dyDescent="0.25">
      <c r="N241" s="41"/>
      <c r="O241" s="41"/>
      <c r="P241" s="41"/>
      <c r="Q241" s="41"/>
      <c r="R241" s="41"/>
      <c r="S241" s="41"/>
    </row>
    <row r="242" spans="5:20" x14ac:dyDescent="0.25">
      <c r="N242" s="41"/>
      <c r="O242" s="41"/>
      <c r="Q242" s="41"/>
      <c r="R242" s="41"/>
      <c r="S242" s="41"/>
    </row>
    <row r="244" spans="5:20" x14ac:dyDescent="0.25">
      <c r="N244" s="9"/>
      <c r="O244" s="41"/>
      <c r="P244" s="620"/>
      <c r="Q244" s="9"/>
      <c r="R244" s="9"/>
      <c r="S244" s="9"/>
    </row>
    <row r="250" spans="5:20" x14ac:dyDescent="0.25">
      <c r="S250" s="41"/>
      <c r="T250" s="41"/>
    </row>
    <row r="251" spans="5:20" x14ac:dyDescent="0.25">
      <c r="I251" s="41"/>
    </row>
    <row r="252" spans="5:20" x14ac:dyDescent="0.25">
      <c r="E252" s="41"/>
      <c r="F252" s="41"/>
      <c r="I252" s="41"/>
      <c r="Q252" s="41"/>
      <c r="R252" s="41"/>
      <c r="S252" s="41"/>
    </row>
    <row r="253" spans="5:20" x14ac:dyDescent="0.25">
      <c r="Q253" s="41"/>
      <c r="R253" s="41"/>
      <c r="S253" s="41"/>
    </row>
    <row r="254" spans="5:20" x14ac:dyDescent="0.25">
      <c r="N254" s="41"/>
      <c r="O254" s="41"/>
      <c r="P254" s="41"/>
      <c r="Q254" s="41"/>
      <c r="R254" s="41"/>
      <c r="S254" s="41"/>
    </row>
    <row r="255" spans="5:20" x14ac:dyDescent="0.25">
      <c r="O255" s="41"/>
      <c r="P255" s="41"/>
      <c r="Q255" s="41"/>
      <c r="R255" s="41"/>
      <c r="S255" s="41"/>
    </row>
    <row r="256" spans="5:20" x14ac:dyDescent="0.25">
      <c r="N256" s="41"/>
      <c r="O256" s="41"/>
      <c r="P256" s="41"/>
      <c r="Q256" s="41"/>
      <c r="R256" s="41"/>
      <c r="S256" s="41"/>
    </row>
    <row r="257" spans="5:28" x14ac:dyDescent="0.25">
      <c r="N257" s="41"/>
      <c r="O257" s="41"/>
      <c r="Q257" s="41"/>
      <c r="R257" s="41"/>
      <c r="S257" s="41"/>
    </row>
    <row r="259" spans="5:28" x14ac:dyDescent="0.25">
      <c r="N259" s="9"/>
      <c r="O259" s="41"/>
      <c r="P259" s="620"/>
      <c r="Q259" s="9"/>
      <c r="R259" s="9"/>
      <c r="S259" s="9"/>
    </row>
    <row r="260" spans="5:28" x14ac:dyDescent="0.25">
      <c r="N260" s="9"/>
      <c r="O260" s="41"/>
      <c r="P260" s="620"/>
      <c r="Q260" s="9"/>
      <c r="R260" s="9"/>
      <c r="S260" s="9"/>
    </row>
    <row r="261" spans="5:28" x14ac:dyDescent="0.25">
      <c r="N261" s="9"/>
      <c r="O261" s="9"/>
      <c r="P261" s="620"/>
      <c r="Q261" s="9"/>
      <c r="R261" s="9"/>
      <c r="S261" s="9"/>
    </row>
    <row r="262" spans="5:28" x14ac:dyDescent="0.25">
      <c r="N262" s="9"/>
      <c r="O262" s="9"/>
      <c r="P262" s="620"/>
      <c r="Q262" s="9"/>
      <c r="R262" s="9"/>
      <c r="S262" s="9"/>
    </row>
    <row r="263" spans="5:28" x14ac:dyDescent="0.25">
      <c r="O263" s="9"/>
      <c r="P263" s="620"/>
      <c r="Q263" s="9"/>
      <c r="R263" s="9"/>
      <c r="S263" s="9"/>
    </row>
    <row r="264" spans="5:28" x14ac:dyDescent="0.25">
      <c r="P264" s="9"/>
      <c r="Q264" s="9"/>
      <c r="R264" s="9"/>
      <c r="S264" s="9"/>
      <c r="AB264" s="41"/>
    </row>
    <row r="268" spans="5:28" x14ac:dyDescent="0.25">
      <c r="I268" s="41"/>
    </row>
    <row r="269" spans="5:28" x14ac:dyDescent="0.25">
      <c r="E269" s="41"/>
      <c r="F269" s="41"/>
      <c r="I269" s="41"/>
    </row>
    <row r="282" spans="5:20" x14ac:dyDescent="0.25">
      <c r="S282" s="41"/>
      <c r="T282" s="41"/>
    </row>
    <row r="283" spans="5:20" x14ac:dyDescent="0.25">
      <c r="I283" s="41"/>
    </row>
    <row r="284" spans="5:20" x14ac:dyDescent="0.25">
      <c r="I284" s="41"/>
    </row>
    <row r="285" spans="5:20" x14ac:dyDescent="0.25">
      <c r="E285" s="41"/>
      <c r="F285" s="41"/>
      <c r="I285" s="41"/>
      <c r="Q285" s="41"/>
      <c r="R285" s="41"/>
      <c r="S285" s="41"/>
    </row>
    <row r="298" spans="5:20" x14ac:dyDescent="0.25">
      <c r="S298" s="41"/>
      <c r="T298" s="41"/>
    </row>
    <row r="299" spans="5:20" x14ac:dyDescent="0.25">
      <c r="I299" s="41"/>
    </row>
    <row r="300" spans="5:20" x14ac:dyDescent="0.25">
      <c r="E300" s="41"/>
      <c r="F300" s="41"/>
      <c r="I300" s="41"/>
      <c r="Q300" s="41"/>
      <c r="R300" s="41"/>
      <c r="S300" s="41"/>
    </row>
    <row r="301" spans="5:20" x14ac:dyDescent="0.25">
      <c r="Q301" s="41"/>
      <c r="R301" s="41"/>
      <c r="S301" s="41"/>
    </row>
    <row r="302" spans="5:20" x14ac:dyDescent="0.25">
      <c r="N302" s="41"/>
      <c r="O302" s="41"/>
      <c r="P302" s="41"/>
      <c r="Q302" s="41"/>
      <c r="R302" s="41"/>
      <c r="S302" s="41"/>
    </row>
    <row r="303" spans="5:20" x14ac:dyDescent="0.25">
      <c r="O303" s="41"/>
      <c r="P303" s="41"/>
      <c r="Q303" s="41"/>
      <c r="R303" s="41"/>
      <c r="S303" s="41"/>
    </row>
    <row r="304" spans="5:20" x14ac:dyDescent="0.25">
      <c r="N304" s="41"/>
      <c r="O304" s="41"/>
      <c r="P304" s="41"/>
      <c r="Q304" s="41"/>
      <c r="R304" s="41"/>
      <c r="S304" s="41"/>
    </row>
    <row r="305" spans="5:28" x14ac:dyDescent="0.25">
      <c r="N305" s="41"/>
      <c r="O305" s="41"/>
      <c r="Q305" s="41"/>
      <c r="R305" s="41"/>
      <c r="S305" s="41"/>
    </row>
    <row r="307" spans="5:28" x14ac:dyDescent="0.25">
      <c r="N307" s="9"/>
      <c r="O307" s="41"/>
      <c r="P307" s="620"/>
      <c r="Q307" s="9"/>
      <c r="R307" s="9"/>
      <c r="S307" s="9"/>
    </row>
    <row r="308" spans="5:28" x14ac:dyDescent="0.25">
      <c r="N308" s="9"/>
      <c r="O308" s="41"/>
      <c r="P308" s="620"/>
      <c r="Q308" s="9"/>
      <c r="R308" s="9"/>
      <c r="S308" s="9"/>
    </row>
    <row r="309" spans="5:28" x14ac:dyDescent="0.25">
      <c r="N309" s="9"/>
      <c r="O309" s="9"/>
      <c r="P309" s="620"/>
      <c r="Q309" s="9"/>
      <c r="R309" s="9"/>
      <c r="S309" s="9"/>
    </row>
    <row r="310" spans="5:28" x14ac:dyDescent="0.25">
      <c r="N310" s="9"/>
      <c r="O310" s="9"/>
      <c r="P310" s="620"/>
      <c r="Q310" s="9"/>
      <c r="R310" s="9"/>
      <c r="S310" s="9"/>
    </row>
    <row r="311" spans="5:28" x14ac:dyDescent="0.25">
      <c r="O311" s="9"/>
      <c r="P311" s="620"/>
      <c r="Q311" s="9"/>
      <c r="R311" s="9"/>
      <c r="S311" s="9"/>
    </row>
    <row r="312" spans="5:28" x14ac:dyDescent="0.25">
      <c r="P312" s="9"/>
      <c r="Q312" s="9"/>
      <c r="R312" s="9"/>
      <c r="S312" s="9"/>
      <c r="AB312" s="41"/>
    </row>
    <row r="316" spans="5:28" x14ac:dyDescent="0.25">
      <c r="I316" s="41"/>
    </row>
    <row r="317" spans="5:28" x14ac:dyDescent="0.25">
      <c r="E317" s="41"/>
      <c r="F317" s="41"/>
      <c r="I317" s="41"/>
    </row>
    <row r="330" spans="5:20" x14ac:dyDescent="0.25">
      <c r="S330" s="41"/>
      <c r="T330" s="41"/>
    </row>
    <row r="331" spans="5:20" x14ac:dyDescent="0.25">
      <c r="I331" s="41"/>
    </row>
    <row r="332" spans="5:20" x14ac:dyDescent="0.25">
      <c r="E332" s="41"/>
      <c r="F332" s="41"/>
      <c r="I332" s="41"/>
      <c r="Q332" s="41"/>
      <c r="R332" s="41"/>
      <c r="S332" s="41"/>
    </row>
    <row r="333" spans="5:20" x14ac:dyDescent="0.25">
      <c r="Q333" s="41"/>
      <c r="R333" s="41"/>
      <c r="S333" s="41"/>
    </row>
    <row r="334" spans="5:20" x14ac:dyDescent="0.25">
      <c r="N334" s="41"/>
      <c r="O334" s="41"/>
      <c r="P334" s="41"/>
      <c r="Q334" s="41"/>
      <c r="R334" s="41"/>
      <c r="S334" s="41"/>
    </row>
    <row r="335" spans="5:20" x14ac:dyDescent="0.25">
      <c r="O335" s="41"/>
      <c r="P335" s="41"/>
      <c r="Q335" s="41"/>
      <c r="R335" s="41"/>
      <c r="S335" s="41"/>
    </row>
    <row r="336" spans="5:20" x14ac:dyDescent="0.25">
      <c r="N336" s="41"/>
      <c r="O336" s="41"/>
      <c r="P336" s="41"/>
      <c r="Q336" s="41"/>
      <c r="R336" s="41"/>
      <c r="S336" s="41"/>
    </row>
    <row r="337" spans="5:20" x14ac:dyDescent="0.25">
      <c r="N337" s="41"/>
      <c r="O337" s="41"/>
      <c r="Q337" s="41"/>
      <c r="R337" s="41"/>
      <c r="S337" s="41"/>
    </row>
    <row r="339" spans="5:20" x14ac:dyDescent="0.25">
      <c r="N339" s="9"/>
      <c r="O339" s="41"/>
      <c r="P339" s="620"/>
      <c r="Q339" s="9"/>
      <c r="R339" s="9"/>
      <c r="S339" s="9"/>
    </row>
    <row r="345" spans="5:20" x14ac:dyDescent="0.25">
      <c r="S345" s="41"/>
      <c r="T345" s="41"/>
    </row>
    <row r="346" spans="5:20" x14ac:dyDescent="0.25">
      <c r="I346" s="41"/>
    </row>
    <row r="347" spans="5:20" x14ac:dyDescent="0.25">
      <c r="E347" s="41"/>
      <c r="F347" s="41"/>
      <c r="I347" s="41"/>
      <c r="Q347" s="41"/>
      <c r="R347" s="41"/>
      <c r="S347" s="41"/>
    </row>
    <row r="348" spans="5:20" x14ac:dyDescent="0.25">
      <c r="Q348" s="41"/>
      <c r="R348" s="41"/>
      <c r="S348" s="41"/>
    </row>
    <row r="349" spans="5:20" x14ac:dyDescent="0.25">
      <c r="N349" s="41"/>
      <c r="O349" s="41"/>
      <c r="P349" s="41"/>
      <c r="Q349" s="41"/>
      <c r="R349" s="41"/>
      <c r="S349" s="41"/>
    </row>
    <row r="350" spans="5:20" x14ac:dyDescent="0.25">
      <c r="O350" s="41"/>
      <c r="P350" s="41"/>
      <c r="Q350" s="41"/>
      <c r="R350" s="41"/>
      <c r="S350" s="41"/>
    </row>
    <row r="351" spans="5:20" x14ac:dyDescent="0.25">
      <c r="N351" s="41"/>
      <c r="O351" s="41"/>
      <c r="P351" s="41"/>
      <c r="Q351" s="41"/>
      <c r="R351" s="41"/>
      <c r="S351" s="41"/>
    </row>
    <row r="352" spans="5:20" x14ac:dyDescent="0.25">
      <c r="N352" s="41"/>
      <c r="O352" s="41"/>
      <c r="Q352" s="41"/>
      <c r="R352" s="41"/>
      <c r="S352" s="41"/>
    </row>
    <row r="354" spans="5:28" x14ac:dyDescent="0.25">
      <c r="N354" s="9"/>
      <c r="O354" s="41"/>
      <c r="P354" s="620"/>
      <c r="Q354" s="9"/>
      <c r="R354" s="9"/>
      <c r="S354" s="9"/>
    </row>
    <row r="355" spans="5:28" x14ac:dyDescent="0.25">
      <c r="N355" s="9"/>
      <c r="O355" s="41"/>
      <c r="P355" s="620"/>
      <c r="Q355" s="9"/>
      <c r="R355" s="9"/>
      <c r="S355" s="9"/>
    </row>
    <row r="356" spans="5:28" x14ac:dyDescent="0.25">
      <c r="N356" s="9"/>
      <c r="O356" s="9"/>
      <c r="P356" s="620"/>
      <c r="Q356" s="9"/>
      <c r="R356" s="9"/>
      <c r="S356" s="9"/>
    </row>
    <row r="357" spans="5:28" x14ac:dyDescent="0.25">
      <c r="N357" s="9"/>
      <c r="O357" s="9"/>
      <c r="P357" s="620"/>
      <c r="Q357" s="9"/>
      <c r="R357" s="9"/>
      <c r="S357" s="9"/>
    </row>
    <row r="358" spans="5:28" x14ac:dyDescent="0.25">
      <c r="O358" s="9"/>
      <c r="P358" s="620"/>
      <c r="Q358" s="9"/>
      <c r="R358" s="9"/>
      <c r="S358" s="9"/>
    </row>
    <row r="359" spans="5:28" x14ac:dyDescent="0.25">
      <c r="P359" s="9"/>
      <c r="Q359" s="9"/>
      <c r="R359" s="9"/>
      <c r="S359" s="9"/>
      <c r="AB359" s="41"/>
    </row>
    <row r="363" spans="5:28" x14ac:dyDescent="0.25">
      <c r="I363" s="41"/>
    </row>
    <row r="364" spans="5:28" x14ac:dyDescent="0.25">
      <c r="E364" s="41"/>
      <c r="F364" s="41"/>
      <c r="I364" s="41"/>
    </row>
    <row r="377" spans="5:20" x14ac:dyDescent="0.25">
      <c r="S377" s="41"/>
      <c r="T377" s="41"/>
    </row>
    <row r="378" spans="5:20" x14ac:dyDescent="0.25">
      <c r="I378" s="41"/>
    </row>
    <row r="379" spans="5:20" x14ac:dyDescent="0.25">
      <c r="I379" s="41"/>
    </row>
    <row r="380" spans="5:20" x14ac:dyDescent="0.25">
      <c r="E380" s="41"/>
      <c r="F380" s="41"/>
      <c r="I380" s="41"/>
      <c r="Q380" s="41"/>
      <c r="R380" s="41"/>
      <c r="S380" s="41"/>
    </row>
    <row r="386" spans="5:20" x14ac:dyDescent="0.25">
      <c r="N386" s="9"/>
      <c r="O386" s="9"/>
      <c r="P386" s="620"/>
      <c r="Q386" s="9"/>
      <c r="R386" s="9"/>
      <c r="S386" s="9"/>
    </row>
    <row r="394" spans="5:20" x14ac:dyDescent="0.25">
      <c r="S394" s="41"/>
      <c r="T394" s="41"/>
    </row>
    <row r="395" spans="5:20" x14ac:dyDescent="0.25">
      <c r="I395" s="41"/>
    </row>
    <row r="396" spans="5:20" x14ac:dyDescent="0.25">
      <c r="E396" s="41"/>
      <c r="F396" s="41"/>
      <c r="I396" s="41"/>
      <c r="Q396" s="41"/>
      <c r="R396" s="41"/>
      <c r="S396" s="41"/>
    </row>
    <row r="397" spans="5:20" x14ac:dyDescent="0.25">
      <c r="Q397" s="41"/>
      <c r="R397" s="41"/>
      <c r="S397" s="41"/>
    </row>
    <row r="398" spans="5:20" x14ac:dyDescent="0.25">
      <c r="N398" s="41"/>
      <c r="O398" s="41"/>
      <c r="P398" s="41"/>
      <c r="Q398" s="41"/>
      <c r="R398" s="41"/>
      <c r="S398" s="41"/>
    </row>
    <row r="399" spans="5:20" x14ac:dyDescent="0.25">
      <c r="O399" s="41"/>
      <c r="P399" s="41"/>
      <c r="Q399" s="41"/>
      <c r="R399" s="41"/>
      <c r="S399" s="41"/>
    </row>
    <row r="400" spans="5:20" x14ac:dyDescent="0.25">
      <c r="N400" s="41"/>
      <c r="O400" s="41"/>
      <c r="P400" s="41"/>
      <c r="Q400" s="41"/>
      <c r="R400" s="41"/>
      <c r="S400" s="41"/>
    </row>
    <row r="401" spans="14:19" x14ac:dyDescent="0.25">
      <c r="N401" s="41"/>
      <c r="O401" s="41"/>
      <c r="Q401" s="41"/>
      <c r="R401" s="41"/>
      <c r="S401" s="41"/>
    </row>
    <row r="403" spans="14:19" x14ac:dyDescent="0.25">
      <c r="N403" s="9"/>
      <c r="O403" s="41"/>
      <c r="P403" s="620"/>
      <c r="Q403" s="9"/>
      <c r="R403" s="9"/>
      <c r="S403" s="9"/>
    </row>
    <row r="404" spans="14:19" x14ac:dyDescent="0.25">
      <c r="N404" s="9"/>
      <c r="O404" s="41"/>
      <c r="P404" s="620"/>
      <c r="Q404" s="9"/>
      <c r="R404" s="9"/>
      <c r="S404" s="9"/>
    </row>
    <row r="405" spans="14:19" x14ac:dyDescent="0.25">
      <c r="N405" s="9"/>
      <c r="O405" s="9"/>
      <c r="P405" s="620"/>
      <c r="Q405" s="9"/>
      <c r="R405" s="9"/>
      <c r="S405" s="9"/>
    </row>
    <row r="406" spans="14:19" x14ac:dyDescent="0.25">
      <c r="O406" s="41"/>
      <c r="P406" s="41"/>
      <c r="Q406" s="41"/>
      <c r="R406" s="41"/>
      <c r="S406" s="41"/>
    </row>
    <row r="407" spans="14:19" x14ac:dyDescent="0.25">
      <c r="N407" s="41"/>
      <c r="O407" s="41"/>
      <c r="P407" s="41"/>
      <c r="Q407" s="41"/>
      <c r="R407" s="41"/>
      <c r="S407" s="41"/>
    </row>
    <row r="408" spans="14:19" x14ac:dyDescent="0.25">
      <c r="N408" s="41"/>
      <c r="O408" s="41"/>
      <c r="Q408" s="41"/>
      <c r="R408" s="41"/>
      <c r="S408" s="41"/>
    </row>
    <row r="410" spans="14:19" x14ac:dyDescent="0.25">
      <c r="N410" s="9"/>
      <c r="O410" s="41"/>
      <c r="P410" s="620"/>
      <c r="Q410" s="9"/>
      <c r="R410" s="9"/>
      <c r="S410" s="9"/>
    </row>
    <row r="411" spans="14:19" x14ac:dyDescent="0.25">
      <c r="N411" s="9"/>
      <c r="O411" s="41"/>
      <c r="P411" s="620"/>
      <c r="Q411" s="9"/>
      <c r="R411" s="9"/>
      <c r="S411" s="9"/>
    </row>
    <row r="412" spans="14:19" x14ac:dyDescent="0.25">
      <c r="N412" s="9"/>
      <c r="O412" s="9"/>
      <c r="P412" s="620"/>
      <c r="Q412" s="9"/>
      <c r="R412" s="9"/>
      <c r="S412" s="9"/>
    </row>
    <row r="413" spans="14:19" x14ac:dyDescent="0.25">
      <c r="N413" s="9"/>
      <c r="O413" s="9"/>
      <c r="P413" s="620"/>
      <c r="Q413" s="9"/>
      <c r="R413" s="9"/>
      <c r="S413" s="9"/>
    </row>
    <row r="414" spans="14:19" x14ac:dyDescent="0.25">
      <c r="O414" s="9"/>
      <c r="P414" s="620"/>
      <c r="Q414" s="9"/>
      <c r="R414" s="9"/>
      <c r="S414" s="9"/>
    </row>
    <row r="415" spans="14:19" x14ac:dyDescent="0.25">
      <c r="P415" s="9"/>
      <c r="Q415" s="9"/>
      <c r="R415" s="9"/>
      <c r="S415" s="9"/>
    </row>
    <row r="419" spans="9:19" x14ac:dyDescent="0.25">
      <c r="I419" s="41"/>
    </row>
    <row r="424" spans="9:19" x14ac:dyDescent="0.25">
      <c r="Q424" s="41"/>
    </row>
    <row r="430" spans="9:19" x14ac:dyDescent="0.25">
      <c r="N430" s="41"/>
      <c r="O430" s="41"/>
      <c r="P430" s="41"/>
      <c r="Q430" s="41"/>
      <c r="R430" s="41"/>
      <c r="S430" s="41"/>
    </row>
    <row r="431" spans="9:19" x14ac:dyDescent="0.25">
      <c r="N431" s="41"/>
      <c r="O431" s="41"/>
      <c r="Q431" s="41"/>
      <c r="R431" s="41"/>
      <c r="S431" s="41"/>
    </row>
    <row r="432" spans="9:19" x14ac:dyDescent="0.25">
      <c r="K432" s="41"/>
    </row>
    <row r="433" spans="5:19" x14ac:dyDescent="0.25">
      <c r="N433" s="9"/>
      <c r="O433" s="41"/>
      <c r="P433" s="620"/>
      <c r="Q433" s="9"/>
      <c r="R433" s="9"/>
      <c r="S433" s="9"/>
    </row>
    <row r="434" spans="5:19" x14ac:dyDescent="0.25">
      <c r="N434" s="9"/>
      <c r="O434" s="41"/>
      <c r="P434" s="620"/>
      <c r="Q434" s="9"/>
      <c r="R434" s="9"/>
      <c r="S434" s="9"/>
    </row>
    <row r="435" spans="5:19" x14ac:dyDescent="0.25">
      <c r="N435" s="9"/>
      <c r="O435" s="9"/>
      <c r="P435" s="620"/>
      <c r="Q435" s="9"/>
      <c r="R435" s="9"/>
      <c r="S435" s="9"/>
    </row>
    <row r="436" spans="5:19" x14ac:dyDescent="0.25">
      <c r="N436" s="9"/>
      <c r="O436" s="9"/>
      <c r="P436" s="620"/>
      <c r="Q436" s="9"/>
      <c r="R436" s="9"/>
      <c r="S436" s="9"/>
    </row>
    <row r="437" spans="5:19" x14ac:dyDescent="0.25">
      <c r="O437" s="9"/>
      <c r="P437" s="620"/>
      <c r="Q437" s="9"/>
      <c r="R437" s="9"/>
      <c r="S437" s="9"/>
    </row>
    <row r="438" spans="5:19" x14ac:dyDescent="0.25">
      <c r="P438" s="9"/>
      <c r="Q438" s="9"/>
      <c r="R438" s="9"/>
      <c r="S438" s="9"/>
    </row>
    <row r="442" spans="5:19" x14ac:dyDescent="0.25">
      <c r="I442" s="41"/>
    </row>
    <row r="443" spans="5:19" x14ac:dyDescent="0.25">
      <c r="E443" s="41"/>
      <c r="F443" s="41"/>
      <c r="I443" s="41"/>
    </row>
    <row r="449" spans="5:20" x14ac:dyDescent="0.25">
      <c r="S449" s="41"/>
      <c r="T449" s="41"/>
    </row>
    <row r="456" spans="5:20" x14ac:dyDescent="0.25">
      <c r="S456" s="41"/>
      <c r="T456" s="41"/>
    </row>
    <row r="457" spans="5:20" x14ac:dyDescent="0.25">
      <c r="I457" s="41"/>
    </row>
    <row r="458" spans="5:20" x14ac:dyDescent="0.25">
      <c r="E458" s="41"/>
      <c r="F458" s="41"/>
      <c r="I458" s="41"/>
      <c r="Q458" s="41"/>
      <c r="R458" s="41"/>
      <c r="S458" s="41"/>
    </row>
    <row r="459" spans="5:20" x14ac:dyDescent="0.25">
      <c r="Q459" s="41"/>
      <c r="R459" s="41"/>
      <c r="S459" s="41"/>
    </row>
    <row r="460" spans="5:20" x14ac:dyDescent="0.25">
      <c r="N460" s="41"/>
      <c r="O460" s="41"/>
      <c r="P460" s="41"/>
      <c r="Q460" s="41"/>
      <c r="R460" s="41"/>
      <c r="S460" s="41"/>
    </row>
    <row r="461" spans="5:20" x14ac:dyDescent="0.25">
      <c r="O461" s="41"/>
      <c r="P461" s="41"/>
      <c r="Q461" s="41"/>
      <c r="R461" s="41"/>
      <c r="S461" s="41"/>
    </row>
    <row r="462" spans="5:20" x14ac:dyDescent="0.25">
      <c r="N462" s="41"/>
      <c r="O462" s="41"/>
      <c r="P462" s="41"/>
      <c r="Q462" s="41"/>
      <c r="R462" s="41"/>
      <c r="S462" s="41"/>
    </row>
    <row r="463" spans="5:20" x14ac:dyDescent="0.25">
      <c r="N463" s="41"/>
      <c r="O463" s="41"/>
      <c r="Q463" s="41"/>
      <c r="R463" s="41"/>
      <c r="S463" s="41"/>
    </row>
    <row r="464" spans="5:20" x14ac:dyDescent="0.25">
      <c r="K464" s="41"/>
    </row>
    <row r="465" spans="5:20" x14ac:dyDescent="0.25">
      <c r="N465" s="9"/>
      <c r="O465" s="41"/>
      <c r="P465" s="620"/>
      <c r="Q465" s="9"/>
      <c r="R465" s="9"/>
      <c r="S465" s="9"/>
    </row>
    <row r="466" spans="5:20" x14ac:dyDescent="0.25">
      <c r="N466" s="9"/>
      <c r="O466" s="41"/>
      <c r="P466" s="620"/>
      <c r="Q466" s="9"/>
      <c r="R466" s="9"/>
      <c r="S466" s="9"/>
    </row>
    <row r="467" spans="5:20" x14ac:dyDescent="0.25">
      <c r="N467" s="9"/>
      <c r="O467" s="9"/>
      <c r="P467" s="620"/>
      <c r="Q467" s="9"/>
      <c r="R467" s="9"/>
      <c r="S467" s="9"/>
    </row>
    <row r="468" spans="5:20" x14ac:dyDescent="0.25">
      <c r="N468" s="9"/>
      <c r="O468" s="9"/>
      <c r="P468" s="620"/>
      <c r="Q468" s="9"/>
      <c r="R468" s="9"/>
      <c r="S468" s="9"/>
    </row>
    <row r="469" spans="5:20" x14ac:dyDescent="0.25">
      <c r="O469" s="9"/>
      <c r="P469" s="620"/>
      <c r="Q469" s="9"/>
      <c r="R469" s="9"/>
      <c r="S469" s="9"/>
    </row>
    <row r="470" spans="5:20" x14ac:dyDescent="0.25">
      <c r="P470" s="9"/>
      <c r="Q470" s="9"/>
      <c r="R470" s="9"/>
      <c r="S470" s="9"/>
    </row>
    <row r="478" spans="5:20" x14ac:dyDescent="0.25">
      <c r="S478" s="41"/>
      <c r="T478" s="41"/>
    </row>
    <row r="479" spans="5:20" x14ac:dyDescent="0.25">
      <c r="I479" s="41"/>
    </row>
    <row r="480" spans="5:20" x14ac:dyDescent="0.25">
      <c r="E480" s="41"/>
      <c r="F480" s="41"/>
      <c r="I480" s="41"/>
      <c r="Q480" s="41"/>
      <c r="R480" s="41"/>
      <c r="S480" s="41"/>
    </row>
    <row r="481" spans="9:19" x14ac:dyDescent="0.25">
      <c r="Q481" s="41"/>
      <c r="R481" s="41"/>
      <c r="S481" s="41"/>
    </row>
    <row r="482" spans="9:19" x14ac:dyDescent="0.25">
      <c r="N482" s="41"/>
      <c r="O482" s="41"/>
      <c r="P482" s="41"/>
      <c r="Q482" s="41"/>
      <c r="R482" s="41"/>
      <c r="S482" s="41"/>
    </row>
    <row r="483" spans="9:19" x14ac:dyDescent="0.25">
      <c r="O483" s="41"/>
      <c r="P483" s="41"/>
      <c r="Q483" s="41"/>
      <c r="R483" s="41"/>
      <c r="S483" s="41"/>
    </row>
    <row r="484" spans="9:19" x14ac:dyDescent="0.25">
      <c r="N484" s="41"/>
      <c r="O484" s="41"/>
      <c r="P484" s="41"/>
      <c r="Q484" s="41"/>
      <c r="R484" s="41"/>
      <c r="S484" s="41"/>
    </row>
    <row r="485" spans="9:19" x14ac:dyDescent="0.25">
      <c r="N485" s="41"/>
      <c r="O485" s="41"/>
      <c r="Q485" s="41"/>
      <c r="R485" s="41"/>
      <c r="S485" s="41"/>
    </row>
    <row r="486" spans="9:19" x14ac:dyDescent="0.25">
      <c r="K486" s="41"/>
    </row>
    <row r="487" spans="9:19" x14ac:dyDescent="0.25">
      <c r="N487" s="9"/>
      <c r="O487" s="41"/>
      <c r="P487" s="620"/>
      <c r="Q487" s="9"/>
      <c r="R487" s="9"/>
      <c r="S487" s="9"/>
    </row>
    <row r="488" spans="9:19" x14ac:dyDescent="0.25">
      <c r="N488" s="9"/>
      <c r="O488" s="41"/>
      <c r="P488" s="620"/>
      <c r="Q488" s="9"/>
      <c r="R488" s="9"/>
      <c r="S488" s="9"/>
    </row>
    <row r="489" spans="9:19" x14ac:dyDescent="0.25">
      <c r="N489" s="9"/>
      <c r="O489" s="9"/>
      <c r="P489" s="620"/>
      <c r="Q489" s="9"/>
      <c r="R489" s="9"/>
      <c r="S489" s="9"/>
    </row>
    <row r="490" spans="9:19" x14ac:dyDescent="0.25">
      <c r="N490" s="9"/>
      <c r="O490" s="9"/>
      <c r="P490" s="620"/>
      <c r="Q490" s="9"/>
      <c r="R490" s="9"/>
      <c r="S490" s="9"/>
    </row>
    <row r="491" spans="9:19" x14ac:dyDescent="0.25">
      <c r="O491" s="9"/>
      <c r="P491" s="620"/>
      <c r="Q491" s="9"/>
      <c r="R491" s="9"/>
      <c r="S491" s="9"/>
    </row>
    <row r="492" spans="9:19" x14ac:dyDescent="0.25">
      <c r="P492" s="9"/>
      <c r="Q492" s="9"/>
      <c r="R492" s="9"/>
      <c r="S492" s="9"/>
    </row>
    <row r="496" spans="9:19" x14ac:dyDescent="0.25">
      <c r="I496" s="41"/>
    </row>
    <row r="497" spans="5:20" x14ac:dyDescent="0.25">
      <c r="E497" s="41"/>
      <c r="F497" s="41"/>
      <c r="I497" s="41"/>
    </row>
    <row r="503" spans="5:20" x14ac:dyDescent="0.25">
      <c r="S503" s="41"/>
      <c r="T503" s="41"/>
    </row>
    <row r="510" spans="5:20" x14ac:dyDescent="0.25">
      <c r="S510" s="41"/>
      <c r="T510" s="41"/>
    </row>
    <row r="511" spans="5:20" x14ac:dyDescent="0.25">
      <c r="I511" s="41"/>
    </row>
    <row r="512" spans="5:20" x14ac:dyDescent="0.25">
      <c r="E512" s="41"/>
      <c r="F512" s="41"/>
      <c r="I512" s="41"/>
      <c r="Q512" s="41"/>
      <c r="R512" s="41"/>
      <c r="S512" s="41"/>
    </row>
    <row r="513" spans="9:19" x14ac:dyDescent="0.25">
      <c r="Q513" s="41"/>
      <c r="R513" s="41"/>
      <c r="S513" s="41"/>
    </row>
    <row r="514" spans="9:19" x14ac:dyDescent="0.25">
      <c r="N514" s="41"/>
      <c r="O514" s="41"/>
      <c r="P514" s="41"/>
      <c r="Q514" s="41"/>
      <c r="R514" s="41"/>
      <c r="S514" s="41"/>
    </row>
    <row r="515" spans="9:19" x14ac:dyDescent="0.25">
      <c r="O515" s="41"/>
      <c r="P515" s="41"/>
      <c r="Q515" s="41"/>
      <c r="R515" s="41"/>
      <c r="S515" s="41"/>
    </row>
    <row r="516" spans="9:19" x14ac:dyDescent="0.25">
      <c r="N516" s="41"/>
      <c r="O516" s="41"/>
      <c r="P516" s="41"/>
      <c r="Q516" s="41"/>
      <c r="R516" s="41"/>
      <c r="S516" s="41"/>
    </row>
    <row r="517" spans="9:19" x14ac:dyDescent="0.25">
      <c r="N517" s="41"/>
      <c r="O517" s="41"/>
      <c r="Q517" s="41"/>
      <c r="R517" s="41"/>
      <c r="S517" s="41"/>
    </row>
    <row r="518" spans="9:19" x14ac:dyDescent="0.25">
      <c r="K518" s="41"/>
    </row>
    <row r="519" spans="9:19" x14ac:dyDescent="0.25">
      <c r="N519" s="9"/>
      <c r="O519" s="41"/>
      <c r="P519" s="620"/>
      <c r="Q519" s="9"/>
      <c r="R519" s="9"/>
      <c r="S519" s="9"/>
    </row>
    <row r="520" spans="9:19" x14ac:dyDescent="0.25">
      <c r="N520" s="9"/>
      <c r="O520" s="41"/>
      <c r="P520" s="620"/>
      <c r="Q520" s="9"/>
      <c r="R520" s="9"/>
      <c r="S520" s="9"/>
    </row>
    <row r="521" spans="9:19" x14ac:dyDescent="0.25">
      <c r="N521" s="9"/>
      <c r="O521" s="9"/>
      <c r="P521" s="620"/>
      <c r="Q521" s="9"/>
      <c r="R521" s="9"/>
      <c r="S521" s="9"/>
    </row>
    <row r="522" spans="9:19" x14ac:dyDescent="0.25">
      <c r="N522" s="9"/>
      <c r="O522" s="9"/>
      <c r="P522" s="620"/>
      <c r="Q522" s="9"/>
      <c r="R522" s="9"/>
      <c r="S522" s="9"/>
    </row>
    <row r="523" spans="9:19" x14ac:dyDescent="0.25">
      <c r="O523" s="9"/>
      <c r="P523" s="620"/>
      <c r="Q523" s="9"/>
      <c r="R523" s="9"/>
      <c r="S523" s="9"/>
    </row>
    <row r="524" spans="9:19" x14ac:dyDescent="0.25">
      <c r="P524" s="9"/>
      <c r="Q524" s="9"/>
      <c r="R524" s="9"/>
      <c r="S524" s="9"/>
    </row>
    <row r="528" spans="9:19" x14ac:dyDescent="0.25">
      <c r="I528" s="41"/>
    </row>
    <row r="529" spans="9:20" x14ac:dyDescent="0.25">
      <c r="N529" s="41"/>
      <c r="O529" s="41"/>
      <c r="P529" s="41"/>
      <c r="Q529" s="41"/>
      <c r="R529" s="41"/>
      <c r="S529" s="41"/>
    </row>
    <row r="530" spans="9:20" x14ac:dyDescent="0.25">
      <c r="O530" s="41"/>
      <c r="P530" s="41"/>
      <c r="Q530" s="41"/>
      <c r="R530" s="41"/>
      <c r="S530" s="41"/>
    </row>
    <row r="543" spans="9:20" x14ac:dyDescent="0.25">
      <c r="S543" s="41"/>
      <c r="T543" s="41"/>
    </row>
    <row r="544" spans="9:20" x14ac:dyDescent="0.25">
      <c r="I544" s="41"/>
    </row>
    <row r="545" spans="5:19" x14ac:dyDescent="0.25">
      <c r="E545" s="41"/>
      <c r="F545" s="41"/>
      <c r="I545" s="41"/>
      <c r="Q545" s="41"/>
      <c r="R545" s="41"/>
      <c r="S545" s="41"/>
    </row>
    <row r="546" spans="5:19" x14ac:dyDescent="0.25">
      <c r="Q546" s="41"/>
      <c r="R546" s="41"/>
      <c r="S546" s="41"/>
    </row>
    <row r="547" spans="5:19" x14ac:dyDescent="0.25">
      <c r="N547" s="41"/>
      <c r="O547" s="41"/>
      <c r="P547" s="41"/>
      <c r="Q547" s="41"/>
      <c r="R547" s="41"/>
      <c r="S547" s="41"/>
    </row>
    <row r="548" spans="5:19" x14ac:dyDescent="0.25">
      <c r="O548" s="41"/>
      <c r="P548" s="41"/>
      <c r="Q548" s="41"/>
      <c r="R548" s="41"/>
      <c r="S548" s="41"/>
    </row>
    <row r="549" spans="5:19" x14ac:dyDescent="0.25">
      <c r="N549" s="41"/>
      <c r="O549" s="41"/>
      <c r="P549" s="41"/>
      <c r="Q549" s="41"/>
      <c r="R549" s="41"/>
      <c r="S549" s="41"/>
    </row>
    <row r="550" spans="5:19" x14ac:dyDescent="0.25">
      <c r="N550" s="41"/>
      <c r="O550" s="41"/>
      <c r="Q550" s="41"/>
      <c r="R550" s="41"/>
      <c r="S550" s="41"/>
    </row>
    <row r="551" spans="5:19" x14ac:dyDescent="0.25">
      <c r="K551" s="41"/>
    </row>
    <row r="552" spans="5:19" x14ac:dyDescent="0.25">
      <c r="N552" s="9"/>
      <c r="O552" s="41"/>
      <c r="P552" s="620"/>
      <c r="Q552" s="9"/>
      <c r="R552" s="9"/>
      <c r="S552" s="9"/>
    </row>
    <row r="553" spans="5:19" x14ac:dyDescent="0.25">
      <c r="N553" s="9"/>
      <c r="O553" s="41"/>
      <c r="P553" s="620"/>
      <c r="Q553" s="9"/>
      <c r="R553" s="9"/>
      <c r="S553" s="9"/>
    </row>
    <row r="554" spans="5:19" x14ac:dyDescent="0.25">
      <c r="N554" s="9"/>
      <c r="O554" s="9"/>
      <c r="P554" s="620"/>
      <c r="Q554" s="9"/>
      <c r="R554" s="9"/>
      <c r="S554" s="9"/>
    </row>
    <row r="555" spans="5:19" x14ac:dyDescent="0.25">
      <c r="N555" s="9"/>
      <c r="O555" s="9"/>
      <c r="P555" s="620"/>
      <c r="Q555" s="9"/>
      <c r="R555" s="9"/>
      <c r="S555" s="9"/>
    </row>
    <row r="556" spans="5:19" x14ac:dyDescent="0.25">
      <c r="O556" s="9"/>
      <c r="P556" s="620"/>
      <c r="Q556" s="9"/>
      <c r="R556" s="9"/>
      <c r="S556" s="9"/>
    </row>
    <row r="557" spans="5:19" x14ac:dyDescent="0.25">
      <c r="P557" s="9"/>
      <c r="Q557" s="9"/>
      <c r="R557" s="9"/>
      <c r="S557" s="9"/>
    </row>
    <row r="561" spans="5:20" x14ac:dyDescent="0.25">
      <c r="I561" s="41"/>
    </row>
    <row r="562" spans="5:20" x14ac:dyDescent="0.25">
      <c r="E562" s="41"/>
      <c r="F562" s="41"/>
      <c r="I562" s="41"/>
    </row>
    <row r="568" spans="5:20" x14ac:dyDescent="0.25">
      <c r="S568" s="41"/>
      <c r="T568" s="41"/>
    </row>
    <row r="579" spans="5:20" x14ac:dyDescent="0.25">
      <c r="S579" s="41"/>
      <c r="T579" s="41"/>
    </row>
    <row r="580" spans="5:20" x14ac:dyDescent="0.25">
      <c r="I580" s="41"/>
    </row>
    <row r="581" spans="5:20" x14ac:dyDescent="0.25">
      <c r="E581" s="41"/>
      <c r="F581" s="41"/>
      <c r="I581" s="41"/>
      <c r="Q581" s="41"/>
      <c r="R581" s="41"/>
      <c r="S581" s="41"/>
    </row>
    <row r="582" spans="5:20" x14ac:dyDescent="0.25">
      <c r="Q582" s="41"/>
      <c r="R582" s="41"/>
      <c r="S582" s="41"/>
    </row>
    <row r="583" spans="5:20" x14ac:dyDescent="0.25">
      <c r="N583" s="41"/>
      <c r="O583" s="41"/>
      <c r="P583" s="41"/>
      <c r="Q583" s="41"/>
      <c r="R583" s="41"/>
      <c r="S583" s="41"/>
    </row>
    <row r="584" spans="5:20" x14ac:dyDescent="0.25">
      <c r="O584" s="41"/>
      <c r="P584" s="41"/>
      <c r="Q584" s="41"/>
      <c r="R584" s="41"/>
      <c r="S584" s="41"/>
    </row>
    <row r="585" spans="5:20" x14ac:dyDescent="0.25">
      <c r="N585" s="41"/>
      <c r="O585" s="41"/>
      <c r="P585" s="41"/>
      <c r="Q585" s="41"/>
      <c r="R585" s="41"/>
      <c r="S585" s="41"/>
    </row>
    <row r="586" spans="5:20" x14ac:dyDescent="0.25">
      <c r="N586" s="41"/>
      <c r="O586" s="41"/>
      <c r="Q586" s="41"/>
      <c r="R586" s="41"/>
      <c r="S586" s="41"/>
    </row>
    <row r="587" spans="5:20" x14ac:dyDescent="0.25">
      <c r="K587" s="41"/>
    </row>
    <row r="588" spans="5:20" x14ac:dyDescent="0.25">
      <c r="N588" s="9"/>
      <c r="O588" s="41"/>
      <c r="P588" s="620"/>
      <c r="Q588" s="9"/>
      <c r="R588" s="9"/>
      <c r="S588" s="9"/>
    </row>
    <row r="589" spans="5:20" x14ac:dyDescent="0.25">
      <c r="N589" s="9"/>
      <c r="O589" s="41"/>
      <c r="P589" s="620"/>
      <c r="Q589" s="9"/>
      <c r="R589" s="9"/>
      <c r="S589" s="9"/>
    </row>
    <row r="590" spans="5:20" x14ac:dyDescent="0.25">
      <c r="N590" s="9"/>
      <c r="O590" s="9"/>
      <c r="P590" s="620"/>
      <c r="Q590" s="9"/>
      <c r="R590" s="9"/>
      <c r="S590" s="9"/>
    </row>
    <row r="591" spans="5:20" x14ac:dyDescent="0.25">
      <c r="N591" s="9"/>
      <c r="O591" s="9"/>
      <c r="P591" s="620"/>
      <c r="Q591" s="9"/>
      <c r="R591" s="9"/>
      <c r="S591" s="9"/>
    </row>
    <row r="592" spans="5:20" x14ac:dyDescent="0.25">
      <c r="O592" s="9"/>
      <c r="P592" s="620"/>
      <c r="Q592" s="9"/>
      <c r="R592" s="9"/>
      <c r="S592" s="9"/>
    </row>
    <row r="593" spans="5:20" x14ac:dyDescent="0.25">
      <c r="P593" s="9"/>
      <c r="Q593" s="9"/>
      <c r="R593" s="9"/>
      <c r="S593" s="9"/>
    </row>
    <row r="597" spans="5:20" x14ac:dyDescent="0.25">
      <c r="I597" s="41"/>
    </row>
    <row r="598" spans="5:20" x14ac:dyDescent="0.25">
      <c r="E598" s="41"/>
      <c r="F598" s="41"/>
      <c r="I598" s="41"/>
    </row>
    <row r="604" spans="5:20" x14ac:dyDescent="0.25">
      <c r="S604" s="41"/>
      <c r="T604" s="41"/>
    </row>
    <row r="611" spans="5:20" x14ac:dyDescent="0.25">
      <c r="S611" s="41"/>
      <c r="T611" s="41"/>
    </row>
    <row r="612" spans="5:20" x14ac:dyDescent="0.25">
      <c r="I612" s="41"/>
    </row>
    <row r="613" spans="5:20" x14ac:dyDescent="0.25">
      <c r="E613" s="41"/>
      <c r="F613" s="41"/>
      <c r="I613" s="41"/>
      <c r="Q613" s="41"/>
      <c r="R613" s="41"/>
      <c r="S613" s="41"/>
    </row>
    <row r="614" spans="5:20" x14ac:dyDescent="0.25">
      <c r="Q614" s="41"/>
      <c r="R614" s="41"/>
      <c r="S614" s="41"/>
    </row>
    <row r="615" spans="5:20" x14ac:dyDescent="0.25">
      <c r="N615" s="41"/>
      <c r="O615" s="41"/>
      <c r="P615" s="41"/>
      <c r="Q615" s="41"/>
      <c r="R615" s="41"/>
      <c r="S615" s="41"/>
    </row>
    <row r="616" spans="5:20" x14ac:dyDescent="0.25">
      <c r="O616" s="41"/>
      <c r="P616" s="41"/>
      <c r="Q616" s="41"/>
      <c r="R616" s="41"/>
      <c r="S616" s="41"/>
    </row>
    <row r="617" spans="5:20" x14ac:dyDescent="0.25">
      <c r="N617" s="41"/>
      <c r="O617" s="41"/>
      <c r="P617" s="41"/>
      <c r="Q617" s="41"/>
      <c r="R617" s="41"/>
      <c r="S617" s="41"/>
    </row>
    <row r="618" spans="5:20" x14ac:dyDescent="0.25">
      <c r="N618" s="41"/>
      <c r="O618" s="41"/>
      <c r="Q618" s="41"/>
      <c r="R618" s="41"/>
      <c r="S618" s="41"/>
    </row>
    <row r="619" spans="5:20" x14ac:dyDescent="0.25">
      <c r="K619" s="41"/>
    </row>
    <row r="620" spans="5:20" x14ac:dyDescent="0.25">
      <c r="N620" s="9"/>
      <c r="O620" s="41"/>
      <c r="P620" s="620"/>
      <c r="Q620" s="9"/>
      <c r="R620" s="9"/>
      <c r="S620" s="9"/>
    </row>
    <row r="621" spans="5:20" x14ac:dyDescent="0.25">
      <c r="N621" s="9"/>
      <c r="O621" s="41"/>
      <c r="P621" s="620"/>
      <c r="Q621" s="9"/>
      <c r="R621" s="9"/>
      <c r="S621" s="9"/>
    </row>
    <row r="622" spans="5:20" x14ac:dyDescent="0.25">
      <c r="N622" s="9"/>
      <c r="O622" s="9"/>
      <c r="P622" s="620"/>
      <c r="Q622" s="9"/>
      <c r="R622" s="9"/>
      <c r="S622" s="9"/>
    </row>
    <row r="623" spans="5:20" x14ac:dyDescent="0.25">
      <c r="N623" s="9"/>
      <c r="O623" s="9"/>
      <c r="P623" s="620"/>
      <c r="Q623" s="9"/>
      <c r="R623" s="9"/>
      <c r="S623" s="9"/>
    </row>
    <row r="624" spans="5:20" x14ac:dyDescent="0.25">
      <c r="O624" s="9"/>
      <c r="P624" s="620"/>
      <c r="Q624" s="9"/>
      <c r="R624" s="9"/>
      <c r="S624" s="9"/>
    </row>
    <row r="625" spans="14:19" x14ac:dyDescent="0.25">
      <c r="P625" s="9"/>
      <c r="Q625" s="9"/>
      <c r="R625" s="9"/>
      <c r="S625" s="9"/>
    </row>
    <row r="634" spans="14:19" x14ac:dyDescent="0.25">
      <c r="N634" s="41"/>
    </row>
    <row r="636" spans="14:19" x14ac:dyDescent="0.25">
      <c r="N636" s="9"/>
      <c r="O636" s="9"/>
      <c r="P636" s="9"/>
      <c r="Q636" s="9"/>
      <c r="R636" s="9"/>
      <c r="S636" s="9"/>
    </row>
    <row r="637" spans="14:19" x14ac:dyDescent="0.25">
      <c r="N637" s="9"/>
      <c r="O637" s="9"/>
      <c r="P637" s="9"/>
      <c r="Q637" s="9"/>
      <c r="R637" s="9"/>
      <c r="S637" s="9"/>
    </row>
    <row r="638" spans="14:19" x14ac:dyDescent="0.25">
      <c r="N638" s="9"/>
      <c r="O638" s="9"/>
      <c r="P638" s="9"/>
      <c r="Q638" s="9"/>
      <c r="R638" s="9"/>
      <c r="S638" s="9"/>
    </row>
    <row r="639" spans="14:19" x14ac:dyDescent="0.25">
      <c r="N639" s="9"/>
      <c r="O639" s="9"/>
      <c r="P639" s="9"/>
      <c r="Q639" s="9"/>
      <c r="R639" s="9"/>
      <c r="S639" s="9"/>
    </row>
    <row r="640" spans="14:19" x14ac:dyDescent="0.25">
      <c r="O640" s="9"/>
      <c r="P640" s="9"/>
      <c r="Q640" s="9"/>
      <c r="R640" s="9"/>
      <c r="S640" s="9"/>
    </row>
    <row r="641" spans="15:19" x14ac:dyDescent="0.25">
      <c r="O641" s="9"/>
      <c r="P641" s="9"/>
      <c r="Q641" s="9"/>
      <c r="R641" s="9"/>
      <c r="S641" s="9"/>
    </row>
    <row r="658" spans="14:19" x14ac:dyDescent="0.25">
      <c r="N658" s="41"/>
      <c r="O658" s="41"/>
      <c r="P658" s="41"/>
      <c r="Q658" s="41"/>
      <c r="R658" s="41"/>
      <c r="S658" s="41"/>
    </row>
    <row r="659" spans="14:19" x14ac:dyDescent="0.25">
      <c r="N659" s="41"/>
      <c r="O659" s="41"/>
      <c r="P659" s="41"/>
      <c r="Q659" s="41"/>
      <c r="R659" s="41"/>
      <c r="S659" s="41"/>
    </row>
    <row r="660" spans="14:19" x14ac:dyDescent="0.25">
      <c r="N660" s="41"/>
      <c r="O660" s="41"/>
      <c r="P660" s="41"/>
      <c r="Q660" s="41"/>
      <c r="R660" s="41"/>
      <c r="S660" s="41"/>
    </row>
    <row r="661" spans="14:19" x14ac:dyDescent="0.25">
      <c r="N661" s="41"/>
      <c r="O661" s="41"/>
      <c r="P661" s="41"/>
      <c r="Q661" s="41"/>
      <c r="R661" s="41"/>
      <c r="S661" s="41"/>
    </row>
    <row r="662" spans="14:19" x14ac:dyDescent="0.25">
      <c r="N662" s="41"/>
      <c r="O662" s="41"/>
      <c r="P662" s="41"/>
      <c r="Q662" s="41"/>
      <c r="R662" s="41"/>
      <c r="S662" s="41"/>
    </row>
    <row r="663" spans="14:19" x14ac:dyDescent="0.25">
      <c r="N663" s="41"/>
      <c r="O663" s="41"/>
      <c r="P663" s="41"/>
      <c r="Q663" s="41"/>
      <c r="R663" s="41"/>
      <c r="S663" s="41"/>
    </row>
    <row r="665" spans="14:19" x14ac:dyDescent="0.25">
      <c r="N665" s="9"/>
      <c r="O665" s="9"/>
      <c r="P665" s="9"/>
      <c r="Q665" s="9"/>
      <c r="R665" s="9"/>
      <c r="S665" s="9"/>
    </row>
    <row r="666" spans="14:19" x14ac:dyDescent="0.25">
      <c r="N666" s="9"/>
      <c r="O666" s="9"/>
      <c r="P666" s="9"/>
      <c r="Q666" s="9"/>
      <c r="R666" s="9"/>
      <c r="S666" s="9"/>
    </row>
    <row r="667" spans="14:19" x14ac:dyDescent="0.25">
      <c r="N667" s="9"/>
      <c r="O667" s="9"/>
      <c r="P667" s="9"/>
      <c r="Q667" s="9"/>
      <c r="R667" s="9"/>
      <c r="S667" s="9"/>
    </row>
    <row r="668" spans="14:19" x14ac:dyDescent="0.25">
      <c r="N668" s="9"/>
      <c r="O668" s="9"/>
      <c r="P668" s="9"/>
      <c r="Q668" s="9"/>
      <c r="R668" s="9"/>
      <c r="S668" s="9"/>
    </row>
    <row r="669" spans="14:19" x14ac:dyDescent="0.25">
      <c r="O669" s="9"/>
      <c r="P669" s="9"/>
      <c r="Q669" s="9"/>
      <c r="R669" s="9"/>
      <c r="S669" s="9"/>
    </row>
    <row r="670" spans="14:19" x14ac:dyDescent="0.25">
      <c r="O670" s="9"/>
      <c r="P670" s="9"/>
      <c r="Q670" s="9"/>
      <c r="R670" s="9"/>
      <c r="S670" s="9"/>
    </row>
    <row r="687" spans="14:19" x14ac:dyDescent="0.25">
      <c r="N687" s="41"/>
      <c r="O687" s="41"/>
      <c r="P687" s="41"/>
      <c r="Q687" s="41"/>
      <c r="R687" s="41"/>
      <c r="S687" s="41"/>
    </row>
    <row r="688" spans="14:19" x14ac:dyDescent="0.25">
      <c r="N688" s="41"/>
      <c r="O688" s="41"/>
      <c r="P688" s="41"/>
      <c r="Q688" s="41"/>
      <c r="R688" s="41"/>
      <c r="S688" s="41"/>
    </row>
    <row r="689" spans="14:19" x14ac:dyDescent="0.25">
      <c r="N689" s="41"/>
      <c r="O689" s="41"/>
      <c r="P689" s="41"/>
      <c r="Q689" s="41"/>
      <c r="R689" s="41"/>
      <c r="S689" s="41"/>
    </row>
    <row r="690" spans="14:19" x14ac:dyDescent="0.25">
      <c r="N690" s="41"/>
      <c r="O690" s="41"/>
      <c r="P690" s="41"/>
      <c r="Q690" s="41"/>
      <c r="R690" s="41"/>
      <c r="S690" s="41"/>
    </row>
    <row r="691" spans="14:19" x14ac:dyDescent="0.25">
      <c r="N691" s="41"/>
      <c r="O691" s="41"/>
      <c r="P691" s="41"/>
      <c r="Q691" s="41"/>
      <c r="R691" s="41"/>
      <c r="S691" s="41"/>
    </row>
    <row r="692" spans="14:19" x14ac:dyDescent="0.25">
      <c r="N692" s="41"/>
      <c r="O692" s="41"/>
      <c r="P692" s="41"/>
      <c r="Q692" s="41"/>
      <c r="R692" s="41"/>
      <c r="S692" s="41"/>
    </row>
    <row r="694" spans="14:19" x14ac:dyDescent="0.25">
      <c r="N694" s="9"/>
      <c r="O694" s="9"/>
      <c r="P694" s="9"/>
      <c r="Q694" s="9"/>
      <c r="R694" s="9"/>
      <c r="S694" s="9"/>
    </row>
    <row r="695" spans="14:19" x14ac:dyDescent="0.25">
      <c r="N695" s="9"/>
      <c r="O695" s="9"/>
      <c r="P695" s="9"/>
      <c r="Q695" s="9"/>
      <c r="R695" s="9"/>
      <c r="S695" s="9"/>
    </row>
    <row r="696" spans="14:19" x14ac:dyDescent="0.25">
      <c r="N696" s="9"/>
      <c r="O696" s="9"/>
      <c r="P696" s="9"/>
      <c r="Q696" s="9"/>
      <c r="R696" s="9"/>
      <c r="S696" s="9"/>
    </row>
    <row r="697" spans="14:19" x14ac:dyDescent="0.25">
      <c r="N697" s="9"/>
      <c r="O697" s="9"/>
      <c r="P697" s="9"/>
      <c r="Q697" s="9"/>
      <c r="R697" s="9"/>
      <c r="S697" s="9"/>
    </row>
    <row r="698" spans="14:19" x14ac:dyDescent="0.25">
      <c r="O698" s="9"/>
      <c r="P698" s="9"/>
      <c r="Q698" s="9"/>
      <c r="R698" s="9"/>
      <c r="S698" s="9"/>
    </row>
    <row r="699" spans="14:19" x14ac:dyDescent="0.25">
      <c r="O699" s="9"/>
      <c r="P699" s="9"/>
      <c r="Q699" s="9"/>
      <c r="R699" s="9"/>
      <c r="S699" s="9"/>
    </row>
    <row r="713" spans="14:19" x14ac:dyDescent="0.25">
      <c r="N713" s="41"/>
      <c r="O713" s="41"/>
      <c r="P713" s="41"/>
      <c r="Q713" s="41"/>
      <c r="R713" s="41"/>
      <c r="S713" s="41"/>
    </row>
    <row r="714" spans="14:19" x14ac:dyDescent="0.25">
      <c r="N714" s="41"/>
      <c r="O714" s="41"/>
      <c r="P714" s="41"/>
      <c r="Q714" s="41"/>
      <c r="R714" s="41"/>
      <c r="S714" s="41"/>
    </row>
    <row r="722" spans="14:19" x14ac:dyDescent="0.25">
      <c r="N722" s="41"/>
      <c r="O722" s="41"/>
      <c r="P722" s="41"/>
      <c r="Q722" s="41"/>
      <c r="R722" s="41"/>
      <c r="S722" s="41"/>
    </row>
    <row r="730" spans="14:19" x14ac:dyDescent="0.25">
      <c r="N730" s="41"/>
      <c r="O730" s="41"/>
      <c r="P730" s="41"/>
      <c r="Q730" s="41"/>
      <c r="R730" s="41"/>
      <c r="S730" s="41"/>
    </row>
    <row r="731" spans="14:19" x14ac:dyDescent="0.25">
      <c r="N731" s="41"/>
      <c r="O731" s="41"/>
      <c r="P731" s="41"/>
      <c r="Q731" s="41"/>
      <c r="R731" s="41"/>
      <c r="S731" s="41"/>
    </row>
    <row r="732" spans="14:19" x14ac:dyDescent="0.25">
      <c r="O732" s="41"/>
      <c r="P732" s="41"/>
      <c r="Q732" s="41"/>
      <c r="R732" s="41"/>
      <c r="S732" s="41"/>
    </row>
    <row r="733" spans="14:19" x14ac:dyDescent="0.25">
      <c r="N733" s="41"/>
      <c r="O733" s="41"/>
      <c r="P733" s="41"/>
      <c r="Q733" s="41"/>
      <c r="R733" s="41"/>
      <c r="S733" s="41"/>
    </row>
    <row r="741" spans="11:19" x14ac:dyDescent="0.25">
      <c r="N741" s="41"/>
      <c r="O741" s="41"/>
      <c r="P741" s="41"/>
      <c r="Q741" s="41"/>
      <c r="R741" s="41"/>
      <c r="S741" s="41"/>
    </row>
    <row r="742" spans="11:19" x14ac:dyDescent="0.25">
      <c r="N742" s="41"/>
      <c r="O742" s="41"/>
      <c r="P742" s="41"/>
      <c r="Q742" s="41"/>
      <c r="R742" s="41"/>
      <c r="S742" s="41"/>
    </row>
    <row r="743" spans="11:19" x14ac:dyDescent="0.25">
      <c r="N743" s="41"/>
      <c r="O743" s="41"/>
      <c r="P743" s="41"/>
      <c r="Q743" s="41"/>
      <c r="R743" s="41"/>
      <c r="S743" s="41"/>
    </row>
    <row r="744" spans="11:19" x14ac:dyDescent="0.25">
      <c r="O744" s="41"/>
      <c r="P744" s="41"/>
      <c r="Q744" s="41"/>
      <c r="R744" s="41"/>
      <c r="S744" s="41"/>
    </row>
    <row r="745" spans="11:19" x14ac:dyDescent="0.25">
      <c r="N745" s="41"/>
      <c r="O745" s="41"/>
      <c r="P745" s="41"/>
      <c r="Q745" s="41"/>
      <c r="R745" s="41"/>
      <c r="S745" s="41"/>
    </row>
    <row r="746" spans="11:19" x14ac:dyDescent="0.25">
      <c r="N746" s="41"/>
      <c r="O746" s="41"/>
      <c r="P746" s="41"/>
      <c r="Q746" s="41"/>
      <c r="R746" s="41"/>
      <c r="S746" s="41"/>
    </row>
    <row r="747" spans="11:19" x14ac:dyDescent="0.25">
      <c r="K747" s="41"/>
    </row>
    <row r="748" spans="11:19" x14ac:dyDescent="0.25">
      <c r="N748" s="9"/>
      <c r="O748" s="9"/>
      <c r="P748" s="9"/>
      <c r="Q748" s="9"/>
      <c r="R748" s="9"/>
      <c r="S748" s="9"/>
    </row>
    <row r="749" spans="11:19" x14ac:dyDescent="0.25">
      <c r="N749" s="9"/>
      <c r="O749" s="9"/>
      <c r="P749" s="9"/>
      <c r="Q749" s="9"/>
      <c r="R749" s="9"/>
      <c r="S749" s="9"/>
    </row>
    <row r="750" spans="11:19" x14ac:dyDescent="0.25">
      <c r="N750" s="9"/>
      <c r="O750" s="9"/>
      <c r="P750" s="9"/>
      <c r="Q750" s="9"/>
      <c r="R750" s="9"/>
      <c r="S750" s="9"/>
    </row>
    <row r="751" spans="11:19" x14ac:dyDescent="0.25">
      <c r="N751" s="9"/>
      <c r="O751" s="9"/>
      <c r="P751" s="9"/>
      <c r="Q751" s="9"/>
      <c r="R751" s="9"/>
      <c r="S751" s="9"/>
    </row>
    <row r="752" spans="11:19" x14ac:dyDescent="0.25">
      <c r="O752" s="9"/>
      <c r="P752" s="9"/>
      <c r="Q752" s="9"/>
      <c r="R752" s="9"/>
      <c r="S752" s="9"/>
    </row>
    <row r="753" spans="14:19" x14ac:dyDescent="0.25">
      <c r="O753" s="9"/>
      <c r="P753" s="9"/>
      <c r="Q753" s="9"/>
      <c r="R753" s="9"/>
      <c r="S753" s="9"/>
    </row>
    <row r="761" spans="14:19" x14ac:dyDescent="0.25">
      <c r="N761" s="41"/>
      <c r="O761" s="41"/>
      <c r="P761" s="41"/>
    </row>
    <row r="762" spans="14:19" x14ac:dyDescent="0.25">
      <c r="N762" s="41"/>
      <c r="O762" s="41"/>
      <c r="P762" s="41"/>
    </row>
    <row r="763" spans="14:19" x14ac:dyDescent="0.25">
      <c r="N763" s="41"/>
      <c r="O763" s="41"/>
      <c r="P763" s="41"/>
    </row>
    <row r="764" spans="14:19" x14ac:dyDescent="0.25">
      <c r="N764" s="41"/>
      <c r="O764" s="41"/>
      <c r="P764" s="41"/>
      <c r="Q764" s="41"/>
      <c r="R764" s="41"/>
      <c r="S764" s="41"/>
    </row>
    <row r="765" spans="14:19" x14ac:dyDescent="0.25">
      <c r="N765" s="41"/>
      <c r="O765" s="41"/>
      <c r="P765" s="41"/>
      <c r="Q765" s="41"/>
      <c r="R765" s="41"/>
      <c r="S765" s="41"/>
    </row>
    <row r="773" spans="14:19" x14ac:dyDescent="0.25">
      <c r="N773" s="41"/>
      <c r="O773" s="41"/>
      <c r="P773" s="41"/>
      <c r="Q773" s="41"/>
      <c r="R773" s="41"/>
      <c r="S773" s="41"/>
    </row>
    <row r="774" spans="14:19" x14ac:dyDescent="0.25">
      <c r="N774" s="41"/>
      <c r="O774" s="41"/>
      <c r="P774" s="41"/>
      <c r="Q774" s="41"/>
      <c r="R774" s="41"/>
      <c r="S774" s="41"/>
    </row>
    <row r="775" spans="14:19" x14ac:dyDescent="0.25">
      <c r="N775" s="41"/>
      <c r="O775" s="41"/>
      <c r="P775" s="41"/>
      <c r="Q775" s="41"/>
      <c r="R775" s="41"/>
      <c r="S775" s="41"/>
    </row>
    <row r="776" spans="14:19" x14ac:dyDescent="0.25">
      <c r="N776" s="41"/>
      <c r="O776" s="41"/>
      <c r="P776" s="41"/>
      <c r="Q776" s="41"/>
      <c r="R776" s="41"/>
      <c r="S776" s="41"/>
    </row>
    <row r="777" spans="14:19" x14ac:dyDescent="0.25">
      <c r="N777" s="41"/>
      <c r="O777" s="41"/>
      <c r="P777" s="41"/>
      <c r="Q777" s="41"/>
      <c r="R777" s="41"/>
      <c r="S777" s="41"/>
    </row>
    <row r="778" spans="14:19" x14ac:dyDescent="0.25">
      <c r="N778" s="41"/>
      <c r="O778" s="41"/>
      <c r="P778" s="41"/>
      <c r="Q778" s="41"/>
      <c r="R778" s="41"/>
      <c r="S778" s="41"/>
    </row>
    <row r="780" spans="14:19" x14ac:dyDescent="0.25">
      <c r="N780" s="9"/>
      <c r="O780" s="9"/>
      <c r="P780" s="9"/>
      <c r="Q780" s="9"/>
      <c r="R780" s="9"/>
      <c r="S780" s="9"/>
    </row>
    <row r="781" spans="14:19" x14ac:dyDescent="0.25">
      <c r="N781" s="9"/>
      <c r="O781" s="9"/>
      <c r="P781" s="9"/>
      <c r="Q781" s="9"/>
      <c r="R781" s="9"/>
      <c r="S781" s="9"/>
    </row>
    <row r="782" spans="14:19" x14ac:dyDescent="0.25">
      <c r="N782" s="9"/>
      <c r="O782" s="9"/>
      <c r="P782" s="9"/>
      <c r="Q782" s="9"/>
      <c r="R782" s="9"/>
      <c r="S782" s="9"/>
    </row>
    <row r="783" spans="14:19" x14ac:dyDescent="0.25">
      <c r="N783" s="9"/>
      <c r="O783" s="9"/>
      <c r="P783" s="9"/>
      <c r="Q783" s="9"/>
      <c r="R783" s="9"/>
      <c r="S783" s="9"/>
    </row>
    <row r="784" spans="14:19" x14ac:dyDescent="0.25">
      <c r="O784" s="9"/>
      <c r="P784" s="9"/>
      <c r="Q784" s="9"/>
      <c r="R784" s="9"/>
      <c r="S784" s="9"/>
    </row>
    <row r="785" spans="14:19" x14ac:dyDescent="0.25">
      <c r="O785" s="9"/>
      <c r="P785" s="9"/>
      <c r="Q785" s="9"/>
      <c r="R785" s="9"/>
      <c r="S785" s="9"/>
    </row>
    <row r="790" spans="14:19" x14ac:dyDescent="0.25">
      <c r="N790" s="41"/>
      <c r="O790" s="41"/>
      <c r="P790" s="41"/>
      <c r="Q790" s="9"/>
      <c r="R790" s="9"/>
      <c r="S790" s="9"/>
    </row>
    <row r="791" spans="14:19" x14ac:dyDescent="0.25">
      <c r="N791" s="41"/>
      <c r="O791" s="41"/>
      <c r="P791" s="41"/>
    </row>
    <row r="799" spans="14:19" x14ac:dyDescent="0.25">
      <c r="N799" s="41"/>
      <c r="O799" s="41"/>
      <c r="P799" s="41"/>
      <c r="Q799" s="41"/>
      <c r="R799" s="41"/>
      <c r="S799" s="41"/>
    </row>
    <row r="800" spans="14:19" x14ac:dyDescent="0.25">
      <c r="N800" s="41"/>
      <c r="O800" s="41"/>
      <c r="P800" s="41"/>
      <c r="Q800" s="41"/>
      <c r="R800" s="41"/>
      <c r="S800" s="41"/>
    </row>
    <row r="801" spans="14:19" x14ac:dyDescent="0.25">
      <c r="N801" s="41"/>
      <c r="O801" s="41"/>
      <c r="P801" s="41"/>
      <c r="Q801" s="41"/>
      <c r="R801" s="41"/>
      <c r="S801" s="41"/>
    </row>
    <row r="802" spans="14:19" x14ac:dyDescent="0.25">
      <c r="N802" s="41"/>
      <c r="O802" s="41"/>
      <c r="P802" s="41"/>
      <c r="Q802" s="41"/>
      <c r="R802" s="41"/>
      <c r="S802" s="41"/>
    </row>
    <row r="803" spans="14:19" x14ac:dyDescent="0.25">
      <c r="N803" s="41"/>
      <c r="O803" s="41"/>
      <c r="P803" s="41"/>
      <c r="Q803" s="41"/>
      <c r="R803" s="41"/>
      <c r="S803" s="41"/>
    </row>
    <row r="804" spans="14:19" x14ac:dyDescent="0.25">
      <c r="N804" s="41"/>
      <c r="O804" s="41"/>
      <c r="P804" s="41"/>
      <c r="Q804" s="41"/>
      <c r="R804" s="41"/>
      <c r="S804" s="41"/>
    </row>
    <row r="806" spans="14:19" x14ac:dyDescent="0.25">
      <c r="N806" s="9"/>
      <c r="O806" s="9"/>
      <c r="P806" s="9"/>
      <c r="Q806" s="9"/>
      <c r="R806" s="9"/>
      <c r="S806" s="9"/>
    </row>
    <row r="807" spans="14:19" x14ac:dyDescent="0.25">
      <c r="N807" s="9"/>
      <c r="O807" s="9"/>
      <c r="P807" s="9"/>
      <c r="Q807" s="9"/>
      <c r="R807" s="9"/>
      <c r="S807" s="9"/>
    </row>
    <row r="808" spans="14:19" x14ac:dyDescent="0.25">
      <c r="N808" s="9"/>
      <c r="O808" s="9"/>
      <c r="P808" s="9"/>
      <c r="Q808" s="9"/>
      <c r="R808" s="9"/>
      <c r="S808" s="9"/>
    </row>
    <row r="809" spans="14:19" x14ac:dyDescent="0.25">
      <c r="N809" s="9"/>
      <c r="O809" s="9"/>
      <c r="P809" s="9"/>
      <c r="Q809" s="9"/>
      <c r="R809" s="9"/>
      <c r="S809" s="9"/>
    </row>
    <row r="810" spans="14:19" x14ac:dyDescent="0.25">
      <c r="O810" s="9"/>
      <c r="P810" s="9"/>
      <c r="Q810" s="9"/>
      <c r="R810" s="9"/>
      <c r="S810" s="9"/>
    </row>
    <row r="811" spans="14:19" x14ac:dyDescent="0.25">
      <c r="O811" s="9"/>
      <c r="P811" s="9"/>
      <c r="Q811" s="9"/>
      <c r="R811" s="9"/>
      <c r="S811" s="9"/>
    </row>
    <row r="816" spans="14:19" x14ac:dyDescent="0.25">
      <c r="N816" s="41"/>
      <c r="O816" s="41"/>
      <c r="P816" s="41"/>
      <c r="Q816" s="41"/>
      <c r="R816" s="41"/>
      <c r="S816" s="41"/>
    </row>
    <row r="817" spans="14:19" x14ac:dyDescent="0.25">
      <c r="N817" s="41"/>
      <c r="O817" s="41"/>
      <c r="P817" s="41"/>
      <c r="Q817" s="41"/>
      <c r="R817" s="41"/>
      <c r="S817" s="41"/>
    </row>
    <row r="825" spans="14:19" x14ac:dyDescent="0.25">
      <c r="N825" s="41"/>
      <c r="O825" s="41"/>
      <c r="P825" s="41"/>
      <c r="Q825" s="41"/>
      <c r="R825" s="41"/>
      <c r="S825" s="41"/>
    </row>
    <row r="826" spans="14:19" x14ac:dyDescent="0.25">
      <c r="N826" s="41"/>
      <c r="O826" s="41"/>
      <c r="P826" s="41"/>
      <c r="Q826" s="41"/>
      <c r="R826" s="41"/>
      <c r="S826" s="41"/>
    </row>
    <row r="827" spans="14:19" x14ac:dyDescent="0.25">
      <c r="N827" s="41"/>
      <c r="O827" s="41"/>
      <c r="P827" s="41"/>
      <c r="Q827" s="41"/>
      <c r="R827" s="41"/>
      <c r="S827" s="41"/>
    </row>
    <row r="828" spans="14:19" x14ac:dyDescent="0.25">
      <c r="N828" s="41"/>
      <c r="O828" s="41"/>
      <c r="P828" s="41"/>
      <c r="Q828" s="41"/>
      <c r="R828" s="41"/>
      <c r="S828" s="41"/>
    </row>
    <row r="829" spans="14:19" x14ac:dyDescent="0.25">
      <c r="N829" s="41"/>
      <c r="O829" s="41"/>
      <c r="P829" s="41"/>
      <c r="Q829" s="41"/>
      <c r="R829" s="41"/>
      <c r="S829" s="41"/>
    </row>
    <row r="830" spans="14:19" x14ac:dyDescent="0.25">
      <c r="N830" s="41"/>
      <c r="O830" s="41"/>
      <c r="P830" s="41"/>
      <c r="Q830" s="41"/>
      <c r="R830" s="41"/>
      <c r="S830" s="41"/>
    </row>
    <row r="832" spans="14:19" x14ac:dyDescent="0.25">
      <c r="N832" s="9"/>
      <c r="O832" s="9"/>
      <c r="P832" s="9"/>
      <c r="Q832" s="9"/>
      <c r="R832" s="9"/>
      <c r="S832" s="9"/>
    </row>
    <row r="833" spans="14:19" x14ac:dyDescent="0.25">
      <c r="N833" s="9"/>
      <c r="O833" s="9"/>
      <c r="P833" s="9"/>
      <c r="Q833" s="9"/>
      <c r="R833" s="9"/>
      <c r="S833" s="9"/>
    </row>
    <row r="834" spans="14:19" x14ac:dyDescent="0.25">
      <c r="N834" s="9"/>
      <c r="O834" s="9"/>
      <c r="P834" s="9"/>
      <c r="Q834" s="9"/>
      <c r="R834" s="9"/>
      <c r="S834" s="9"/>
    </row>
    <row r="835" spans="14:19" x14ac:dyDescent="0.25">
      <c r="N835" s="9"/>
      <c r="O835" s="9"/>
      <c r="P835" s="9"/>
      <c r="Q835" s="9"/>
      <c r="R835" s="9"/>
      <c r="S835" s="9"/>
    </row>
    <row r="836" spans="14:19" x14ac:dyDescent="0.25">
      <c r="O836" s="9"/>
      <c r="P836" s="9"/>
      <c r="Q836" s="9"/>
      <c r="R836" s="9"/>
      <c r="S836" s="9"/>
    </row>
    <row r="837" spans="14:19" x14ac:dyDescent="0.25">
      <c r="O837" s="9"/>
      <c r="P837" s="9"/>
      <c r="Q837" s="9"/>
      <c r="R837" s="9"/>
      <c r="S837" s="9"/>
    </row>
    <row r="849" spans="14:19" x14ac:dyDescent="0.25">
      <c r="N849" s="41"/>
      <c r="O849" s="41"/>
      <c r="P849" s="41"/>
      <c r="Q849" s="41"/>
      <c r="R849" s="41"/>
      <c r="S849" s="41"/>
    </row>
    <row r="850" spans="14:19" x14ac:dyDescent="0.25">
      <c r="N850" s="41"/>
      <c r="O850" s="41"/>
      <c r="P850" s="41"/>
      <c r="Q850" s="41"/>
      <c r="R850" s="41"/>
      <c r="S850" s="41"/>
    </row>
    <row r="851" spans="14:19" x14ac:dyDescent="0.25">
      <c r="N851" s="41"/>
      <c r="O851" s="41"/>
      <c r="P851" s="41"/>
      <c r="Q851" s="41"/>
      <c r="R851" s="41"/>
      <c r="S851" s="41"/>
    </row>
    <row r="852" spans="14:19" x14ac:dyDescent="0.25">
      <c r="N852" s="41"/>
      <c r="O852" s="41"/>
      <c r="P852" s="41"/>
      <c r="Q852" s="41"/>
      <c r="R852" s="41"/>
      <c r="S852" s="41"/>
    </row>
    <row r="853" spans="14:19" x14ac:dyDescent="0.25">
      <c r="N853" s="41"/>
      <c r="O853" s="41"/>
      <c r="P853" s="41"/>
      <c r="Q853" s="41"/>
      <c r="R853" s="41"/>
      <c r="S853" s="41"/>
    </row>
    <row r="854" spans="14:19" x14ac:dyDescent="0.25">
      <c r="N854" s="41"/>
      <c r="O854" s="41"/>
      <c r="P854" s="41"/>
      <c r="Q854" s="41"/>
      <c r="R854" s="41"/>
      <c r="S854" s="41"/>
    </row>
    <row r="856" spans="14:19" x14ac:dyDescent="0.25">
      <c r="N856" s="9"/>
      <c r="O856" s="9"/>
      <c r="P856" s="9"/>
      <c r="Q856" s="9"/>
      <c r="R856" s="9"/>
      <c r="S856" s="9"/>
    </row>
    <row r="857" spans="14:19" x14ac:dyDescent="0.25">
      <c r="N857" s="9"/>
      <c r="O857" s="9"/>
      <c r="P857" s="9"/>
      <c r="Q857" s="9"/>
      <c r="R857" s="9"/>
      <c r="S857" s="9"/>
    </row>
    <row r="858" spans="14:19" x14ac:dyDescent="0.25">
      <c r="N858" s="9"/>
      <c r="O858" s="9"/>
      <c r="P858" s="9"/>
      <c r="Q858" s="9"/>
      <c r="R858" s="9"/>
      <c r="S858" s="9"/>
    </row>
    <row r="859" spans="14:19" x14ac:dyDescent="0.25">
      <c r="N859" s="9"/>
      <c r="O859" s="9"/>
      <c r="P859" s="9"/>
      <c r="Q859" s="9"/>
      <c r="R859" s="9"/>
      <c r="S859" s="9"/>
    </row>
    <row r="860" spans="14:19" x14ac:dyDescent="0.25">
      <c r="O860" s="9"/>
      <c r="P860" s="9"/>
      <c r="Q860" s="9"/>
      <c r="R860" s="9"/>
      <c r="S860" s="9"/>
    </row>
    <row r="861" spans="14:19" x14ac:dyDescent="0.25">
      <c r="O861" s="9"/>
      <c r="P861" s="9"/>
      <c r="Q861" s="9"/>
      <c r="R861" s="9"/>
      <c r="S861" s="9"/>
    </row>
    <row r="867" spans="14:19" x14ac:dyDescent="0.25">
      <c r="N867" s="41"/>
    </row>
    <row r="877" spans="14:19" x14ac:dyDescent="0.25">
      <c r="N877" s="41"/>
      <c r="O877" s="41"/>
      <c r="P877" s="41"/>
      <c r="Q877" s="41"/>
      <c r="R877" s="41"/>
      <c r="S877" s="41"/>
    </row>
    <row r="878" spans="14:19" x14ac:dyDescent="0.25">
      <c r="N878" s="41"/>
      <c r="O878" s="41"/>
      <c r="P878" s="41"/>
      <c r="Q878" s="41"/>
      <c r="R878" s="41"/>
      <c r="S878" s="41"/>
    </row>
    <row r="879" spans="14:19" x14ac:dyDescent="0.25">
      <c r="N879" s="41"/>
      <c r="O879" s="41"/>
      <c r="P879" s="41"/>
      <c r="Q879" s="41"/>
      <c r="R879" s="41"/>
      <c r="S879" s="41"/>
    </row>
    <row r="880" spans="14:19" x14ac:dyDescent="0.25">
      <c r="N880" s="41"/>
      <c r="O880" s="41"/>
      <c r="P880" s="41"/>
      <c r="Q880" s="41"/>
      <c r="R880" s="41"/>
      <c r="S880" s="41"/>
    </row>
    <row r="881" spans="14:19" x14ac:dyDescent="0.25">
      <c r="N881" s="41"/>
      <c r="O881" s="41"/>
      <c r="P881" s="41"/>
      <c r="Q881" s="41"/>
      <c r="R881" s="41"/>
      <c r="S881" s="41"/>
    </row>
    <row r="882" spans="14:19" x14ac:dyDescent="0.25">
      <c r="N882" s="41"/>
      <c r="O882" s="41"/>
      <c r="P882" s="41"/>
      <c r="Q882" s="41"/>
      <c r="R882" s="41"/>
      <c r="S882" s="41"/>
    </row>
    <row r="884" spans="14:19" x14ac:dyDescent="0.25">
      <c r="N884" s="9"/>
      <c r="O884" s="9"/>
      <c r="P884" s="9"/>
      <c r="Q884" s="9"/>
      <c r="R884" s="9"/>
      <c r="S884" s="9"/>
    </row>
    <row r="885" spans="14:19" x14ac:dyDescent="0.25">
      <c r="N885" s="9"/>
      <c r="O885" s="9"/>
      <c r="P885" s="9"/>
      <c r="Q885" s="9"/>
      <c r="R885" s="9"/>
      <c r="S885" s="9"/>
    </row>
    <row r="886" spans="14:19" x14ac:dyDescent="0.25">
      <c r="N886" s="9"/>
      <c r="O886" s="9"/>
      <c r="P886" s="9"/>
      <c r="Q886" s="9"/>
      <c r="R886" s="9"/>
      <c r="S886" s="9"/>
    </row>
    <row r="887" spans="14:19" x14ac:dyDescent="0.25">
      <c r="N887" s="9"/>
      <c r="O887" s="9"/>
      <c r="P887" s="9"/>
      <c r="Q887" s="9"/>
      <c r="R887" s="9"/>
      <c r="S887" s="9"/>
    </row>
    <row r="888" spans="14:19" x14ac:dyDescent="0.25">
      <c r="O888" s="9"/>
      <c r="P888" s="9"/>
      <c r="Q888" s="9"/>
      <c r="R888" s="9"/>
      <c r="S888" s="9"/>
    </row>
    <row r="889" spans="14:19" x14ac:dyDescent="0.25">
      <c r="O889" s="9"/>
      <c r="P889" s="9"/>
      <c r="Q889" s="9"/>
      <c r="R889" s="9"/>
      <c r="S889" s="9"/>
    </row>
    <row r="895" spans="14:19" x14ac:dyDescent="0.25">
      <c r="N895" s="41"/>
    </row>
    <row r="896" spans="14:19" x14ac:dyDescent="0.25">
      <c r="N896" s="41"/>
    </row>
    <row r="897" spans="14:14" x14ac:dyDescent="0.25">
      <c r="N897" s="41"/>
    </row>
    <row r="914" spans="14:19" x14ac:dyDescent="0.25">
      <c r="N914" s="41"/>
      <c r="O914" s="41"/>
      <c r="P914" s="41"/>
      <c r="Q914" s="41"/>
      <c r="R914" s="41"/>
      <c r="S914" s="41"/>
    </row>
    <row r="915" spans="14:19" x14ac:dyDescent="0.25">
      <c r="N915" s="41"/>
      <c r="O915" s="41"/>
      <c r="P915" s="41"/>
      <c r="Q915" s="41"/>
      <c r="R915" s="41"/>
      <c r="S915" s="41"/>
    </row>
    <row r="916" spans="14:19" x14ac:dyDescent="0.25">
      <c r="N916" s="41"/>
      <c r="O916" s="41"/>
      <c r="P916" s="41"/>
      <c r="Q916" s="41"/>
      <c r="R916" s="41"/>
      <c r="S916" s="41"/>
    </row>
    <row r="917" spans="14:19" x14ac:dyDescent="0.25">
      <c r="N917" s="41"/>
      <c r="O917" s="41"/>
      <c r="P917" s="41"/>
      <c r="Q917" s="41"/>
      <c r="R917" s="41"/>
      <c r="S917" s="41"/>
    </row>
    <row r="918" spans="14:19" x14ac:dyDescent="0.25">
      <c r="N918" s="41"/>
      <c r="O918" s="41"/>
      <c r="P918" s="41"/>
      <c r="Q918" s="41"/>
      <c r="R918" s="41"/>
      <c r="S918" s="41"/>
    </row>
    <row r="919" spans="14:19" x14ac:dyDescent="0.25">
      <c r="N919" s="41"/>
      <c r="O919" s="41"/>
      <c r="P919" s="41"/>
      <c r="Q919" s="41"/>
      <c r="R919" s="41"/>
      <c r="S919" s="41"/>
    </row>
    <row r="921" spans="14:19" x14ac:dyDescent="0.25">
      <c r="N921" s="9"/>
      <c r="O921" s="9"/>
      <c r="P921" s="9"/>
      <c r="Q921" s="9"/>
      <c r="R921" s="9"/>
      <c r="S921" s="9"/>
    </row>
    <row r="922" spans="14:19" x14ac:dyDescent="0.25">
      <c r="N922" s="9"/>
      <c r="O922" s="9"/>
      <c r="P922" s="9"/>
      <c r="Q922" s="9"/>
      <c r="R922" s="9"/>
      <c r="S922" s="9"/>
    </row>
    <row r="923" spans="14:19" x14ac:dyDescent="0.25">
      <c r="N923" s="9"/>
      <c r="O923" s="9"/>
      <c r="P923" s="9"/>
      <c r="Q923" s="9"/>
      <c r="R923" s="9"/>
      <c r="S923" s="9"/>
    </row>
    <row r="924" spans="14:19" x14ac:dyDescent="0.25">
      <c r="N924" s="9"/>
      <c r="O924" s="9"/>
      <c r="P924" s="9"/>
      <c r="Q924" s="9"/>
      <c r="R924" s="9"/>
      <c r="S924" s="9"/>
    </row>
    <row r="925" spans="14:19" x14ac:dyDescent="0.25">
      <c r="O925" s="9"/>
      <c r="P925" s="9"/>
      <c r="Q925" s="9"/>
      <c r="R925" s="9"/>
      <c r="S925" s="9"/>
    </row>
    <row r="926" spans="14:19" x14ac:dyDescent="0.25">
      <c r="O926" s="9"/>
      <c r="P926" s="9"/>
      <c r="Q926" s="9"/>
      <c r="R926" s="9"/>
      <c r="S926" s="9"/>
    </row>
    <row r="932" spans="14:19" x14ac:dyDescent="0.25">
      <c r="N932" s="41"/>
    </row>
    <row r="942" spans="14:19" x14ac:dyDescent="0.25">
      <c r="N942" s="41"/>
      <c r="O942" s="41"/>
      <c r="P942" s="41"/>
      <c r="Q942" s="41"/>
      <c r="R942" s="41"/>
      <c r="S942" s="41"/>
    </row>
    <row r="943" spans="14:19" x14ac:dyDescent="0.25">
      <c r="N943" s="41"/>
      <c r="O943" s="41"/>
      <c r="P943" s="41"/>
      <c r="Q943" s="41"/>
      <c r="R943" s="41"/>
      <c r="S943" s="41"/>
    </row>
    <row r="944" spans="14:19" x14ac:dyDescent="0.25">
      <c r="N944" s="41"/>
      <c r="O944" s="41"/>
      <c r="P944" s="41"/>
      <c r="Q944" s="41"/>
      <c r="R944" s="41"/>
      <c r="S944" s="41"/>
    </row>
    <row r="945" spans="14:19" x14ac:dyDescent="0.25">
      <c r="N945" s="41"/>
      <c r="O945" s="41"/>
      <c r="P945" s="41"/>
      <c r="Q945" s="41"/>
      <c r="R945" s="41"/>
      <c r="S945" s="41"/>
    </row>
    <row r="946" spans="14:19" x14ac:dyDescent="0.25">
      <c r="N946" s="41"/>
      <c r="O946" s="41"/>
      <c r="P946" s="41"/>
      <c r="Q946" s="41"/>
      <c r="R946" s="41"/>
      <c r="S946" s="41"/>
    </row>
    <row r="947" spans="14:19" x14ac:dyDescent="0.25">
      <c r="N947" s="41"/>
      <c r="O947" s="41"/>
      <c r="P947" s="41"/>
      <c r="Q947" s="41"/>
      <c r="R947" s="41"/>
      <c r="S947" s="41"/>
    </row>
    <row r="949" spans="14:19" x14ac:dyDescent="0.25">
      <c r="N949" s="9"/>
      <c r="O949" s="9"/>
      <c r="P949" s="9"/>
      <c r="Q949" s="9"/>
      <c r="R949" s="9"/>
      <c r="S949" s="9"/>
    </row>
    <row r="950" spans="14:19" x14ac:dyDescent="0.25">
      <c r="N950" s="9"/>
      <c r="O950" s="9"/>
      <c r="P950" s="9"/>
      <c r="Q950" s="9"/>
      <c r="R950" s="9"/>
      <c r="S950" s="9"/>
    </row>
    <row r="951" spans="14:19" x14ac:dyDescent="0.25">
      <c r="N951" s="9"/>
      <c r="O951" s="9"/>
      <c r="P951" s="9"/>
      <c r="Q951" s="9"/>
      <c r="R951" s="9"/>
      <c r="S951" s="9"/>
    </row>
    <row r="952" spans="14:19" x14ac:dyDescent="0.25">
      <c r="N952" s="9"/>
      <c r="O952" s="9"/>
      <c r="P952" s="9"/>
      <c r="Q952" s="9"/>
      <c r="R952" s="9"/>
      <c r="S952" s="9"/>
    </row>
    <row r="953" spans="14:19" x14ac:dyDescent="0.25">
      <c r="O953" s="9"/>
      <c r="P953" s="9"/>
      <c r="Q953" s="9"/>
      <c r="R953" s="9"/>
      <c r="S953" s="9"/>
    </row>
    <row r="954" spans="14:19" x14ac:dyDescent="0.25">
      <c r="O954" s="9"/>
      <c r="P954" s="9"/>
      <c r="Q954" s="9"/>
      <c r="R954" s="9"/>
      <c r="S954" s="9"/>
    </row>
    <row r="960" spans="14:19" x14ac:dyDescent="0.25">
      <c r="N960" s="41"/>
    </row>
    <row r="961" spans="14:14" x14ac:dyDescent="0.25">
      <c r="N961" s="41"/>
    </row>
    <row r="962" spans="14:14" x14ac:dyDescent="0.25">
      <c r="N962" s="41"/>
    </row>
    <row r="979" spans="14:19" x14ac:dyDescent="0.25">
      <c r="N979" s="41"/>
      <c r="O979" s="41"/>
      <c r="P979" s="41"/>
      <c r="Q979" s="41"/>
      <c r="R979" s="41"/>
      <c r="S979" s="41"/>
    </row>
    <row r="980" spans="14:19" x14ac:dyDescent="0.25">
      <c r="N980" s="41"/>
      <c r="O980" s="41"/>
      <c r="P980" s="41"/>
      <c r="Q980" s="41"/>
      <c r="R980" s="41"/>
      <c r="S980" s="41"/>
    </row>
    <row r="981" spans="14:19" x14ac:dyDescent="0.25">
      <c r="N981" s="41"/>
      <c r="O981" s="41"/>
      <c r="P981" s="41"/>
      <c r="Q981" s="41"/>
      <c r="R981" s="41"/>
      <c r="S981" s="41"/>
    </row>
    <row r="982" spans="14:19" x14ac:dyDescent="0.25">
      <c r="N982" s="41"/>
      <c r="O982" s="41"/>
      <c r="P982" s="41"/>
      <c r="Q982" s="41"/>
      <c r="R982" s="41"/>
      <c r="S982" s="41"/>
    </row>
    <row r="983" spans="14:19" x14ac:dyDescent="0.25">
      <c r="N983" s="41"/>
      <c r="O983" s="41"/>
      <c r="P983" s="41"/>
      <c r="Q983" s="41"/>
      <c r="R983" s="41"/>
      <c r="S983" s="41"/>
    </row>
    <row r="984" spans="14:19" x14ac:dyDescent="0.25">
      <c r="N984" s="41"/>
      <c r="O984" s="41"/>
      <c r="P984" s="41"/>
      <c r="Q984" s="41"/>
      <c r="R984" s="41"/>
      <c r="S984" s="41"/>
    </row>
    <row r="986" spans="14:19" x14ac:dyDescent="0.25">
      <c r="N986" s="9"/>
      <c r="O986" s="9"/>
      <c r="P986" s="9"/>
      <c r="Q986" s="9"/>
      <c r="R986" s="9"/>
      <c r="S986" s="9"/>
    </row>
    <row r="987" spans="14:19" x14ac:dyDescent="0.25">
      <c r="N987" s="9"/>
      <c r="O987" s="9"/>
      <c r="P987" s="9"/>
      <c r="Q987" s="9"/>
      <c r="R987" s="9"/>
      <c r="S987" s="9"/>
    </row>
    <row r="988" spans="14:19" x14ac:dyDescent="0.25">
      <c r="N988" s="9"/>
      <c r="O988" s="9"/>
      <c r="P988" s="9"/>
      <c r="Q988" s="9"/>
      <c r="R988" s="9"/>
      <c r="S988" s="9"/>
    </row>
    <row r="989" spans="14:19" x14ac:dyDescent="0.25">
      <c r="N989" s="9"/>
      <c r="O989" s="9"/>
      <c r="P989" s="9"/>
      <c r="Q989" s="9"/>
      <c r="R989" s="9"/>
      <c r="S989" s="9"/>
    </row>
    <row r="990" spans="14:19" x14ac:dyDescent="0.25">
      <c r="O990" s="9"/>
      <c r="P990" s="9"/>
      <c r="Q990" s="9"/>
      <c r="R990" s="9"/>
      <c r="S990" s="9"/>
    </row>
    <row r="991" spans="14:19" x14ac:dyDescent="0.25">
      <c r="O991" s="9"/>
      <c r="P991" s="9"/>
      <c r="Q991" s="9"/>
      <c r="R991" s="9"/>
      <c r="S991" s="9"/>
    </row>
    <row r="997" spans="14:19" x14ac:dyDescent="0.25">
      <c r="N997" s="41"/>
    </row>
    <row r="999" spans="14:19" x14ac:dyDescent="0.25">
      <c r="N999" s="9"/>
      <c r="O999" s="9"/>
      <c r="P999" s="9"/>
      <c r="Q999" s="9"/>
      <c r="R999" s="9"/>
      <c r="S999" s="9"/>
    </row>
    <row r="1000" spans="14:19" x14ac:dyDescent="0.25">
      <c r="N1000" s="9"/>
      <c r="O1000" s="9"/>
      <c r="P1000" s="9"/>
      <c r="Q1000" s="9"/>
      <c r="R1000" s="9"/>
      <c r="S1000" s="9"/>
    </row>
    <row r="1001" spans="14:19" x14ac:dyDescent="0.25">
      <c r="N1001" s="9"/>
      <c r="O1001" s="9"/>
      <c r="P1001" s="9"/>
      <c r="Q1001" s="9"/>
      <c r="R1001" s="9"/>
      <c r="S1001" s="9"/>
    </row>
    <row r="1002" spans="14:19" x14ac:dyDescent="0.25">
      <c r="N1002" s="9"/>
      <c r="O1002" s="9"/>
      <c r="P1002" s="9"/>
      <c r="Q1002" s="9"/>
      <c r="R1002" s="9"/>
      <c r="S1002" s="9"/>
    </row>
    <row r="1003" spans="14:19" x14ac:dyDescent="0.25">
      <c r="O1003" s="9"/>
      <c r="P1003" s="9"/>
      <c r="Q1003" s="9"/>
      <c r="R1003" s="9"/>
      <c r="S1003" s="9"/>
    </row>
    <row r="1004" spans="14:19" x14ac:dyDescent="0.25">
      <c r="O1004" s="9"/>
      <c r="P1004" s="9"/>
      <c r="Q1004" s="9"/>
      <c r="R1004" s="9"/>
      <c r="S1004" s="9"/>
    </row>
    <row r="1021" spans="14:19" x14ac:dyDescent="0.25">
      <c r="N1021" s="41"/>
      <c r="O1021" s="41"/>
      <c r="P1021" s="41"/>
      <c r="Q1021" s="41"/>
      <c r="R1021" s="41"/>
      <c r="S1021" s="41"/>
    </row>
    <row r="1022" spans="14:19" x14ac:dyDescent="0.25">
      <c r="N1022" s="41"/>
      <c r="O1022" s="41"/>
      <c r="P1022" s="41"/>
      <c r="Q1022" s="41"/>
      <c r="R1022" s="41"/>
      <c r="S1022" s="41"/>
    </row>
    <row r="1023" spans="14:19" x14ac:dyDescent="0.25">
      <c r="N1023" s="41"/>
      <c r="O1023" s="41"/>
      <c r="P1023" s="41"/>
      <c r="Q1023" s="41"/>
      <c r="R1023" s="41"/>
      <c r="S1023" s="41"/>
    </row>
    <row r="1024" spans="14:19" x14ac:dyDescent="0.25">
      <c r="N1024" s="41"/>
      <c r="O1024" s="41"/>
      <c r="P1024" s="41"/>
      <c r="Q1024" s="41"/>
      <c r="R1024" s="41"/>
      <c r="S1024" s="41"/>
    </row>
    <row r="1025" spans="14:19" x14ac:dyDescent="0.25">
      <c r="N1025" s="41"/>
      <c r="O1025" s="41"/>
      <c r="P1025" s="41"/>
      <c r="Q1025" s="41"/>
      <c r="R1025" s="41"/>
      <c r="S1025" s="41"/>
    </row>
    <row r="1026" spans="14:19" x14ac:dyDescent="0.25">
      <c r="N1026" s="41"/>
      <c r="O1026" s="41"/>
      <c r="P1026" s="41"/>
      <c r="Q1026" s="41"/>
      <c r="R1026" s="41"/>
      <c r="S1026" s="41"/>
    </row>
    <row r="1028" spans="14:19" x14ac:dyDescent="0.25">
      <c r="N1028" s="9"/>
      <c r="O1028" s="9"/>
      <c r="P1028" s="9"/>
      <c r="Q1028" s="9"/>
      <c r="R1028" s="9"/>
      <c r="S1028" s="9"/>
    </row>
    <row r="1029" spans="14:19" x14ac:dyDescent="0.25">
      <c r="N1029" s="9"/>
      <c r="O1029" s="9"/>
      <c r="P1029" s="9"/>
      <c r="Q1029" s="9"/>
      <c r="R1029" s="9"/>
      <c r="S1029" s="9"/>
    </row>
    <row r="1030" spans="14:19" x14ac:dyDescent="0.25">
      <c r="N1030" s="9"/>
      <c r="O1030" s="9"/>
      <c r="P1030" s="9"/>
      <c r="Q1030" s="9"/>
      <c r="R1030" s="9"/>
      <c r="S1030" s="9"/>
    </row>
    <row r="1031" spans="14:19" x14ac:dyDescent="0.25">
      <c r="N1031" s="9"/>
      <c r="O1031" s="9"/>
      <c r="P1031" s="9"/>
      <c r="Q1031" s="9"/>
      <c r="R1031" s="9"/>
      <c r="S1031" s="9"/>
    </row>
    <row r="1032" spans="14:19" x14ac:dyDescent="0.25">
      <c r="O1032" s="9"/>
      <c r="P1032" s="9"/>
      <c r="Q1032" s="9"/>
      <c r="R1032" s="9"/>
      <c r="S1032" s="9"/>
    </row>
    <row r="1033" spans="14:19" x14ac:dyDescent="0.25">
      <c r="O1033" s="9"/>
      <c r="P1033" s="9"/>
      <c r="Q1033" s="9"/>
      <c r="R1033" s="9"/>
      <c r="S1033" s="9"/>
    </row>
    <row r="1050" spans="14:19" x14ac:dyDescent="0.25">
      <c r="N1050" s="41"/>
      <c r="O1050" s="41"/>
      <c r="P1050" s="41"/>
      <c r="Q1050" s="41"/>
      <c r="R1050" s="41"/>
      <c r="S1050" s="41"/>
    </row>
    <row r="1051" spans="14:19" x14ac:dyDescent="0.25">
      <c r="N1051" s="41"/>
      <c r="O1051" s="41"/>
      <c r="P1051" s="41"/>
      <c r="Q1051" s="41"/>
      <c r="R1051" s="41"/>
      <c r="S1051" s="41"/>
    </row>
    <row r="1052" spans="14:19" x14ac:dyDescent="0.25">
      <c r="N1052" s="41"/>
      <c r="O1052" s="41"/>
      <c r="P1052" s="41"/>
      <c r="Q1052" s="41"/>
      <c r="R1052" s="41"/>
      <c r="S1052" s="41"/>
    </row>
    <row r="1053" spans="14:19" x14ac:dyDescent="0.25">
      <c r="N1053" s="41"/>
      <c r="O1053" s="41"/>
      <c r="P1053" s="41"/>
      <c r="Q1053" s="41"/>
      <c r="R1053" s="41"/>
      <c r="S1053" s="41"/>
    </row>
    <row r="1054" spans="14:19" x14ac:dyDescent="0.25">
      <c r="N1054" s="41"/>
      <c r="O1054" s="41"/>
      <c r="P1054" s="41"/>
      <c r="Q1054" s="41"/>
      <c r="R1054" s="41"/>
      <c r="S1054" s="41"/>
    </row>
    <row r="1055" spans="14:19" x14ac:dyDescent="0.25">
      <c r="N1055" s="41"/>
      <c r="O1055" s="41"/>
      <c r="P1055" s="41"/>
      <c r="Q1055" s="41"/>
      <c r="R1055" s="41"/>
      <c r="S1055" s="41"/>
    </row>
    <row r="1057" spans="14:19" x14ac:dyDescent="0.25">
      <c r="N1057" s="9"/>
      <c r="O1057" s="9"/>
      <c r="P1057" s="9"/>
      <c r="Q1057" s="9"/>
      <c r="R1057" s="9"/>
      <c r="S1057" s="9"/>
    </row>
    <row r="1058" spans="14:19" x14ac:dyDescent="0.25">
      <c r="N1058" s="9"/>
      <c r="O1058" s="9"/>
      <c r="P1058" s="9"/>
      <c r="Q1058" s="9"/>
      <c r="R1058" s="9"/>
      <c r="S1058" s="9"/>
    </row>
    <row r="1059" spans="14:19" x14ac:dyDescent="0.25">
      <c r="N1059" s="9"/>
      <c r="O1059" s="9"/>
      <c r="P1059" s="9"/>
      <c r="Q1059" s="9"/>
      <c r="R1059" s="9"/>
      <c r="S1059" s="9"/>
    </row>
    <row r="1060" spans="14:19" x14ac:dyDescent="0.25">
      <c r="N1060" s="9"/>
      <c r="O1060" s="9"/>
      <c r="P1060" s="9"/>
      <c r="Q1060" s="9"/>
      <c r="R1060" s="9"/>
      <c r="S1060" s="9"/>
    </row>
    <row r="1061" spans="14:19" x14ac:dyDescent="0.25">
      <c r="O1061" s="9"/>
      <c r="P1061" s="9"/>
      <c r="Q1061" s="9"/>
      <c r="R1061" s="9"/>
      <c r="S1061" s="9"/>
    </row>
    <row r="1062" spans="14:19" x14ac:dyDescent="0.25">
      <c r="O1062" s="9"/>
      <c r="P1062" s="9"/>
      <c r="Q1062" s="9"/>
      <c r="R1062" s="9"/>
      <c r="S1062" s="9"/>
    </row>
    <row r="1076" spans="14:19" x14ac:dyDescent="0.25">
      <c r="N1076" s="41"/>
      <c r="O1076" s="41"/>
      <c r="P1076" s="41"/>
      <c r="Q1076" s="41"/>
      <c r="R1076" s="41"/>
      <c r="S1076" s="41"/>
    </row>
    <row r="1077" spans="14:19" x14ac:dyDescent="0.25">
      <c r="N1077" s="41"/>
      <c r="O1077" s="41"/>
      <c r="P1077" s="41"/>
      <c r="Q1077" s="41"/>
      <c r="R1077" s="41"/>
      <c r="S1077" s="41"/>
    </row>
    <row r="1085" spans="14:19" x14ac:dyDescent="0.25">
      <c r="N1085" s="41"/>
      <c r="O1085" s="41"/>
      <c r="P1085" s="41"/>
      <c r="Q1085" s="41"/>
      <c r="R1085" s="41"/>
      <c r="S1085" s="41"/>
    </row>
    <row r="1093" spans="14:19" x14ac:dyDescent="0.25">
      <c r="N1093" s="41"/>
      <c r="O1093" s="41"/>
      <c r="P1093" s="41"/>
      <c r="Q1093" s="41"/>
      <c r="R1093" s="41"/>
      <c r="S1093" s="41"/>
    </row>
    <row r="1094" spans="14:19" x14ac:dyDescent="0.25">
      <c r="N1094" s="41"/>
      <c r="O1094" s="41"/>
      <c r="P1094" s="41"/>
      <c r="Q1094" s="41"/>
      <c r="R1094" s="41"/>
      <c r="S1094" s="41"/>
    </row>
    <row r="1095" spans="14:19" x14ac:dyDescent="0.25">
      <c r="N1095" s="9"/>
      <c r="O1095" s="9"/>
      <c r="P1095" s="9"/>
      <c r="Q1095" s="9"/>
      <c r="R1095" s="9"/>
      <c r="S1095" s="9"/>
    </row>
    <row r="1096" spans="14:19" x14ac:dyDescent="0.25">
      <c r="N1096" s="9"/>
      <c r="O1096" s="9"/>
      <c r="P1096" s="9"/>
      <c r="Q1096" s="9"/>
      <c r="R1096" s="9"/>
      <c r="S1096" s="9"/>
    </row>
    <row r="1104" spans="14:19" x14ac:dyDescent="0.25">
      <c r="N1104" s="41"/>
      <c r="O1104" s="41"/>
      <c r="P1104" s="41"/>
      <c r="Q1104" s="41"/>
      <c r="R1104" s="41"/>
      <c r="S1104" s="41"/>
    </row>
    <row r="1105" spans="11:19" x14ac:dyDescent="0.25">
      <c r="N1105" s="41"/>
      <c r="O1105" s="41"/>
      <c r="P1105" s="41"/>
      <c r="Q1105" s="41"/>
      <c r="R1105" s="41"/>
      <c r="S1105" s="41"/>
    </row>
    <row r="1106" spans="11:19" x14ac:dyDescent="0.25">
      <c r="N1106" s="41"/>
      <c r="O1106" s="41"/>
      <c r="P1106" s="41"/>
      <c r="Q1106" s="41"/>
      <c r="R1106" s="41"/>
      <c r="S1106" s="41"/>
    </row>
    <row r="1107" spans="11:19" x14ac:dyDescent="0.25">
      <c r="O1107" s="41"/>
      <c r="P1107" s="41"/>
      <c r="Q1107" s="41"/>
      <c r="R1107" s="41"/>
      <c r="S1107" s="41"/>
    </row>
    <row r="1108" spans="11:19" x14ac:dyDescent="0.25">
      <c r="N1108" s="41"/>
      <c r="O1108" s="41"/>
      <c r="P1108" s="41"/>
      <c r="Q1108" s="41"/>
      <c r="R1108" s="41"/>
      <c r="S1108" s="41"/>
    </row>
    <row r="1109" spans="11:19" x14ac:dyDescent="0.25">
      <c r="N1109" s="41"/>
      <c r="O1109" s="41"/>
      <c r="P1109" s="41"/>
      <c r="Q1109" s="41"/>
      <c r="R1109" s="41"/>
      <c r="S1109" s="41"/>
    </row>
    <row r="1110" spans="11:19" x14ac:dyDescent="0.25">
      <c r="K1110" s="41"/>
    </row>
    <row r="1111" spans="11:19" x14ac:dyDescent="0.25">
      <c r="N1111" s="9"/>
      <c r="O1111" s="9"/>
      <c r="P1111" s="9"/>
      <c r="Q1111" s="9"/>
      <c r="R1111" s="9"/>
      <c r="S1111" s="9"/>
    </row>
    <row r="1112" spans="11:19" x14ac:dyDescent="0.25">
      <c r="N1112" s="9"/>
      <c r="O1112" s="9"/>
      <c r="P1112" s="9"/>
      <c r="Q1112" s="9"/>
      <c r="R1112" s="9"/>
      <c r="S1112" s="9"/>
    </row>
    <row r="1113" spans="11:19" x14ac:dyDescent="0.25">
      <c r="N1113" s="9"/>
      <c r="O1113" s="9"/>
      <c r="P1113" s="9"/>
      <c r="Q1113" s="9"/>
      <c r="R1113" s="9"/>
      <c r="S1113" s="9"/>
    </row>
    <row r="1114" spans="11:19" x14ac:dyDescent="0.25">
      <c r="N1114" s="9"/>
      <c r="O1114" s="9"/>
      <c r="P1114" s="9"/>
      <c r="Q1114" s="9"/>
      <c r="R1114" s="9"/>
      <c r="S1114" s="9"/>
    </row>
    <row r="1115" spans="11:19" x14ac:dyDescent="0.25">
      <c r="O1115" s="9"/>
      <c r="P1115" s="9"/>
      <c r="Q1115" s="9"/>
      <c r="R1115" s="9"/>
      <c r="S1115" s="9"/>
    </row>
    <row r="1116" spans="11:19" x14ac:dyDescent="0.25">
      <c r="O1116" s="9"/>
      <c r="P1116" s="9"/>
      <c r="Q1116" s="9"/>
      <c r="R1116" s="9"/>
      <c r="S1116" s="9"/>
    </row>
    <row r="1124" spans="14:19" x14ac:dyDescent="0.25">
      <c r="N1124" s="41"/>
      <c r="O1124" s="41"/>
      <c r="P1124" s="41"/>
    </row>
    <row r="1125" spans="14:19" x14ac:dyDescent="0.25">
      <c r="N1125" s="41"/>
      <c r="O1125" s="41"/>
      <c r="P1125" s="41"/>
    </row>
    <row r="1126" spans="14:19" x14ac:dyDescent="0.25">
      <c r="N1126" s="41"/>
      <c r="O1126" s="41"/>
      <c r="P1126" s="41"/>
    </row>
    <row r="1127" spans="14:19" x14ac:dyDescent="0.25">
      <c r="N1127" s="41"/>
      <c r="O1127" s="41"/>
      <c r="P1127" s="41"/>
      <c r="Q1127" s="41"/>
      <c r="R1127" s="41"/>
      <c r="S1127" s="41"/>
    </row>
    <row r="1128" spans="14:19" x14ac:dyDescent="0.25">
      <c r="N1128" s="41"/>
      <c r="O1128" s="41"/>
      <c r="P1128" s="41"/>
      <c r="Q1128" s="41"/>
      <c r="R1128" s="41"/>
      <c r="S1128" s="41"/>
    </row>
    <row r="1136" spans="14:19" x14ac:dyDescent="0.25">
      <c r="N1136" s="41"/>
      <c r="O1136" s="41"/>
      <c r="P1136" s="41"/>
      <c r="Q1136" s="41"/>
      <c r="R1136" s="41"/>
      <c r="S1136" s="41"/>
    </row>
    <row r="1137" spans="14:19" x14ac:dyDescent="0.25">
      <c r="N1137" s="41"/>
      <c r="O1137" s="41"/>
      <c r="P1137" s="41"/>
      <c r="Q1137" s="41"/>
      <c r="R1137" s="41"/>
      <c r="S1137" s="41"/>
    </row>
    <row r="1138" spans="14:19" x14ac:dyDescent="0.25">
      <c r="N1138" s="41"/>
      <c r="O1138" s="41"/>
      <c r="P1138" s="41"/>
      <c r="Q1138" s="41"/>
      <c r="R1138" s="41"/>
      <c r="S1138" s="41"/>
    </row>
    <row r="1139" spans="14:19" x14ac:dyDescent="0.25">
      <c r="N1139" s="41"/>
      <c r="O1139" s="41"/>
      <c r="P1139" s="41"/>
      <c r="Q1139" s="41"/>
      <c r="R1139" s="41"/>
      <c r="S1139" s="41"/>
    </row>
    <row r="1140" spans="14:19" x14ac:dyDescent="0.25">
      <c r="N1140" s="41"/>
      <c r="O1140" s="41"/>
      <c r="P1140" s="41"/>
      <c r="Q1140" s="41"/>
      <c r="R1140" s="41"/>
      <c r="S1140" s="41"/>
    </row>
    <row r="1141" spans="14:19" x14ac:dyDescent="0.25">
      <c r="N1141" s="41"/>
      <c r="O1141" s="41"/>
      <c r="P1141" s="41"/>
      <c r="Q1141" s="41"/>
      <c r="R1141" s="41"/>
      <c r="S1141" s="41"/>
    </row>
    <row r="1143" spans="14:19" x14ac:dyDescent="0.25">
      <c r="N1143" s="9"/>
      <c r="O1143" s="9"/>
      <c r="P1143" s="9"/>
      <c r="Q1143" s="9"/>
      <c r="R1143" s="9"/>
      <c r="S1143" s="9"/>
    </row>
    <row r="1144" spans="14:19" x14ac:dyDescent="0.25">
      <c r="N1144" s="9"/>
      <c r="O1144" s="9"/>
      <c r="P1144" s="9"/>
      <c r="Q1144" s="9"/>
      <c r="R1144" s="9"/>
      <c r="S1144" s="9"/>
    </row>
    <row r="1145" spans="14:19" x14ac:dyDescent="0.25">
      <c r="N1145" s="9"/>
      <c r="O1145" s="9"/>
      <c r="P1145" s="9"/>
      <c r="Q1145" s="9"/>
      <c r="R1145" s="9"/>
      <c r="S1145" s="9"/>
    </row>
    <row r="1146" spans="14:19" x14ac:dyDescent="0.25">
      <c r="N1146" s="9"/>
      <c r="O1146" s="9"/>
      <c r="P1146" s="9"/>
      <c r="Q1146" s="9"/>
      <c r="R1146" s="9"/>
      <c r="S1146" s="9"/>
    </row>
    <row r="1147" spans="14:19" x14ac:dyDescent="0.25">
      <c r="O1147" s="9"/>
      <c r="P1147" s="9"/>
      <c r="Q1147" s="9"/>
      <c r="R1147" s="9"/>
      <c r="S1147" s="9"/>
    </row>
    <row r="1148" spans="14:19" x14ac:dyDescent="0.25">
      <c r="O1148" s="9"/>
      <c r="P1148" s="9"/>
      <c r="Q1148" s="9"/>
      <c r="R1148" s="9"/>
      <c r="S1148" s="9"/>
    </row>
    <row r="1153" spans="14:19" x14ac:dyDescent="0.25">
      <c r="N1153" s="41"/>
      <c r="O1153" s="41"/>
      <c r="P1153" s="41"/>
      <c r="Q1153" s="9"/>
      <c r="R1153" s="9"/>
      <c r="S1153" s="9"/>
    </row>
    <row r="1154" spans="14:19" x14ac:dyDescent="0.25">
      <c r="N1154" s="41"/>
      <c r="O1154" s="41"/>
      <c r="P1154" s="41"/>
    </row>
    <row r="1162" spans="14:19" x14ac:dyDescent="0.25">
      <c r="N1162" s="41"/>
      <c r="O1162" s="41"/>
      <c r="P1162" s="41"/>
      <c r="Q1162" s="41"/>
      <c r="R1162" s="41"/>
      <c r="S1162" s="41"/>
    </row>
    <row r="1163" spans="14:19" x14ac:dyDescent="0.25">
      <c r="N1163" s="41"/>
      <c r="O1163" s="41"/>
      <c r="P1163" s="41"/>
      <c r="Q1163" s="41"/>
      <c r="R1163" s="41"/>
      <c r="S1163" s="41"/>
    </row>
    <row r="1164" spans="14:19" x14ac:dyDescent="0.25">
      <c r="N1164" s="41"/>
      <c r="O1164" s="41"/>
      <c r="P1164" s="41"/>
      <c r="Q1164" s="41"/>
      <c r="R1164" s="41"/>
      <c r="S1164" s="41"/>
    </row>
    <row r="1165" spans="14:19" x14ac:dyDescent="0.25">
      <c r="N1165" s="41"/>
      <c r="O1165" s="41"/>
      <c r="P1165" s="41"/>
      <c r="Q1165" s="41"/>
      <c r="R1165" s="41"/>
      <c r="S1165" s="41"/>
    </row>
    <row r="1166" spans="14:19" x14ac:dyDescent="0.25">
      <c r="N1166" s="41"/>
      <c r="O1166" s="41"/>
      <c r="P1166" s="41"/>
      <c r="Q1166" s="41"/>
      <c r="R1166" s="41"/>
      <c r="S1166" s="41"/>
    </row>
    <row r="1167" spans="14:19" x14ac:dyDescent="0.25">
      <c r="N1167" s="41"/>
      <c r="O1167" s="41"/>
      <c r="P1167" s="41"/>
      <c r="Q1167" s="41"/>
      <c r="R1167" s="41"/>
      <c r="S1167" s="41"/>
    </row>
    <row r="1169" spans="14:19" x14ac:dyDescent="0.25">
      <c r="N1169" s="9"/>
      <c r="O1169" s="9"/>
      <c r="P1169" s="9"/>
      <c r="Q1169" s="9"/>
      <c r="R1169" s="9"/>
      <c r="S1169" s="9"/>
    </row>
    <row r="1170" spans="14:19" x14ac:dyDescent="0.25">
      <c r="N1170" s="9"/>
      <c r="O1170" s="9"/>
      <c r="P1170" s="9"/>
      <c r="Q1170" s="9"/>
      <c r="R1170" s="9"/>
      <c r="S1170" s="9"/>
    </row>
    <row r="1171" spans="14:19" x14ac:dyDescent="0.25">
      <c r="N1171" s="9"/>
      <c r="O1171" s="9"/>
      <c r="P1171" s="9"/>
      <c r="Q1171" s="9"/>
      <c r="R1171" s="9"/>
      <c r="S1171" s="9"/>
    </row>
    <row r="1172" spans="14:19" x14ac:dyDescent="0.25">
      <c r="N1172" s="9"/>
      <c r="O1172" s="9"/>
      <c r="P1172" s="9"/>
      <c r="Q1172" s="9"/>
      <c r="R1172" s="9"/>
      <c r="S1172" s="9"/>
    </row>
    <row r="1173" spans="14:19" x14ac:dyDescent="0.25">
      <c r="O1173" s="9"/>
      <c r="P1173" s="9"/>
      <c r="Q1173" s="9"/>
      <c r="R1173" s="9"/>
      <c r="S1173" s="9"/>
    </row>
    <row r="1174" spans="14:19" x14ac:dyDescent="0.25">
      <c r="O1174" s="9"/>
      <c r="P1174" s="9"/>
      <c r="Q1174" s="9"/>
      <c r="R1174" s="9"/>
      <c r="S1174" s="9"/>
    </row>
    <row r="1179" spans="14:19" x14ac:dyDescent="0.25">
      <c r="N1179" s="41"/>
      <c r="O1179" s="41"/>
      <c r="P1179" s="41"/>
      <c r="Q1179" s="41"/>
      <c r="R1179" s="41"/>
      <c r="S1179" s="41"/>
    </row>
    <row r="1180" spans="14:19" x14ac:dyDescent="0.25">
      <c r="N1180" s="41"/>
      <c r="O1180" s="41"/>
      <c r="P1180" s="41"/>
      <c r="Q1180" s="41"/>
      <c r="R1180" s="41"/>
      <c r="S1180" s="41"/>
    </row>
    <row r="1188" spans="14:19" x14ac:dyDescent="0.25">
      <c r="N1188" s="41"/>
      <c r="O1188" s="41"/>
      <c r="P1188" s="41"/>
      <c r="Q1188" s="41"/>
      <c r="R1188" s="41"/>
      <c r="S1188" s="41"/>
    </row>
    <row r="1189" spans="14:19" x14ac:dyDescent="0.25">
      <c r="N1189" s="41"/>
      <c r="O1189" s="41"/>
      <c r="P1189" s="41"/>
      <c r="Q1189" s="41"/>
      <c r="R1189" s="41"/>
      <c r="S1189" s="41"/>
    </row>
    <row r="1190" spans="14:19" x14ac:dyDescent="0.25">
      <c r="N1190" s="41"/>
      <c r="O1190" s="41"/>
      <c r="P1190" s="41"/>
      <c r="Q1190" s="41"/>
      <c r="R1190" s="41"/>
      <c r="S1190" s="41"/>
    </row>
    <row r="1191" spans="14:19" x14ac:dyDescent="0.25">
      <c r="N1191" s="41"/>
      <c r="O1191" s="41"/>
      <c r="P1191" s="41"/>
      <c r="Q1191" s="41"/>
      <c r="R1191" s="41"/>
      <c r="S1191" s="41"/>
    </row>
    <row r="1192" spans="14:19" x14ac:dyDescent="0.25">
      <c r="N1192" s="41"/>
      <c r="O1192" s="41"/>
      <c r="P1192" s="41"/>
      <c r="Q1192" s="41"/>
      <c r="R1192" s="41"/>
      <c r="S1192" s="41"/>
    </row>
    <row r="1193" spans="14:19" x14ac:dyDescent="0.25">
      <c r="N1193" s="41"/>
      <c r="O1193" s="41"/>
      <c r="P1193" s="41"/>
      <c r="Q1193" s="41"/>
      <c r="R1193" s="41"/>
      <c r="S1193" s="41"/>
    </row>
    <row r="1195" spans="14:19" x14ac:dyDescent="0.25">
      <c r="N1195" s="9"/>
      <c r="O1195" s="9"/>
      <c r="P1195" s="9"/>
      <c r="Q1195" s="9"/>
      <c r="R1195" s="9"/>
      <c r="S1195" s="9"/>
    </row>
    <row r="1196" spans="14:19" x14ac:dyDescent="0.25">
      <c r="N1196" s="9"/>
      <c r="O1196" s="9"/>
      <c r="P1196" s="9"/>
      <c r="Q1196" s="9"/>
      <c r="R1196" s="9"/>
      <c r="S1196" s="9"/>
    </row>
    <row r="1197" spans="14:19" x14ac:dyDescent="0.25">
      <c r="N1197" s="9"/>
      <c r="O1197" s="9"/>
      <c r="P1197" s="9"/>
      <c r="Q1197" s="9"/>
      <c r="R1197" s="9"/>
      <c r="S1197" s="9"/>
    </row>
    <row r="1198" spans="14:19" x14ac:dyDescent="0.25">
      <c r="N1198" s="9"/>
      <c r="O1198" s="9"/>
      <c r="P1198" s="9"/>
      <c r="Q1198" s="9"/>
      <c r="R1198" s="9"/>
      <c r="S1198" s="9"/>
    </row>
    <row r="1199" spans="14:19" x14ac:dyDescent="0.25">
      <c r="O1199" s="9"/>
      <c r="P1199" s="9"/>
      <c r="Q1199" s="9"/>
      <c r="R1199" s="9"/>
      <c r="S1199" s="9"/>
    </row>
    <row r="1200" spans="14:19" x14ac:dyDescent="0.25">
      <c r="O1200" s="9"/>
      <c r="P1200" s="9"/>
      <c r="Q1200" s="9"/>
      <c r="R1200" s="9"/>
      <c r="S1200" s="9"/>
    </row>
    <row r="1212" spans="14:19" x14ac:dyDescent="0.25">
      <c r="N1212" s="41"/>
      <c r="O1212" s="41"/>
      <c r="P1212" s="41"/>
      <c r="Q1212" s="41"/>
      <c r="R1212" s="41"/>
      <c r="S1212" s="41"/>
    </row>
    <row r="1213" spans="14:19" x14ac:dyDescent="0.25">
      <c r="N1213" s="41"/>
      <c r="O1213" s="41"/>
      <c r="P1213" s="41"/>
      <c r="Q1213" s="41"/>
      <c r="R1213" s="41"/>
      <c r="S1213" s="41"/>
    </row>
    <row r="1214" spans="14:19" x14ac:dyDescent="0.25">
      <c r="N1214" s="41"/>
      <c r="O1214" s="41"/>
      <c r="P1214" s="41"/>
      <c r="Q1214" s="41"/>
      <c r="R1214" s="41"/>
      <c r="S1214" s="41"/>
    </row>
    <row r="1215" spans="14:19" x14ac:dyDescent="0.25">
      <c r="N1215" s="41"/>
      <c r="O1215" s="41"/>
      <c r="P1215" s="41"/>
      <c r="Q1215" s="41"/>
      <c r="R1215" s="41"/>
      <c r="S1215" s="41"/>
    </row>
    <row r="1216" spans="14:19" x14ac:dyDescent="0.25">
      <c r="N1216" s="41"/>
      <c r="O1216" s="41"/>
      <c r="P1216" s="41"/>
      <c r="Q1216" s="41"/>
      <c r="R1216" s="41"/>
      <c r="S1216" s="41"/>
    </row>
    <row r="1217" spans="14:19" x14ac:dyDescent="0.25">
      <c r="N1217" s="41"/>
      <c r="O1217" s="41"/>
      <c r="P1217" s="41"/>
      <c r="Q1217" s="41"/>
      <c r="R1217" s="41"/>
      <c r="S1217" s="41"/>
    </row>
    <row r="1219" spans="14:19" x14ac:dyDescent="0.25">
      <c r="N1219" s="9"/>
      <c r="O1219" s="9"/>
      <c r="P1219" s="9"/>
      <c r="Q1219" s="9"/>
      <c r="R1219" s="9"/>
      <c r="S1219" s="9"/>
    </row>
    <row r="1220" spans="14:19" x14ac:dyDescent="0.25">
      <c r="N1220" s="9"/>
      <c r="O1220" s="9"/>
      <c r="P1220" s="9"/>
      <c r="Q1220" s="9"/>
      <c r="R1220" s="9"/>
      <c r="S1220" s="9"/>
    </row>
    <row r="1221" spans="14:19" x14ac:dyDescent="0.25">
      <c r="N1221" s="9"/>
      <c r="O1221" s="9"/>
      <c r="P1221" s="9"/>
      <c r="Q1221" s="9"/>
      <c r="R1221" s="9"/>
      <c r="S1221" s="9"/>
    </row>
    <row r="1222" spans="14:19" x14ac:dyDescent="0.25">
      <c r="N1222" s="9"/>
      <c r="O1222" s="9"/>
      <c r="P1222" s="9"/>
      <c r="Q1222" s="9"/>
      <c r="R1222" s="9"/>
      <c r="S1222" s="9"/>
    </row>
    <row r="1223" spans="14:19" x14ac:dyDescent="0.25">
      <c r="O1223" s="9"/>
      <c r="P1223" s="9"/>
      <c r="Q1223" s="9"/>
      <c r="R1223" s="9"/>
      <c r="S1223" s="9"/>
    </row>
    <row r="1224" spans="14:19" x14ac:dyDescent="0.25">
      <c r="O1224" s="9"/>
      <c r="P1224" s="9"/>
      <c r="Q1224" s="9"/>
      <c r="R1224" s="9"/>
      <c r="S1224" s="9"/>
    </row>
    <row r="1230" spans="14:19" x14ac:dyDescent="0.25">
      <c r="N1230" s="41"/>
    </row>
    <row r="1240" spans="14:19" x14ac:dyDescent="0.25">
      <c r="N1240" s="41"/>
      <c r="O1240" s="41"/>
      <c r="P1240" s="41"/>
      <c r="Q1240" s="41"/>
      <c r="R1240" s="41"/>
      <c r="S1240" s="41"/>
    </row>
    <row r="1241" spans="14:19" x14ac:dyDescent="0.25">
      <c r="N1241" s="41"/>
      <c r="O1241" s="41"/>
      <c r="P1241" s="41"/>
      <c r="Q1241" s="41"/>
      <c r="R1241" s="41"/>
      <c r="S1241" s="41"/>
    </row>
    <row r="1242" spans="14:19" x14ac:dyDescent="0.25">
      <c r="N1242" s="41"/>
      <c r="O1242" s="41"/>
      <c r="P1242" s="41"/>
      <c r="Q1242" s="41"/>
      <c r="R1242" s="41"/>
      <c r="S1242" s="41"/>
    </row>
    <row r="1243" spans="14:19" x14ac:dyDescent="0.25">
      <c r="N1243" s="41"/>
      <c r="O1243" s="41"/>
      <c r="P1243" s="41"/>
      <c r="Q1243" s="41"/>
      <c r="R1243" s="41"/>
      <c r="S1243" s="41"/>
    </row>
    <row r="1244" spans="14:19" x14ac:dyDescent="0.25">
      <c r="N1244" s="41"/>
      <c r="O1244" s="41"/>
      <c r="P1244" s="41"/>
      <c r="Q1244" s="41"/>
      <c r="R1244" s="41"/>
      <c r="S1244" s="41"/>
    </row>
    <row r="1245" spans="14:19" x14ac:dyDescent="0.25">
      <c r="N1245" s="41"/>
      <c r="O1245" s="41"/>
      <c r="P1245" s="41"/>
      <c r="Q1245" s="41"/>
      <c r="R1245" s="41"/>
      <c r="S1245" s="41"/>
    </row>
    <row r="1247" spans="14:19" x14ac:dyDescent="0.25">
      <c r="N1247" s="9"/>
      <c r="O1247" s="9"/>
      <c r="P1247" s="9"/>
      <c r="Q1247" s="9"/>
      <c r="R1247" s="9"/>
      <c r="S1247" s="9"/>
    </row>
    <row r="1248" spans="14:19" x14ac:dyDescent="0.25">
      <c r="N1248" s="9"/>
      <c r="O1248" s="9"/>
      <c r="P1248" s="9"/>
      <c r="Q1248" s="9"/>
      <c r="R1248" s="9"/>
      <c r="S1248" s="9"/>
    </row>
    <row r="1249" spans="14:19" x14ac:dyDescent="0.25">
      <c r="N1249" s="9"/>
      <c r="O1249" s="9"/>
      <c r="P1249" s="9"/>
      <c r="Q1249" s="9"/>
      <c r="R1249" s="9"/>
      <c r="S1249" s="9"/>
    </row>
    <row r="1250" spans="14:19" x14ac:dyDescent="0.25">
      <c r="N1250" s="9"/>
      <c r="O1250" s="9"/>
      <c r="P1250" s="9"/>
      <c r="Q1250" s="9"/>
      <c r="R1250" s="9"/>
      <c r="S1250" s="9"/>
    </row>
    <row r="1251" spans="14:19" x14ac:dyDescent="0.25">
      <c r="O1251" s="9"/>
      <c r="P1251" s="9"/>
      <c r="Q1251" s="9"/>
      <c r="R1251" s="9"/>
      <c r="S1251" s="9"/>
    </row>
    <row r="1252" spans="14:19" x14ac:dyDescent="0.25">
      <c r="O1252" s="9"/>
      <c r="P1252" s="9"/>
      <c r="Q1252" s="9"/>
      <c r="R1252" s="9"/>
      <c r="S1252" s="9"/>
    </row>
    <row r="1258" spans="14:19" x14ac:dyDescent="0.25">
      <c r="N1258" s="41"/>
    </row>
    <row r="1259" spans="14:19" x14ac:dyDescent="0.25">
      <c r="N1259" s="41"/>
    </row>
    <row r="1260" spans="14:19" x14ac:dyDescent="0.25">
      <c r="N1260" s="41"/>
    </row>
    <row r="1277" spans="14:19" x14ac:dyDescent="0.25">
      <c r="N1277" s="41"/>
      <c r="O1277" s="41"/>
      <c r="P1277" s="41"/>
      <c r="Q1277" s="41"/>
      <c r="R1277" s="41"/>
      <c r="S1277" s="41"/>
    </row>
    <row r="1278" spans="14:19" x14ac:dyDescent="0.25">
      <c r="N1278" s="41"/>
      <c r="O1278" s="41"/>
      <c r="P1278" s="41"/>
      <c r="Q1278" s="41"/>
      <c r="R1278" s="41"/>
      <c r="S1278" s="41"/>
    </row>
    <row r="1279" spans="14:19" x14ac:dyDescent="0.25">
      <c r="N1279" s="41"/>
      <c r="O1279" s="41"/>
      <c r="P1279" s="41"/>
      <c r="Q1279" s="41"/>
      <c r="R1279" s="41"/>
      <c r="S1279" s="41"/>
    </row>
    <row r="1280" spans="14:19" x14ac:dyDescent="0.25">
      <c r="N1280" s="41"/>
      <c r="O1280" s="41"/>
      <c r="P1280" s="41"/>
      <c r="Q1280" s="41"/>
      <c r="R1280" s="41"/>
      <c r="S1280" s="41"/>
    </row>
    <row r="1281" spans="14:19" x14ac:dyDescent="0.25">
      <c r="N1281" s="41"/>
      <c r="O1281" s="41"/>
      <c r="P1281" s="41"/>
      <c r="Q1281" s="41"/>
      <c r="R1281" s="41"/>
      <c r="S1281" s="41"/>
    </row>
    <row r="1282" spans="14:19" x14ac:dyDescent="0.25">
      <c r="N1282" s="41"/>
      <c r="O1282" s="41"/>
      <c r="P1282" s="41"/>
      <c r="Q1282" s="41"/>
      <c r="R1282" s="41"/>
      <c r="S1282" s="41"/>
    </row>
    <row r="1284" spans="14:19" x14ac:dyDescent="0.25">
      <c r="N1284" s="9"/>
      <c r="O1284" s="9"/>
      <c r="P1284" s="9"/>
      <c r="Q1284" s="9"/>
      <c r="R1284" s="9"/>
      <c r="S1284" s="9"/>
    </row>
    <row r="1285" spans="14:19" x14ac:dyDescent="0.25">
      <c r="N1285" s="9"/>
      <c r="O1285" s="9"/>
      <c r="P1285" s="9"/>
      <c r="Q1285" s="9"/>
      <c r="R1285" s="9"/>
      <c r="S1285" s="9"/>
    </row>
    <row r="1286" spans="14:19" x14ac:dyDescent="0.25">
      <c r="N1286" s="9"/>
      <c r="O1286" s="9"/>
      <c r="P1286" s="9"/>
      <c r="Q1286" s="9"/>
      <c r="R1286" s="9"/>
      <c r="S1286" s="9"/>
    </row>
    <row r="1287" spans="14:19" x14ac:dyDescent="0.25">
      <c r="N1287" s="9"/>
      <c r="O1287" s="9"/>
      <c r="P1287" s="9"/>
      <c r="Q1287" s="9"/>
      <c r="R1287" s="9"/>
      <c r="S1287" s="9"/>
    </row>
    <row r="1288" spans="14:19" x14ac:dyDescent="0.25">
      <c r="O1288" s="9"/>
      <c r="P1288" s="9"/>
      <c r="Q1288" s="9"/>
      <c r="R1288" s="9"/>
      <c r="S1288" s="9"/>
    </row>
    <row r="1289" spans="14:19" x14ac:dyDescent="0.25">
      <c r="O1289" s="9"/>
      <c r="P1289" s="9"/>
      <c r="Q1289" s="9"/>
      <c r="R1289" s="9"/>
      <c r="S1289" s="9"/>
    </row>
    <row r="1295" spans="14:19" x14ac:dyDescent="0.25">
      <c r="N1295" s="41"/>
    </row>
    <row r="1305" spans="14:19" x14ac:dyDescent="0.25">
      <c r="N1305" s="41"/>
      <c r="O1305" s="41"/>
      <c r="P1305" s="41"/>
      <c r="Q1305" s="41"/>
      <c r="R1305" s="41"/>
      <c r="S1305" s="41"/>
    </row>
    <row r="1306" spans="14:19" x14ac:dyDescent="0.25">
      <c r="N1306" s="41"/>
      <c r="O1306" s="41"/>
      <c r="P1306" s="41"/>
      <c r="Q1306" s="41"/>
      <c r="R1306" s="41"/>
      <c r="S1306" s="41"/>
    </row>
    <row r="1307" spans="14:19" x14ac:dyDescent="0.25">
      <c r="N1307" s="41"/>
      <c r="O1307" s="41"/>
      <c r="P1307" s="41"/>
      <c r="Q1307" s="41"/>
      <c r="R1307" s="41"/>
      <c r="S1307" s="41"/>
    </row>
    <row r="1308" spans="14:19" x14ac:dyDescent="0.25">
      <c r="N1308" s="41"/>
      <c r="O1308" s="41"/>
      <c r="P1308" s="41"/>
      <c r="Q1308" s="41"/>
      <c r="R1308" s="41"/>
      <c r="S1308" s="41"/>
    </row>
    <row r="1309" spans="14:19" x14ac:dyDescent="0.25">
      <c r="N1309" s="41"/>
      <c r="O1309" s="41"/>
      <c r="P1309" s="41"/>
      <c r="Q1309" s="41"/>
      <c r="R1309" s="41"/>
      <c r="S1309" s="41"/>
    </row>
    <row r="1310" spans="14:19" x14ac:dyDescent="0.25">
      <c r="N1310" s="41"/>
      <c r="O1310" s="41"/>
      <c r="P1310" s="41"/>
      <c r="Q1310" s="41"/>
      <c r="R1310" s="41"/>
      <c r="S1310" s="41"/>
    </row>
    <row r="1312" spans="14:19" x14ac:dyDescent="0.25">
      <c r="N1312" s="9"/>
      <c r="O1312" s="9"/>
      <c r="P1312" s="9"/>
      <c r="Q1312" s="9"/>
      <c r="R1312" s="9"/>
      <c r="S1312" s="9"/>
    </row>
    <row r="1313" spans="14:19" x14ac:dyDescent="0.25">
      <c r="N1313" s="9"/>
      <c r="O1313" s="9"/>
      <c r="P1313" s="9"/>
      <c r="Q1313" s="9"/>
      <c r="R1313" s="9"/>
      <c r="S1313" s="9"/>
    </row>
    <row r="1314" spans="14:19" x14ac:dyDescent="0.25">
      <c r="N1314" s="9"/>
      <c r="O1314" s="9"/>
      <c r="P1314" s="9"/>
      <c r="Q1314" s="9"/>
      <c r="R1314" s="9"/>
      <c r="S1314" s="9"/>
    </row>
    <row r="1315" spans="14:19" x14ac:dyDescent="0.25">
      <c r="N1315" s="9"/>
      <c r="O1315" s="9"/>
      <c r="P1315" s="9"/>
      <c r="Q1315" s="9"/>
      <c r="R1315" s="9"/>
      <c r="S1315" s="9"/>
    </row>
    <row r="1316" spans="14:19" x14ac:dyDescent="0.25">
      <c r="O1316" s="9"/>
      <c r="P1316" s="9"/>
      <c r="Q1316" s="9"/>
      <c r="R1316" s="9"/>
      <c r="S1316" s="9"/>
    </row>
    <row r="1317" spans="14:19" x14ac:dyDescent="0.25">
      <c r="O1317" s="9"/>
      <c r="P1317" s="9"/>
      <c r="Q1317" s="9"/>
      <c r="R1317" s="9"/>
      <c r="S1317" s="9"/>
    </row>
    <row r="1323" spans="14:19" x14ac:dyDescent="0.25">
      <c r="N1323" s="41"/>
    </row>
    <row r="1324" spans="14:19" x14ac:dyDescent="0.25">
      <c r="N1324" s="41"/>
    </row>
    <row r="1325" spans="14:19" x14ac:dyDescent="0.25">
      <c r="N1325" s="41"/>
    </row>
    <row r="1342" spans="14:19" x14ac:dyDescent="0.25">
      <c r="N1342" s="41"/>
      <c r="O1342" s="41"/>
      <c r="P1342" s="41"/>
      <c r="Q1342" s="41"/>
      <c r="R1342" s="41"/>
      <c r="S1342" s="41"/>
    </row>
    <row r="1343" spans="14:19" x14ac:dyDescent="0.25">
      <c r="N1343" s="41"/>
      <c r="O1343" s="41"/>
      <c r="P1343" s="41"/>
      <c r="Q1343" s="41"/>
      <c r="R1343" s="41"/>
      <c r="S1343" s="41"/>
    </row>
    <row r="1344" spans="14:19" x14ac:dyDescent="0.25">
      <c r="N1344" s="41"/>
      <c r="O1344" s="41"/>
      <c r="P1344" s="41"/>
      <c r="Q1344" s="41"/>
      <c r="R1344" s="41"/>
      <c r="S1344" s="41"/>
    </row>
    <row r="1345" spans="14:19" x14ac:dyDescent="0.25">
      <c r="N1345" s="41"/>
      <c r="O1345" s="41"/>
      <c r="P1345" s="41"/>
      <c r="Q1345" s="41"/>
      <c r="R1345" s="41"/>
      <c r="S1345" s="41"/>
    </row>
    <row r="1346" spans="14:19" x14ac:dyDescent="0.25">
      <c r="N1346" s="41"/>
      <c r="O1346" s="41"/>
      <c r="P1346" s="41"/>
      <c r="Q1346" s="41"/>
      <c r="R1346" s="41"/>
      <c r="S1346" s="41"/>
    </row>
    <row r="1347" spans="14:19" x14ac:dyDescent="0.25">
      <c r="N1347" s="41"/>
      <c r="O1347" s="41"/>
      <c r="P1347" s="41"/>
      <c r="Q1347" s="41"/>
      <c r="R1347" s="41"/>
      <c r="S1347" s="41"/>
    </row>
    <row r="1349" spans="14:19" x14ac:dyDescent="0.25">
      <c r="N1349" s="9"/>
      <c r="O1349" s="9"/>
      <c r="P1349" s="9"/>
      <c r="Q1349" s="9"/>
      <c r="R1349" s="9"/>
      <c r="S1349" s="9"/>
    </row>
    <row r="1350" spans="14:19" x14ac:dyDescent="0.25">
      <c r="N1350" s="9"/>
      <c r="O1350" s="9"/>
      <c r="P1350" s="9"/>
      <c r="Q1350" s="9"/>
      <c r="R1350" s="9"/>
      <c r="S1350" s="9"/>
    </row>
    <row r="1351" spans="14:19" x14ac:dyDescent="0.25">
      <c r="N1351" s="9"/>
      <c r="O1351" s="9"/>
      <c r="P1351" s="9"/>
      <c r="Q1351" s="9"/>
      <c r="R1351" s="9"/>
      <c r="S1351" s="9"/>
    </row>
    <row r="1352" spans="14:19" x14ac:dyDescent="0.25">
      <c r="N1352" s="9"/>
      <c r="O1352" s="9"/>
      <c r="P1352" s="9"/>
      <c r="Q1352" s="9"/>
      <c r="R1352" s="9"/>
      <c r="S1352" s="9"/>
    </row>
    <row r="1353" spans="14:19" x14ac:dyDescent="0.25">
      <c r="O1353" s="9"/>
      <c r="P1353" s="9"/>
      <c r="Q1353" s="9"/>
      <c r="R1353" s="9"/>
      <c r="S1353" s="9"/>
    </row>
    <row r="1354" spans="14:19" x14ac:dyDescent="0.25">
      <c r="O1354" s="9"/>
      <c r="P1354" s="9"/>
      <c r="Q1354" s="9"/>
      <c r="R1354" s="9"/>
      <c r="S1354" s="9"/>
    </row>
    <row r="1360" spans="14:19" x14ac:dyDescent="0.25">
      <c r="N1360" s="41"/>
    </row>
    <row r="1362" spans="14:19" x14ac:dyDescent="0.25">
      <c r="N1362" s="9"/>
      <c r="O1362" s="9"/>
      <c r="P1362" s="9"/>
      <c r="Q1362" s="9"/>
      <c r="R1362" s="9"/>
      <c r="S1362" s="9"/>
    </row>
    <row r="1363" spans="14:19" x14ac:dyDescent="0.25">
      <c r="N1363" s="9"/>
      <c r="O1363" s="9"/>
      <c r="P1363" s="9"/>
      <c r="Q1363" s="9"/>
      <c r="R1363" s="9"/>
      <c r="S1363" s="9"/>
    </row>
    <row r="1364" spans="14:19" x14ac:dyDescent="0.25">
      <c r="N1364" s="9"/>
      <c r="O1364" s="9"/>
      <c r="P1364" s="9"/>
      <c r="Q1364" s="9"/>
      <c r="R1364" s="9"/>
      <c r="S1364" s="9"/>
    </row>
    <row r="1365" spans="14:19" x14ac:dyDescent="0.25">
      <c r="N1365" s="9"/>
      <c r="O1365" s="9"/>
      <c r="P1365" s="9"/>
      <c r="Q1365" s="9"/>
      <c r="R1365" s="9"/>
      <c r="S1365" s="9"/>
    </row>
    <row r="1366" spans="14:19" x14ac:dyDescent="0.25">
      <c r="O1366" s="9"/>
      <c r="P1366" s="9"/>
      <c r="Q1366" s="9"/>
      <c r="R1366" s="9"/>
      <c r="S1366" s="9"/>
    </row>
    <row r="1367" spans="14:19" x14ac:dyDescent="0.25">
      <c r="O1367" s="9"/>
      <c r="P1367" s="9"/>
      <c r="Q1367" s="9"/>
      <c r="R1367" s="9"/>
      <c r="S1367" s="9"/>
    </row>
    <row r="1384" spans="14:19" x14ac:dyDescent="0.25">
      <c r="N1384" s="41"/>
      <c r="O1384" s="41"/>
      <c r="P1384" s="41"/>
      <c r="Q1384" s="41"/>
      <c r="R1384" s="41"/>
      <c r="S1384" s="41"/>
    </row>
    <row r="1385" spans="14:19" x14ac:dyDescent="0.25">
      <c r="N1385" s="41"/>
      <c r="O1385" s="41"/>
      <c r="P1385" s="41"/>
      <c r="Q1385" s="41"/>
      <c r="R1385" s="41"/>
      <c r="S1385" s="41"/>
    </row>
    <row r="1386" spans="14:19" x14ac:dyDescent="0.25">
      <c r="N1386" s="41"/>
      <c r="O1386" s="41"/>
      <c r="P1386" s="41"/>
      <c r="Q1386" s="41"/>
      <c r="R1386" s="41"/>
      <c r="S1386" s="41"/>
    </row>
    <row r="1387" spans="14:19" x14ac:dyDescent="0.25">
      <c r="N1387" s="41"/>
      <c r="O1387" s="41"/>
      <c r="P1387" s="41"/>
      <c r="Q1387" s="41"/>
      <c r="R1387" s="41"/>
      <c r="S1387" s="41"/>
    </row>
    <row r="1388" spans="14:19" x14ac:dyDescent="0.25">
      <c r="N1388" s="41"/>
      <c r="O1388" s="41"/>
      <c r="P1388" s="41"/>
      <c r="Q1388" s="41"/>
      <c r="R1388" s="41"/>
      <c r="S1388" s="41"/>
    </row>
    <row r="1389" spans="14:19" x14ac:dyDescent="0.25">
      <c r="N1389" s="41"/>
      <c r="O1389" s="41"/>
      <c r="P1389" s="41"/>
      <c r="Q1389" s="41"/>
      <c r="R1389" s="41"/>
      <c r="S1389" s="41"/>
    </row>
    <row r="1391" spans="14:19" x14ac:dyDescent="0.25">
      <c r="N1391" s="9"/>
      <c r="O1391" s="9"/>
      <c r="P1391" s="9"/>
      <c r="Q1391" s="9"/>
      <c r="R1391" s="9"/>
      <c r="S1391" s="9"/>
    </row>
    <row r="1392" spans="14:19" x14ac:dyDescent="0.25">
      <c r="N1392" s="9"/>
      <c r="O1392" s="9"/>
      <c r="P1392" s="9"/>
      <c r="Q1392" s="9"/>
      <c r="R1392" s="9"/>
      <c r="S1392" s="9"/>
    </row>
    <row r="1393" spans="14:19" x14ac:dyDescent="0.25">
      <c r="N1393" s="9"/>
      <c r="O1393" s="9"/>
      <c r="P1393" s="9"/>
      <c r="Q1393" s="9"/>
      <c r="R1393" s="9"/>
      <c r="S1393" s="9"/>
    </row>
    <row r="1394" spans="14:19" x14ac:dyDescent="0.25">
      <c r="N1394" s="9"/>
      <c r="O1394" s="9"/>
      <c r="P1394" s="9"/>
      <c r="Q1394" s="9"/>
      <c r="R1394" s="9"/>
      <c r="S1394" s="9"/>
    </row>
    <row r="1395" spans="14:19" x14ac:dyDescent="0.25">
      <c r="O1395" s="9"/>
      <c r="P1395" s="9"/>
      <c r="Q1395" s="9"/>
      <c r="R1395" s="9"/>
      <c r="S1395" s="9"/>
    </row>
    <row r="1396" spans="14:19" x14ac:dyDescent="0.25">
      <c r="O1396" s="9"/>
      <c r="P1396" s="9"/>
      <c r="Q1396" s="9"/>
      <c r="R1396" s="9"/>
      <c r="S1396" s="9"/>
    </row>
    <row r="1413" spans="14:19" x14ac:dyDescent="0.25">
      <c r="N1413" s="41"/>
      <c r="O1413" s="41"/>
      <c r="P1413" s="41"/>
      <c r="Q1413" s="41"/>
      <c r="R1413" s="41"/>
      <c r="S1413" s="41"/>
    </row>
    <row r="1414" spans="14:19" x14ac:dyDescent="0.25">
      <c r="N1414" s="41"/>
      <c r="O1414" s="41"/>
      <c r="P1414" s="41"/>
      <c r="Q1414" s="41"/>
      <c r="R1414" s="41"/>
      <c r="S1414" s="41"/>
    </row>
    <row r="1415" spans="14:19" x14ac:dyDescent="0.25">
      <c r="N1415" s="41"/>
      <c r="O1415" s="41"/>
      <c r="P1415" s="41"/>
      <c r="Q1415" s="41"/>
      <c r="R1415" s="41"/>
      <c r="S1415" s="41"/>
    </row>
    <row r="1416" spans="14:19" x14ac:dyDescent="0.25">
      <c r="N1416" s="41"/>
      <c r="O1416" s="41"/>
      <c r="P1416" s="41"/>
      <c r="Q1416" s="41"/>
      <c r="R1416" s="41"/>
      <c r="S1416" s="41"/>
    </row>
    <row r="1417" spans="14:19" x14ac:dyDescent="0.25">
      <c r="N1417" s="41"/>
      <c r="O1417" s="41"/>
      <c r="P1417" s="41"/>
      <c r="Q1417" s="41"/>
      <c r="R1417" s="41"/>
      <c r="S1417" s="41"/>
    </row>
    <row r="1418" spans="14:19" x14ac:dyDescent="0.25">
      <c r="N1418" s="41"/>
      <c r="O1418" s="41"/>
      <c r="P1418" s="41"/>
      <c r="Q1418" s="41"/>
      <c r="R1418" s="41"/>
      <c r="S1418" s="41"/>
    </row>
    <row r="1420" spans="14:19" x14ac:dyDescent="0.25">
      <c r="N1420" s="9"/>
      <c r="O1420" s="9"/>
      <c r="P1420" s="9"/>
      <c r="Q1420" s="9"/>
      <c r="R1420" s="9"/>
      <c r="S1420" s="9"/>
    </row>
    <row r="1421" spans="14:19" x14ac:dyDescent="0.25">
      <c r="N1421" s="9"/>
      <c r="O1421" s="9"/>
      <c r="P1421" s="9"/>
      <c r="Q1421" s="9"/>
      <c r="R1421" s="9"/>
      <c r="S1421" s="9"/>
    </row>
    <row r="1422" spans="14:19" x14ac:dyDescent="0.25">
      <c r="N1422" s="9"/>
      <c r="O1422" s="9"/>
      <c r="P1422" s="9"/>
      <c r="Q1422" s="9"/>
      <c r="R1422" s="9"/>
      <c r="S1422" s="9"/>
    </row>
    <row r="1423" spans="14:19" x14ac:dyDescent="0.25">
      <c r="N1423" s="9"/>
      <c r="O1423" s="9"/>
      <c r="P1423" s="9"/>
      <c r="Q1423" s="9"/>
      <c r="R1423" s="9"/>
      <c r="S1423" s="9"/>
    </row>
    <row r="1424" spans="14:19" x14ac:dyDescent="0.25">
      <c r="O1424" s="9"/>
      <c r="P1424" s="9"/>
      <c r="Q1424" s="9"/>
      <c r="R1424" s="9"/>
      <c r="S1424" s="9"/>
    </row>
    <row r="1425" spans="14:19" x14ac:dyDescent="0.25">
      <c r="O1425" s="9"/>
      <c r="P1425" s="9"/>
      <c r="Q1425" s="9"/>
      <c r="R1425" s="9"/>
      <c r="S1425" s="9"/>
    </row>
    <row r="1439" spans="14:19" x14ac:dyDescent="0.25">
      <c r="N1439" s="41"/>
      <c r="O1439" s="41"/>
      <c r="P1439" s="41"/>
      <c r="Q1439" s="41"/>
      <c r="R1439" s="41"/>
      <c r="S1439" s="41"/>
    </row>
    <row r="1440" spans="14:19" x14ac:dyDescent="0.25">
      <c r="N1440" s="41"/>
      <c r="O1440" s="41"/>
      <c r="P1440" s="41"/>
      <c r="Q1440" s="41"/>
      <c r="R1440" s="41"/>
      <c r="S1440" s="41"/>
    </row>
    <row r="1448" spans="14:19" x14ac:dyDescent="0.25">
      <c r="N1448" s="41"/>
      <c r="O1448" s="41"/>
      <c r="P1448" s="41"/>
      <c r="Q1448" s="41"/>
      <c r="R1448" s="41"/>
      <c r="S1448" s="41"/>
    </row>
    <row r="1456" spans="14:19" x14ac:dyDescent="0.25">
      <c r="N1456" s="41"/>
      <c r="O1456" s="41"/>
      <c r="P1456" s="41"/>
      <c r="Q1456" s="41"/>
      <c r="R1456" s="41"/>
      <c r="S1456" s="41"/>
    </row>
    <row r="1457" spans="14:19" x14ac:dyDescent="0.25">
      <c r="N1457" s="41"/>
      <c r="O1457" s="41"/>
      <c r="P1457" s="41"/>
      <c r="Q1457" s="41"/>
      <c r="R1457" s="41"/>
      <c r="S1457" s="41"/>
    </row>
  </sheetData>
  <pageMargins left="0.7" right="0.7" top="0.78740157499999996" bottom="0.78740157499999996" header="0.3" footer="0.3"/>
  <pageSetup paperSize="9" scale="63" orientation="landscape"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dimension ref="B1:V44"/>
  <sheetViews>
    <sheetView zoomScale="84" zoomScaleNormal="60" workbookViewId="0">
      <selection activeCell="G2" sqref="G2"/>
    </sheetView>
  </sheetViews>
  <sheetFormatPr defaultColWidth="11.44140625" defaultRowHeight="13.2" x14ac:dyDescent="0.25"/>
  <cols>
    <col min="1" max="1" width="6.5546875" style="41" customWidth="1"/>
    <col min="2" max="2" width="9.44140625" style="41" customWidth="1"/>
    <col min="3" max="3" width="10" style="41" customWidth="1"/>
    <col min="4" max="4" width="12.44140625" style="41" bestFit="1" customWidth="1"/>
    <col min="5" max="5" width="6.5546875" style="41" customWidth="1"/>
    <col min="6" max="6" width="12.44140625" style="41" bestFit="1" customWidth="1"/>
    <col min="7" max="7" width="12.44140625" style="41" customWidth="1"/>
    <col min="8" max="8" width="3.5546875" style="41" customWidth="1"/>
    <col min="9" max="9" width="8" style="41" bestFit="1" customWidth="1"/>
    <col min="10" max="20" width="13" style="41" bestFit="1" customWidth="1"/>
    <col min="21" max="21" width="12.44140625" style="41" bestFit="1" customWidth="1"/>
    <col min="22" max="22" width="12.44140625" style="148" bestFit="1" customWidth="1"/>
    <col min="23" max="23" width="12.44140625" style="41" bestFit="1" customWidth="1"/>
    <col min="24" max="24" width="14.44140625" style="41" bestFit="1" customWidth="1"/>
    <col min="25" max="26" width="14.5546875" style="41" bestFit="1" customWidth="1"/>
    <col min="27" max="27" width="11.5546875" style="41" bestFit="1" customWidth="1"/>
    <col min="28" max="28" width="14.5546875" style="41" bestFit="1" customWidth="1"/>
    <col min="29" max="30" width="11.5546875" style="41" bestFit="1" customWidth="1"/>
    <col min="31" max="16384" width="11.44140625" style="41"/>
  </cols>
  <sheetData>
    <row r="1" spans="2:22" ht="13.8" thickBot="1" x14ac:dyDescent="0.3"/>
    <row r="2" spans="2:22" ht="16.2" thickBot="1" x14ac:dyDescent="0.35">
      <c r="B2" s="621" t="s">
        <v>189</v>
      </c>
      <c r="D2" s="622" t="s">
        <v>190</v>
      </c>
      <c r="E2" s="623">
        <v>1</v>
      </c>
      <c r="F2" s="624" t="s">
        <v>191</v>
      </c>
      <c r="G2" s="623">
        <v>1</v>
      </c>
      <c r="I2" s="625" t="s">
        <v>192</v>
      </c>
      <c r="J2" s="424"/>
    </row>
    <row r="3" spans="2:22" ht="13.8" thickBot="1" x14ac:dyDescent="0.3"/>
    <row r="4" spans="2:22" ht="18.75" customHeight="1" thickBot="1" x14ac:dyDescent="0.3">
      <c r="I4" s="626" t="s">
        <v>43</v>
      </c>
      <c r="J4" s="627">
        <v>0</v>
      </c>
      <c r="K4" s="628">
        <v>0.1</v>
      </c>
      <c r="L4" s="628">
        <v>0.2</v>
      </c>
      <c r="M4" s="628">
        <v>0.3</v>
      </c>
      <c r="N4" s="628">
        <v>0.4</v>
      </c>
      <c r="O4" s="628">
        <v>0.5</v>
      </c>
      <c r="P4" s="628">
        <v>0.6</v>
      </c>
      <c r="Q4" s="628">
        <v>0.7</v>
      </c>
      <c r="R4" s="628">
        <v>0.8</v>
      </c>
      <c r="S4" s="628">
        <v>0.9</v>
      </c>
      <c r="T4" s="629">
        <v>1</v>
      </c>
      <c r="V4" s="630" t="s">
        <v>131</v>
      </c>
    </row>
    <row r="5" spans="2:22" x14ac:dyDescent="0.25">
      <c r="C5" s="631" t="s">
        <v>193</v>
      </c>
      <c r="D5" s="632">
        <f>MAX(MAX(J5:T44),ABS(MIN(J5:T44)))</f>
        <v>23.970401301970664</v>
      </c>
      <c r="I5" s="633">
        <v>1</v>
      </c>
      <c r="J5" s="634">
        <v>1.794827401343827</v>
      </c>
      <c r="K5" s="635">
        <v>1.794827401343827</v>
      </c>
      <c r="L5" s="635">
        <v>1.794827401343827</v>
      </c>
      <c r="M5" s="635">
        <v>1.794827401343827</v>
      </c>
      <c r="N5" s="635">
        <v>1.794827401343827</v>
      </c>
      <c r="O5" s="635">
        <v>1.794827401343827</v>
      </c>
      <c r="P5" s="635">
        <v>1.794827401343827</v>
      </c>
      <c r="Q5" s="635">
        <v>1.794827401343827</v>
      </c>
      <c r="R5" s="635">
        <v>1.794827401343827</v>
      </c>
      <c r="S5" s="635">
        <v>1.794827401343827</v>
      </c>
      <c r="T5" s="636">
        <v>1.794827401343827</v>
      </c>
      <c r="V5" s="637">
        <v>100</v>
      </c>
    </row>
    <row r="6" spans="2:22" x14ac:dyDescent="0.25">
      <c r="C6" s="638" t="s">
        <v>194</v>
      </c>
      <c r="D6" s="639">
        <f>IF(D9&lt;0.000001,1,D7/D9)</f>
        <v>2.1239397540351503</v>
      </c>
      <c r="I6" s="640">
        <v>2</v>
      </c>
      <c r="J6" s="641">
        <v>23.970401301970664</v>
      </c>
      <c r="K6" s="642">
        <v>23.970401301970664</v>
      </c>
      <c r="L6" s="642">
        <v>23.970401301970664</v>
      </c>
      <c r="M6" s="642">
        <v>23.970401301970664</v>
      </c>
      <c r="N6" s="642">
        <v>23.970401301970664</v>
      </c>
      <c r="O6" s="642">
        <v>23.970401301970664</v>
      </c>
      <c r="P6" s="642">
        <v>23.970401301970664</v>
      </c>
      <c r="Q6" s="642">
        <v>23.970401301970664</v>
      </c>
      <c r="R6" s="642">
        <v>23.970401301970664</v>
      </c>
      <c r="S6" s="642">
        <v>23.970401301970664</v>
      </c>
      <c r="T6" s="643">
        <v>23.970401301970664</v>
      </c>
      <c r="V6" s="644">
        <v>60</v>
      </c>
    </row>
    <row r="7" spans="2:22" x14ac:dyDescent="0.25">
      <c r="C7" s="638" t="s">
        <v>195</v>
      </c>
      <c r="D7" s="639">
        <v>0.3</v>
      </c>
      <c r="I7" s="640">
        <v>3</v>
      </c>
      <c r="J7" s="641">
        <v>-23.166544235369706</v>
      </c>
      <c r="K7" s="642">
        <v>-23.166544235369706</v>
      </c>
      <c r="L7" s="642">
        <v>-23.166544235369706</v>
      </c>
      <c r="M7" s="642">
        <v>-23.166544235369706</v>
      </c>
      <c r="N7" s="642">
        <v>-23.166544235369706</v>
      </c>
      <c r="O7" s="642">
        <v>-23.166544235369706</v>
      </c>
      <c r="P7" s="642">
        <v>-23.166544235369706</v>
      </c>
      <c r="Q7" s="642">
        <v>-23.166544235369706</v>
      </c>
      <c r="R7" s="642">
        <v>-23.166544235369706</v>
      </c>
      <c r="S7" s="642">
        <v>-23.166544235369706</v>
      </c>
      <c r="T7" s="643">
        <v>-23.166544235369706</v>
      </c>
      <c r="V7" s="644">
        <v>72.111025509279784</v>
      </c>
    </row>
    <row r="8" spans="2:22" x14ac:dyDescent="0.25">
      <c r="C8" s="638" t="s">
        <v>196</v>
      </c>
      <c r="D8" s="639">
        <f>PlotData!CB5</f>
        <v>169.70562748477141</v>
      </c>
      <c r="I8" s="640">
        <v>4</v>
      </c>
      <c r="J8" s="641">
        <v>2.8716037923968809</v>
      </c>
      <c r="K8" s="642">
        <v>2.8716037923968809</v>
      </c>
      <c r="L8" s="642">
        <v>2.8716037923968809</v>
      </c>
      <c r="M8" s="642">
        <v>2.8716037923968809</v>
      </c>
      <c r="N8" s="642">
        <v>2.8716037923968809</v>
      </c>
      <c r="O8" s="642">
        <v>2.8716037923968809</v>
      </c>
      <c r="P8" s="642">
        <v>2.8716037923968809</v>
      </c>
      <c r="Q8" s="642">
        <v>2.8716037923968809</v>
      </c>
      <c r="R8" s="642">
        <v>2.8716037923968809</v>
      </c>
      <c r="S8" s="642">
        <v>2.8716037923968809</v>
      </c>
      <c r="T8" s="643">
        <v>2.8716037923968809</v>
      </c>
      <c r="V8" s="644">
        <v>76.157731058639087</v>
      </c>
    </row>
    <row r="9" spans="2:22" ht="13.8" thickBot="1" x14ac:dyDescent="0.3">
      <c r="C9" s="645" t="s">
        <v>197</v>
      </c>
      <c r="D9" s="646">
        <f>D5/MAX(0.0001,D8)</f>
        <v>0.14124694423655254</v>
      </c>
      <c r="I9" s="640">
        <v>5</v>
      </c>
      <c r="J9" s="641">
        <v>8.9373272631481697</v>
      </c>
      <c r="K9" s="642">
        <v>8.9373272631481697</v>
      </c>
      <c r="L9" s="642">
        <v>8.9373272631481697</v>
      </c>
      <c r="M9" s="642">
        <v>8.9373272631481697</v>
      </c>
      <c r="N9" s="642">
        <v>8.9373272631481697</v>
      </c>
      <c r="O9" s="642">
        <v>8.9373272631481697</v>
      </c>
      <c r="P9" s="642">
        <v>8.9373272631481697</v>
      </c>
      <c r="Q9" s="642">
        <v>8.9373272631481697</v>
      </c>
      <c r="R9" s="642">
        <v>8.9373272631481697</v>
      </c>
      <c r="S9" s="642">
        <v>8.9373272631481697</v>
      </c>
      <c r="T9" s="643">
        <v>8.9373272631481697</v>
      </c>
      <c r="V9" s="644">
        <v>184.39088914585776</v>
      </c>
    </row>
    <row r="10" spans="2:22" x14ac:dyDescent="0.25">
      <c r="I10" s="640">
        <v>6</v>
      </c>
      <c r="J10" s="641"/>
      <c r="K10" s="642"/>
      <c r="L10" s="642"/>
      <c r="M10" s="642"/>
      <c r="N10" s="642"/>
      <c r="O10" s="642"/>
      <c r="P10" s="642"/>
      <c r="Q10" s="642"/>
      <c r="R10" s="642"/>
      <c r="S10" s="642"/>
      <c r="T10" s="643"/>
      <c r="V10" s="644"/>
    </row>
    <row r="11" spans="2:22" x14ac:dyDescent="0.25">
      <c r="I11" s="640">
        <v>7</v>
      </c>
      <c r="J11" s="641"/>
      <c r="K11" s="642"/>
      <c r="L11" s="642"/>
      <c r="M11" s="642"/>
      <c r="N11" s="642"/>
      <c r="O11" s="642"/>
      <c r="P11" s="642"/>
      <c r="Q11" s="642"/>
      <c r="R11" s="642"/>
      <c r="S11" s="642"/>
      <c r="T11" s="643"/>
      <c r="V11" s="644"/>
    </row>
    <row r="12" spans="2:22" x14ac:dyDescent="0.25">
      <c r="I12" s="640">
        <v>8</v>
      </c>
      <c r="J12" s="641"/>
      <c r="K12" s="642"/>
      <c r="L12" s="642"/>
      <c r="M12" s="642"/>
      <c r="N12" s="642"/>
      <c r="O12" s="642"/>
      <c r="P12" s="642"/>
      <c r="Q12" s="642"/>
      <c r="R12" s="642"/>
      <c r="S12" s="642"/>
      <c r="T12" s="643"/>
      <c r="V12" s="644"/>
    </row>
    <row r="13" spans="2:22" x14ac:dyDescent="0.25">
      <c r="I13" s="640">
        <v>9</v>
      </c>
      <c r="J13" s="641"/>
      <c r="K13" s="642"/>
      <c r="L13" s="642"/>
      <c r="M13" s="642"/>
      <c r="N13" s="642"/>
      <c r="O13" s="642"/>
      <c r="P13" s="642"/>
      <c r="Q13" s="642"/>
      <c r="R13" s="642"/>
      <c r="S13" s="642"/>
      <c r="T13" s="643"/>
      <c r="V13" s="644"/>
    </row>
    <row r="14" spans="2:22" x14ac:dyDescent="0.25">
      <c r="I14" s="640">
        <v>10</v>
      </c>
      <c r="J14" s="641"/>
      <c r="K14" s="642"/>
      <c r="L14" s="642"/>
      <c r="M14" s="642"/>
      <c r="N14" s="642"/>
      <c r="O14" s="642"/>
      <c r="P14" s="642"/>
      <c r="Q14" s="642"/>
      <c r="R14" s="642"/>
      <c r="S14" s="642"/>
      <c r="T14" s="643"/>
      <c r="V14" s="644"/>
    </row>
    <row r="15" spans="2:22" x14ac:dyDescent="0.25">
      <c r="I15" s="640">
        <v>11</v>
      </c>
      <c r="J15" s="641"/>
      <c r="K15" s="642"/>
      <c r="L15" s="642"/>
      <c r="M15" s="642"/>
      <c r="N15" s="642"/>
      <c r="O15" s="642"/>
      <c r="P15" s="642"/>
      <c r="Q15" s="642"/>
      <c r="R15" s="642"/>
      <c r="S15" s="642"/>
      <c r="T15" s="643"/>
      <c r="V15" s="644"/>
    </row>
    <row r="16" spans="2:22" x14ac:dyDescent="0.25">
      <c r="I16" s="640">
        <v>12</v>
      </c>
      <c r="J16" s="641"/>
      <c r="K16" s="642"/>
      <c r="L16" s="642"/>
      <c r="M16" s="642"/>
      <c r="N16" s="642"/>
      <c r="O16" s="642"/>
      <c r="P16" s="642"/>
      <c r="Q16" s="642"/>
      <c r="R16" s="642"/>
      <c r="S16" s="642"/>
      <c r="T16" s="643"/>
      <c r="V16" s="644"/>
    </row>
    <row r="17" spans="9:22" x14ac:dyDescent="0.25">
      <c r="I17" s="640">
        <v>13</v>
      </c>
      <c r="J17" s="641"/>
      <c r="K17" s="642"/>
      <c r="L17" s="642"/>
      <c r="M17" s="642"/>
      <c r="N17" s="642"/>
      <c r="O17" s="642"/>
      <c r="P17" s="642"/>
      <c r="Q17" s="642"/>
      <c r="R17" s="642"/>
      <c r="S17" s="642"/>
      <c r="T17" s="643"/>
      <c r="V17" s="644"/>
    </row>
    <row r="18" spans="9:22" x14ac:dyDescent="0.25">
      <c r="I18" s="640">
        <v>14</v>
      </c>
      <c r="J18" s="641"/>
      <c r="K18" s="642"/>
      <c r="L18" s="642"/>
      <c r="M18" s="642"/>
      <c r="N18" s="642"/>
      <c r="O18" s="642"/>
      <c r="P18" s="642"/>
      <c r="Q18" s="642"/>
      <c r="R18" s="642"/>
      <c r="S18" s="642"/>
      <c r="T18" s="643"/>
      <c r="V18" s="644"/>
    </row>
    <row r="19" spans="9:22" x14ac:dyDescent="0.25">
      <c r="I19" s="640">
        <v>15</v>
      </c>
      <c r="J19" s="641"/>
      <c r="K19" s="642"/>
      <c r="L19" s="642"/>
      <c r="M19" s="642"/>
      <c r="N19" s="642"/>
      <c r="O19" s="642"/>
      <c r="P19" s="642"/>
      <c r="Q19" s="642"/>
      <c r="R19" s="642"/>
      <c r="S19" s="642"/>
      <c r="T19" s="643"/>
      <c r="V19" s="644"/>
    </row>
    <row r="20" spans="9:22" x14ac:dyDescent="0.25">
      <c r="I20" s="640">
        <v>16</v>
      </c>
      <c r="J20" s="641"/>
      <c r="K20" s="642"/>
      <c r="L20" s="642"/>
      <c r="M20" s="642"/>
      <c r="N20" s="642"/>
      <c r="O20" s="642"/>
      <c r="P20" s="642"/>
      <c r="Q20" s="642"/>
      <c r="R20" s="642"/>
      <c r="S20" s="642"/>
      <c r="T20" s="643"/>
      <c r="V20" s="644"/>
    </row>
    <row r="21" spans="9:22" x14ac:dyDescent="0.25">
      <c r="I21" s="640">
        <v>17</v>
      </c>
      <c r="J21" s="641"/>
      <c r="K21" s="642"/>
      <c r="L21" s="642"/>
      <c r="M21" s="642"/>
      <c r="N21" s="642"/>
      <c r="O21" s="642"/>
      <c r="P21" s="642"/>
      <c r="Q21" s="642"/>
      <c r="R21" s="642"/>
      <c r="S21" s="642"/>
      <c r="T21" s="643"/>
      <c r="V21" s="644"/>
    </row>
    <row r="22" spans="9:22" x14ac:dyDescent="0.25">
      <c r="I22" s="640">
        <v>18</v>
      </c>
      <c r="J22" s="641"/>
      <c r="K22" s="642"/>
      <c r="L22" s="642"/>
      <c r="M22" s="642"/>
      <c r="N22" s="642"/>
      <c r="O22" s="642"/>
      <c r="P22" s="642"/>
      <c r="Q22" s="642"/>
      <c r="R22" s="642"/>
      <c r="S22" s="642"/>
      <c r="T22" s="643"/>
      <c r="V22" s="644"/>
    </row>
    <row r="23" spans="9:22" x14ac:dyDescent="0.25">
      <c r="I23" s="640">
        <v>19</v>
      </c>
      <c r="J23" s="641"/>
      <c r="K23" s="642"/>
      <c r="L23" s="642"/>
      <c r="M23" s="642"/>
      <c r="N23" s="642"/>
      <c r="O23" s="642"/>
      <c r="P23" s="642"/>
      <c r="Q23" s="642"/>
      <c r="R23" s="642"/>
      <c r="S23" s="642"/>
      <c r="T23" s="643"/>
      <c r="V23" s="644"/>
    </row>
    <row r="24" spans="9:22" x14ac:dyDescent="0.25">
      <c r="I24" s="640">
        <v>20</v>
      </c>
      <c r="J24" s="641"/>
      <c r="K24" s="642"/>
      <c r="L24" s="642"/>
      <c r="M24" s="642"/>
      <c r="N24" s="642"/>
      <c r="O24" s="642"/>
      <c r="P24" s="642"/>
      <c r="Q24" s="642"/>
      <c r="R24" s="642"/>
      <c r="S24" s="642"/>
      <c r="T24" s="643"/>
      <c r="V24" s="644"/>
    </row>
    <row r="25" spans="9:22" x14ac:dyDescent="0.25">
      <c r="I25" s="640">
        <v>21</v>
      </c>
      <c r="J25" s="641"/>
      <c r="K25" s="642"/>
      <c r="L25" s="642"/>
      <c r="M25" s="642"/>
      <c r="N25" s="642"/>
      <c r="O25" s="642"/>
      <c r="P25" s="642"/>
      <c r="Q25" s="642"/>
      <c r="R25" s="642"/>
      <c r="S25" s="642"/>
      <c r="T25" s="643"/>
      <c r="V25" s="644"/>
    </row>
    <row r="26" spans="9:22" x14ac:dyDescent="0.25">
      <c r="I26" s="640">
        <v>22</v>
      </c>
      <c r="J26" s="641"/>
      <c r="K26" s="642"/>
      <c r="L26" s="642"/>
      <c r="M26" s="642"/>
      <c r="N26" s="642"/>
      <c r="O26" s="642"/>
      <c r="P26" s="642"/>
      <c r="Q26" s="642"/>
      <c r="R26" s="642"/>
      <c r="S26" s="642"/>
      <c r="T26" s="643"/>
      <c r="V26" s="644"/>
    </row>
    <row r="27" spans="9:22" x14ac:dyDescent="0.25">
      <c r="I27" s="640">
        <v>23</v>
      </c>
      <c r="J27" s="641"/>
      <c r="K27" s="642"/>
      <c r="L27" s="642"/>
      <c r="M27" s="642"/>
      <c r="N27" s="642"/>
      <c r="O27" s="642"/>
      <c r="P27" s="642"/>
      <c r="Q27" s="642"/>
      <c r="R27" s="642"/>
      <c r="S27" s="642"/>
      <c r="T27" s="643"/>
      <c r="V27" s="644"/>
    </row>
    <row r="28" spans="9:22" x14ac:dyDescent="0.25">
      <c r="I28" s="640">
        <v>24</v>
      </c>
      <c r="J28" s="641"/>
      <c r="K28" s="642"/>
      <c r="L28" s="642"/>
      <c r="M28" s="642"/>
      <c r="N28" s="642"/>
      <c r="O28" s="642"/>
      <c r="P28" s="642"/>
      <c r="Q28" s="642"/>
      <c r="R28" s="642"/>
      <c r="S28" s="642"/>
      <c r="T28" s="643"/>
      <c r="V28" s="644"/>
    </row>
    <row r="29" spans="9:22" x14ac:dyDescent="0.25">
      <c r="I29" s="640">
        <v>25</v>
      </c>
      <c r="J29" s="641"/>
      <c r="K29" s="642"/>
      <c r="L29" s="642"/>
      <c r="M29" s="642"/>
      <c r="N29" s="642"/>
      <c r="O29" s="642"/>
      <c r="P29" s="642"/>
      <c r="Q29" s="642"/>
      <c r="R29" s="642"/>
      <c r="S29" s="642"/>
      <c r="T29" s="643"/>
      <c r="V29" s="644"/>
    </row>
    <row r="30" spans="9:22" x14ac:dyDescent="0.25">
      <c r="I30" s="640">
        <v>26</v>
      </c>
      <c r="J30" s="641"/>
      <c r="K30" s="642"/>
      <c r="L30" s="642"/>
      <c r="M30" s="642"/>
      <c r="N30" s="642"/>
      <c r="O30" s="642"/>
      <c r="P30" s="642"/>
      <c r="Q30" s="642"/>
      <c r="R30" s="642"/>
      <c r="S30" s="642"/>
      <c r="T30" s="643"/>
      <c r="V30" s="644"/>
    </row>
    <row r="31" spans="9:22" x14ac:dyDescent="0.25">
      <c r="I31" s="640">
        <v>27</v>
      </c>
      <c r="J31" s="641"/>
      <c r="K31" s="642"/>
      <c r="L31" s="642"/>
      <c r="M31" s="642"/>
      <c r="N31" s="642"/>
      <c r="O31" s="642"/>
      <c r="P31" s="642"/>
      <c r="Q31" s="642"/>
      <c r="R31" s="642"/>
      <c r="S31" s="642"/>
      <c r="T31" s="643"/>
      <c r="V31" s="644"/>
    </row>
    <row r="32" spans="9:22" x14ac:dyDescent="0.25">
      <c r="I32" s="640">
        <v>28</v>
      </c>
      <c r="J32" s="641"/>
      <c r="K32" s="642"/>
      <c r="L32" s="642"/>
      <c r="M32" s="642"/>
      <c r="N32" s="642"/>
      <c r="O32" s="642"/>
      <c r="P32" s="642"/>
      <c r="Q32" s="642"/>
      <c r="R32" s="642"/>
      <c r="S32" s="642"/>
      <c r="T32" s="643"/>
      <c r="V32" s="644"/>
    </row>
    <row r="33" spans="4:22" x14ac:dyDescent="0.25">
      <c r="I33" s="640">
        <v>29</v>
      </c>
      <c r="J33" s="641"/>
      <c r="K33" s="642"/>
      <c r="L33" s="642"/>
      <c r="M33" s="642"/>
      <c r="N33" s="642"/>
      <c r="O33" s="642"/>
      <c r="P33" s="642"/>
      <c r="Q33" s="642"/>
      <c r="R33" s="642"/>
      <c r="S33" s="642"/>
      <c r="T33" s="643"/>
      <c r="V33" s="644"/>
    </row>
    <row r="34" spans="4:22" x14ac:dyDescent="0.25">
      <c r="I34" s="640">
        <v>30</v>
      </c>
      <c r="J34" s="641"/>
      <c r="K34" s="642"/>
      <c r="L34" s="642"/>
      <c r="M34" s="642"/>
      <c r="N34" s="642"/>
      <c r="O34" s="642"/>
      <c r="P34" s="642"/>
      <c r="Q34" s="642"/>
      <c r="R34" s="642"/>
      <c r="S34" s="642"/>
      <c r="T34" s="643"/>
      <c r="V34" s="644"/>
    </row>
    <row r="35" spans="4:22" ht="13.8" thickBot="1" x14ac:dyDescent="0.3">
      <c r="I35" s="640">
        <v>31</v>
      </c>
      <c r="J35" s="641"/>
      <c r="K35" s="642"/>
      <c r="L35" s="642"/>
      <c r="M35" s="642"/>
      <c r="N35" s="642"/>
      <c r="O35" s="642"/>
      <c r="P35" s="642"/>
      <c r="Q35" s="642"/>
      <c r="R35" s="642"/>
      <c r="S35" s="642"/>
      <c r="T35" s="643"/>
      <c r="V35" s="644"/>
    </row>
    <row r="36" spans="4:22" x14ac:dyDescent="0.25">
      <c r="D36" s="647" t="s">
        <v>198</v>
      </c>
      <c r="E36" s="648">
        <f>MAX(J5:T44)</f>
        <v>23.970401301970664</v>
      </c>
      <c r="I36" s="640">
        <v>32</v>
      </c>
      <c r="J36" s="641"/>
      <c r="K36" s="642"/>
      <c r="L36" s="642"/>
      <c r="M36" s="642"/>
      <c r="N36" s="642"/>
      <c r="O36" s="642"/>
      <c r="P36" s="642"/>
      <c r="Q36" s="642"/>
      <c r="R36" s="642"/>
      <c r="S36" s="642"/>
      <c r="T36" s="643"/>
      <c r="V36" s="644"/>
    </row>
    <row r="37" spans="4:22" ht="13.8" thickBot="1" x14ac:dyDescent="0.3">
      <c r="D37" s="649" t="s">
        <v>199</v>
      </c>
      <c r="E37" s="650">
        <f>MIN(J5:T44)</f>
        <v>-23.166544235369706</v>
      </c>
      <c r="I37" s="640">
        <v>33</v>
      </c>
      <c r="J37" s="641"/>
      <c r="K37" s="642"/>
      <c r="L37" s="642"/>
      <c r="M37" s="642"/>
      <c r="N37" s="642"/>
      <c r="O37" s="642"/>
      <c r="P37" s="642"/>
      <c r="Q37" s="642"/>
      <c r="R37" s="642"/>
      <c r="S37" s="642"/>
      <c r="T37" s="643"/>
      <c r="V37" s="644"/>
    </row>
    <row r="38" spans="4:22" x14ac:dyDescent="0.25">
      <c r="I38" s="640">
        <v>34</v>
      </c>
      <c r="J38" s="641"/>
      <c r="K38" s="642"/>
      <c r="L38" s="642"/>
      <c r="M38" s="642"/>
      <c r="N38" s="642"/>
      <c r="O38" s="642"/>
      <c r="P38" s="642"/>
      <c r="Q38" s="642"/>
      <c r="R38" s="642"/>
      <c r="S38" s="642"/>
      <c r="T38" s="643"/>
      <c r="V38" s="644"/>
    </row>
    <row r="39" spans="4:22" x14ac:dyDescent="0.25">
      <c r="I39" s="640">
        <v>35</v>
      </c>
      <c r="J39" s="641"/>
      <c r="K39" s="642"/>
      <c r="L39" s="642"/>
      <c r="M39" s="642"/>
      <c r="N39" s="642"/>
      <c r="O39" s="642"/>
      <c r="P39" s="642"/>
      <c r="Q39" s="642"/>
      <c r="R39" s="642"/>
      <c r="S39" s="642"/>
      <c r="T39" s="643"/>
      <c r="V39" s="644"/>
    </row>
    <row r="40" spans="4:22" x14ac:dyDescent="0.25">
      <c r="I40" s="640">
        <v>36</v>
      </c>
      <c r="J40" s="641"/>
      <c r="K40" s="642"/>
      <c r="L40" s="642"/>
      <c r="M40" s="642"/>
      <c r="N40" s="642"/>
      <c r="O40" s="642"/>
      <c r="P40" s="642"/>
      <c r="Q40" s="642"/>
      <c r="R40" s="642"/>
      <c r="S40" s="642"/>
      <c r="T40" s="643"/>
      <c r="V40" s="644"/>
    </row>
    <row r="41" spans="4:22" x14ac:dyDescent="0.25">
      <c r="I41" s="640">
        <v>37</v>
      </c>
      <c r="J41" s="641"/>
      <c r="K41" s="642"/>
      <c r="L41" s="642"/>
      <c r="M41" s="642"/>
      <c r="N41" s="642"/>
      <c r="O41" s="642"/>
      <c r="P41" s="642"/>
      <c r="Q41" s="642"/>
      <c r="R41" s="642"/>
      <c r="S41" s="642"/>
      <c r="T41" s="643"/>
      <c r="V41" s="644"/>
    </row>
    <row r="42" spans="4:22" x14ac:dyDescent="0.25">
      <c r="I42" s="640">
        <v>38</v>
      </c>
      <c r="J42" s="641"/>
      <c r="K42" s="642"/>
      <c r="L42" s="642"/>
      <c r="M42" s="642"/>
      <c r="N42" s="642"/>
      <c r="O42" s="642"/>
      <c r="P42" s="642"/>
      <c r="Q42" s="642"/>
      <c r="R42" s="642"/>
      <c r="S42" s="642"/>
      <c r="T42" s="643"/>
      <c r="V42" s="644"/>
    </row>
    <row r="43" spans="4:22" x14ac:dyDescent="0.25">
      <c r="I43" s="640">
        <v>39</v>
      </c>
      <c r="J43" s="641"/>
      <c r="K43" s="642"/>
      <c r="L43" s="642"/>
      <c r="M43" s="642"/>
      <c r="N43" s="642"/>
      <c r="O43" s="642"/>
      <c r="P43" s="642"/>
      <c r="Q43" s="642"/>
      <c r="R43" s="642"/>
      <c r="S43" s="642"/>
      <c r="T43" s="643"/>
      <c r="V43" s="644"/>
    </row>
    <row r="44" spans="4:22" ht="13.8" thickBot="1" x14ac:dyDescent="0.3">
      <c r="I44" s="651">
        <v>40</v>
      </c>
      <c r="J44" s="652"/>
      <c r="K44" s="653"/>
      <c r="L44" s="653"/>
      <c r="M44" s="653"/>
      <c r="N44" s="653"/>
      <c r="O44" s="653"/>
      <c r="P44" s="653"/>
      <c r="Q44" s="653"/>
      <c r="R44" s="653"/>
      <c r="S44" s="653"/>
      <c r="T44" s="654"/>
      <c r="V44" s="655"/>
    </row>
  </sheetData>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B1:V44"/>
  <sheetViews>
    <sheetView zoomScale="70" zoomScaleNormal="70" workbookViewId="0">
      <selection activeCell="Y23" sqref="Y23"/>
    </sheetView>
  </sheetViews>
  <sheetFormatPr defaultColWidth="11.44140625" defaultRowHeight="13.2" x14ac:dyDescent="0.25"/>
  <cols>
    <col min="1" max="1" width="6.5546875" style="41" customWidth="1"/>
    <col min="2" max="2" width="9.44140625" style="41" customWidth="1"/>
    <col min="3" max="3" width="10.44140625" style="41" customWidth="1"/>
    <col min="4" max="4" width="12.44140625" style="41" bestFit="1" customWidth="1"/>
    <col min="5" max="5" width="6.5546875" style="41" customWidth="1"/>
    <col min="6" max="6" width="12.44140625" style="41" bestFit="1" customWidth="1"/>
    <col min="7" max="7" width="12.44140625" style="41" customWidth="1"/>
    <col min="8" max="8" width="3.5546875" style="41" customWidth="1"/>
    <col min="9" max="9" width="8.5546875" style="41" customWidth="1"/>
    <col min="10" max="13" width="12.44140625" style="41" bestFit="1" customWidth="1"/>
    <col min="14" max="15" width="12.5546875" style="41" bestFit="1" customWidth="1"/>
    <col min="16" max="16" width="12" style="41" bestFit="1" customWidth="1"/>
    <col min="17" max="18" width="12.5546875" style="41" bestFit="1" customWidth="1"/>
    <col min="19" max="20" width="12" style="41" bestFit="1" customWidth="1"/>
    <col min="21" max="23" width="12.44140625" style="41" bestFit="1" customWidth="1"/>
    <col min="24" max="24" width="14.44140625" style="41" bestFit="1" customWidth="1"/>
    <col min="25" max="26" width="14.5546875" style="41" bestFit="1" customWidth="1"/>
    <col min="27" max="27" width="11.5546875" style="41" bestFit="1" customWidth="1"/>
    <col min="28" max="28" width="14.5546875" style="41" bestFit="1" customWidth="1"/>
    <col min="29" max="30" width="11.5546875" style="41" bestFit="1" customWidth="1"/>
    <col min="31" max="16384" width="11.44140625" style="41"/>
  </cols>
  <sheetData>
    <row r="1" spans="2:22" ht="12.75" customHeight="1" thickBot="1" x14ac:dyDescent="0.3"/>
    <row r="2" spans="2:22" ht="16.2" thickBot="1" x14ac:dyDescent="0.35">
      <c r="B2" s="621" t="s">
        <v>200</v>
      </c>
      <c r="D2" s="622" t="s">
        <v>190</v>
      </c>
      <c r="E2" s="623">
        <v>1</v>
      </c>
      <c r="F2" s="624" t="s">
        <v>191</v>
      </c>
      <c r="G2" s="623">
        <v>1</v>
      </c>
      <c r="I2" s="625" t="s">
        <v>192</v>
      </c>
      <c r="J2" s="424"/>
    </row>
    <row r="3" spans="2:22" ht="12.75" customHeight="1" thickBot="1" x14ac:dyDescent="0.3"/>
    <row r="4" spans="2:22" s="656" customFormat="1" ht="12.75" customHeight="1" thickBot="1" x14ac:dyDescent="0.35">
      <c r="I4" s="626" t="s">
        <v>43</v>
      </c>
      <c r="J4" s="657">
        <v>0</v>
      </c>
      <c r="K4" s="658">
        <v>0.1</v>
      </c>
      <c r="L4" s="658">
        <v>0.2</v>
      </c>
      <c r="M4" s="658">
        <v>0.3</v>
      </c>
      <c r="N4" s="658">
        <v>0.4</v>
      </c>
      <c r="O4" s="658">
        <v>0.5</v>
      </c>
      <c r="P4" s="658">
        <v>0.6</v>
      </c>
      <c r="Q4" s="658">
        <v>0.7</v>
      </c>
      <c r="R4" s="658">
        <v>0.8</v>
      </c>
      <c r="S4" s="658">
        <v>0.9</v>
      </c>
      <c r="T4" s="659">
        <v>1</v>
      </c>
      <c r="V4" s="630" t="s">
        <v>131</v>
      </c>
    </row>
    <row r="5" spans="2:22" ht="12.75" customHeight="1" x14ac:dyDescent="0.25">
      <c r="C5" s="660" t="s">
        <v>201</v>
      </c>
      <c r="D5" s="632">
        <f>MAX(MAX(J5:T44),ABS(MIN(J5:T44)))</f>
        <v>0.24514312754182685</v>
      </c>
      <c r="I5" s="661">
        <v>1</v>
      </c>
      <c r="J5" s="647">
        <v>8.8969456875595154E-2</v>
      </c>
      <c r="K5" s="662">
        <v>8.8969456875595154E-2</v>
      </c>
      <c r="L5" s="662">
        <v>8.8969456875595154E-2</v>
      </c>
      <c r="M5" s="662">
        <v>8.8969456875595154E-2</v>
      </c>
      <c r="N5" s="662">
        <v>8.8969456875595154E-2</v>
      </c>
      <c r="O5" s="662">
        <v>8.8969456875595154E-2</v>
      </c>
      <c r="P5" s="662">
        <v>8.8969456875595154E-2</v>
      </c>
      <c r="Q5" s="662">
        <v>8.8969456875595154E-2</v>
      </c>
      <c r="R5" s="662">
        <v>8.8969456875595154E-2</v>
      </c>
      <c r="S5" s="662">
        <v>8.8969456875595154E-2</v>
      </c>
      <c r="T5" s="663">
        <v>8.8969456875595154E-2</v>
      </c>
      <c r="U5" s="148"/>
      <c r="V5" s="664">
        <v>100</v>
      </c>
    </row>
    <row r="6" spans="2:22" ht="12.75" customHeight="1" x14ac:dyDescent="0.25">
      <c r="C6" s="665" t="s">
        <v>194</v>
      </c>
      <c r="D6" s="639">
        <f>IF(D9&lt;0.000001,1,D7/D9)</f>
        <v>207.68148287879194</v>
      </c>
      <c r="I6" s="666">
        <v>2</v>
      </c>
      <c r="J6" s="667">
        <v>0.24514312754182685</v>
      </c>
      <c r="K6" s="642">
        <v>0.24514312754182685</v>
      </c>
      <c r="L6" s="642">
        <v>0.24514312754182685</v>
      </c>
      <c r="M6" s="642">
        <v>0.24514312754182685</v>
      </c>
      <c r="N6" s="642">
        <v>0.24514312754182685</v>
      </c>
      <c r="O6" s="642">
        <v>0.24514312754182685</v>
      </c>
      <c r="P6" s="642">
        <v>0.24514312754182685</v>
      </c>
      <c r="Q6" s="642">
        <v>0.24514312754182685</v>
      </c>
      <c r="R6" s="642">
        <v>0.24514312754182685</v>
      </c>
      <c r="S6" s="642">
        <v>0.24514312754182685</v>
      </c>
      <c r="T6" s="643">
        <v>0.24514312754182685</v>
      </c>
      <c r="U6" s="148"/>
      <c r="V6" s="644">
        <v>60</v>
      </c>
    </row>
    <row r="7" spans="2:22" ht="12.75" customHeight="1" x14ac:dyDescent="0.25">
      <c r="C7" s="665" t="s">
        <v>195</v>
      </c>
      <c r="D7" s="639">
        <v>0.3</v>
      </c>
      <c r="I7" s="661">
        <v>3</v>
      </c>
      <c r="J7" s="667">
        <v>0.16219555466908575</v>
      </c>
      <c r="K7" s="642">
        <v>0.16219555466908575</v>
      </c>
      <c r="L7" s="642">
        <v>0.16219555466908575</v>
      </c>
      <c r="M7" s="642">
        <v>0.16219555466908575</v>
      </c>
      <c r="N7" s="642">
        <v>0.16219555466908575</v>
      </c>
      <c r="O7" s="642">
        <v>0.16219555466908575</v>
      </c>
      <c r="P7" s="642">
        <v>0.16219555466908575</v>
      </c>
      <c r="Q7" s="642">
        <v>0.16219555466908575</v>
      </c>
      <c r="R7" s="642">
        <v>0.16219555466908575</v>
      </c>
      <c r="S7" s="642">
        <v>0.16219555466908575</v>
      </c>
      <c r="T7" s="643">
        <v>0.16219555466908575</v>
      </c>
      <c r="U7" s="148"/>
      <c r="V7" s="644">
        <v>72.111025509279784</v>
      </c>
    </row>
    <row r="8" spans="2:22" ht="12.75" customHeight="1" x14ac:dyDescent="0.25">
      <c r="C8" s="668" t="s">
        <v>196</v>
      </c>
      <c r="D8" s="639">
        <f>PlotData!CB5</f>
        <v>169.70562748477141</v>
      </c>
      <c r="I8" s="666">
        <v>4</v>
      </c>
      <c r="J8" s="667">
        <v>0.13352918804900851</v>
      </c>
      <c r="K8" s="642">
        <v>0.13352918804900851</v>
      </c>
      <c r="L8" s="642">
        <v>0.13352918804900851</v>
      </c>
      <c r="M8" s="642">
        <v>0.13352918804900851</v>
      </c>
      <c r="N8" s="642">
        <v>0.13352918804900851</v>
      </c>
      <c r="O8" s="642">
        <v>0.13352918804900851</v>
      </c>
      <c r="P8" s="642">
        <v>0.13352918804900851</v>
      </c>
      <c r="Q8" s="642">
        <v>0.13352918804900851</v>
      </c>
      <c r="R8" s="642">
        <v>0.13352918804900851</v>
      </c>
      <c r="S8" s="642">
        <v>0.13352918804900851</v>
      </c>
      <c r="T8" s="643">
        <v>0.13352918804900851</v>
      </c>
      <c r="U8" s="148"/>
      <c r="V8" s="644">
        <v>76.157731058639087</v>
      </c>
    </row>
    <row r="9" spans="2:22" ht="12.75" customHeight="1" thickBot="1" x14ac:dyDescent="0.3">
      <c r="C9" s="669" t="s">
        <v>202</v>
      </c>
      <c r="D9" s="646">
        <f>D5/MAX(0.0001,D8)</f>
        <v>1.4445197320508705E-3</v>
      </c>
      <c r="I9" s="661">
        <v>5</v>
      </c>
      <c r="J9" s="667">
        <v>2.456248738081189E-2</v>
      </c>
      <c r="K9" s="642">
        <v>2.456248738081189E-2</v>
      </c>
      <c r="L9" s="642">
        <v>2.456248738081189E-2</v>
      </c>
      <c r="M9" s="642">
        <v>2.456248738081189E-2</v>
      </c>
      <c r="N9" s="642">
        <v>2.456248738081189E-2</v>
      </c>
      <c r="O9" s="642">
        <v>2.456248738081189E-2</v>
      </c>
      <c r="P9" s="642">
        <v>2.456248738081189E-2</v>
      </c>
      <c r="Q9" s="642">
        <v>2.456248738081189E-2</v>
      </c>
      <c r="R9" s="642">
        <v>2.456248738081189E-2</v>
      </c>
      <c r="S9" s="642">
        <v>2.456248738081189E-2</v>
      </c>
      <c r="T9" s="643">
        <v>2.456248738081189E-2</v>
      </c>
      <c r="U9" s="148"/>
      <c r="V9" s="644">
        <v>184.39088914585776</v>
      </c>
    </row>
    <row r="10" spans="2:22" ht="12.75" customHeight="1" x14ac:dyDescent="0.25">
      <c r="I10" s="666">
        <v>6</v>
      </c>
      <c r="J10" s="667"/>
      <c r="K10" s="642"/>
      <c r="L10" s="642"/>
      <c r="M10" s="642"/>
      <c r="N10" s="642"/>
      <c r="O10" s="642"/>
      <c r="P10" s="642"/>
      <c r="Q10" s="642"/>
      <c r="R10" s="642"/>
      <c r="S10" s="642"/>
      <c r="T10" s="643"/>
      <c r="U10" s="148"/>
      <c r="V10" s="644"/>
    </row>
    <row r="11" spans="2:22" ht="12.75" customHeight="1" x14ac:dyDescent="0.25">
      <c r="I11" s="661">
        <v>7</v>
      </c>
      <c r="J11" s="667"/>
      <c r="K11" s="642"/>
      <c r="L11" s="642"/>
      <c r="M11" s="642"/>
      <c r="N11" s="642"/>
      <c r="O11" s="642"/>
      <c r="P11" s="642"/>
      <c r="Q11" s="642"/>
      <c r="R11" s="642"/>
      <c r="S11" s="642"/>
      <c r="T11" s="643"/>
      <c r="U11" s="148"/>
      <c r="V11" s="644"/>
    </row>
    <row r="12" spans="2:22" ht="12.75" customHeight="1" x14ac:dyDescent="0.25">
      <c r="I12" s="666">
        <v>8</v>
      </c>
      <c r="J12" s="667"/>
      <c r="K12" s="642"/>
      <c r="L12" s="642"/>
      <c r="M12" s="642"/>
      <c r="N12" s="642"/>
      <c r="O12" s="642"/>
      <c r="P12" s="642"/>
      <c r="Q12" s="642"/>
      <c r="R12" s="642"/>
      <c r="S12" s="642"/>
      <c r="T12" s="643"/>
      <c r="U12" s="148"/>
      <c r="V12" s="644"/>
    </row>
    <row r="13" spans="2:22" ht="12.75" customHeight="1" x14ac:dyDescent="0.25">
      <c r="I13" s="661">
        <v>9</v>
      </c>
      <c r="J13" s="667"/>
      <c r="K13" s="642"/>
      <c r="L13" s="642"/>
      <c r="M13" s="642"/>
      <c r="N13" s="642"/>
      <c r="O13" s="642"/>
      <c r="P13" s="642"/>
      <c r="Q13" s="642"/>
      <c r="R13" s="642"/>
      <c r="S13" s="642"/>
      <c r="T13" s="643"/>
      <c r="U13" s="148"/>
      <c r="V13" s="644"/>
    </row>
    <row r="14" spans="2:22" ht="12.75" customHeight="1" x14ac:dyDescent="0.25">
      <c r="I14" s="666">
        <v>10</v>
      </c>
      <c r="J14" s="667"/>
      <c r="K14" s="642"/>
      <c r="L14" s="642"/>
      <c r="M14" s="642"/>
      <c r="N14" s="642"/>
      <c r="O14" s="642"/>
      <c r="P14" s="642"/>
      <c r="Q14" s="642"/>
      <c r="R14" s="642"/>
      <c r="S14" s="642"/>
      <c r="T14" s="643"/>
      <c r="U14" s="148"/>
      <c r="V14" s="644"/>
    </row>
    <row r="15" spans="2:22" ht="12.75" customHeight="1" x14ac:dyDescent="0.25">
      <c r="I15" s="661">
        <v>11</v>
      </c>
      <c r="J15" s="667"/>
      <c r="K15" s="642"/>
      <c r="L15" s="642"/>
      <c r="M15" s="642"/>
      <c r="N15" s="642"/>
      <c r="O15" s="642"/>
      <c r="P15" s="642"/>
      <c r="Q15" s="642"/>
      <c r="R15" s="642"/>
      <c r="S15" s="642"/>
      <c r="T15" s="643"/>
      <c r="U15" s="148"/>
      <c r="V15" s="644"/>
    </row>
    <row r="16" spans="2:22" ht="12.75" customHeight="1" x14ac:dyDescent="0.25">
      <c r="I16" s="666">
        <v>12</v>
      </c>
      <c r="J16" s="667"/>
      <c r="K16" s="642"/>
      <c r="L16" s="642"/>
      <c r="M16" s="642"/>
      <c r="N16" s="642"/>
      <c r="O16" s="642"/>
      <c r="P16" s="642"/>
      <c r="Q16" s="642"/>
      <c r="R16" s="642"/>
      <c r="S16" s="642"/>
      <c r="T16" s="643"/>
      <c r="U16" s="148"/>
      <c r="V16" s="644"/>
    </row>
    <row r="17" spans="9:22" ht="12.75" customHeight="1" x14ac:dyDescent="0.25">
      <c r="I17" s="661">
        <v>13</v>
      </c>
      <c r="J17" s="667"/>
      <c r="K17" s="642"/>
      <c r="L17" s="642"/>
      <c r="M17" s="642"/>
      <c r="N17" s="642"/>
      <c r="O17" s="642"/>
      <c r="P17" s="642"/>
      <c r="Q17" s="642"/>
      <c r="R17" s="642"/>
      <c r="S17" s="642"/>
      <c r="T17" s="643"/>
      <c r="U17" s="148"/>
      <c r="V17" s="644"/>
    </row>
    <row r="18" spans="9:22" ht="12.75" customHeight="1" x14ac:dyDescent="0.25">
      <c r="I18" s="666">
        <v>14</v>
      </c>
      <c r="J18" s="667"/>
      <c r="K18" s="642"/>
      <c r="L18" s="642"/>
      <c r="M18" s="642"/>
      <c r="N18" s="642"/>
      <c r="O18" s="642"/>
      <c r="P18" s="642"/>
      <c r="Q18" s="642"/>
      <c r="R18" s="642"/>
      <c r="S18" s="642"/>
      <c r="T18" s="643"/>
      <c r="U18" s="148"/>
      <c r="V18" s="644"/>
    </row>
    <row r="19" spans="9:22" ht="12.75" customHeight="1" x14ac:dyDescent="0.25">
      <c r="I19" s="661">
        <v>15</v>
      </c>
      <c r="J19" s="667"/>
      <c r="K19" s="642"/>
      <c r="L19" s="642"/>
      <c r="M19" s="642"/>
      <c r="N19" s="642"/>
      <c r="O19" s="642"/>
      <c r="P19" s="642"/>
      <c r="Q19" s="642"/>
      <c r="R19" s="642"/>
      <c r="S19" s="642"/>
      <c r="T19" s="643"/>
      <c r="U19" s="148"/>
      <c r="V19" s="644"/>
    </row>
    <row r="20" spans="9:22" ht="12.75" customHeight="1" x14ac:dyDescent="0.25">
      <c r="I20" s="666">
        <v>16</v>
      </c>
      <c r="J20" s="667"/>
      <c r="K20" s="642"/>
      <c r="L20" s="642"/>
      <c r="M20" s="642"/>
      <c r="N20" s="642"/>
      <c r="O20" s="642"/>
      <c r="P20" s="642"/>
      <c r="Q20" s="642"/>
      <c r="R20" s="642"/>
      <c r="S20" s="642"/>
      <c r="T20" s="643"/>
      <c r="U20" s="148"/>
      <c r="V20" s="644"/>
    </row>
    <row r="21" spans="9:22" ht="12.75" customHeight="1" x14ac:dyDescent="0.25">
      <c r="I21" s="661">
        <v>17</v>
      </c>
      <c r="J21" s="667"/>
      <c r="K21" s="642"/>
      <c r="L21" s="642"/>
      <c r="M21" s="642"/>
      <c r="N21" s="642"/>
      <c r="O21" s="642"/>
      <c r="P21" s="642"/>
      <c r="Q21" s="642"/>
      <c r="R21" s="642"/>
      <c r="S21" s="642"/>
      <c r="T21" s="643"/>
      <c r="U21" s="148"/>
      <c r="V21" s="644"/>
    </row>
    <row r="22" spans="9:22" ht="12.75" customHeight="1" x14ac:dyDescent="0.25">
      <c r="I22" s="666">
        <v>18</v>
      </c>
      <c r="J22" s="667"/>
      <c r="K22" s="642"/>
      <c r="L22" s="642"/>
      <c r="M22" s="642"/>
      <c r="N22" s="642"/>
      <c r="O22" s="642"/>
      <c r="P22" s="642"/>
      <c r="Q22" s="642"/>
      <c r="R22" s="642"/>
      <c r="S22" s="642"/>
      <c r="T22" s="643"/>
      <c r="U22" s="148"/>
      <c r="V22" s="644"/>
    </row>
    <row r="23" spans="9:22" ht="12.75" customHeight="1" x14ac:dyDescent="0.25">
      <c r="I23" s="661">
        <v>19</v>
      </c>
      <c r="J23" s="667"/>
      <c r="K23" s="642"/>
      <c r="L23" s="642"/>
      <c r="M23" s="642"/>
      <c r="N23" s="642"/>
      <c r="O23" s="642"/>
      <c r="P23" s="642"/>
      <c r="Q23" s="642"/>
      <c r="R23" s="642"/>
      <c r="S23" s="642"/>
      <c r="T23" s="643"/>
      <c r="U23" s="148"/>
      <c r="V23" s="644"/>
    </row>
    <row r="24" spans="9:22" ht="12.75" customHeight="1" x14ac:dyDescent="0.25">
      <c r="I24" s="666">
        <v>20</v>
      </c>
      <c r="J24" s="667"/>
      <c r="K24" s="642"/>
      <c r="L24" s="642"/>
      <c r="M24" s="642"/>
      <c r="N24" s="642"/>
      <c r="O24" s="642"/>
      <c r="P24" s="642"/>
      <c r="Q24" s="642"/>
      <c r="R24" s="642"/>
      <c r="S24" s="642"/>
      <c r="T24" s="643"/>
      <c r="U24" s="148"/>
      <c r="V24" s="644"/>
    </row>
    <row r="25" spans="9:22" ht="12.75" customHeight="1" x14ac:dyDescent="0.25">
      <c r="I25" s="661">
        <v>21</v>
      </c>
      <c r="J25" s="667"/>
      <c r="K25" s="642"/>
      <c r="L25" s="642"/>
      <c r="M25" s="642"/>
      <c r="N25" s="642"/>
      <c r="O25" s="642"/>
      <c r="P25" s="642"/>
      <c r="Q25" s="642"/>
      <c r="R25" s="642"/>
      <c r="S25" s="642"/>
      <c r="T25" s="643"/>
      <c r="U25" s="148"/>
      <c r="V25" s="644"/>
    </row>
    <row r="26" spans="9:22" ht="12.75" customHeight="1" x14ac:dyDescent="0.25">
      <c r="I26" s="666">
        <v>22</v>
      </c>
      <c r="J26" s="667"/>
      <c r="K26" s="642"/>
      <c r="L26" s="642"/>
      <c r="M26" s="642"/>
      <c r="N26" s="642"/>
      <c r="O26" s="642"/>
      <c r="P26" s="642"/>
      <c r="Q26" s="642"/>
      <c r="R26" s="642"/>
      <c r="S26" s="642"/>
      <c r="T26" s="643"/>
      <c r="U26" s="148"/>
      <c r="V26" s="644"/>
    </row>
    <row r="27" spans="9:22" ht="12.75" customHeight="1" x14ac:dyDescent="0.25">
      <c r="I27" s="661">
        <v>23</v>
      </c>
      <c r="J27" s="667"/>
      <c r="K27" s="642"/>
      <c r="L27" s="642"/>
      <c r="M27" s="642"/>
      <c r="N27" s="642"/>
      <c r="O27" s="642"/>
      <c r="P27" s="642"/>
      <c r="Q27" s="642"/>
      <c r="R27" s="642"/>
      <c r="S27" s="642"/>
      <c r="T27" s="643"/>
      <c r="U27" s="148"/>
      <c r="V27" s="644"/>
    </row>
    <row r="28" spans="9:22" ht="12.75" customHeight="1" x14ac:dyDescent="0.25">
      <c r="I28" s="666">
        <v>24</v>
      </c>
      <c r="J28" s="667"/>
      <c r="K28" s="642"/>
      <c r="L28" s="642"/>
      <c r="M28" s="642"/>
      <c r="N28" s="642"/>
      <c r="O28" s="642"/>
      <c r="P28" s="642"/>
      <c r="Q28" s="642"/>
      <c r="R28" s="642"/>
      <c r="S28" s="642"/>
      <c r="T28" s="643"/>
      <c r="U28" s="148"/>
      <c r="V28" s="644"/>
    </row>
    <row r="29" spans="9:22" ht="12.75" customHeight="1" x14ac:dyDescent="0.25">
      <c r="I29" s="661">
        <v>25</v>
      </c>
      <c r="J29" s="667"/>
      <c r="K29" s="642"/>
      <c r="L29" s="642"/>
      <c r="M29" s="642"/>
      <c r="N29" s="642"/>
      <c r="O29" s="642"/>
      <c r="P29" s="642"/>
      <c r="Q29" s="642"/>
      <c r="R29" s="642"/>
      <c r="S29" s="642"/>
      <c r="T29" s="643"/>
      <c r="U29" s="148"/>
      <c r="V29" s="644"/>
    </row>
    <row r="30" spans="9:22" ht="12.75" customHeight="1" x14ac:dyDescent="0.25">
      <c r="I30" s="666">
        <v>26</v>
      </c>
      <c r="J30" s="667"/>
      <c r="K30" s="642"/>
      <c r="L30" s="642"/>
      <c r="M30" s="642"/>
      <c r="N30" s="642"/>
      <c r="O30" s="642"/>
      <c r="P30" s="642"/>
      <c r="Q30" s="642"/>
      <c r="R30" s="642"/>
      <c r="S30" s="642"/>
      <c r="T30" s="643"/>
      <c r="U30" s="148"/>
      <c r="V30" s="644"/>
    </row>
    <row r="31" spans="9:22" ht="12.75" customHeight="1" x14ac:dyDescent="0.25">
      <c r="I31" s="661">
        <v>27</v>
      </c>
      <c r="J31" s="667"/>
      <c r="K31" s="642"/>
      <c r="L31" s="642"/>
      <c r="M31" s="642"/>
      <c r="N31" s="642"/>
      <c r="O31" s="642"/>
      <c r="P31" s="642"/>
      <c r="Q31" s="642"/>
      <c r="R31" s="642"/>
      <c r="S31" s="642"/>
      <c r="T31" s="643"/>
      <c r="U31" s="148"/>
      <c r="V31" s="644"/>
    </row>
    <row r="32" spans="9:22" ht="12.75" customHeight="1" x14ac:dyDescent="0.25">
      <c r="I32" s="666">
        <v>28</v>
      </c>
      <c r="J32" s="667"/>
      <c r="K32" s="642"/>
      <c r="L32" s="642"/>
      <c r="M32" s="642"/>
      <c r="N32" s="642"/>
      <c r="O32" s="642"/>
      <c r="P32" s="642"/>
      <c r="Q32" s="642"/>
      <c r="R32" s="642"/>
      <c r="S32" s="642"/>
      <c r="T32" s="643"/>
      <c r="U32" s="148"/>
      <c r="V32" s="644"/>
    </row>
    <row r="33" spans="4:22" ht="12.75" customHeight="1" x14ac:dyDescent="0.25">
      <c r="I33" s="661">
        <v>29</v>
      </c>
      <c r="J33" s="667"/>
      <c r="K33" s="642"/>
      <c r="L33" s="642"/>
      <c r="M33" s="642"/>
      <c r="N33" s="642"/>
      <c r="O33" s="642"/>
      <c r="P33" s="642"/>
      <c r="Q33" s="642"/>
      <c r="R33" s="642"/>
      <c r="S33" s="642"/>
      <c r="T33" s="643"/>
      <c r="U33" s="148"/>
      <c r="V33" s="644"/>
    </row>
    <row r="34" spans="4:22" ht="12.75" customHeight="1" x14ac:dyDescent="0.25">
      <c r="I34" s="666">
        <v>30</v>
      </c>
      <c r="J34" s="667"/>
      <c r="K34" s="642"/>
      <c r="L34" s="642"/>
      <c r="M34" s="642"/>
      <c r="N34" s="642"/>
      <c r="O34" s="642"/>
      <c r="P34" s="642"/>
      <c r="Q34" s="642"/>
      <c r="R34" s="642"/>
      <c r="S34" s="642"/>
      <c r="T34" s="643"/>
      <c r="U34" s="148"/>
      <c r="V34" s="644"/>
    </row>
    <row r="35" spans="4:22" ht="12.75" customHeight="1" thickBot="1" x14ac:dyDescent="0.3">
      <c r="I35" s="661">
        <v>31</v>
      </c>
      <c r="J35" s="667"/>
      <c r="K35" s="642"/>
      <c r="L35" s="642"/>
      <c r="M35" s="642"/>
      <c r="N35" s="642"/>
      <c r="O35" s="642"/>
      <c r="P35" s="642"/>
      <c r="Q35" s="642"/>
      <c r="R35" s="642"/>
      <c r="S35" s="642"/>
      <c r="T35" s="643"/>
      <c r="U35" s="148"/>
      <c r="V35" s="644"/>
    </row>
    <row r="36" spans="4:22" ht="12.75" customHeight="1" x14ac:dyDescent="0.25">
      <c r="D36" s="647" t="s">
        <v>203</v>
      </c>
      <c r="E36" s="648">
        <f>MAX(J5:T44)</f>
        <v>0.24514312754182685</v>
      </c>
      <c r="I36" s="666">
        <v>32</v>
      </c>
      <c r="J36" s="667"/>
      <c r="K36" s="642"/>
      <c r="L36" s="642"/>
      <c r="M36" s="642"/>
      <c r="N36" s="642"/>
      <c r="O36" s="642"/>
      <c r="P36" s="642"/>
      <c r="Q36" s="642"/>
      <c r="R36" s="642"/>
      <c r="S36" s="642"/>
      <c r="T36" s="643"/>
      <c r="U36" s="148"/>
      <c r="V36" s="644"/>
    </row>
    <row r="37" spans="4:22" ht="12.75" customHeight="1" thickBot="1" x14ac:dyDescent="0.3">
      <c r="D37" s="649" t="s">
        <v>204</v>
      </c>
      <c r="E37" s="650">
        <f>MIN(J5:T44)</f>
        <v>2.456248738081189E-2</v>
      </c>
      <c r="I37" s="661">
        <v>33</v>
      </c>
      <c r="J37" s="667"/>
      <c r="K37" s="642"/>
      <c r="L37" s="642"/>
      <c r="M37" s="642"/>
      <c r="N37" s="642"/>
      <c r="O37" s="642"/>
      <c r="P37" s="642"/>
      <c r="Q37" s="642"/>
      <c r="R37" s="642"/>
      <c r="S37" s="642"/>
      <c r="T37" s="643"/>
      <c r="U37" s="148"/>
      <c r="V37" s="644"/>
    </row>
    <row r="38" spans="4:22" ht="12.75" customHeight="1" x14ac:dyDescent="0.25">
      <c r="I38" s="666">
        <v>34</v>
      </c>
      <c r="J38" s="667"/>
      <c r="K38" s="642"/>
      <c r="L38" s="642"/>
      <c r="M38" s="642"/>
      <c r="N38" s="642"/>
      <c r="O38" s="642"/>
      <c r="P38" s="642"/>
      <c r="Q38" s="642"/>
      <c r="R38" s="642"/>
      <c r="S38" s="642"/>
      <c r="T38" s="643"/>
      <c r="U38" s="148"/>
      <c r="V38" s="644"/>
    </row>
    <row r="39" spans="4:22" x14ac:dyDescent="0.25">
      <c r="I39" s="661">
        <v>35</v>
      </c>
      <c r="J39" s="667"/>
      <c r="K39" s="642"/>
      <c r="L39" s="642"/>
      <c r="M39" s="642"/>
      <c r="N39" s="642"/>
      <c r="O39" s="642"/>
      <c r="P39" s="642"/>
      <c r="Q39" s="642"/>
      <c r="R39" s="642"/>
      <c r="S39" s="642"/>
      <c r="T39" s="643"/>
      <c r="U39" s="148"/>
      <c r="V39" s="644"/>
    </row>
    <row r="40" spans="4:22" x14ac:dyDescent="0.25">
      <c r="I40" s="666">
        <v>36</v>
      </c>
      <c r="J40" s="667"/>
      <c r="K40" s="642"/>
      <c r="L40" s="642"/>
      <c r="M40" s="642"/>
      <c r="N40" s="642"/>
      <c r="O40" s="642"/>
      <c r="P40" s="642"/>
      <c r="Q40" s="642"/>
      <c r="R40" s="642"/>
      <c r="S40" s="642"/>
      <c r="T40" s="643"/>
      <c r="U40" s="148"/>
      <c r="V40" s="644"/>
    </row>
    <row r="41" spans="4:22" x14ac:dyDescent="0.25">
      <c r="I41" s="661">
        <v>37</v>
      </c>
      <c r="J41" s="667"/>
      <c r="K41" s="642"/>
      <c r="L41" s="642"/>
      <c r="M41" s="642"/>
      <c r="N41" s="642"/>
      <c r="O41" s="642"/>
      <c r="P41" s="642"/>
      <c r="Q41" s="642"/>
      <c r="R41" s="642"/>
      <c r="S41" s="642"/>
      <c r="T41" s="643"/>
      <c r="U41" s="148"/>
      <c r="V41" s="644"/>
    </row>
    <row r="42" spans="4:22" x14ac:dyDescent="0.25">
      <c r="I42" s="666">
        <v>38</v>
      </c>
      <c r="J42" s="667"/>
      <c r="K42" s="642"/>
      <c r="L42" s="642"/>
      <c r="M42" s="642"/>
      <c r="N42" s="642"/>
      <c r="O42" s="642"/>
      <c r="P42" s="642"/>
      <c r="Q42" s="642"/>
      <c r="R42" s="642"/>
      <c r="S42" s="642"/>
      <c r="T42" s="643"/>
      <c r="U42" s="148"/>
      <c r="V42" s="644"/>
    </row>
    <row r="43" spans="4:22" x14ac:dyDescent="0.25">
      <c r="I43" s="661">
        <v>39</v>
      </c>
      <c r="J43" s="667"/>
      <c r="K43" s="642"/>
      <c r="L43" s="642"/>
      <c r="M43" s="642"/>
      <c r="N43" s="642"/>
      <c r="O43" s="642"/>
      <c r="P43" s="642"/>
      <c r="Q43" s="642"/>
      <c r="R43" s="642"/>
      <c r="S43" s="642"/>
      <c r="T43" s="643"/>
      <c r="U43" s="148"/>
      <c r="V43" s="644"/>
    </row>
    <row r="44" spans="4:22" ht="13.8" thickBot="1" x14ac:dyDescent="0.3">
      <c r="I44" s="666">
        <v>40</v>
      </c>
      <c r="J44" s="667"/>
      <c r="K44" s="642"/>
      <c r="L44" s="642"/>
      <c r="M44" s="642"/>
      <c r="N44" s="642"/>
      <c r="O44" s="642"/>
      <c r="P44" s="642"/>
      <c r="Q44" s="642"/>
      <c r="R44" s="642"/>
      <c r="S44" s="642"/>
      <c r="T44" s="643"/>
      <c r="U44" s="148"/>
      <c r="V44" s="655"/>
    </row>
  </sheetData>
  <pageMargins left="0.78740157499999996" right="0.78740157499999996" top="0.984251969" bottom="0.984251969" header="0.4921259845" footer="0.4921259845"/>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dimension ref="B1:AC48"/>
  <sheetViews>
    <sheetView zoomScale="70" zoomScaleNormal="70" workbookViewId="0">
      <selection activeCell="B22" sqref="B22"/>
    </sheetView>
  </sheetViews>
  <sheetFormatPr defaultColWidth="11.44140625" defaultRowHeight="13.2" x14ac:dyDescent="0.25"/>
  <cols>
    <col min="1" max="1" width="6.5546875" style="41" customWidth="1"/>
    <col min="2" max="3" width="9.44140625" style="41" customWidth="1"/>
    <col min="4" max="4" width="12.5546875" style="41" bestFit="1" customWidth="1"/>
    <col min="5" max="5" width="6.5546875" style="41" customWidth="1"/>
    <col min="6" max="6" width="12.44140625" style="41" bestFit="1" customWidth="1"/>
    <col min="7" max="7" width="12.44140625" style="41" customWidth="1"/>
    <col min="8" max="8" width="3.5546875" style="41" customWidth="1"/>
    <col min="9" max="9" width="8.5546875" style="41" customWidth="1"/>
    <col min="10" max="15" width="12.5546875" style="41" bestFit="1" customWidth="1"/>
    <col min="16" max="16" width="12.44140625" style="41" bestFit="1" customWidth="1"/>
    <col min="17" max="18" width="12.5546875" style="41" bestFit="1" customWidth="1"/>
    <col min="19" max="19" width="12.44140625" style="41" bestFit="1" customWidth="1"/>
    <col min="20" max="20" width="14.44140625" style="41" bestFit="1" customWidth="1"/>
    <col min="21" max="21" width="12.44140625" style="41" bestFit="1" customWidth="1"/>
    <col min="22" max="22" width="12.5546875" style="41" bestFit="1" customWidth="1"/>
    <col min="23" max="23" width="12.44140625" style="41" bestFit="1" customWidth="1"/>
    <col min="24" max="24" width="14.44140625" style="41" bestFit="1" customWidth="1"/>
    <col min="25" max="26" width="14.5546875" style="41" bestFit="1" customWidth="1"/>
    <col min="27" max="27" width="11.5546875" style="41" bestFit="1" customWidth="1"/>
    <col min="28" max="28" width="14.5546875" style="41" bestFit="1" customWidth="1"/>
    <col min="29" max="30" width="11.5546875" style="41" bestFit="1" customWidth="1"/>
    <col min="31" max="16384" width="11.44140625" style="41"/>
  </cols>
  <sheetData>
    <row r="1" spans="2:29" ht="12.75" customHeight="1" thickBot="1" x14ac:dyDescent="0.3"/>
    <row r="2" spans="2:29" ht="16.2" thickBot="1" x14ac:dyDescent="0.35">
      <c r="B2" s="621" t="s">
        <v>205</v>
      </c>
      <c r="C2" s="424"/>
      <c r="D2" s="670" t="s">
        <v>190</v>
      </c>
      <c r="E2" s="671">
        <v>1</v>
      </c>
      <c r="F2" s="116" t="s">
        <v>191</v>
      </c>
      <c r="G2" s="671">
        <v>1</v>
      </c>
      <c r="I2" s="625" t="s">
        <v>192</v>
      </c>
      <c r="J2" s="424"/>
      <c r="K2" s="424"/>
    </row>
    <row r="3" spans="2:29" ht="12.75" customHeight="1" thickBot="1" x14ac:dyDescent="0.3"/>
    <row r="4" spans="2:29" s="9" customFormat="1" ht="12.75" customHeight="1" thickBot="1" x14ac:dyDescent="0.3">
      <c r="I4" s="672" t="s">
        <v>43</v>
      </c>
      <c r="J4" s="673">
        <v>0</v>
      </c>
      <c r="K4" s="674">
        <v>0.1</v>
      </c>
      <c r="L4" s="674">
        <v>0.2</v>
      </c>
      <c r="M4" s="674">
        <v>0.3</v>
      </c>
      <c r="N4" s="674">
        <v>0.4</v>
      </c>
      <c r="O4" s="674">
        <v>0.5</v>
      </c>
      <c r="P4" s="674">
        <v>0.6</v>
      </c>
      <c r="Q4" s="674">
        <v>0.7</v>
      </c>
      <c r="R4" s="674">
        <v>0.8</v>
      </c>
      <c r="S4" s="674">
        <v>0.9</v>
      </c>
      <c r="T4" s="675">
        <v>1</v>
      </c>
      <c r="U4" s="656"/>
      <c r="V4" s="630" t="s">
        <v>131</v>
      </c>
      <c r="X4" s="148"/>
      <c r="Y4" s="676"/>
      <c r="AA4" s="148"/>
      <c r="AB4" s="148"/>
    </row>
    <row r="5" spans="2:29" ht="12.75" customHeight="1" x14ac:dyDescent="0.25">
      <c r="C5" s="660" t="s">
        <v>206</v>
      </c>
      <c r="D5" s="632">
        <f>MAX(MAX(J5:T44),ABS(MIN(J5:T44)))</f>
        <v>14.708587652509609</v>
      </c>
      <c r="I5" s="640">
        <v>1</v>
      </c>
      <c r="J5" s="677">
        <v>-8.8969456875595192</v>
      </c>
      <c r="K5" s="662">
        <v>-8.007251118803568</v>
      </c>
      <c r="L5" s="662">
        <v>-7.117556550047615</v>
      </c>
      <c r="M5" s="662">
        <v>-6.2278619812916629</v>
      </c>
      <c r="N5" s="662">
        <v>-5.3381674125357117</v>
      </c>
      <c r="O5" s="662">
        <v>-4.4484728437797596</v>
      </c>
      <c r="P5" s="662">
        <v>-3.5587782750238084</v>
      </c>
      <c r="Q5" s="662">
        <v>-2.6690837062678567</v>
      </c>
      <c r="R5" s="662">
        <v>-1.7793891375119044</v>
      </c>
      <c r="S5" s="662">
        <v>-0.88969456875595287</v>
      </c>
      <c r="T5" s="663">
        <v>0</v>
      </c>
      <c r="U5" s="148"/>
      <c r="V5" s="664">
        <v>100</v>
      </c>
      <c r="X5" s="148"/>
      <c r="Y5" s="676"/>
      <c r="AA5" s="148"/>
      <c r="AB5" s="148"/>
    </row>
    <row r="6" spans="2:29" ht="12.75" customHeight="1" x14ac:dyDescent="0.25">
      <c r="C6" s="665" t="s">
        <v>194</v>
      </c>
      <c r="D6" s="639">
        <f>IF(D9&lt;0.000001,1,D7/D9)</f>
        <v>3.4613580479798665</v>
      </c>
      <c r="I6" s="640">
        <v>2</v>
      </c>
      <c r="J6" s="641">
        <v>-14.708587652509609</v>
      </c>
      <c r="K6" s="642">
        <v>-13.237728887258651</v>
      </c>
      <c r="L6" s="642">
        <v>-11.766870122007687</v>
      </c>
      <c r="M6" s="642">
        <v>-10.296011356756726</v>
      </c>
      <c r="N6" s="642">
        <v>-8.8251525915057663</v>
      </c>
      <c r="O6" s="642">
        <v>-7.3542938262548043</v>
      </c>
      <c r="P6" s="642">
        <v>-5.8834350610038433</v>
      </c>
      <c r="Q6" s="642">
        <v>-4.412576295752884</v>
      </c>
      <c r="R6" s="642">
        <v>-2.9417175305019234</v>
      </c>
      <c r="S6" s="642">
        <v>-1.4708587652509626</v>
      </c>
      <c r="T6" s="643">
        <v>0</v>
      </c>
      <c r="U6" s="148"/>
      <c r="V6" s="644">
        <v>60</v>
      </c>
      <c r="Y6" s="148"/>
      <c r="Z6" s="148"/>
      <c r="AA6" s="148"/>
      <c r="AB6" s="148"/>
    </row>
    <row r="7" spans="2:29" ht="12.75" customHeight="1" x14ac:dyDescent="0.25">
      <c r="C7" s="665" t="s">
        <v>195</v>
      </c>
      <c r="D7" s="639">
        <v>0.3</v>
      </c>
      <c r="I7" s="640">
        <v>3</v>
      </c>
      <c r="J7" s="641">
        <v>-11.696087780234224</v>
      </c>
      <c r="K7" s="642">
        <v>-10.526479002210802</v>
      </c>
      <c r="L7" s="642">
        <v>-9.3568702241873805</v>
      </c>
      <c r="M7" s="642">
        <v>-8.1872614461639586</v>
      </c>
      <c r="N7" s="642">
        <v>-7.0176526681405349</v>
      </c>
      <c r="O7" s="642">
        <v>-5.848043890117113</v>
      </c>
      <c r="P7" s="642">
        <v>-4.6784351120936902</v>
      </c>
      <c r="Q7" s="642">
        <v>-3.5088263340702683</v>
      </c>
      <c r="R7" s="642">
        <v>-2.339217556046846</v>
      </c>
      <c r="S7" s="642">
        <v>-1.1696087780234234</v>
      </c>
      <c r="T7" s="643">
        <v>0</v>
      </c>
      <c r="U7" s="148"/>
      <c r="V7" s="644">
        <v>72.111025509279784</v>
      </c>
      <c r="W7" s="9"/>
    </row>
    <row r="8" spans="2:29" ht="12.75" customHeight="1" x14ac:dyDescent="0.25">
      <c r="C8" s="668" t="s">
        <v>196</v>
      </c>
      <c r="D8" s="639">
        <f>PlotData!CB5</f>
        <v>169.70562748477141</v>
      </c>
      <c r="I8" s="640">
        <v>4</v>
      </c>
      <c r="J8" s="641">
        <v>-10.169279991914834</v>
      </c>
      <c r="K8" s="642">
        <v>-9.1523519927233501</v>
      </c>
      <c r="L8" s="642">
        <v>-8.1354239935318695</v>
      </c>
      <c r="M8" s="642">
        <v>-7.1184959943403845</v>
      </c>
      <c r="N8" s="642">
        <v>-6.1015679951489012</v>
      </c>
      <c r="O8" s="642">
        <v>-5.0846399959574171</v>
      </c>
      <c r="P8" s="642">
        <v>-4.0677119967659348</v>
      </c>
      <c r="Q8" s="642">
        <v>-3.0507839975744511</v>
      </c>
      <c r="R8" s="642">
        <v>-2.0338559983829683</v>
      </c>
      <c r="S8" s="642">
        <v>-1.0169279991914839</v>
      </c>
      <c r="T8" s="643">
        <v>0</v>
      </c>
      <c r="U8" s="148"/>
      <c r="V8" s="644">
        <v>76.157731058639087</v>
      </c>
      <c r="X8" s="148"/>
      <c r="Y8" s="148"/>
      <c r="Z8" s="148"/>
      <c r="AA8" s="148"/>
      <c r="AB8" s="148"/>
    </row>
    <row r="9" spans="2:29" ht="12.75" customHeight="1" thickBot="1" x14ac:dyDescent="0.3">
      <c r="C9" s="669" t="s">
        <v>202</v>
      </c>
      <c r="D9" s="646">
        <f>D5/MAX(0.0001,D8)</f>
        <v>8.6671183923052217E-2</v>
      </c>
      <c r="I9" s="640">
        <v>5</v>
      </c>
      <c r="J9" s="641">
        <v>-4.5290988877818128</v>
      </c>
      <c r="K9" s="642">
        <v>-4.0761889990036329</v>
      </c>
      <c r="L9" s="642">
        <v>-3.6232791102254511</v>
      </c>
      <c r="M9" s="642">
        <v>-3.1703692214472698</v>
      </c>
      <c r="N9" s="642">
        <v>-2.7174593326690881</v>
      </c>
      <c r="O9" s="642">
        <v>-2.2645494438909068</v>
      </c>
      <c r="P9" s="642">
        <v>-1.8116395551127258</v>
      </c>
      <c r="Q9" s="642">
        <v>-1.3587296663345445</v>
      </c>
      <c r="R9" s="642">
        <v>-0.90581977755636345</v>
      </c>
      <c r="S9" s="642">
        <v>-0.45290988877818217</v>
      </c>
      <c r="T9" s="643">
        <v>0</v>
      </c>
      <c r="U9" s="148"/>
      <c r="V9" s="644">
        <v>184.39088914585776</v>
      </c>
      <c r="X9" s="148"/>
      <c r="Y9" s="148"/>
      <c r="Z9" s="148"/>
      <c r="AA9" s="148"/>
      <c r="AB9" s="676"/>
    </row>
    <row r="10" spans="2:29" ht="12.75" customHeight="1" x14ac:dyDescent="0.25">
      <c r="I10" s="640">
        <v>6</v>
      </c>
      <c r="J10" s="641"/>
      <c r="K10" s="642"/>
      <c r="L10" s="642"/>
      <c r="M10" s="642"/>
      <c r="N10" s="642"/>
      <c r="O10" s="642"/>
      <c r="P10" s="642"/>
      <c r="Q10" s="642"/>
      <c r="R10" s="642"/>
      <c r="S10" s="642"/>
      <c r="T10" s="643"/>
      <c r="U10" s="148"/>
      <c r="V10" s="644"/>
      <c r="W10" s="9"/>
      <c r="X10" s="148"/>
      <c r="Y10" s="148"/>
      <c r="Z10" s="148"/>
      <c r="AA10" s="148"/>
      <c r="AB10" s="676"/>
    </row>
    <row r="11" spans="2:29" ht="12.75" customHeight="1" x14ac:dyDescent="0.25">
      <c r="I11" s="640">
        <v>7</v>
      </c>
      <c r="J11" s="641"/>
      <c r="K11" s="642"/>
      <c r="L11" s="642"/>
      <c r="M11" s="642"/>
      <c r="N11" s="642"/>
      <c r="O11" s="642"/>
      <c r="P11" s="642"/>
      <c r="Q11" s="642"/>
      <c r="R11" s="642"/>
      <c r="S11" s="642"/>
      <c r="T11" s="643"/>
      <c r="U11" s="148"/>
      <c r="V11" s="644"/>
      <c r="X11" s="148"/>
      <c r="Y11" s="148"/>
      <c r="Z11" s="148"/>
      <c r="AA11" s="148"/>
      <c r="AB11" s="676"/>
    </row>
    <row r="12" spans="2:29" ht="12.75" customHeight="1" x14ac:dyDescent="0.25">
      <c r="I12" s="640">
        <v>8</v>
      </c>
      <c r="J12" s="641"/>
      <c r="K12" s="642"/>
      <c r="L12" s="642"/>
      <c r="M12" s="642"/>
      <c r="N12" s="642"/>
      <c r="O12" s="642"/>
      <c r="P12" s="642"/>
      <c r="Q12" s="642"/>
      <c r="R12" s="642"/>
      <c r="S12" s="642"/>
      <c r="T12" s="643"/>
      <c r="U12" s="148"/>
      <c r="V12" s="644"/>
    </row>
    <row r="13" spans="2:29" ht="12.75" customHeight="1" x14ac:dyDescent="0.25">
      <c r="I13" s="640">
        <v>9</v>
      </c>
      <c r="J13" s="641"/>
      <c r="K13" s="642"/>
      <c r="L13" s="642"/>
      <c r="M13" s="642"/>
      <c r="N13" s="642"/>
      <c r="O13" s="642"/>
      <c r="P13" s="642"/>
      <c r="Q13" s="642"/>
      <c r="R13" s="642"/>
      <c r="S13" s="642"/>
      <c r="T13" s="643"/>
      <c r="U13" s="148"/>
      <c r="V13" s="644"/>
      <c r="W13" s="9"/>
      <c r="Z13" s="148"/>
    </row>
    <row r="14" spans="2:29" ht="12.75" customHeight="1" x14ac:dyDescent="0.25">
      <c r="I14" s="640">
        <v>10</v>
      </c>
      <c r="J14" s="641"/>
      <c r="K14" s="642"/>
      <c r="L14" s="642"/>
      <c r="M14" s="642"/>
      <c r="N14" s="642"/>
      <c r="O14" s="642"/>
      <c r="P14" s="642"/>
      <c r="Q14" s="642"/>
      <c r="R14" s="642"/>
      <c r="S14" s="642"/>
      <c r="T14" s="643"/>
      <c r="U14" s="148"/>
      <c r="V14" s="644"/>
    </row>
    <row r="15" spans="2:29" ht="12.75" customHeight="1" x14ac:dyDescent="0.25">
      <c r="I15" s="640">
        <v>11</v>
      </c>
      <c r="J15" s="641"/>
      <c r="K15" s="642"/>
      <c r="L15" s="642"/>
      <c r="M15" s="642"/>
      <c r="N15" s="642"/>
      <c r="O15" s="642"/>
      <c r="P15" s="642"/>
      <c r="Q15" s="642"/>
      <c r="R15" s="642"/>
      <c r="S15" s="642"/>
      <c r="T15" s="643"/>
      <c r="U15" s="148"/>
      <c r="V15" s="644"/>
    </row>
    <row r="16" spans="2:29" ht="12.75" customHeight="1" x14ac:dyDescent="0.25">
      <c r="I16" s="640">
        <v>12</v>
      </c>
      <c r="J16" s="641"/>
      <c r="K16" s="642"/>
      <c r="L16" s="642"/>
      <c r="M16" s="642"/>
      <c r="N16" s="642"/>
      <c r="O16" s="642"/>
      <c r="P16" s="642"/>
      <c r="Q16" s="642"/>
      <c r="R16" s="642"/>
      <c r="S16" s="642"/>
      <c r="T16" s="643"/>
      <c r="U16" s="148"/>
      <c r="V16" s="644"/>
      <c r="W16" s="9"/>
      <c r="X16" s="1277"/>
      <c r="Y16" s="1277"/>
      <c r="AA16" s="148"/>
      <c r="AC16" s="678"/>
    </row>
    <row r="17" spans="9:29" ht="12.75" customHeight="1" x14ac:dyDescent="0.25">
      <c r="I17" s="640">
        <v>13</v>
      </c>
      <c r="J17" s="641"/>
      <c r="K17" s="642"/>
      <c r="L17" s="642"/>
      <c r="M17" s="642"/>
      <c r="N17" s="642"/>
      <c r="O17" s="642"/>
      <c r="P17" s="642"/>
      <c r="Q17" s="642"/>
      <c r="R17" s="642"/>
      <c r="S17" s="642"/>
      <c r="T17" s="643"/>
      <c r="U17" s="148"/>
      <c r="V17" s="644"/>
      <c r="X17" s="679"/>
      <c r="Y17" s="679"/>
      <c r="AA17" s="679"/>
      <c r="AC17" s="679"/>
    </row>
    <row r="18" spans="9:29" ht="12.75" customHeight="1" x14ac:dyDescent="0.25">
      <c r="I18" s="640">
        <v>14</v>
      </c>
      <c r="J18" s="641"/>
      <c r="K18" s="642"/>
      <c r="L18" s="642"/>
      <c r="M18" s="642"/>
      <c r="N18" s="642"/>
      <c r="O18" s="642"/>
      <c r="P18" s="642"/>
      <c r="Q18" s="642"/>
      <c r="R18" s="642"/>
      <c r="S18" s="642"/>
      <c r="T18" s="643"/>
      <c r="U18" s="148"/>
      <c r="V18" s="644"/>
      <c r="X18" s="679"/>
      <c r="Y18" s="679"/>
      <c r="AA18" s="679"/>
      <c r="AC18" s="679"/>
    </row>
    <row r="19" spans="9:29" ht="12.75" customHeight="1" x14ac:dyDescent="0.25">
      <c r="I19" s="640">
        <v>15</v>
      </c>
      <c r="J19" s="641"/>
      <c r="K19" s="642"/>
      <c r="L19" s="642"/>
      <c r="M19" s="642"/>
      <c r="N19" s="642"/>
      <c r="O19" s="642"/>
      <c r="P19" s="642"/>
      <c r="Q19" s="642"/>
      <c r="R19" s="642"/>
      <c r="S19" s="642"/>
      <c r="T19" s="643"/>
      <c r="U19" s="148"/>
      <c r="V19" s="644"/>
      <c r="W19" s="9"/>
    </row>
    <row r="20" spans="9:29" ht="12.75" customHeight="1" x14ac:dyDescent="0.25">
      <c r="I20" s="640">
        <v>16</v>
      </c>
      <c r="J20" s="641"/>
      <c r="K20" s="642"/>
      <c r="L20" s="642"/>
      <c r="M20" s="642"/>
      <c r="N20" s="642"/>
      <c r="O20" s="642"/>
      <c r="P20" s="642"/>
      <c r="Q20" s="642"/>
      <c r="R20" s="642"/>
      <c r="S20" s="642"/>
      <c r="T20" s="643"/>
      <c r="U20" s="148"/>
      <c r="V20" s="644"/>
    </row>
    <row r="21" spans="9:29" ht="12.75" customHeight="1" x14ac:dyDescent="0.25">
      <c r="I21" s="640">
        <v>17</v>
      </c>
      <c r="J21" s="641"/>
      <c r="K21" s="642"/>
      <c r="L21" s="642"/>
      <c r="M21" s="642"/>
      <c r="N21" s="642"/>
      <c r="O21" s="642"/>
      <c r="P21" s="642"/>
      <c r="Q21" s="642"/>
      <c r="R21" s="642"/>
      <c r="S21" s="642"/>
      <c r="T21" s="643"/>
      <c r="U21" s="148"/>
      <c r="V21" s="644"/>
    </row>
    <row r="22" spans="9:29" ht="12.75" customHeight="1" x14ac:dyDescent="0.25">
      <c r="I22" s="640">
        <v>18</v>
      </c>
      <c r="J22" s="641"/>
      <c r="K22" s="642"/>
      <c r="L22" s="642"/>
      <c r="M22" s="642"/>
      <c r="N22" s="642"/>
      <c r="O22" s="642"/>
      <c r="P22" s="642"/>
      <c r="Q22" s="642"/>
      <c r="R22" s="642"/>
      <c r="S22" s="642"/>
      <c r="T22" s="643"/>
      <c r="U22" s="148"/>
      <c r="V22" s="644"/>
      <c r="W22" s="9"/>
    </row>
    <row r="23" spans="9:29" ht="12.75" customHeight="1" x14ac:dyDescent="0.25">
      <c r="I23" s="640">
        <v>19</v>
      </c>
      <c r="J23" s="641"/>
      <c r="K23" s="642"/>
      <c r="L23" s="642"/>
      <c r="M23" s="642"/>
      <c r="N23" s="642"/>
      <c r="O23" s="642"/>
      <c r="P23" s="642"/>
      <c r="Q23" s="642"/>
      <c r="R23" s="642"/>
      <c r="S23" s="642"/>
      <c r="T23" s="643"/>
      <c r="U23" s="148"/>
      <c r="V23" s="644"/>
    </row>
    <row r="24" spans="9:29" ht="12.75" customHeight="1" x14ac:dyDescent="0.25">
      <c r="I24" s="640">
        <v>20</v>
      </c>
      <c r="J24" s="641"/>
      <c r="K24" s="642"/>
      <c r="L24" s="642"/>
      <c r="M24" s="642"/>
      <c r="N24" s="642"/>
      <c r="O24" s="642"/>
      <c r="P24" s="642"/>
      <c r="Q24" s="642"/>
      <c r="R24" s="642"/>
      <c r="S24" s="642"/>
      <c r="T24" s="643"/>
      <c r="U24" s="148"/>
      <c r="V24" s="644"/>
    </row>
    <row r="25" spans="9:29" ht="12.75" customHeight="1" x14ac:dyDescent="0.25">
      <c r="I25" s="640">
        <v>21</v>
      </c>
      <c r="J25" s="641"/>
      <c r="K25" s="642"/>
      <c r="L25" s="642"/>
      <c r="M25" s="642"/>
      <c r="N25" s="642"/>
      <c r="O25" s="642"/>
      <c r="P25" s="642"/>
      <c r="Q25" s="642"/>
      <c r="R25" s="642"/>
      <c r="S25" s="642"/>
      <c r="T25" s="643"/>
      <c r="U25" s="148"/>
      <c r="V25" s="644"/>
      <c r="W25" s="9"/>
    </row>
    <row r="26" spans="9:29" ht="12.75" customHeight="1" x14ac:dyDescent="0.25">
      <c r="I26" s="640">
        <v>22</v>
      </c>
      <c r="J26" s="641"/>
      <c r="K26" s="642"/>
      <c r="L26" s="642"/>
      <c r="M26" s="642"/>
      <c r="N26" s="642"/>
      <c r="O26" s="642"/>
      <c r="P26" s="642"/>
      <c r="Q26" s="642"/>
      <c r="R26" s="642"/>
      <c r="S26" s="642"/>
      <c r="T26" s="643"/>
      <c r="U26" s="148"/>
      <c r="V26" s="644"/>
    </row>
    <row r="27" spans="9:29" ht="12.75" customHeight="1" x14ac:dyDescent="0.25">
      <c r="I27" s="640">
        <v>23</v>
      </c>
      <c r="J27" s="641"/>
      <c r="K27" s="642"/>
      <c r="L27" s="642"/>
      <c r="M27" s="642"/>
      <c r="N27" s="642"/>
      <c r="O27" s="642"/>
      <c r="P27" s="642"/>
      <c r="Q27" s="642"/>
      <c r="R27" s="642"/>
      <c r="S27" s="642"/>
      <c r="T27" s="643"/>
      <c r="U27" s="148"/>
      <c r="V27" s="644"/>
    </row>
    <row r="28" spans="9:29" ht="12.75" customHeight="1" x14ac:dyDescent="0.25">
      <c r="I28" s="640">
        <v>24</v>
      </c>
      <c r="J28" s="641"/>
      <c r="K28" s="642"/>
      <c r="L28" s="642"/>
      <c r="M28" s="642"/>
      <c r="N28" s="642"/>
      <c r="O28" s="642"/>
      <c r="P28" s="642"/>
      <c r="Q28" s="642"/>
      <c r="R28" s="642"/>
      <c r="S28" s="642"/>
      <c r="T28" s="643"/>
      <c r="U28" s="148"/>
      <c r="V28" s="644"/>
      <c r="W28" s="9"/>
    </row>
    <row r="29" spans="9:29" ht="12.75" customHeight="1" x14ac:dyDescent="0.25">
      <c r="I29" s="640">
        <v>25</v>
      </c>
      <c r="J29" s="641"/>
      <c r="K29" s="642"/>
      <c r="L29" s="642"/>
      <c r="M29" s="642"/>
      <c r="N29" s="642"/>
      <c r="O29" s="642"/>
      <c r="P29" s="642"/>
      <c r="Q29" s="642"/>
      <c r="R29" s="642"/>
      <c r="S29" s="642"/>
      <c r="T29" s="643"/>
      <c r="U29" s="148"/>
      <c r="V29" s="644"/>
    </row>
    <row r="30" spans="9:29" ht="12.75" customHeight="1" x14ac:dyDescent="0.25">
      <c r="I30" s="640">
        <v>26</v>
      </c>
      <c r="J30" s="641"/>
      <c r="K30" s="642"/>
      <c r="L30" s="642"/>
      <c r="M30" s="642"/>
      <c r="N30" s="642"/>
      <c r="O30" s="642"/>
      <c r="P30" s="642"/>
      <c r="Q30" s="642"/>
      <c r="R30" s="642"/>
      <c r="S30" s="642"/>
      <c r="T30" s="643"/>
      <c r="U30" s="148"/>
      <c r="V30" s="644"/>
    </row>
    <row r="31" spans="9:29" ht="12.75" customHeight="1" x14ac:dyDescent="0.25">
      <c r="I31" s="640">
        <v>27</v>
      </c>
      <c r="J31" s="641"/>
      <c r="K31" s="642"/>
      <c r="L31" s="642"/>
      <c r="M31" s="642"/>
      <c r="N31" s="642"/>
      <c r="O31" s="642"/>
      <c r="P31" s="642"/>
      <c r="Q31" s="642"/>
      <c r="R31" s="642"/>
      <c r="S31" s="642"/>
      <c r="T31" s="643"/>
      <c r="U31" s="148"/>
      <c r="V31" s="644"/>
    </row>
    <row r="32" spans="9:29" ht="12.75" customHeight="1" x14ac:dyDescent="0.25">
      <c r="I32" s="640">
        <v>28</v>
      </c>
      <c r="J32" s="641"/>
      <c r="K32" s="642"/>
      <c r="L32" s="642"/>
      <c r="M32" s="642"/>
      <c r="N32" s="642"/>
      <c r="O32" s="642"/>
      <c r="P32" s="642"/>
      <c r="Q32" s="642"/>
      <c r="R32" s="642"/>
      <c r="S32" s="642"/>
      <c r="T32" s="643"/>
      <c r="U32" s="148"/>
      <c r="V32" s="644"/>
    </row>
    <row r="33" spans="4:22" ht="12.75" customHeight="1" x14ac:dyDescent="0.25">
      <c r="I33" s="640">
        <v>29</v>
      </c>
      <c r="J33" s="641"/>
      <c r="K33" s="642"/>
      <c r="L33" s="642"/>
      <c r="M33" s="642"/>
      <c r="N33" s="642"/>
      <c r="O33" s="642"/>
      <c r="P33" s="642"/>
      <c r="Q33" s="642"/>
      <c r="R33" s="642"/>
      <c r="S33" s="642"/>
      <c r="T33" s="643"/>
      <c r="U33" s="148"/>
      <c r="V33" s="644"/>
    </row>
    <row r="34" spans="4:22" ht="12.75" customHeight="1" x14ac:dyDescent="0.25">
      <c r="I34" s="640">
        <v>30</v>
      </c>
      <c r="J34" s="641"/>
      <c r="K34" s="642"/>
      <c r="L34" s="642"/>
      <c r="M34" s="642"/>
      <c r="N34" s="642"/>
      <c r="O34" s="642"/>
      <c r="P34" s="642"/>
      <c r="Q34" s="642"/>
      <c r="R34" s="642"/>
      <c r="S34" s="642"/>
      <c r="T34" s="643"/>
      <c r="U34" s="148"/>
      <c r="V34" s="644"/>
    </row>
    <row r="35" spans="4:22" ht="12.75" customHeight="1" thickBot="1" x14ac:dyDescent="0.3">
      <c r="I35" s="640">
        <v>31</v>
      </c>
      <c r="J35" s="641"/>
      <c r="K35" s="642"/>
      <c r="L35" s="642"/>
      <c r="M35" s="642"/>
      <c r="N35" s="642"/>
      <c r="O35" s="642"/>
      <c r="P35" s="642"/>
      <c r="Q35" s="642"/>
      <c r="R35" s="642"/>
      <c r="S35" s="642"/>
      <c r="T35" s="643"/>
      <c r="U35" s="148"/>
      <c r="V35" s="644"/>
    </row>
    <row r="36" spans="4:22" x14ac:dyDescent="0.25">
      <c r="D36" s="647" t="s">
        <v>207</v>
      </c>
      <c r="E36" s="648">
        <f>MAX(J5:T44)</f>
        <v>0</v>
      </c>
      <c r="I36" s="640">
        <v>32</v>
      </c>
      <c r="J36" s="641"/>
      <c r="K36" s="642"/>
      <c r="L36" s="642"/>
      <c r="M36" s="642"/>
      <c r="N36" s="642"/>
      <c r="O36" s="642"/>
      <c r="P36" s="642"/>
      <c r="Q36" s="642"/>
      <c r="R36" s="642"/>
      <c r="S36" s="642"/>
      <c r="T36" s="643"/>
      <c r="U36" s="148"/>
      <c r="V36" s="644"/>
    </row>
    <row r="37" spans="4:22" ht="13.8" thickBot="1" x14ac:dyDescent="0.3">
      <c r="D37" s="649" t="s">
        <v>208</v>
      </c>
      <c r="E37" s="650">
        <f>MIN(J5:T44)</f>
        <v>-14.708587652509609</v>
      </c>
      <c r="I37" s="640">
        <v>33</v>
      </c>
      <c r="J37" s="641"/>
      <c r="K37" s="642"/>
      <c r="L37" s="642"/>
      <c r="M37" s="642"/>
      <c r="N37" s="642"/>
      <c r="O37" s="642"/>
      <c r="P37" s="642"/>
      <c r="Q37" s="642"/>
      <c r="R37" s="642"/>
      <c r="S37" s="642"/>
      <c r="T37" s="643"/>
      <c r="U37" s="148"/>
      <c r="V37" s="644"/>
    </row>
    <row r="38" spans="4:22" x14ac:dyDescent="0.25">
      <c r="I38" s="640">
        <v>34</v>
      </c>
      <c r="J38" s="641"/>
      <c r="K38" s="642"/>
      <c r="L38" s="642"/>
      <c r="M38" s="642"/>
      <c r="N38" s="642"/>
      <c r="O38" s="642"/>
      <c r="P38" s="642"/>
      <c r="Q38" s="642"/>
      <c r="R38" s="642"/>
      <c r="S38" s="642"/>
      <c r="T38" s="643"/>
      <c r="U38" s="148"/>
      <c r="V38" s="644"/>
    </row>
    <row r="39" spans="4:22" x14ac:dyDescent="0.25">
      <c r="I39" s="640">
        <v>35</v>
      </c>
      <c r="J39" s="641"/>
      <c r="K39" s="642"/>
      <c r="L39" s="642"/>
      <c r="M39" s="642"/>
      <c r="N39" s="642"/>
      <c r="O39" s="642"/>
      <c r="P39" s="642"/>
      <c r="Q39" s="642"/>
      <c r="R39" s="642"/>
      <c r="S39" s="642"/>
      <c r="T39" s="643"/>
      <c r="U39" s="148"/>
      <c r="V39" s="644"/>
    </row>
    <row r="40" spans="4:22" x14ac:dyDescent="0.25">
      <c r="I40" s="640">
        <v>36</v>
      </c>
      <c r="J40" s="641"/>
      <c r="K40" s="642"/>
      <c r="L40" s="642"/>
      <c r="M40" s="642"/>
      <c r="N40" s="642"/>
      <c r="O40" s="642"/>
      <c r="P40" s="642"/>
      <c r="Q40" s="642"/>
      <c r="R40" s="642"/>
      <c r="S40" s="642"/>
      <c r="T40" s="643"/>
      <c r="U40" s="148"/>
      <c r="V40" s="644"/>
    </row>
    <row r="41" spans="4:22" x14ac:dyDescent="0.25">
      <c r="I41" s="640">
        <v>37</v>
      </c>
      <c r="J41" s="641"/>
      <c r="K41" s="642"/>
      <c r="L41" s="642"/>
      <c r="M41" s="642"/>
      <c r="N41" s="642"/>
      <c r="O41" s="642"/>
      <c r="P41" s="642"/>
      <c r="Q41" s="642"/>
      <c r="R41" s="642"/>
      <c r="S41" s="642"/>
      <c r="T41" s="643"/>
      <c r="U41" s="148"/>
      <c r="V41" s="644"/>
    </row>
    <row r="42" spans="4:22" x14ac:dyDescent="0.25">
      <c r="I42" s="640">
        <v>38</v>
      </c>
      <c r="J42" s="641"/>
      <c r="K42" s="642"/>
      <c r="L42" s="642"/>
      <c r="M42" s="642"/>
      <c r="N42" s="642"/>
      <c r="O42" s="642"/>
      <c r="P42" s="642"/>
      <c r="Q42" s="642"/>
      <c r="R42" s="642"/>
      <c r="S42" s="642"/>
      <c r="T42" s="643"/>
      <c r="U42" s="148"/>
      <c r="V42" s="644"/>
    </row>
    <row r="43" spans="4:22" x14ac:dyDescent="0.25">
      <c r="I43" s="640">
        <v>39</v>
      </c>
      <c r="J43" s="641"/>
      <c r="K43" s="642"/>
      <c r="L43" s="642"/>
      <c r="M43" s="642"/>
      <c r="N43" s="642"/>
      <c r="O43" s="642"/>
      <c r="P43" s="642"/>
      <c r="Q43" s="642"/>
      <c r="R43" s="642"/>
      <c r="S43" s="642"/>
      <c r="T43" s="643"/>
      <c r="U43" s="148"/>
      <c r="V43" s="644"/>
    </row>
    <row r="44" spans="4:22" ht="13.8" thickBot="1" x14ac:dyDescent="0.3">
      <c r="I44" s="651">
        <v>40</v>
      </c>
      <c r="J44" s="652"/>
      <c r="K44" s="653"/>
      <c r="L44" s="653"/>
      <c r="M44" s="653"/>
      <c r="N44" s="653"/>
      <c r="O44" s="653"/>
      <c r="P44" s="653"/>
      <c r="Q44" s="653"/>
      <c r="R44" s="653"/>
      <c r="S44" s="653"/>
      <c r="T44" s="654"/>
      <c r="U44" s="148"/>
      <c r="V44" s="655"/>
    </row>
    <row r="47" spans="4:22" x14ac:dyDescent="0.25">
      <c r="J47" s="680"/>
    </row>
    <row r="48" spans="4:22" x14ac:dyDescent="0.25">
      <c r="T48" s="602"/>
    </row>
  </sheetData>
  <mergeCells count="1">
    <mergeCell ref="X16:Y16"/>
  </mergeCells>
  <pageMargins left="0.78740157499999996" right="0.78740157499999996" top="0.984251969" bottom="0.984251969" header="0.4921259845" footer="0.4921259845"/>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0"/>
  <dimension ref="B1:V44"/>
  <sheetViews>
    <sheetView zoomScale="70" zoomScaleNormal="70" workbookViewId="0">
      <selection activeCell="J5" sqref="J5"/>
    </sheetView>
  </sheetViews>
  <sheetFormatPr defaultColWidth="11.44140625" defaultRowHeight="13.2" x14ac:dyDescent="0.25"/>
  <cols>
    <col min="1" max="1" width="6.5546875" style="41" customWidth="1"/>
    <col min="2" max="3" width="9.44140625" style="41" customWidth="1"/>
    <col min="4" max="4" width="12.44140625" style="41" bestFit="1" customWidth="1"/>
    <col min="5" max="5" width="6.5546875" style="41" customWidth="1"/>
    <col min="6" max="6" width="12.44140625" style="41" bestFit="1" customWidth="1"/>
    <col min="7" max="7" width="12.44140625" style="41" customWidth="1"/>
    <col min="8" max="8" width="3.5546875" style="41" customWidth="1"/>
    <col min="9" max="9" width="9.5546875" style="41" customWidth="1"/>
    <col min="10" max="20" width="13" style="41" bestFit="1" customWidth="1"/>
    <col min="21" max="23" width="12.44140625" style="41" bestFit="1" customWidth="1"/>
    <col min="24" max="24" width="14.44140625" style="41" bestFit="1" customWidth="1"/>
    <col min="25" max="26" width="14.5546875" style="41" bestFit="1" customWidth="1"/>
    <col min="27" max="27" width="11.5546875" style="41" bestFit="1" customWidth="1"/>
    <col min="28" max="28" width="14.5546875" style="41" bestFit="1" customWidth="1"/>
    <col min="29" max="30" width="11.5546875" style="41" bestFit="1" customWidth="1"/>
    <col min="31" max="16384" width="11.44140625" style="41"/>
  </cols>
  <sheetData>
    <row r="1" spans="2:22" ht="13.8" thickBot="1" x14ac:dyDescent="0.3"/>
    <row r="2" spans="2:22" ht="16.2" thickBot="1" x14ac:dyDescent="0.35">
      <c r="B2" s="621" t="s">
        <v>209</v>
      </c>
      <c r="C2" s="424"/>
      <c r="D2" s="670" t="s">
        <v>190</v>
      </c>
      <c r="E2" s="671">
        <v>2</v>
      </c>
      <c r="F2" s="116" t="s">
        <v>191</v>
      </c>
      <c r="G2" s="671">
        <v>1</v>
      </c>
      <c r="I2" s="625" t="s">
        <v>210</v>
      </c>
      <c r="J2" s="625"/>
      <c r="K2" s="153"/>
    </row>
    <row r="3" spans="2:22" ht="13.8" thickBot="1" x14ac:dyDescent="0.3"/>
    <row r="4" spans="2:22" ht="13.8" thickBot="1" x14ac:dyDescent="0.3">
      <c r="I4" s="681" t="s">
        <v>43</v>
      </c>
      <c r="J4" s="682">
        <v>0</v>
      </c>
      <c r="K4" s="683">
        <v>0.1</v>
      </c>
      <c r="L4" s="683">
        <v>0.2</v>
      </c>
      <c r="M4" s="683">
        <v>0.3</v>
      </c>
      <c r="N4" s="683">
        <v>0.4</v>
      </c>
      <c r="O4" s="683">
        <v>0.5</v>
      </c>
      <c r="P4" s="683">
        <v>0.6</v>
      </c>
      <c r="Q4" s="683">
        <v>0.7</v>
      </c>
      <c r="R4" s="683">
        <v>0.8</v>
      </c>
      <c r="S4" s="683">
        <v>0.9</v>
      </c>
      <c r="T4" s="684">
        <v>1</v>
      </c>
      <c r="V4" s="685" t="s">
        <v>131</v>
      </c>
    </row>
    <row r="5" spans="2:22" x14ac:dyDescent="0.25">
      <c r="C5" s="686" t="s">
        <v>193</v>
      </c>
      <c r="D5" s="687">
        <f>MAX(MAX(J5:T44),ABS(MIN(J5:T44)))</f>
        <v>9.6829153014847922</v>
      </c>
      <c r="I5" s="688">
        <v>1</v>
      </c>
      <c r="J5" s="689">
        <v>-1.663168042547013</v>
      </c>
      <c r="K5" s="690">
        <v>-4.0324807592467744</v>
      </c>
      <c r="L5" s="690">
        <v>-5.6010683640661796</v>
      </c>
      <c r="M5" s="690">
        <v>-6.457900313880824</v>
      </c>
      <c r="N5" s="690">
        <v>-6.6919460655662988</v>
      </c>
      <c r="O5" s="690">
        <v>-6.3921750759982059</v>
      </c>
      <c r="P5" s="690">
        <v>-5.6475568020521365</v>
      </c>
      <c r="Q5" s="690">
        <v>-4.5470607006036854</v>
      </c>
      <c r="R5" s="690">
        <v>-3.17965622852845</v>
      </c>
      <c r="S5" s="690">
        <v>-1.6343128427020233</v>
      </c>
      <c r="T5" s="648">
        <v>-1.8309144039936568E-15</v>
      </c>
      <c r="V5" s="691">
        <v>100</v>
      </c>
    </row>
    <row r="6" spans="2:22" x14ac:dyDescent="0.25">
      <c r="C6" s="692" t="s">
        <v>194</v>
      </c>
      <c r="D6" s="693">
        <f>IF(D9&lt;0.000001,1,D7/D9)</f>
        <v>5.2578884210238366</v>
      </c>
      <c r="I6" s="640">
        <v>2</v>
      </c>
      <c r="J6" s="694">
        <v>-0.85431463342070157</v>
      </c>
      <c r="K6" s="695">
        <v>-2.2779842632261174</v>
      </c>
      <c r="L6" s="695">
        <v>-3.2250956530902215</v>
      </c>
      <c r="M6" s="695">
        <v>-3.7485997185620494</v>
      </c>
      <c r="N6" s="695">
        <v>-3.9014473751906342</v>
      </c>
      <c r="O6" s="695">
        <v>-3.7365895385250125</v>
      </c>
      <c r="P6" s="695">
        <v>-3.3069771241142178</v>
      </c>
      <c r="Q6" s="695">
        <v>-2.6655610475072846</v>
      </c>
      <c r="R6" s="695">
        <v>-1.8652922242532479</v>
      </c>
      <c r="S6" s="695">
        <v>-0.95912156990114195</v>
      </c>
      <c r="T6" s="696">
        <v>-1.0746367379217933E-15</v>
      </c>
      <c r="V6" s="697">
        <v>60</v>
      </c>
    </row>
    <row r="7" spans="2:22" x14ac:dyDescent="0.25">
      <c r="C7" s="692" t="s">
        <v>195</v>
      </c>
      <c r="D7" s="693">
        <v>0.3</v>
      </c>
      <c r="I7" s="640">
        <v>3</v>
      </c>
      <c r="J7" s="694">
        <v>-8.695043615321521E-2</v>
      </c>
      <c r="K7" s="695">
        <v>-1.811615601568606</v>
      </c>
      <c r="L7" s="695">
        <v>-2.9889038588690342</v>
      </c>
      <c r="M7" s="695">
        <v>-3.6796348645117205</v>
      </c>
      <c r="N7" s="695">
        <v>-3.9446282749538781</v>
      </c>
      <c r="O7" s="695">
        <v>-3.8447037466527312</v>
      </c>
      <c r="P7" s="695">
        <v>-3.4406809360654922</v>
      </c>
      <c r="Q7" s="695">
        <v>-2.7933794996493826</v>
      </c>
      <c r="R7" s="695">
        <v>-1.9636190938616185</v>
      </c>
      <c r="S7" s="695">
        <v>-1.0122193751594188</v>
      </c>
      <c r="T7" s="696">
        <v>-1.1350431534317743E-15</v>
      </c>
      <c r="V7" s="697">
        <v>72.111025509279784</v>
      </c>
    </row>
    <row r="8" spans="2:22" x14ac:dyDescent="0.25">
      <c r="C8" s="698" t="s">
        <v>196</v>
      </c>
      <c r="D8" s="693">
        <f>PlotData!CB5</f>
        <v>169.70562748477141</v>
      </c>
      <c r="I8" s="640">
        <v>4</v>
      </c>
      <c r="J8" s="694">
        <v>1.6584675346176847</v>
      </c>
      <c r="K8" s="695">
        <v>-0.18836120150760627</v>
      </c>
      <c r="L8" s="695">
        <v>-1.5043535220549427</v>
      </c>
      <c r="M8" s="695">
        <v>-2.3484912509774318</v>
      </c>
      <c r="N8" s="695">
        <v>-2.7797562122281758</v>
      </c>
      <c r="O8" s="695">
        <v>-2.8571302297602861</v>
      </c>
      <c r="P8" s="695">
        <v>-2.6395951275268645</v>
      </c>
      <c r="Q8" s="695">
        <v>-2.1861327294810202</v>
      </c>
      <c r="R8" s="695">
        <v>-1.555724859575857</v>
      </c>
      <c r="S8" s="695">
        <v>-0.80735334176448204</v>
      </c>
      <c r="T8" s="696">
        <v>-9.072560988661779E-16</v>
      </c>
      <c r="V8" s="697">
        <v>76.157731058639087</v>
      </c>
    </row>
    <row r="9" spans="2:22" ht="13.8" thickBot="1" x14ac:dyDescent="0.3">
      <c r="C9" s="699" t="s">
        <v>202</v>
      </c>
      <c r="D9" s="700">
        <f>D5/MAX(0.0001,D8)</f>
        <v>5.7057125594457331E-2</v>
      </c>
      <c r="I9" s="640">
        <v>5</v>
      </c>
      <c r="J9" s="694">
        <v>0.28733979721405789</v>
      </c>
      <c r="K9" s="695">
        <v>-4.1300910047679267</v>
      </c>
      <c r="L9" s="695">
        <v>-7.1616175470886754</v>
      </c>
      <c r="M9" s="695">
        <v>-8.9612291919327713</v>
      </c>
      <c r="N9" s="695">
        <v>-9.6829153014847922</v>
      </c>
      <c r="O9" s="695">
        <v>-9.4806652379293261</v>
      </c>
      <c r="P9" s="695">
        <v>-8.5084683634509517</v>
      </c>
      <c r="Q9" s="695">
        <v>-6.92031404023425</v>
      </c>
      <c r="R9" s="695">
        <v>-4.8701916304638049</v>
      </c>
      <c r="S9" s="695">
        <v>-2.5120904963241943</v>
      </c>
      <c r="T9" s="696">
        <v>-2.8174744648685994E-15</v>
      </c>
      <c r="V9" s="697">
        <v>184.39088914585776</v>
      </c>
    </row>
    <row r="10" spans="2:22" x14ac:dyDescent="0.25">
      <c r="I10" s="640">
        <v>6</v>
      </c>
      <c r="J10" s="694"/>
      <c r="K10" s="695"/>
      <c r="L10" s="695"/>
      <c r="M10" s="695"/>
      <c r="N10" s="695"/>
      <c r="O10" s="695"/>
      <c r="P10" s="695"/>
      <c r="Q10" s="695"/>
      <c r="R10" s="695"/>
      <c r="S10" s="695"/>
      <c r="T10" s="696"/>
      <c r="V10" s="697"/>
    </row>
    <row r="11" spans="2:22" x14ac:dyDescent="0.25">
      <c r="I11" s="640">
        <v>7</v>
      </c>
      <c r="J11" s="694"/>
      <c r="K11" s="695"/>
      <c r="L11" s="695"/>
      <c r="M11" s="695"/>
      <c r="N11" s="695"/>
      <c r="O11" s="695"/>
      <c r="P11" s="695"/>
      <c r="Q11" s="695"/>
      <c r="R11" s="695"/>
      <c r="S11" s="695"/>
      <c r="T11" s="696"/>
      <c r="V11" s="697"/>
    </row>
    <row r="12" spans="2:22" x14ac:dyDescent="0.25">
      <c r="I12" s="640">
        <v>8</v>
      </c>
      <c r="J12" s="694"/>
      <c r="K12" s="695"/>
      <c r="L12" s="695"/>
      <c r="M12" s="695"/>
      <c r="N12" s="695"/>
      <c r="O12" s="695"/>
      <c r="P12" s="695"/>
      <c r="Q12" s="695"/>
      <c r="R12" s="695"/>
      <c r="S12" s="695"/>
      <c r="T12" s="696"/>
      <c r="V12" s="697"/>
    </row>
    <row r="13" spans="2:22" x14ac:dyDescent="0.25">
      <c r="I13" s="640">
        <v>9</v>
      </c>
      <c r="J13" s="694"/>
      <c r="K13" s="695"/>
      <c r="L13" s="695"/>
      <c r="M13" s="695"/>
      <c r="N13" s="695"/>
      <c r="O13" s="695"/>
      <c r="P13" s="695"/>
      <c r="Q13" s="695"/>
      <c r="R13" s="695"/>
      <c r="S13" s="695"/>
      <c r="T13" s="696"/>
      <c r="V13" s="697"/>
    </row>
    <row r="14" spans="2:22" x14ac:dyDescent="0.25">
      <c r="I14" s="640">
        <v>10</v>
      </c>
      <c r="J14" s="694"/>
      <c r="K14" s="695"/>
      <c r="L14" s="695"/>
      <c r="M14" s="695"/>
      <c r="N14" s="695"/>
      <c r="O14" s="695"/>
      <c r="P14" s="695"/>
      <c r="Q14" s="695"/>
      <c r="R14" s="695"/>
      <c r="S14" s="695"/>
      <c r="T14" s="696"/>
      <c r="V14" s="697"/>
    </row>
    <row r="15" spans="2:22" x14ac:dyDescent="0.25">
      <c r="I15" s="640">
        <v>11</v>
      </c>
      <c r="J15" s="694"/>
      <c r="K15" s="695"/>
      <c r="L15" s="695"/>
      <c r="M15" s="695"/>
      <c r="N15" s="695"/>
      <c r="O15" s="695"/>
      <c r="P15" s="695"/>
      <c r="Q15" s="695"/>
      <c r="R15" s="695"/>
      <c r="S15" s="695"/>
      <c r="T15" s="696"/>
      <c r="V15" s="697"/>
    </row>
    <row r="16" spans="2:22" x14ac:dyDescent="0.25">
      <c r="I16" s="640">
        <v>12</v>
      </c>
      <c r="J16" s="694"/>
      <c r="K16" s="695"/>
      <c r="L16" s="695"/>
      <c r="M16" s="695"/>
      <c r="N16" s="695"/>
      <c r="O16" s="695"/>
      <c r="P16" s="695"/>
      <c r="Q16" s="695"/>
      <c r="R16" s="695"/>
      <c r="S16" s="695"/>
      <c r="T16" s="696"/>
      <c r="V16" s="697"/>
    </row>
    <row r="17" spans="9:22" x14ac:dyDescent="0.25">
      <c r="I17" s="640">
        <v>13</v>
      </c>
      <c r="J17" s="694"/>
      <c r="K17" s="695"/>
      <c r="L17" s="695"/>
      <c r="M17" s="695"/>
      <c r="N17" s="695"/>
      <c r="O17" s="695"/>
      <c r="P17" s="695"/>
      <c r="Q17" s="695"/>
      <c r="R17" s="695"/>
      <c r="S17" s="695"/>
      <c r="T17" s="696"/>
      <c r="V17" s="697"/>
    </row>
    <row r="18" spans="9:22" x14ac:dyDescent="0.25">
      <c r="I18" s="640">
        <v>14</v>
      </c>
      <c r="J18" s="694"/>
      <c r="K18" s="695"/>
      <c r="L18" s="695"/>
      <c r="M18" s="695"/>
      <c r="N18" s="695"/>
      <c r="O18" s="695"/>
      <c r="P18" s="695"/>
      <c r="Q18" s="695"/>
      <c r="R18" s="695"/>
      <c r="S18" s="695"/>
      <c r="T18" s="696"/>
      <c r="V18" s="697"/>
    </row>
    <row r="19" spans="9:22" x14ac:dyDescent="0.25">
      <c r="I19" s="640">
        <v>15</v>
      </c>
      <c r="J19" s="694"/>
      <c r="K19" s="695"/>
      <c r="L19" s="695"/>
      <c r="M19" s="695"/>
      <c r="N19" s="695"/>
      <c r="O19" s="695"/>
      <c r="P19" s="695"/>
      <c r="Q19" s="695"/>
      <c r="R19" s="695"/>
      <c r="S19" s="695"/>
      <c r="T19" s="696"/>
      <c r="V19" s="697"/>
    </row>
    <row r="20" spans="9:22" x14ac:dyDescent="0.25">
      <c r="I20" s="640">
        <v>16</v>
      </c>
      <c r="J20" s="694"/>
      <c r="K20" s="695"/>
      <c r="L20" s="695"/>
      <c r="M20" s="695"/>
      <c r="N20" s="695"/>
      <c r="O20" s="695"/>
      <c r="P20" s="695"/>
      <c r="Q20" s="695"/>
      <c r="R20" s="695"/>
      <c r="S20" s="695"/>
      <c r="T20" s="696"/>
      <c r="V20" s="697"/>
    </row>
    <row r="21" spans="9:22" x14ac:dyDescent="0.25">
      <c r="I21" s="640">
        <v>17</v>
      </c>
      <c r="J21" s="694"/>
      <c r="K21" s="695"/>
      <c r="L21" s="695"/>
      <c r="M21" s="695"/>
      <c r="N21" s="695"/>
      <c r="O21" s="695"/>
      <c r="P21" s="695"/>
      <c r="Q21" s="695"/>
      <c r="R21" s="695"/>
      <c r="S21" s="695"/>
      <c r="T21" s="696"/>
      <c r="V21" s="697"/>
    </row>
    <row r="22" spans="9:22" x14ac:dyDescent="0.25">
      <c r="I22" s="640">
        <v>18</v>
      </c>
      <c r="J22" s="694"/>
      <c r="K22" s="695"/>
      <c r="L22" s="695"/>
      <c r="M22" s="695"/>
      <c r="N22" s="695"/>
      <c r="O22" s="695"/>
      <c r="P22" s="695"/>
      <c r="Q22" s="695"/>
      <c r="R22" s="695"/>
      <c r="S22" s="695"/>
      <c r="T22" s="696"/>
      <c r="V22" s="697"/>
    </row>
    <row r="23" spans="9:22" x14ac:dyDescent="0.25">
      <c r="I23" s="640">
        <v>19</v>
      </c>
      <c r="J23" s="694"/>
      <c r="K23" s="695"/>
      <c r="L23" s="695"/>
      <c r="M23" s="695"/>
      <c r="N23" s="695"/>
      <c r="O23" s="695"/>
      <c r="P23" s="695"/>
      <c r="Q23" s="695"/>
      <c r="R23" s="695"/>
      <c r="S23" s="695"/>
      <c r="T23" s="696"/>
      <c r="V23" s="697"/>
    </row>
    <row r="24" spans="9:22" x14ac:dyDescent="0.25">
      <c r="I24" s="640">
        <v>20</v>
      </c>
      <c r="J24" s="694"/>
      <c r="K24" s="695"/>
      <c r="L24" s="695"/>
      <c r="M24" s="695"/>
      <c r="N24" s="695"/>
      <c r="O24" s="695"/>
      <c r="P24" s="695"/>
      <c r="Q24" s="695"/>
      <c r="R24" s="695"/>
      <c r="S24" s="695"/>
      <c r="T24" s="696"/>
      <c r="V24" s="697"/>
    </row>
    <row r="25" spans="9:22" x14ac:dyDescent="0.25">
      <c r="I25" s="640">
        <v>21</v>
      </c>
      <c r="J25" s="694"/>
      <c r="K25" s="695"/>
      <c r="L25" s="695"/>
      <c r="M25" s="695"/>
      <c r="N25" s="695"/>
      <c r="O25" s="695"/>
      <c r="P25" s="695"/>
      <c r="Q25" s="695"/>
      <c r="R25" s="695"/>
      <c r="S25" s="695"/>
      <c r="T25" s="696"/>
      <c r="V25" s="697"/>
    </row>
    <row r="26" spans="9:22" x14ac:dyDescent="0.25">
      <c r="I26" s="640">
        <v>22</v>
      </c>
      <c r="J26" s="694"/>
      <c r="K26" s="695"/>
      <c r="L26" s="695"/>
      <c r="M26" s="695"/>
      <c r="N26" s="695"/>
      <c r="O26" s="695"/>
      <c r="P26" s="695"/>
      <c r="Q26" s="695"/>
      <c r="R26" s="695"/>
      <c r="S26" s="695"/>
      <c r="T26" s="696"/>
      <c r="V26" s="697"/>
    </row>
    <row r="27" spans="9:22" x14ac:dyDescent="0.25">
      <c r="I27" s="640">
        <v>23</v>
      </c>
      <c r="J27" s="694"/>
      <c r="K27" s="695"/>
      <c r="L27" s="695"/>
      <c r="M27" s="695"/>
      <c r="N27" s="695"/>
      <c r="O27" s="695"/>
      <c r="P27" s="695"/>
      <c r="Q27" s="695"/>
      <c r="R27" s="695"/>
      <c r="S27" s="695"/>
      <c r="T27" s="696"/>
      <c r="V27" s="697"/>
    </row>
    <row r="28" spans="9:22" x14ac:dyDescent="0.25">
      <c r="I28" s="640">
        <v>24</v>
      </c>
      <c r="J28" s="694"/>
      <c r="K28" s="695"/>
      <c r="L28" s="695"/>
      <c r="M28" s="695"/>
      <c r="N28" s="695"/>
      <c r="O28" s="695"/>
      <c r="P28" s="695"/>
      <c r="Q28" s="695"/>
      <c r="R28" s="695"/>
      <c r="S28" s="695"/>
      <c r="T28" s="696"/>
      <c r="V28" s="697"/>
    </row>
    <row r="29" spans="9:22" x14ac:dyDescent="0.25">
      <c r="I29" s="640">
        <v>25</v>
      </c>
      <c r="J29" s="694"/>
      <c r="K29" s="695"/>
      <c r="L29" s="695"/>
      <c r="M29" s="695"/>
      <c r="N29" s="695"/>
      <c r="O29" s="695"/>
      <c r="P29" s="695"/>
      <c r="Q29" s="695"/>
      <c r="R29" s="695"/>
      <c r="S29" s="695"/>
      <c r="T29" s="696"/>
      <c r="V29" s="697"/>
    </row>
    <row r="30" spans="9:22" x14ac:dyDescent="0.25">
      <c r="I30" s="640">
        <v>26</v>
      </c>
      <c r="J30" s="694"/>
      <c r="K30" s="695"/>
      <c r="L30" s="695"/>
      <c r="M30" s="695"/>
      <c r="N30" s="695"/>
      <c r="O30" s="695"/>
      <c r="P30" s="695"/>
      <c r="Q30" s="695"/>
      <c r="R30" s="695"/>
      <c r="S30" s="695"/>
      <c r="T30" s="696"/>
      <c r="V30" s="697"/>
    </row>
    <row r="31" spans="9:22" x14ac:dyDescent="0.25">
      <c r="I31" s="640">
        <v>27</v>
      </c>
      <c r="J31" s="694"/>
      <c r="K31" s="695"/>
      <c r="L31" s="695"/>
      <c r="M31" s="695"/>
      <c r="N31" s="695"/>
      <c r="O31" s="695"/>
      <c r="P31" s="695"/>
      <c r="Q31" s="695"/>
      <c r="R31" s="695"/>
      <c r="S31" s="695"/>
      <c r="T31" s="696"/>
      <c r="V31" s="697"/>
    </row>
    <row r="32" spans="9:22" x14ac:dyDescent="0.25">
      <c r="I32" s="640">
        <v>28</v>
      </c>
      <c r="J32" s="694"/>
      <c r="K32" s="695"/>
      <c r="L32" s="695"/>
      <c r="M32" s="695"/>
      <c r="N32" s="695"/>
      <c r="O32" s="695"/>
      <c r="P32" s="695"/>
      <c r="Q32" s="695"/>
      <c r="R32" s="695"/>
      <c r="S32" s="695"/>
      <c r="T32" s="696"/>
      <c r="V32" s="697"/>
    </row>
    <row r="33" spans="4:22" x14ac:dyDescent="0.25">
      <c r="I33" s="640">
        <v>29</v>
      </c>
      <c r="J33" s="694"/>
      <c r="K33" s="695"/>
      <c r="L33" s="695"/>
      <c r="M33" s="695"/>
      <c r="N33" s="695"/>
      <c r="O33" s="695"/>
      <c r="P33" s="695"/>
      <c r="Q33" s="695"/>
      <c r="R33" s="695"/>
      <c r="S33" s="695"/>
      <c r="T33" s="696"/>
      <c r="V33" s="697"/>
    </row>
    <row r="34" spans="4:22" x14ac:dyDescent="0.25">
      <c r="I34" s="640">
        <v>30</v>
      </c>
      <c r="J34" s="694"/>
      <c r="K34" s="695"/>
      <c r="L34" s="695"/>
      <c r="M34" s="695"/>
      <c r="N34" s="695"/>
      <c r="O34" s="695"/>
      <c r="P34" s="695"/>
      <c r="Q34" s="695"/>
      <c r="R34" s="695"/>
      <c r="S34" s="695"/>
      <c r="T34" s="696"/>
      <c r="V34" s="697"/>
    </row>
    <row r="35" spans="4:22" ht="13.8" thickBot="1" x14ac:dyDescent="0.3">
      <c r="I35" s="640">
        <v>31</v>
      </c>
      <c r="J35" s="694"/>
      <c r="K35" s="695"/>
      <c r="L35" s="695"/>
      <c r="M35" s="695"/>
      <c r="N35" s="695"/>
      <c r="O35" s="695"/>
      <c r="P35" s="695"/>
      <c r="Q35" s="695"/>
      <c r="R35" s="695"/>
      <c r="S35" s="695"/>
      <c r="T35" s="696"/>
      <c r="V35" s="697"/>
    </row>
    <row r="36" spans="4:22" x14ac:dyDescent="0.25">
      <c r="D36" s="647" t="s">
        <v>211</v>
      </c>
      <c r="E36" s="648">
        <f>MAX(J5:T44)</f>
        <v>1.6584675346176847</v>
      </c>
      <c r="I36" s="640">
        <v>32</v>
      </c>
      <c r="J36" s="694"/>
      <c r="K36" s="695"/>
      <c r="L36" s="695"/>
      <c r="M36" s="695"/>
      <c r="N36" s="695"/>
      <c r="O36" s="695"/>
      <c r="P36" s="695"/>
      <c r="Q36" s="695"/>
      <c r="R36" s="695"/>
      <c r="S36" s="695"/>
      <c r="T36" s="696"/>
      <c r="V36" s="697"/>
    </row>
    <row r="37" spans="4:22" ht="13.8" thickBot="1" x14ac:dyDescent="0.3">
      <c r="D37" s="649" t="s">
        <v>212</v>
      </c>
      <c r="E37" s="650">
        <f>MIN(J5:T44)</f>
        <v>-9.6829153014847922</v>
      </c>
      <c r="I37" s="640">
        <v>33</v>
      </c>
      <c r="J37" s="694"/>
      <c r="K37" s="695"/>
      <c r="L37" s="695"/>
      <c r="M37" s="695"/>
      <c r="N37" s="695"/>
      <c r="O37" s="695"/>
      <c r="P37" s="695"/>
      <c r="Q37" s="695"/>
      <c r="R37" s="695"/>
      <c r="S37" s="695"/>
      <c r="T37" s="696"/>
      <c r="V37" s="697"/>
    </row>
    <row r="38" spans="4:22" x14ac:dyDescent="0.25">
      <c r="I38" s="640">
        <v>34</v>
      </c>
      <c r="J38" s="694"/>
      <c r="K38" s="695"/>
      <c r="L38" s="695"/>
      <c r="M38" s="695"/>
      <c r="N38" s="695"/>
      <c r="O38" s="695"/>
      <c r="P38" s="695"/>
      <c r="Q38" s="695"/>
      <c r="R38" s="695"/>
      <c r="S38" s="695"/>
      <c r="T38" s="696"/>
      <c r="V38" s="697"/>
    </row>
    <row r="39" spans="4:22" x14ac:dyDescent="0.25">
      <c r="I39" s="640">
        <v>35</v>
      </c>
      <c r="J39" s="694"/>
      <c r="K39" s="695"/>
      <c r="L39" s="695"/>
      <c r="M39" s="695"/>
      <c r="N39" s="695"/>
      <c r="O39" s="695"/>
      <c r="P39" s="695"/>
      <c r="Q39" s="695"/>
      <c r="R39" s="695"/>
      <c r="S39" s="695"/>
      <c r="T39" s="696"/>
      <c r="V39" s="697"/>
    </row>
    <row r="40" spans="4:22" x14ac:dyDescent="0.25">
      <c r="I40" s="640">
        <v>36</v>
      </c>
      <c r="J40" s="694"/>
      <c r="K40" s="695"/>
      <c r="L40" s="695"/>
      <c r="M40" s="695"/>
      <c r="N40" s="695"/>
      <c r="O40" s="695"/>
      <c r="P40" s="695"/>
      <c r="Q40" s="695"/>
      <c r="R40" s="695"/>
      <c r="S40" s="695"/>
      <c r="T40" s="696"/>
      <c r="V40" s="697"/>
    </row>
    <row r="41" spans="4:22" x14ac:dyDescent="0.25">
      <c r="I41" s="640">
        <v>37</v>
      </c>
      <c r="J41" s="694"/>
      <c r="K41" s="695"/>
      <c r="L41" s="695"/>
      <c r="M41" s="695"/>
      <c r="N41" s="695"/>
      <c r="O41" s="695"/>
      <c r="P41" s="695"/>
      <c r="Q41" s="695"/>
      <c r="R41" s="695"/>
      <c r="S41" s="695"/>
      <c r="T41" s="696"/>
      <c r="V41" s="697"/>
    </row>
    <row r="42" spans="4:22" x14ac:dyDescent="0.25">
      <c r="I42" s="640">
        <v>38</v>
      </c>
      <c r="J42" s="694"/>
      <c r="K42" s="695"/>
      <c r="L42" s="695"/>
      <c r="M42" s="695"/>
      <c r="N42" s="695"/>
      <c r="O42" s="695"/>
      <c r="P42" s="695"/>
      <c r="Q42" s="695"/>
      <c r="R42" s="695"/>
      <c r="S42" s="695"/>
      <c r="T42" s="696"/>
      <c r="V42" s="697"/>
    </row>
    <row r="43" spans="4:22" x14ac:dyDescent="0.25">
      <c r="I43" s="640">
        <v>39</v>
      </c>
      <c r="J43" s="694"/>
      <c r="K43" s="695"/>
      <c r="L43" s="695"/>
      <c r="M43" s="695"/>
      <c r="N43" s="695"/>
      <c r="O43" s="695"/>
      <c r="P43" s="695"/>
      <c r="Q43" s="695"/>
      <c r="R43" s="695"/>
      <c r="S43" s="695"/>
      <c r="T43" s="696"/>
      <c r="V43" s="697"/>
    </row>
    <row r="44" spans="4:22" ht="13.8" thickBot="1" x14ac:dyDescent="0.3">
      <c r="I44" s="651">
        <v>40</v>
      </c>
      <c r="J44" s="701"/>
      <c r="K44" s="702"/>
      <c r="L44" s="702"/>
      <c r="M44" s="702"/>
      <c r="N44" s="702"/>
      <c r="O44" s="702"/>
      <c r="P44" s="702"/>
      <c r="Q44" s="702"/>
      <c r="R44" s="702"/>
      <c r="S44" s="702"/>
      <c r="T44" s="650"/>
      <c r="V44" s="703"/>
    </row>
  </sheetData>
  <pageMargins left="0.78740157499999996" right="0.78740157499999996" top="0.984251969" bottom="0.984251969" header="0.4921259845" footer="0.4921259845"/>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dimension ref="B1:V47"/>
  <sheetViews>
    <sheetView zoomScale="60" zoomScaleNormal="60" workbookViewId="0">
      <selection activeCell="L71" sqref="L71"/>
    </sheetView>
  </sheetViews>
  <sheetFormatPr defaultColWidth="11.44140625" defaultRowHeight="13.2" x14ac:dyDescent="0.25"/>
  <cols>
    <col min="1" max="1" width="6.5546875" style="41" customWidth="1"/>
    <col min="2" max="2" width="9.44140625" style="41" customWidth="1"/>
    <col min="3" max="3" width="10.44140625" style="41" customWidth="1"/>
    <col min="4" max="4" width="12.5546875" style="41" bestFit="1" customWidth="1"/>
    <col min="5" max="5" width="6.5546875" style="41" customWidth="1"/>
    <col min="6" max="6" width="12.44140625" style="41" bestFit="1" customWidth="1"/>
    <col min="7" max="7" width="12.44140625" style="41" customWidth="1"/>
    <col min="8" max="8" width="3.5546875" style="41" customWidth="1"/>
    <col min="9" max="9" width="8.5546875" style="41" customWidth="1"/>
    <col min="10" max="15" width="12.5546875" style="41" bestFit="1" customWidth="1"/>
    <col min="16" max="16" width="12.44140625" style="41" bestFit="1" customWidth="1"/>
    <col min="17" max="18" width="12.5546875" style="41" bestFit="1" customWidth="1"/>
    <col min="19" max="19" width="12.44140625" style="41" bestFit="1" customWidth="1"/>
    <col min="20" max="20" width="14.44140625" style="41" bestFit="1" customWidth="1"/>
    <col min="21" max="21" width="12.44140625" style="41" bestFit="1" customWidth="1"/>
    <col min="22" max="22" width="12.5546875" style="41" bestFit="1" customWidth="1"/>
    <col min="23" max="23" width="12.44140625" style="41" bestFit="1" customWidth="1"/>
    <col min="24" max="24" width="14.44140625" style="41" bestFit="1" customWidth="1"/>
    <col min="25" max="26" width="14.5546875" style="41" bestFit="1" customWidth="1"/>
    <col min="27" max="27" width="11.5546875" style="41" bestFit="1" customWidth="1"/>
    <col min="28" max="28" width="14.5546875" style="41" bestFit="1" customWidth="1"/>
    <col min="29" max="30" width="11.5546875" style="41" bestFit="1" customWidth="1"/>
    <col min="31" max="16384" width="11.44140625" style="41"/>
  </cols>
  <sheetData>
    <row r="1" spans="2:22" ht="12.75" customHeight="1" thickBot="1" x14ac:dyDescent="0.3"/>
    <row r="2" spans="2:22" ht="16.2" thickBot="1" x14ac:dyDescent="0.35">
      <c r="B2" s="621" t="s">
        <v>149</v>
      </c>
      <c r="C2" s="424"/>
      <c r="D2" s="670" t="s">
        <v>190</v>
      </c>
      <c r="E2" s="671">
        <v>1</v>
      </c>
      <c r="F2" s="116" t="s">
        <v>191</v>
      </c>
      <c r="G2" s="671">
        <v>1</v>
      </c>
      <c r="I2" s="625" t="s">
        <v>213</v>
      </c>
      <c r="J2" s="424"/>
      <c r="K2" s="625" t="s">
        <v>1238</v>
      </c>
    </row>
    <row r="3" spans="2:22" ht="12.75" customHeight="1" thickBot="1" x14ac:dyDescent="0.3"/>
    <row r="4" spans="2:22" s="9" customFormat="1" ht="12.75" customHeight="1" thickBot="1" x14ac:dyDescent="0.35">
      <c r="I4" s="672" t="s">
        <v>43</v>
      </c>
      <c r="J4" s="673">
        <v>0</v>
      </c>
      <c r="K4" s="674">
        <v>0.1</v>
      </c>
      <c r="L4" s="674">
        <v>0.2</v>
      </c>
      <c r="M4" s="674">
        <v>0.3</v>
      </c>
      <c r="N4" s="674">
        <v>0.4</v>
      </c>
      <c r="O4" s="674">
        <v>0.5</v>
      </c>
      <c r="P4" s="674">
        <v>0.6</v>
      </c>
      <c r="Q4" s="674">
        <v>0.7</v>
      </c>
      <c r="R4" s="674">
        <v>0.8</v>
      </c>
      <c r="S4" s="674">
        <v>0.9</v>
      </c>
      <c r="T4" s="704">
        <v>1</v>
      </c>
      <c r="U4" s="626" t="s">
        <v>214</v>
      </c>
      <c r="V4" s="705" t="s">
        <v>176</v>
      </c>
    </row>
    <row r="5" spans="2:22" ht="12.75" customHeight="1" x14ac:dyDescent="0.25">
      <c r="C5" s="686" t="s">
        <v>206</v>
      </c>
      <c r="D5" s="687">
        <f>MAX(MAX(J5:T44),ABS(MIN(J5:T44)))</f>
        <v>0</v>
      </c>
      <c r="I5" s="640">
        <v>1</v>
      </c>
      <c r="J5" s="677"/>
      <c r="K5" s="662"/>
      <c r="L5" s="662"/>
      <c r="M5" s="662"/>
      <c r="N5" s="662"/>
      <c r="O5" s="662"/>
      <c r="P5" s="662"/>
      <c r="Q5" s="662"/>
      <c r="R5" s="662"/>
      <c r="S5" s="662"/>
      <c r="T5" s="706"/>
      <c r="U5" s="707"/>
      <c r="V5" s="708"/>
    </row>
    <row r="6" spans="2:22" ht="12.75" customHeight="1" x14ac:dyDescent="0.25">
      <c r="C6" s="692" t="s">
        <v>194</v>
      </c>
      <c r="D6" s="693">
        <f>IF(D9&lt;0.000001,1,D7/D9)</f>
        <v>1</v>
      </c>
      <c r="I6" s="640">
        <v>2</v>
      </c>
      <c r="J6" s="641"/>
      <c r="K6" s="642"/>
      <c r="L6" s="642"/>
      <c r="M6" s="642"/>
      <c r="N6" s="642"/>
      <c r="O6" s="642"/>
      <c r="P6" s="642"/>
      <c r="Q6" s="642"/>
      <c r="R6" s="642"/>
      <c r="S6" s="642"/>
      <c r="T6" s="709"/>
      <c r="U6" s="710"/>
      <c r="V6" s="711"/>
    </row>
    <row r="7" spans="2:22" ht="12.75" customHeight="1" x14ac:dyDescent="0.25">
      <c r="C7" s="692" t="s">
        <v>195</v>
      </c>
      <c r="D7" s="693">
        <v>0.3</v>
      </c>
      <c r="I7" s="640">
        <v>3</v>
      </c>
      <c r="J7" s="641"/>
      <c r="K7" s="642"/>
      <c r="L7" s="642"/>
      <c r="M7" s="642"/>
      <c r="N7" s="642"/>
      <c r="O7" s="642"/>
      <c r="P7" s="642"/>
      <c r="Q7" s="642"/>
      <c r="R7" s="642"/>
      <c r="S7" s="642"/>
      <c r="T7" s="709"/>
      <c r="U7" s="710"/>
      <c r="V7" s="711"/>
    </row>
    <row r="8" spans="2:22" ht="12.75" customHeight="1" x14ac:dyDescent="0.25">
      <c r="C8" s="698" t="s">
        <v>196</v>
      </c>
      <c r="D8" s="693">
        <f>PlotData!CB5</f>
        <v>169.70562748477141</v>
      </c>
      <c r="I8" s="640">
        <v>4</v>
      </c>
      <c r="J8" s="641"/>
      <c r="K8" s="642"/>
      <c r="L8" s="642"/>
      <c r="M8" s="642"/>
      <c r="N8" s="642"/>
      <c r="O8" s="642"/>
      <c r="P8" s="642"/>
      <c r="Q8" s="642"/>
      <c r="R8" s="642"/>
      <c r="S8" s="642"/>
      <c r="T8" s="709"/>
      <c r="U8" s="710"/>
      <c r="V8" s="711"/>
    </row>
    <row r="9" spans="2:22" ht="12.75" customHeight="1" thickBot="1" x14ac:dyDescent="0.3">
      <c r="C9" s="699" t="s">
        <v>202</v>
      </c>
      <c r="D9" s="700">
        <f>D5/MAX(0.0001,D8)</f>
        <v>0</v>
      </c>
      <c r="I9" s="640">
        <v>5</v>
      </c>
      <c r="J9" s="641"/>
      <c r="K9" s="642"/>
      <c r="L9" s="642"/>
      <c r="M9" s="642"/>
      <c r="N9" s="642"/>
      <c r="O9" s="642"/>
      <c r="P9" s="642"/>
      <c r="Q9" s="642"/>
      <c r="R9" s="642"/>
      <c r="S9" s="642"/>
      <c r="T9" s="709"/>
      <c r="U9" s="710"/>
      <c r="V9" s="711"/>
    </row>
    <row r="10" spans="2:22" ht="12.75" customHeight="1" x14ac:dyDescent="0.25">
      <c r="I10" s="640">
        <v>6</v>
      </c>
      <c r="J10" s="641"/>
      <c r="K10" s="642"/>
      <c r="L10" s="642"/>
      <c r="M10" s="642"/>
      <c r="N10" s="642"/>
      <c r="O10" s="642"/>
      <c r="P10" s="642"/>
      <c r="Q10" s="642"/>
      <c r="R10" s="642"/>
      <c r="S10" s="642"/>
      <c r="T10" s="709"/>
      <c r="U10" s="710"/>
      <c r="V10" s="711"/>
    </row>
    <row r="11" spans="2:22" ht="12.75" customHeight="1" x14ac:dyDescent="0.25">
      <c r="I11" s="640">
        <v>7</v>
      </c>
      <c r="J11" s="641"/>
      <c r="K11" s="642"/>
      <c r="L11" s="642"/>
      <c r="M11" s="642"/>
      <c r="N11" s="642"/>
      <c r="O11" s="642"/>
      <c r="P11" s="642"/>
      <c r="Q11" s="642"/>
      <c r="R11" s="642"/>
      <c r="S11" s="642"/>
      <c r="T11" s="709"/>
      <c r="U11" s="710"/>
      <c r="V11" s="711"/>
    </row>
    <row r="12" spans="2:22" ht="12.75" customHeight="1" x14ac:dyDescent="0.25">
      <c r="I12" s="640">
        <v>8</v>
      </c>
      <c r="J12" s="641"/>
      <c r="K12" s="642"/>
      <c r="L12" s="642"/>
      <c r="M12" s="642"/>
      <c r="N12" s="642"/>
      <c r="O12" s="642"/>
      <c r="P12" s="642"/>
      <c r="Q12" s="642"/>
      <c r="R12" s="642"/>
      <c r="S12" s="642"/>
      <c r="T12" s="709"/>
      <c r="U12" s="710"/>
      <c r="V12" s="711"/>
    </row>
    <row r="13" spans="2:22" ht="12.75" customHeight="1" x14ac:dyDescent="0.25">
      <c r="I13" s="640">
        <v>9</v>
      </c>
      <c r="J13" s="641"/>
      <c r="K13" s="642"/>
      <c r="L13" s="642"/>
      <c r="M13" s="642"/>
      <c r="N13" s="642"/>
      <c r="O13" s="642"/>
      <c r="P13" s="642"/>
      <c r="Q13" s="642"/>
      <c r="R13" s="642"/>
      <c r="S13" s="642"/>
      <c r="T13" s="709"/>
      <c r="U13" s="710"/>
      <c r="V13" s="711"/>
    </row>
    <row r="14" spans="2:22" ht="12.75" customHeight="1" x14ac:dyDescent="0.25">
      <c r="I14" s="640">
        <v>10</v>
      </c>
      <c r="J14" s="641"/>
      <c r="K14" s="642"/>
      <c r="L14" s="642"/>
      <c r="M14" s="642"/>
      <c r="N14" s="642"/>
      <c r="O14" s="642"/>
      <c r="P14" s="642"/>
      <c r="Q14" s="642"/>
      <c r="R14" s="642"/>
      <c r="S14" s="642"/>
      <c r="T14" s="709"/>
      <c r="U14" s="710"/>
      <c r="V14" s="711"/>
    </row>
    <row r="15" spans="2:22" ht="12.75" customHeight="1" x14ac:dyDescent="0.25">
      <c r="I15" s="640">
        <v>11</v>
      </c>
      <c r="J15" s="641"/>
      <c r="K15" s="642"/>
      <c r="L15" s="642"/>
      <c r="M15" s="642"/>
      <c r="N15" s="642"/>
      <c r="O15" s="642"/>
      <c r="P15" s="642"/>
      <c r="Q15" s="642"/>
      <c r="R15" s="642"/>
      <c r="S15" s="642"/>
      <c r="T15" s="709"/>
      <c r="U15" s="710"/>
      <c r="V15" s="711"/>
    </row>
    <row r="16" spans="2:22" ht="12.75" customHeight="1" x14ac:dyDescent="0.25">
      <c r="I16" s="640">
        <v>12</v>
      </c>
      <c r="J16" s="641"/>
      <c r="K16" s="642"/>
      <c r="L16" s="642"/>
      <c r="M16" s="642"/>
      <c r="N16" s="642"/>
      <c r="O16" s="642"/>
      <c r="P16" s="642"/>
      <c r="Q16" s="642"/>
      <c r="R16" s="642"/>
      <c r="S16" s="642"/>
      <c r="T16" s="709"/>
      <c r="U16" s="710"/>
      <c r="V16" s="711"/>
    </row>
    <row r="17" spans="9:22" ht="12.75" customHeight="1" x14ac:dyDescent="0.25">
      <c r="I17" s="640">
        <v>13</v>
      </c>
      <c r="J17" s="641"/>
      <c r="K17" s="642"/>
      <c r="L17" s="642"/>
      <c r="M17" s="642"/>
      <c r="N17" s="642"/>
      <c r="O17" s="642"/>
      <c r="P17" s="642"/>
      <c r="Q17" s="642"/>
      <c r="R17" s="642"/>
      <c r="S17" s="642"/>
      <c r="T17" s="709"/>
      <c r="U17" s="710"/>
      <c r="V17" s="711"/>
    </row>
    <row r="18" spans="9:22" ht="12.75" customHeight="1" x14ac:dyDescent="0.25">
      <c r="I18" s="640">
        <v>14</v>
      </c>
      <c r="J18" s="641"/>
      <c r="K18" s="642"/>
      <c r="L18" s="642"/>
      <c r="M18" s="642"/>
      <c r="N18" s="642"/>
      <c r="O18" s="642"/>
      <c r="P18" s="642"/>
      <c r="Q18" s="642"/>
      <c r="R18" s="642"/>
      <c r="S18" s="642"/>
      <c r="T18" s="709"/>
      <c r="U18" s="710"/>
      <c r="V18" s="711"/>
    </row>
    <row r="19" spans="9:22" ht="12.75" customHeight="1" x14ac:dyDescent="0.25">
      <c r="I19" s="640">
        <v>15</v>
      </c>
      <c r="J19" s="641"/>
      <c r="K19" s="642"/>
      <c r="L19" s="642"/>
      <c r="M19" s="642"/>
      <c r="N19" s="642"/>
      <c r="O19" s="642"/>
      <c r="P19" s="642"/>
      <c r="Q19" s="642"/>
      <c r="R19" s="642"/>
      <c r="S19" s="642"/>
      <c r="T19" s="709"/>
      <c r="U19" s="710"/>
      <c r="V19" s="711"/>
    </row>
    <row r="20" spans="9:22" ht="12.75" customHeight="1" x14ac:dyDescent="0.25">
      <c r="I20" s="640">
        <v>16</v>
      </c>
      <c r="J20" s="641"/>
      <c r="K20" s="642"/>
      <c r="L20" s="642"/>
      <c r="M20" s="642"/>
      <c r="N20" s="642"/>
      <c r="O20" s="642"/>
      <c r="P20" s="642"/>
      <c r="Q20" s="642"/>
      <c r="R20" s="642"/>
      <c r="S20" s="642"/>
      <c r="T20" s="709"/>
      <c r="U20" s="710"/>
      <c r="V20" s="711"/>
    </row>
    <row r="21" spans="9:22" ht="12.75" customHeight="1" x14ac:dyDescent="0.25">
      <c r="I21" s="640">
        <v>17</v>
      </c>
      <c r="J21" s="641"/>
      <c r="K21" s="642"/>
      <c r="L21" s="642"/>
      <c r="M21" s="642"/>
      <c r="N21" s="642"/>
      <c r="O21" s="642"/>
      <c r="P21" s="642"/>
      <c r="Q21" s="642"/>
      <c r="R21" s="642"/>
      <c r="S21" s="642"/>
      <c r="T21" s="709"/>
      <c r="U21" s="710"/>
      <c r="V21" s="711"/>
    </row>
    <row r="22" spans="9:22" ht="12.75" customHeight="1" x14ac:dyDescent="0.25">
      <c r="I22" s="640">
        <v>18</v>
      </c>
      <c r="J22" s="641"/>
      <c r="K22" s="642"/>
      <c r="L22" s="642"/>
      <c r="M22" s="642"/>
      <c r="N22" s="642"/>
      <c r="O22" s="642"/>
      <c r="P22" s="642"/>
      <c r="Q22" s="642"/>
      <c r="R22" s="642"/>
      <c r="S22" s="642"/>
      <c r="T22" s="709"/>
      <c r="U22" s="710"/>
      <c r="V22" s="711"/>
    </row>
    <row r="23" spans="9:22" ht="12.75" customHeight="1" x14ac:dyDescent="0.25">
      <c r="I23" s="640">
        <v>19</v>
      </c>
      <c r="J23" s="641"/>
      <c r="K23" s="642"/>
      <c r="L23" s="642"/>
      <c r="M23" s="642"/>
      <c r="N23" s="642"/>
      <c r="O23" s="642"/>
      <c r="P23" s="642"/>
      <c r="Q23" s="642"/>
      <c r="R23" s="642"/>
      <c r="S23" s="642"/>
      <c r="T23" s="709"/>
      <c r="U23" s="710"/>
      <c r="V23" s="711"/>
    </row>
    <row r="24" spans="9:22" ht="12.75" customHeight="1" x14ac:dyDescent="0.25">
      <c r="I24" s="640">
        <v>20</v>
      </c>
      <c r="J24" s="641"/>
      <c r="K24" s="642"/>
      <c r="L24" s="642"/>
      <c r="M24" s="642"/>
      <c r="N24" s="642"/>
      <c r="O24" s="642"/>
      <c r="P24" s="642"/>
      <c r="Q24" s="642"/>
      <c r="R24" s="642"/>
      <c r="S24" s="642"/>
      <c r="T24" s="709"/>
      <c r="U24" s="710"/>
      <c r="V24" s="711"/>
    </row>
    <row r="25" spans="9:22" ht="12.75" customHeight="1" x14ac:dyDescent="0.25">
      <c r="I25" s="640">
        <v>21</v>
      </c>
      <c r="J25" s="641"/>
      <c r="K25" s="642"/>
      <c r="L25" s="642"/>
      <c r="M25" s="642"/>
      <c r="N25" s="642"/>
      <c r="O25" s="642"/>
      <c r="P25" s="642"/>
      <c r="Q25" s="642"/>
      <c r="R25" s="642"/>
      <c r="S25" s="642"/>
      <c r="T25" s="709"/>
      <c r="U25" s="710"/>
      <c r="V25" s="711"/>
    </row>
    <row r="26" spans="9:22" ht="12.75" customHeight="1" x14ac:dyDescent="0.25">
      <c r="I26" s="640">
        <v>22</v>
      </c>
      <c r="J26" s="641"/>
      <c r="K26" s="642"/>
      <c r="L26" s="642"/>
      <c r="M26" s="642"/>
      <c r="N26" s="642"/>
      <c r="O26" s="642"/>
      <c r="P26" s="642"/>
      <c r="Q26" s="642"/>
      <c r="R26" s="642"/>
      <c r="S26" s="642"/>
      <c r="T26" s="709"/>
      <c r="U26" s="710"/>
      <c r="V26" s="711"/>
    </row>
    <row r="27" spans="9:22" ht="12.75" customHeight="1" x14ac:dyDescent="0.25">
      <c r="I27" s="640">
        <v>23</v>
      </c>
      <c r="J27" s="641"/>
      <c r="K27" s="642"/>
      <c r="L27" s="642"/>
      <c r="M27" s="642"/>
      <c r="N27" s="642"/>
      <c r="O27" s="642"/>
      <c r="P27" s="642"/>
      <c r="Q27" s="642"/>
      <c r="R27" s="642"/>
      <c r="S27" s="642"/>
      <c r="T27" s="709"/>
      <c r="U27" s="710"/>
      <c r="V27" s="711"/>
    </row>
    <row r="28" spans="9:22" ht="12.75" customHeight="1" x14ac:dyDescent="0.25">
      <c r="I28" s="640">
        <v>24</v>
      </c>
      <c r="J28" s="641"/>
      <c r="K28" s="642"/>
      <c r="L28" s="642"/>
      <c r="M28" s="642"/>
      <c r="N28" s="642"/>
      <c r="O28" s="642"/>
      <c r="P28" s="642"/>
      <c r="Q28" s="642"/>
      <c r="R28" s="642"/>
      <c r="S28" s="642"/>
      <c r="T28" s="709"/>
      <c r="U28" s="710"/>
      <c r="V28" s="711"/>
    </row>
    <row r="29" spans="9:22" ht="12.75" customHeight="1" x14ac:dyDescent="0.25">
      <c r="I29" s="640">
        <v>25</v>
      </c>
      <c r="J29" s="641"/>
      <c r="K29" s="642"/>
      <c r="L29" s="642"/>
      <c r="M29" s="642"/>
      <c r="N29" s="642"/>
      <c r="O29" s="642"/>
      <c r="P29" s="642"/>
      <c r="Q29" s="642"/>
      <c r="R29" s="642"/>
      <c r="S29" s="642"/>
      <c r="T29" s="709"/>
      <c r="U29" s="710"/>
      <c r="V29" s="711"/>
    </row>
    <row r="30" spans="9:22" ht="12.75" customHeight="1" x14ac:dyDescent="0.25">
      <c r="I30" s="640">
        <v>26</v>
      </c>
      <c r="J30" s="641"/>
      <c r="K30" s="642"/>
      <c r="L30" s="642"/>
      <c r="M30" s="642"/>
      <c r="N30" s="642"/>
      <c r="O30" s="642"/>
      <c r="P30" s="642"/>
      <c r="Q30" s="642"/>
      <c r="R30" s="642"/>
      <c r="S30" s="642"/>
      <c r="T30" s="709"/>
      <c r="U30" s="710"/>
      <c r="V30" s="711"/>
    </row>
    <row r="31" spans="9:22" x14ac:dyDescent="0.25">
      <c r="I31" s="640">
        <v>27</v>
      </c>
      <c r="J31" s="641"/>
      <c r="K31" s="642"/>
      <c r="L31" s="642"/>
      <c r="M31" s="642"/>
      <c r="N31" s="642"/>
      <c r="O31" s="642"/>
      <c r="P31" s="642"/>
      <c r="Q31" s="642"/>
      <c r="R31" s="642"/>
      <c r="S31" s="642"/>
      <c r="T31" s="709"/>
      <c r="U31" s="710"/>
      <c r="V31" s="711"/>
    </row>
    <row r="32" spans="9:22" x14ac:dyDescent="0.25">
      <c r="I32" s="640">
        <v>28</v>
      </c>
      <c r="J32" s="641"/>
      <c r="K32" s="642"/>
      <c r="L32" s="642"/>
      <c r="M32" s="642"/>
      <c r="N32" s="642"/>
      <c r="O32" s="642"/>
      <c r="P32" s="642"/>
      <c r="Q32" s="642"/>
      <c r="R32" s="642"/>
      <c r="S32" s="642"/>
      <c r="T32" s="709"/>
      <c r="U32" s="710"/>
      <c r="V32" s="711"/>
    </row>
    <row r="33" spans="4:22" x14ac:dyDescent="0.25">
      <c r="I33" s="640">
        <v>29</v>
      </c>
      <c r="J33" s="641"/>
      <c r="K33" s="642"/>
      <c r="L33" s="642"/>
      <c r="M33" s="642"/>
      <c r="N33" s="642"/>
      <c r="O33" s="642"/>
      <c r="P33" s="642"/>
      <c r="Q33" s="642"/>
      <c r="R33" s="642"/>
      <c r="S33" s="642"/>
      <c r="T33" s="709"/>
      <c r="U33" s="710"/>
      <c r="V33" s="711"/>
    </row>
    <row r="34" spans="4:22" x14ac:dyDescent="0.25">
      <c r="I34" s="640">
        <v>30</v>
      </c>
      <c r="J34" s="641"/>
      <c r="K34" s="642"/>
      <c r="L34" s="642"/>
      <c r="M34" s="642"/>
      <c r="N34" s="642"/>
      <c r="O34" s="642"/>
      <c r="P34" s="642"/>
      <c r="Q34" s="642"/>
      <c r="R34" s="642"/>
      <c r="S34" s="642"/>
      <c r="T34" s="709"/>
      <c r="U34" s="710"/>
      <c r="V34" s="711"/>
    </row>
    <row r="35" spans="4:22" ht="13.8" thickBot="1" x14ac:dyDescent="0.3">
      <c r="I35" s="640">
        <v>31</v>
      </c>
      <c r="J35" s="641"/>
      <c r="K35" s="642"/>
      <c r="L35" s="642"/>
      <c r="M35" s="642"/>
      <c r="N35" s="642"/>
      <c r="O35" s="642"/>
      <c r="P35" s="642"/>
      <c r="Q35" s="642"/>
      <c r="R35" s="642"/>
      <c r="S35" s="642"/>
      <c r="T35" s="709"/>
      <c r="U35" s="710"/>
      <c r="V35" s="711"/>
    </row>
    <row r="36" spans="4:22" x14ac:dyDescent="0.25">
      <c r="D36" s="647" t="s">
        <v>215</v>
      </c>
      <c r="E36" s="648">
        <f>MAX(J5:T44)</f>
        <v>0</v>
      </c>
      <c r="I36" s="640">
        <v>32</v>
      </c>
      <c r="J36" s="641"/>
      <c r="K36" s="642"/>
      <c r="L36" s="642"/>
      <c r="M36" s="642"/>
      <c r="N36" s="642"/>
      <c r="O36" s="642"/>
      <c r="P36" s="642"/>
      <c r="Q36" s="642"/>
      <c r="R36" s="642"/>
      <c r="S36" s="642"/>
      <c r="T36" s="709"/>
      <c r="U36" s="710"/>
      <c r="V36" s="711"/>
    </row>
    <row r="37" spans="4:22" ht="13.8" thickBot="1" x14ac:dyDescent="0.3">
      <c r="D37" s="649" t="s">
        <v>216</v>
      </c>
      <c r="E37" s="650">
        <f>MIN(J5:T44)</f>
        <v>0</v>
      </c>
      <c r="I37" s="640">
        <v>33</v>
      </c>
      <c r="J37" s="641"/>
      <c r="K37" s="642"/>
      <c r="L37" s="642"/>
      <c r="M37" s="642"/>
      <c r="N37" s="642"/>
      <c r="O37" s="642"/>
      <c r="P37" s="642"/>
      <c r="Q37" s="642"/>
      <c r="R37" s="642"/>
      <c r="S37" s="642"/>
      <c r="T37" s="709"/>
      <c r="U37" s="710"/>
      <c r="V37" s="711"/>
    </row>
    <row r="38" spans="4:22" x14ac:dyDescent="0.25">
      <c r="I38" s="640">
        <v>34</v>
      </c>
      <c r="J38" s="641"/>
      <c r="K38" s="642"/>
      <c r="L38" s="642"/>
      <c r="M38" s="642"/>
      <c r="N38" s="642"/>
      <c r="O38" s="642"/>
      <c r="P38" s="642"/>
      <c r="Q38" s="642"/>
      <c r="R38" s="642"/>
      <c r="S38" s="642"/>
      <c r="T38" s="709"/>
      <c r="U38" s="710"/>
      <c r="V38" s="711"/>
    </row>
    <row r="39" spans="4:22" x14ac:dyDescent="0.25">
      <c r="I39" s="640">
        <v>35</v>
      </c>
      <c r="J39" s="641"/>
      <c r="K39" s="642"/>
      <c r="L39" s="642"/>
      <c r="M39" s="642"/>
      <c r="N39" s="642"/>
      <c r="O39" s="642"/>
      <c r="P39" s="642"/>
      <c r="Q39" s="642"/>
      <c r="R39" s="642"/>
      <c r="S39" s="642"/>
      <c r="T39" s="709"/>
      <c r="U39" s="710"/>
      <c r="V39" s="711"/>
    </row>
    <row r="40" spans="4:22" x14ac:dyDescent="0.25">
      <c r="I40" s="640">
        <v>36</v>
      </c>
      <c r="J40" s="641"/>
      <c r="K40" s="642"/>
      <c r="L40" s="642"/>
      <c r="M40" s="642"/>
      <c r="N40" s="642"/>
      <c r="O40" s="642"/>
      <c r="P40" s="642"/>
      <c r="Q40" s="642"/>
      <c r="R40" s="642"/>
      <c r="S40" s="642"/>
      <c r="T40" s="709"/>
      <c r="U40" s="710"/>
      <c r="V40" s="711"/>
    </row>
    <row r="41" spans="4:22" x14ac:dyDescent="0.25">
      <c r="I41" s="640">
        <v>37</v>
      </c>
      <c r="J41" s="641"/>
      <c r="K41" s="642"/>
      <c r="L41" s="642"/>
      <c r="M41" s="642"/>
      <c r="N41" s="642"/>
      <c r="O41" s="642"/>
      <c r="P41" s="642"/>
      <c r="Q41" s="642"/>
      <c r="R41" s="642"/>
      <c r="S41" s="642"/>
      <c r="T41" s="709"/>
      <c r="U41" s="710"/>
      <c r="V41" s="711"/>
    </row>
    <row r="42" spans="4:22" x14ac:dyDescent="0.25">
      <c r="I42" s="640">
        <v>38</v>
      </c>
      <c r="J42" s="641"/>
      <c r="K42" s="642"/>
      <c r="L42" s="642"/>
      <c r="M42" s="642"/>
      <c r="N42" s="642"/>
      <c r="O42" s="642"/>
      <c r="P42" s="642"/>
      <c r="Q42" s="642"/>
      <c r="R42" s="642"/>
      <c r="S42" s="642"/>
      <c r="T42" s="709"/>
      <c r="U42" s="710"/>
      <c r="V42" s="711"/>
    </row>
    <row r="43" spans="4:22" x14ac:dyDescent="0.25">
      <c r="I43" s="640">
        <v>39</v>
      </c>
      <c r="J43" s="641"/>
      <c r="K43" s="642"/>
      <c r="L43" s="642"/>
      <c r="M43" s="642"/>
      <c r="N43" s="642"/>
      <c r="O43" s="642"/>
      <c r="P43" s="642"/>
      <c r="Q43" s="642"/>
      <c r="R43" s="642"/>
      <c r="S43" s="642"/>
      <c r="T43" s="709"/>
      <c r="U43" s="710"/>
      <c r="V43" s="711"/>
    </row>
    <row r="44" spans="4:22" ht="13.8" thickBot="1" x14ac:dyDescent="0.3">
      <c r="I44" s="651">
        <v>40</v>
      </c>
      <c r="J44" s="652"/>
      <c r="K44" s="653"/>
      <c r="L44" s="653"/>
      <c r="M44" s="653"/>
      <c r="N44" s="653"/>
      <c r="O44" s="653"/>
      <c r="P44" s="653"/>
      <c r="Q44" s="653"/>
      <c r="R44" s="653"/>
      <c r="S44" s="653"/>
      <c r="T44" s="712"/>
      <c r="U44" s="713"/>
      <c r="V44" s="714"/>
    </row>
    <row r="47" spans="4:22" x14ac:dyDescent="0.25">
      <c r="J47" s="680"/>
    </row>
  </sheetData>
  <pageMargins left="0.78740157499999996" right="0.78740157499999996" top="0.984251969" bottom="0.984251969" header="0.4921259845" footer="0.492125984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2"/>
  <dimension ref="B1:V44"/>
  <sheetViews>
    <sheetView zoomScale="60" zoomScaleNormal="60" workbookViewId="0">
      <selection activeCell="I54" sqref="I54"/>
    </sheetView>
  </sheetViews>
  <sheetFormatPr defaultColWidth="11.44140625" defaultRowHeight="13.2" x14ac:dyDescent="0.25"/>
  <cols>
    <col min="1" max="1" width="4.5546875" style="41" customWidth="1"/>
    <col min="2" max="2" width="12" style="41" bestFit="1" customWidth="1"/>
    <col min="3" max="4" width="12.44140625" style="41" bestFit="1" customWidth="1"/>
    <col min="5" max="5" width="13" style="41" bestFit="1" customWidth="1"/>
    <col min="6" max="6" width="12.44140625" style="41" bestFit="1" customWidth="1"/>
    <col min="7" max="7" width="12.44140625" style="41" customWidth="1"/>
    <col min="8" max="8" width="2.5546875" style="41" customWidth="1"/>
    <col min="9" max="9" width="8" style="41" bestFit="1" customWidth="1"/>
    <col min="10" max="20" width="13" style="41" bestFit="1" customWidth="1"/>
    <col min="21" max="23" width="12.44140625" style="41" bestFit="1" customWidth="1"/>
    <col min="24" max="24" width="14.44140625" style="41" bestFit="1" customWidth="1"/>
    <col min="25" max="26" width="14.5546875" style="41" bestFit="1" customWidth="1"/>
    <col min="27" max="27" width="11.5546875" style="41" bestFit="1" customWidth="1"/>
    <col min="28" max="28" width="14.5546875" style="41" bestFit="1" customWidth="1"/>
    <col min="29" max="30" width="11.5546875" style="41" bestFit="1" customWidth="1"/>
    <col min="31" max="16384" width="11.44140625" style="41"/>
  </cols>
  <sheetData>
    <row r="1" spans="2:22" ht="13.8" thickBot="1" x14ac:dyDescent="0.3">
      <c r="H1" s="148"/>
    </row>
    <row r="2" spans="2:22" ht="13.8" thickBot="1" x14ac:dyDescent="0.3">
      <c r="B2" s="715" t="s">
        <v>14</v>
      </c>
      <c r="D2" s="670" t="s">
        <v>190</v>
      </c>
      <c r="E2" s="671">
        <v>1</v>
      </c>
      <c r="F2" s="116" t="s">
        <v>191</v>
      </c>
      <c r="G2" s="671">
        <v>1</v>
      </c>
      <c r="H2" s="148"/>
      <c r="I2" s="153" t="s">
        <v>217</v>
      </c>
    </row>
    <row r="3" spans="2:22" ht="13.8" thickBot="1" x14ac:dyDescent="0.3">
      <c r="H3" s="148"/>
    </row>
    <row r="4" spans="2:22" ht="13.8" thickBot="1" x14ac:dyDescent="0.3">
      <c r="H4" s="148"/>
      <c r="I4" s="716" t="s">
        <v>43</v>
      </c>
      <c r="J4" s="682">
        <v>0</v>
      </c>
      <c r="K4" s="683">
        <v>0.1</v>
      </c>
      <c r="L4" s="683">
        <v>0.2</v>
      </c>
      <c r="M4" s="683">
        <v>0.3</v>
      </c>
      <c r="N4" s="683">
        <v>0.4</v>
      </c>
      <c r="O4" s="683">
        <v>0.5</v>
      </c>
      <c r="P4" s="683">
        <v>0.6</v>
      </c>
      <c r="Q4" s="683">
        <v>0.7</v>
      </c>
      <c r="R4" s="683">
        <v>0.8</v>
      </c>
      <c r="S4" s="683">
        <v>0.9</v>
      </c>
      <c r="T4" s="684">
        <v>1</v>
      </c>
      <c r="V4" s="685" t="s">
        <v>131</v>
      </c>
    </row>
    <row r="5" spans="2:22" x14ac:dyDescent="0.25">
      <c r="C5" s="686" t="s">
        <v>193</v>
      </c>
      <c r="D5" s="687">
        <f>MAX(MAX(J5:T44),ABS(MIN(J5:T44)))</f>
        <v>0</v>
      </c>
      <c r="H5" s="148"/>
      <c r="I5" s="717">
        <v>1</v>
      </c>
      <c r="J5" s="689"/>
      <c r="K5" s="690"/>
      <c r="L5" s="690"/>
      <c r="M5" s="690"/>
      <c r="N5" s="690"/>
      <c r="O5" s="690"/>
      <c r="P5" s="690"/>
      <c r="Q5" s="690"/>
      <c r="R5" s="690"/>
      <c r="S5" s="690"/>
      <c r="T5" s="648"/>
      <c r="V5" s="691">
        <v>100</v>
      </c>
    </row>
    <row r="6" spans="2:22" x14ac:dyDescent="0.25">
      <c r="C6" s="692" t="s">
        <v>194</v>
      </c>
      <c r="D6" s="693">
        <f>IF(D9&lt;0.000001,1,D7/D9)</f>
        <v>1</v>
      </c>
      <c r="H6" s="148"/>
      <c r="I6" s="718">
        <v>2</v>
      </c>
      <c r="J6" s="694"/>
      <c r="K6" s="695"/>
      <c r="L6" s="695"/>
      <c r="M6" s="695"/>
      <c r="N6" s="695"/>
      <c r="O6" s="695"/>
      <c r="P6" s="695"/>
      <c r="Q6" s="695"/>
      <c r="R6" s="695"/>
      <c r="S6" s="695"/>
      <c r="T6" s="696"/>
      <c r="V6" s="697">
        <v>60</v>
      </c>
    </row>
    <row r="7" spans="2:22" x14ac:dyDescent="0.25">
      <c r="C7" s="692" t="s">
        <v>195</v>
      </c>
      <c r="D7" s="693">
        <v>0.3</v>
      </c>
      <c r="H7" s="148"/>
      <c r="I7" s="718">
        <v>3</v>
      </c>
      <c r="J7" s="694"/>
      <c r="K7" s="695"/>
      <c r="L7" s="695"/>
      <c r="M7" s="695"/>
      <c r="N7" s="695"/>
      <c r="O7" s="695"/>
      <c r="P7" s="695"/>
      <c r="Q7" s="695"/>
      <c r="R7" s="695"/>
      <c r="S7" s="695"/>
      <c r="T7" s="696"/>
      <c r="V7" s="697">
        <v>72.111025509279784</v>
      </c>
    </row>
    <row r="8" spans="2:22" x14ac:dyDescent="0.25">
      <c r="C8" s="698" t="s">
        <v>196</v>
      </c>
      <c r="D8" s="693">
        <f>PlotData!CB5</f>
        <v>169.70562748477141</v>
      </c>
      <c r="H8" s="148"/>
      <c r="I8" s="718">
        <v>4</v>
      </c>
      <c r="J8" s="694"/>
      <c r="K8" s="695"/>
      <c r="L8" s="695"/>
      <c r="M8" s="695"/>
      <c r="N8" s="695"/>
      <c r="O8" s="695"/>
      <c r="P8" s="695"/>
      <c r="Q8" s="695"/>
      <c r="R8" s="695"/>
      <c r="S8" s="695"/>
      <c r="T8" s="696"/>
      <c r="V8" s="697">
        <v>76.157731058639087</v>
      </c>
    </row>
    <row r="9" spans="2:22" ht="13.8" thickBot="1" x14ac:dyDescent="0.3">
      <c r="C9" s="699" t="s">
        <v>202</v>
      </c>
      <c r="D9" s="700">
        <f>D5/MAX(0.0001,D8)</f>
        <v>0</v>
      </c>
      <c r="H9" s="148"/>
      <c r="I9" s="718">
        <v>5</v>
      </c>
      <c r="J9" s="694"/>
      <c r="K9" s="695"/>
      <c r="L9" s="695"/>
      <c r="M9" s="695"/>
      <c r="N9" s="695"/>
      <c r="O9" s="695"/>
      <c r="P9" s="695"/>
      <c r="Q9" s="695"/>
      <c r="R9" s="695"/>
      <c r="S9" s="695"/>
      <c r="T9" s="696"/>
      <c r="V9" s="697">
        <v>184.39088914585776</v>
      </c>
    </row>
    <row r="10" spans="2:22" x14ac:dyDescent="0.25">
      <c r="H10" s="148"/>
      <c r="I10" s="718">
        <v>6</v>
      </c>
      <c r="J10" s="694"/>
      <c r="K10" s="695"/>
      <c r="L10" s="695"/>
      <c r="M10" s="695"/>
      <c r="N10" s="695"/>
      <c r="O10" s="695"/>
      <c r="P10" s="695"/>
      <c r="Q10" s="695"/>
      <c r="R10" s="695"/>
      <c r="S10" s="695"/>
      <c r="T10" s="696"/>
      <c r="V10" s="697"/>
    </row>
    <row r="11" spans="2:22" x14ac:dyDescent="0.25">
      <c r="H11" s="148"/>
      <c r="I11" s="718">
        <v>7</v>
      </c>
      <c r="J11" s="694"/>
      <c r="K11" s="695"/>
      <c r="L11" s="695"/>
      <c r="M11" s="695"/>
      <c r="N11" s="695"/>
      <c r="O11" s="695"/>
      <c r="P11" s="695"/>
      <c r="Q11" s="695"/>
      <c r="R11" s="695"/>
      <c r="S11" s="695"/>
      <c r="T11" s="696"/>
      <c r="V11" s="697"/>
    </row>
    <row r="12" spans="2:22" x14ac:dyDescent="0.25">
      <c r="H12" s="148"/>
      <c r="I12" s="718">
        <v>8</v>
      </c>
      <c r="J12" s="694"/>
      <c r="K12" s="695"/>
      <c r="L12" s="695"/>
      <c r="M12" s="695"/>
      <c r="N12" s="695"/>
      <c r="O12" s="695"/>
      <c r="P12" s="695"/>
      <c r="Q12" s="695"/>
      <c r="R12" s="695"/>
      <c r="S12" s="695"/>
      <c r="T12" s="696"/>
      <c r="V12" s="697"/>
    </row>
    <row r="13" spans="2:22" x14ac:dyDescent="0.25">
      <c r="H13" s="148"/>
      <c r="I13" s="718">
        <v>9</v>
      </c>
      <c r="J13" s="694"/>
      <c r="K13" s="695"/>
      <c r="L13" s="695"/>
      <c r="M13" s="695"/>
      <c r="N13" s="695"/>
      <c r="O13" s="695"/>
      <c r="P13" s="695"/>
      <c r="Q13" s="695"/>
      <c r="R13" s="695"/>
      <c r="S13" s="695"/>
      <c r="T13" s="696"/>
      <c r="V13" s="697"/>
    </row>
    <row r="14" spans="2:22" x14ac:dyDescent="0.25">
      <c r="H14" s="148"/>
      <c r="I14" s="718">
        <v>10</v>
      </c>
      <c r="J14" s="694"/>
      <c r="K14" s="695"/>
      <c r="L14" s="695"/>
      <c r="M14" s="695"/>
      <c r="N14" s="695"/>
      <c r="O14" s="695"/>
      <c r="P14" s="695"/>
      <c r="Q14" s="695"/>
      <c r="R14" s="695"/>
      <c r="S14" s="695"/>
      <c r="T14" s="696"/>
      <c r="V14" s="697"/>
    </row>
    <row r="15" spans="2:22" x14ac:dyDescent="0.25">
      <c r="H15" s="148"/>
      <c r="I15" s="718">
        <v>11</v>
      </c>
      <c r="J15" s="694"/>
      <c r="K15" s="695"/>
      <c r="L15" s="695"/>
      <c r="M15" s="695"/>
      <c r="N15" s="695"/>
      <c r="O15" s="695"/>
      <c r="P15" s="695"/>
      <c r="Q15" s="695"/>
      <c r="R15" s="695"/>
      <c r="S15" s="695"/>
      <c r="T15" s="696"/>
      <c r="V15" s="697"/>
    </row>
    <row r="16" spans="2:22" x14ac:dyDescent="0.25">
      <c r="H16" s="148"/>
      <c r="I16" s="718">
        <v>12</v>
      </c>
      <c r="J16" s="694"/>
      <c r="K16" s="695"/>
      <c r="L16" s="695"/>
      <c r="M16" s="695"/>
      <c r="N16" s="695"/>
      <c r="O16" s="695"/>
      <c r="P16" s="695"/>
      <c r="Q16" s="695"/>
      <c r="R16" s="695"/>
      <c r="S16" s="695"/>
      <c r="T16" s="696"/>
      <c r="V16" s="697"/>
    </row>
    <row r="17" spans="8:22" x14ac:dyDescent="0.25">
      <c r="H17" s="148"/>
      <c r="I17" s="718">
        <v>13</v>
      </c>
      <c r="J17" s="694"/>
      <c r="K17" s="695"/>
      <c r="L17" s="695"/>
      <c r="M17" s="695"/>
      <c r="N17" s="695"/>
      <c r="O17" s="695"/>
      <c r="P17" s="695"/>
      <c r="Q17" s="695"/>
      <c r="R17" s="695"/>
      <c r="S17" s="695"/>
      <c r="T17" s="696"/>
      <c r="V17" s="697"/>
    </row>
    <row r="18" spans="8:22" x14ac:dyDescent="0.25">
      <c r="H18" s="148"/>
      <c r="I18" s="718">
        <v>14</v>
      </c>
      <c r="J18" s="694"/>
      <c r="K18" s="695"/>
      <c r="L18" s="695"/>
      <c r="M18" s="695"/>
      <c r="N18" s="695"/>
      <c r="O18" s="695"/>
      <c r="P18" s="695"/>
      <c r="Q18" s="695"/>
      <c r="R18" s="695"/>
      <c r="S18" s="695"/>
      <c r="T18" s="696"/>
      <c r="V18" s="697"/>
    </row>
    <row r="19" spans="8:22" x14ac:dyDescent="0.25">
      <c r="H19" s="148"/>
      <c r="I19" s="718">
        <v>15</v>
      </c>
      <c r="J19" s="694"/>
      <c r="K19" s="695"/>
      <c r="L19" s="695"/>
      <c r="M19" s="695"/>
      <c r="N19" s="695"/>
      <c r="O19" s="695"/>
      <c r="P19" s="695"/>
      <c r="Q19" s="695"/>
      <c r="R19" s="695"/>
      <c r="S19" s="695"/>
      <c r="T19" s="696"/>
      <c r="V19" s="697"/>
    </row>
    <row r="20" spans="8:22" x14ac:dyDescent="0.25">
      <c r="H20" s="148"/>
      <c r="I20" s="718">
        <v>16</v>
      </c>
      <c r="J20" s="694"/>
      <c r="K20" s="695"/>
      <c r="L20" s="695"/>
      <c r="M20" s="695"/>
      <c r="N20" s="695"/>
      <c r="O20" s="695"/>
      <c r="P20" s="695"/>
      <c r="Q20" s="695"/>
      <c r="R20" s="695"/>
      <c r="S20" s="695"/>
      <c r="T20" s="696"/>
      <c r="V20" s="697"/>
    </row>
    <row r="21" spans="8:22" x14ac:dyDescent="0.25">
      <c r="H21" s="148"/>
      <c r="I21" s="718">
        <v>17</v>
      </c>
      <c r="J21" s="694"/>
      <c r="K21" s="695"/>
      <c r="L21" s="695"/>
      <c r="M21" s="695"/>
      <c r="N21" s="695"/>
      <c r="O21" s="695"/>
      <c r="P21" s="695"/>
      <c r="Q21" s="695"/>
      <c r="R21" s="695"/>
      <c r="S21" s="695"/>
      <c r="T21" s="696"/>
      <c r="V21" s="697"/>
    </row>
    <row r="22" spans="8:22" x14ac:dyDescent="0.25">
      <c r="H22" s="148"/>
      <c r="I22" s="718">
        <v>18</v>
      </c>
      <c r="J22" s="694"/>
      <c r="K22" s="695"/>
      <c r="L22" s="695"/>
      <c r="M22" s="695"/>
      <c r="N22" s="695"/>
      <c r="O22" s="695"/>
      <c r="P22" s="695"/>
      <c r="Q22" s="695"/>
      <c r="R22" s="695"/>
      <c r="S22" s="695"/>
      <c r="T22" s="696"/>
      <c r="V22" s="697"/>
    </row>
    <row r="23" spans="8:22" x14ac:dyDescent="0.25">
      <c r="I23" s="718">
        <v>19</v>
      </c>
      <c r="J23" s="694"/>
      <c r="K23" s="695"/>
      <c r="L23" s="695"/>
      <c r="M23" s="695"/>
      <c r="N23" s="695"/>
      <c r="O23" s="695"/>
      <c r="P23" s="695"/>
      <c r="Q23" s="695"/>
      <c r="R23" s="695"/>
      <c r="S23" s="695"/>
      <c r="T23" s="696"/>
      <c r="V23" s="697"/>
    </row>
    <row r="24" spans="8:22" x14ac:dyDescent="0.25">
      <c r="I24" s="718">
        <v>20</v>
      </c>
      <c r="J24" s="694"/>
      <c r="K24" s="695"/>
      <c r="L24" s="695"/>
      <c r="M24" s="695"/>
      <c r="N24" s="695"/>
      <c r="O24" s="695"/>
      <c r="P24" s="695"/>
      <c r="Q24" s="695"/>
      <c r="R24" s="695"/>
      <c r="S24" s="695"/>
      <c r="T24" s="696"/>
      <c r="V24" s="697"/>
    </row>
    <row r="25" spans="8:22" x14ac:dyDescent="0.25">
      <c r="I25" s="718">
        <v>21</v>
      </c>
      <c r="J25" s="694"/>
      <c r="K25" s="695"/>
      <c r="L25" s="695"/>
      <c r="M25" s="695"/>
      <c r="N25" s="695"/>
      <c r="O25" s="695"/>
      <c r="P25" s="695"/>
      <c r="Q25" s="695"/>
      <c r="R25" s="695"/>
      <c r="S25" s="695"/>
      <c r="T25" s="696"/>
      <c r="V25" s="697"/>
    </row>
    <row r="26" spans="8:22" x14ac:dyDescent="0.25">
      <c r="I26" s="718">
        <v>22</v>
      </c>
      <c r="J26" s="694"/>
      <c r="K26" s="695"/>
      <c r="L26" s="695"/>
      <c r="M26" s="695"/>
      <c r="N26" s="695"/>
      <c r="O26" s="695"/>
      <c r="P26" s="695"/>
      <c r="Q26" s="695"/>
      <c r="R26" s="695"/>
      <c r="S26" s="695"/>
      <c r="T26" s="696"/>
      <c r="V26" s="697"/>
    </row>
    <row r="27" spans="8:22" x14ac:dyDescent="0.25">
      <c r="I27" s="718">
        <v>23</v>
      </c>
      <c r="J27" s="694"/>
      <c r="K27" s="695"/>
      <c r="L27" s="695"/>
      <c r="M27" s="695"/>
      <c r="N27" s="695"/>
      <c r="O27" s="695"/>
      <c r="P27" s="695"/>
      <c r="Q27" s="695"/>
      <c r="R27" s="695"/>
      <c r="S27" s="695"/>
      <c r="T27" s="696"/>
      <c r="V27" s="697"/>
    </row>
    <row r="28" spans="8:22" x14ac:dyDescent="0.25">
      <c r="I28" s="718">
        <v>24</v>
      </c>
      <c r="J28" s="694"/>
      <c r="K28" s="695"/>
      <c r="L28" s="695"/>
      <c r="M28" s="695"/>
      <c r="N28" s="695"/>
      <c r="O28" s="695"/>
      <c r="P28" s="695"/>
      <c r="Q28" s="695"/>
      <c r="R28" s="695"/>
      <c r="S28" s="695"/>
      <c r="T28" s="696"/>
      <c r="V28" s="697"/>
    </row>
    <row r="29" spans="8:22" x14ac:dyDescent="0.25">
      <c r="I29" s="718">
        <v>25</v>
      </c>
      <c r="J29" s="694"/>
      <c r="K29" s="695"/>
      <c r="L29" s="695"/>
      <c r="M29" s="695"/>
      <c r="N29" s="695"/>
      <c r="O29" s="695"/>
      <c r="P29" s="695"/>
      <c r="Q29" s="695"/>
      <c r="R29" s="695"/>
      <c r="S29" s="695"/>
      <c r="T29" s="696"/>
      <c r="V29" s="697"/>
    </row>
    <row r="30" spans="8:22" x14ac:dyDescent="0.25">
      <c r="I30" s="718">
        <v>26</v>
      </c>
      <c r="J30" s="694"/>
      <c r="K30" s="695"/>
      <c r="L30" s="695"/>
      <c r="M30" s="695"/>
      <c r="N30" s="695"/>
      <c r="O30" s="695"/>
      <c r="P30" s="695"/>
      <c r="Q30" s="695"/>
      <c r="R30" s="695"/>
      <c r="S30" s="695"/>
      <c r="T30" s="696"/>
      <c r="V30" s="697"/>
    </row>
    <row r="31" spans="8:22" x14ac:dyDescent="0.25">
      <c r="I31" s="718">
        <v>27</v>
      </c>
      <c r="J31" s="694"/>
      <c r="K31" s="695"/>
      <c r="L31" s="695"/>
      <c r="M31" s="695"/>
      <c r="N31" s="695"/>
      <c r="O31" s="695"/>
      <c r="P31" s="695"/>
      <c r="Q31" s="695"/>
      <c r="R31" s="695"/>
      <c r="S31" s="695"/>
      <c r="T31" s="696"/>
      <c r="V31" s="697"/>
    </row>
    <row r="32" spans="8:22" x14ac:dyDescent="0.25">
      <c r="I32" s="718">
        <v>28</v>
      </c>
      <c r="J32" s="694"/>
      <c r="K32" s="695"/>
      <c r="L32" s="695"/>
      <c r="M32" s="695"/>
      <c r="N32" s="695"/>
      <c r="O32" s="695"/>
      <c r="P32" s="695"/>
      <c r="Q32" s="695"/>
      <c r="R32" s="695"/>
      <c r="S32" s="695"/>
      <c r="T32" s="696"/>
      <c r="V32" s="697"/>
    </row>
    <row r="33" spans="4:22" x14ac:dyDescent="0.25">
      <c r="I33" s="718">
        <v>29</v>
      </c>
      <c r="J33" s="694"/>
      <c r="K33" s="695"/>
      <c r="L33" s="695"/>
      <c r="M33" s="695"/>
      <c r="N33" s="695"/>
      <c r="O33" s="695"/>
      <c r="P33" s="695"/>
      <c r="Q33" s="695"/>
      <c r="R33" s="695"/>
      <c r="S33" s="695"/>
      <c r="T33" s="696"/>
      <c r="V33" s="697"/>
    </row>
    <row r="34" spans="4:22" x14ac:dyDescent="0.25">
      <c r="I34" s="718">
        <v>30</v>
      </c>
      <c r="J34" s="694"/>
      <c r="K34" s="695"/>
      <c r="L34" s="695"/>
      <c r="M34" s="695"/>
      <c r="N34" s="695"/>
      <c r="O34" s="695"/>
      <c r="P34" s="695"/>
      <c r="Q34" s="695"/>
      <c r="R34" s="695"/>
      <c r="S34" s="695"/>
      <c r="T34" s="696"/>
      <c r="V34" s="697"/>
    </row>
    <row r="35" spans="4:22" ht="13.8" thickBot="1" x14ac:dyDescent="0.3">
      <c r="I35" s="718">
        <v>31</v>
      </c>
      <c r="J35" s="694"/>
      <c r="K35" s="695"/>
      <c r="L35" s="695"/>
      <c r="M35" s="695"/>
      <c r="N35" s="695"/>
      <c r="O35" s="695"/>
      <c r="P35" s="695"/>
      <c r="Q35" s="695"/>
      <c r="R35" s="695"/>
      <c r="S35" s="695"/>
      <c r="T35" s="696"/>
      <c r="V35" s="697"/>
    </row>
    <row r="36" spans="4:22" ht="13.8" x14ac:dyDescent="0.3">
      <c r="D36" s="647" t="s">
        <v>218</v>
      </c>
      <c r="E36" s="648">
        <f>MAX(J5:T44)</f>
        <v>0</v>
      </c>
      <c r="I36" s="718">
        <v>32</v>
      </c>
      <c r="J36" s="694"/>
      <c r="K36" s="695"/>
      <c r="L36" s="695"/>
      <c r="M36" s="695"/>
      <c r="N36" s="695"/>
      <c r="O36" s="695"/>
      <c r="P36" s="695"/>
      <c r="Q36" s="695"/>
      <c r="R36" s="695"/>
      <c r="S36" s="695"/>
      <c r="T36" s="696"/>
      <c r="V36" s="697"/>
    </row>
    <row r="37" spans="4:22" ht="14.4" thickBot="1" x14ac:dyDescent="0.35">
      <c r="D37" s="649" t="s">
        <v>219</v>
      </c>
      <c r="E37" s="650">
        <f>MIN(J5:T44)</f>
        <v>0</v>
      </c>
      <c r="I37" s="718">
        <v>33</v>
      </c>
      <c r="J37" s="694"/>
      <c r="K37" s="695"/>
      <c r="L37" s="695"/>
      <c r="M37" s="695"/>
      <c r="N37" s="695"/>
      <c r="O37" s="695"/>
      <c r="P37" s="695"/>
      <c r="Q37" s="695"/>
      <c r="R37" s="695"/>
      <c r="S37" s="695"/>
      <c r="T37" s="696"/>
      <c r="V37" s="697"/>
    </row>
    <row r="38" spans="4:22" x14ac:dyDescent="0.25">
      <c r="I38" s="718">
        <v>34</v>
      </c>
      <c r="J38" s="694"/>
      <c r="K38" s="695"/>
      <c r="L38" s="695"/>
      <c r="M38" s="695"/>
      <c r="N38" s="695"/>
      <c r="O38" s="695"/>
      <c r="P38" s="695"/>
      <c r="Q38" s="695"/>
      <c r="R38" s="695"/>
      <c r="S38" s="695"/>
      <c r="T38" s="696"/>
      <c r="V38" s="697"/>
    </row>
    <row r="39" spans="4:22" x14ac:dyDescent="0.25">
      <c r="I39" s="718">
        <v>35</v>
      </c>
      <c r="J39" s="694"/>
      <c r="K39" s="695"/>
      <c r="L39" s="695"/>
      <c r="M39" s="695"/>
      <c r="N39" s="695"/>
      <c r="O39" s="695"/>
      <c r="P39" s="695"/>
      <c r="Q39" s="695"/>
      <c r="R39" s="695"/>
      <c r="S39" s="695"/>
      <c r="T39" s="696"/>
      <c r="V39" s="697"/>
    </row>
    <row r="40" spans="4:22" x14ac:dyDescent="0.25">
      <c r="I40" s="718">
        <v>36</v>
      </c>
      <c r="J40" s="694"/>
      <c r="K40" s="695"/>
      <c r="L40" s="695"/>
      <c r="M40" s="695"/>
      <c r="N40" s="695"/>
      <c r="O40" s="695"/>
      <c r="P40" s="695"/>
      <c r="Q40" s="695"/>
      <c r="R40" s="695"/>
      <c r="S40" s="695"/>
      <c r="T40" s="696"/>
      <c r="V40" s="697"/>
    </row>
    <row r="41" spans="4:22" x14ac:dyDescent="0.25">
      <c r="I41" s="718">
        <v>37</v>
      </c>
      <c r="J41" s="694"/>
      <c r="K41" s="695"/>
      <c r="L41" s="695"/>
      <c r="M41" s="695"/>
      <c r="N41" s="695"/>
      <c r="O41" s="695"/>
      <c r="P41" s="695"/>
      <c r="Q41" s="695"/>
      <c r="R41" s="695"/>
      <c r="S41" s="695"/>
      <c r="T41" s="696"/>
      <c r="V41" s="697"/>
    </row>
    <row r="42" spans="4:22" x14ac:dyDescent="0.25">
      <c r="I42" s="718">
        <v>38</v>
      </c>
      <c r="J42" s="694"/>
      <c r="K42" s="695"/>
      <c r="L42" s="695"/>
      <c r="M42" s="695"/>
      <c r="N42" s="695"/>
      <c r="O42" s="695"/>
      <c r="P42" s="695"/>
      <c r="Q42" s="695"/>
      <c r="R42" s="695"/>
      <c r="S42" s="695"/>
      <c r="T42" s="696"/>
      <c r="V42" s="697"/>
    </row>
    <row r="43" spans="4:22" x14ac:dyDescent="0.25">
      <c r="I43" s="718">
        <v>39</v>
      </c>
      <c r="J43" s="694"/>
      <c r="K43" s="695"/>
      <c r="L43" s="695"/>
      <c r="M43" s="695"/>
      <c r="N43" s="695"/>
      <c r="O43" s="695"/>
      <c r="P43" s="695"/>
      <c r="Q43" s="695"/>
      <c r="R43" s="695"/>
      <c r="S43" s="695"/>
      <c r="T43" s="696"/>
      <c r="V43" s="697"/>
    </row>
    <row r="44" spans="4:22" ht="13.8" thickBot="1" x14ac:dyDescent="0.3">
      <c r="I44" s="719">
        <v>40</v>
      </c>
      <c r="J44" s="701"/>
      <c r="K44" s="702"/>
      <c r="L44" s="702"/>
      <c r="M44" s="702"/>
      <c r="N44" s="702"/>
      <c r="O44" s="702"/>
      <c r="P44" s="702"/>
      <c r="Q44" s="702"/>
      <c r="R44" s="702"/>
      <c r="S44" s="702"/>
      <c r="T44" s="650"/>
      <c r="V44" s="703"/>
    </row>
  </sheetData>
  <pageMargins left="0.78740157499999996" right="0.78740157499999996" top="0.984251969" bottom="0.984251969" header="0.4921259845" footer="0.492125984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6"/>
  <dimension ref="A1:P1903"/>
  <sheetViews>
    <sheetView zoomScale="66" zoomScaleNormal="66" workbookViewId="0">
      <selection activeCell="O38" sqref="O38"/>
    </sheetView>
  </sheetViews>
  <sheetFormatPr defaultColWidth="11.44140625" defaultRowHeight="13.2" x14ac:dyDescent="0.25"/>
  <cols>
    <col min="1" max="1" width="11.44140625" style="41"/>
    <col min="2" max="2" width="12.44140625" style="41" bestFit="1" customWidth="1"/>
    <col min="3" max="16384" width="11.44140625" style="41"/>
  </cols>
  <sheetData>
    <row r="1" spans="1:16" x14ac:dyDescent="0.25">
      <c r="A1" s="41" t="s">
        <v>449</v>
      </c>
      <c r="B1" s="41" t="s">
        <v>5</v>
      </c>
      <c r="C1" s="41" t="s">
        <v>450</v>
      </c>
      <c r="D1" s="41" t="s">
        <v>95</v>
      </c>
      <c r="E1" s="41" t="s">
        <v>451</v>
      </c>
      <c r="J1" s="41" t="s">
        <v>452</v>
      </c>
      <c r="K1" s="41">
        <f>MIN(B2:B100)</f>
        <v>-5</v>
      </c>
      <c r="L1" s="41" t="s">
        <v>453</v>
      </c>
      <c r="M1" s="41">
        <f>MIN(C2:C100)</f>
        <v>0</v>
      </c>
    </row>
    <row r="2" spans="1:16" x14ac:dyDescent="0.25">
      <c r="A2" s="41">
        <v>1</v>
      </c>
      <c r="B2" s="41">
        <v>0</v>
      </c>
      <c r="C2" s="41">
        <v>0</v>
      </c>
      <c r="D2" s="41">
        <v>0</v>
      </c>
      <c r="J2" s="41" t="s">
        <v>454</v>
      </c>
      <c r="K2" s="41">
        <f>MAX(B2:B100)</f>
        <v>6.3293652534484863</v>
      </c>
      <c r="L2" s="41" t="s">
        <v>455</v>
      </c>
      <c r="M2" s="41">
        <f>MAX(C2:C100)</f>
        <v>45</v>
      </c>
      <c r="N2" s="41">
        <v>1</v>
      </c>
      <c r="O2" s="41">
        <f ca="1">IF(ISBLANK(A2),INDIRECT(COLUMN($O$1)&amp;$K$4),(B2-$K$1)/$K$3)</f>
        <v>0.4413309914673354</v>
      </c>
      <c r="P2" s="41">
        <f ca="1">IF(ISBLANK(A2),INDIRECT(COLUMN(P1)&amp;$K$4),(C2-$M$1)/$M$3)</f>
        <v>0</v>
      </c>
    </row>
    <row r="3" spans="1:16" x14ac:dyDescent="0.25">
      <c r="A3" s="41">
        <v>2</v>
      </c>
      <c r="B3" s="41">
        <v>-0.29684907197952271</v>
      </c>
      <c r="C3" s="41">
        <v>8.8999996185302734</v>
      </c>
      <c r="D3" s="41">
        <v>1</v>
      </c>
      <c r="J3" s="41" t="s">
        <v>456</v>
      </c>
      <c r="K3" s="41">
        <f>IF(K2-K1=0,1,K2-K1)</f>
        <v>11.329365253448486</v>
      </c>
      <c r="L3" s="41" t="s">
        <v>457</v>
      </c>
      <c r="M3" s="41">
        <f>IF(M2-M1=0,1,M2-M1)</f>
        <v>45</v>
      </c>
      <c r="N3" s="41">
        <v>2</v>
      </c>
      <c r="O3" s="41">
        <f ca="1">IF(ISBLANK(A3),INDIRECT(COLUMN($O$1)&amp;$K$4),(B3-$K$1)/$K$3)</f>
        <v>0.41512925241675919</v>
      </c>
      <c r="P3" s="41">
        <f ca="1">IF(ISBLANK(A3),INDIRECT(COLUMN(P2)&amp;$K$4),(C3-$M$1)/$M$3)</f>
        <v>0.19777776930067276</v>
      </c>
    </row>
    <row r="4" spans="1:16" x14ac:dyDescent="0.25">
      <c r="A4" s="41">
        <v>3</v>
      </c>
      <c r="B4" s="41">
        <v>-0.3504769504070282</v>
      </c>
      <c r="C4" s="41">
        <v>8.9499998092651367</v>
      </c>
      <c r="J4" s="41" t="s">
        <v>198</v>
      </c>
      <c r="K4" s="41">
        <f>MAX(A2:A100)+1</f>
        <v>100</v>
      </c>
      <c r="N4" s="41">
        <v>3</v>
      </c>
      <c r="O4" s="41">
        <f ca="1">IF(ISBLANK(A4),INDIRECT(COLUMN($O$1)&amp;$K$4),(B4-$K$1)/$K$3)</f>
        <v>0.41039572346541903</v>
      </c>
      <c r="P4" s="41">
        <f ca="1">IF(ISBLANK(A4),INDIRECT(COLUMN(P3)&amp;$K$4),(C4-$M$1)/$M$3)</f>
        <v>0.19888888465033638</v>
      </c>
    </row>
    <row r="5" spans="1:16" x14ac:dyDescent="0.25">
      <c r="A5" s="41">
        <v>4</v>
      </c>
      <c r="B5" s="41">
        <v>0.64631283283233643</v>
      </c>
      <c r="C5" s="41">
        <v>8.9700002670288086</v>
      </c>
      <c r="N5" s="41">
        <v>4</v>
      </c>
      <c r="O5" s="41">
        <f ca="1">IF(ISBLANK(A5),INDIRECT(COLUMN($O$1)&amp;$K$4),(B5-$K$1)/$K$3)</f>
        <v>0.49837856812972686</v>
      </c>
      <c r="P5" s="41">
        <f ca="1">IF(ISBLANK(A5),INDIRECT(COLUMN(P4)&amp;$K$4),(C5-$M$1)/$M$3)</f>
        <v>0.19933333926730687</v>
      </c>
    </row>
    <row r="6" spans="1:16" x14ac:dyDescent="0.25">
      <c r="A6" s="41">
        <v>5</v>
      </c>
      <c r="B6" s="41">
        <v>0.34103506803512573</v>
      </c>
      <c r="C6" s="41">
        <v>8.9899997711181641</v>
      </c>
      <c r="N6" s="41">
        <v>5</v>
      </c>
      <c r="O6" s="41">
        <f ca="1">IF(ISBLANK(A6),INDIRECT(COLUMN($O$1)&amp;$K$4),(B6-$K$1)/$K$3)</f>
        <v>0.47143286040754984</v>
      </c>
      <c r="P6" s="41">
        <f ca="1">IF(ISBLANK(A6),INDIRECT(COLUMN(P5)&amp;$K$4),(C6-$M$1)/$M$3)</f>
        <v>0.19977777269151475</v>
      </c>
    </row>
    <row r="7" spans="1:16" x14ac:dyDescent="0.25">
      <c r="A7" s="41">
        <v>6</v>
      </c>
      <c r="B7" s="41">
        <v>0.34103545546531677</v>
      </c>
      <c r="C7" s="41">
        <v>8.9899997711181641</v>
      </c>
      <c r="N7" s="41">
        <v>6</v>
      </c>
      <c r="O7" s="41">
        <f t="shared" ref="O7:O12" ca="1" si="0">IF(ISBLANK(A7),INDIRECT(ADDRESS($K$4,COLUMN($O$1))),(B7-$K$1)/$K$3)</f>
        <v>0.47143289460453991</v>
      </c>
      <c r="P7" s="41">
        <f t="shared" ref="P7:P12" ca="1" si="1">IF(ISBLANK(A7),INDIRECT(ADDRESS($K$4,COLUMN(P6))),(C7-$M$1)/$M$3)</f>
        <v>0.19977777269151475</v>
      </c>
    </row>
    <row r="8" spans="1:16" x14ac:dyDescent="0.25">
      <c r="A8" s="41">
        <v>7</v>
      </c>
      <c r="B8" s="41">
        <v>0.34103572368621826</v>
      </c>
      <c r="C8" s="41">
        <v>8.9899997711181641</v>
      </c>
      <c r="N8" s="41">
        <v>7</v>
      </c>
      <c r="O8" s="41">
        <f t="shared" ca="1" si="0"/>
        <v>0.47143291827937917</v>
      </c>
      <c r="P8" s="41">
        <f t="shared" ca="1" si="1"/>
        <v>0.19977777269151475</v>
      </c>
    </row>
    <row r="9" spans="1:16" x14ac:dyDescent="0.25">
      <c r="A9" s="41">
        <v>8</v>
      </c>
      <c r="B9" s="41">
        <v>0.34103590250015259</v>
      </c>
      <c r="C9" s="41">
        <v>8.9899997711181641</v>
      </c>
      <c r="N9" s="41">
        <v>8</v>
      </c>
      <c r="O9" s="41">
        <f t="shared" ca="1" si="0"/>
        <v>0.47143293406260539</v>
      </c>
      <c r="P9" s="41">
        <f t="shared" ca="1" si="1"/>
        <v>0.19977777269151475</v>
      </c>
    </row>
    <row r="10" spans="1:16" x14ac:dyDescent="0.25">
      <c r="A10" s="41">
        <v>9</v>
      </c>
      <c r="B10" s="41">
        <v>-0.3504769504070282</v>
      </c>
      <c r="C10" s="41">
        <v>8.9499998092651367</v>
      </c>
      <c r="N10" s="41">
        <v>9</v>
      </c>
      <c r="O10" s="41">
        <f t="shared" ca="1" si="0"/>
        <v>0.41039572346541903</v>
      </c>
      <c r="P10" s="41">
        <f t="shared" ca="1" si="1"/>
        <v>0.19888888465033638</v>
      </c>
    </row>
    <row r="11" spans="1:16" x14ac:dyDescent="0.25">
      <c r="A11" s="41">
        <v>10</v>
      </c>
      <c r="B11" s="41">
        <v>-0.35047441720962524</v>
      </c>
      <c r="C11" s="41">
        <v>8.9499998092651367</v>
      </c>
      <c r="N11" s="41">
        <v>10</v>
      </c>
      <c r="O11" s="41">
        <f t="shared" ca="1" si="0"/>
        <v>0.41039594706112331</v>
      </c>
      <c r="P11" s="41">
        <f t="shared" ca="1" si="1"/>
        <v>0.19888888465033638</v>
      </c>
    </row>
    <row r="12" spans="1:16" x14ac:dyDescent="0.25">
      <c r="A12" s="41">
        <v>11</v>
      </c>
      <c r="B12" s="41">
        <v>-0.35047408938407898</v>
      </c>
      <c r="C12" s="41">
        <v>8.9499998092651367</v>
      </c>
      <c r="N12" s="41">
        <v>11</v>
      </c>
      <c r="O12" s="41">
        <f t="shared" ca="1" si="0"/>
        <v>0.41039597599703798</v>
      </c>
      <c r="P12" s="41">
        <f t="shared" ca="1" si="1"/>
        <v>0.19888888465033638</v>
      </c>
    </row>
    <row r="13" spans="1:16" x14ac:dyDescent="0.25">
      <c r="A13" s="41">
        <v>12</v>
      </c>
      <c r="B13" s="41">
        <v>-0.35047385096549988</v>
      </c>
      <c r="C13" s="41">
        <v>8.9499998092651367</v>
      </c>
    </row>
    <row r="14" spans="1:16" x14ac:dyDescent="0.25">
      <c r="A14" s="41">
        <v>13</v>
      </c>
      <c r="B14" s="41">
        <v>-0.35047364234924316</v>
      </c>
      <c r="C14" s="41">
        <v>8.9499998092651367</v>
      </c>
    </row>
    <row r="15" spans="1:16" x14ac:dyDescent="0.25">
      <c r="A15" s="41">
        <v>14</v>
      </c>
      <c r="B15" s="41">
        <v>0.64641082286834717</v>
      </c>
      <c r="C15" s="41">
        <v>8.9700002670288086</v>
      </c>
    </row>
    <row r="16" spans="1:16" x14ac:dyDescent="0.25">
      <c r="A16" s="41">
        <v>15</v>
      </c>
      <c r="B16" s="41">
        <v>0.42639684677124023</v>
      </c>
      <c r="C16" s="41">
        <v>8.9700002670288086</v>
      </c>
    </row>
    <row r="17" spans="1:3" x14ac:dyDescent="0.25">
      <c r="A17" s="41">
        <v>16</v>
      </c>
      <c r="B17" s="41">
        <v>0.38122573494911194</v>
      </c>
      <c r="C17" s="41">
        <v>8.9700002670288086</v>
      </c>
    </row>
    <row r="18" spans="1:3" x14ac:dyDescent="0.25">
      <c r="A18" s="41">
        <v>17</v>
      </c>
      <c r="B18" s="41">
        <v>0.36961662769317627</v>
      </c>
      <c r="C18" s="41">
        <v>8.9700002670288086</v>
      </c>
    </row>
    <row r="19" spans="1:3" x14ac:dyDescent="0.25">
      <c r="A19" s="41">
        <v>18</v>
      </c>
      <c r="B19" s="41">
        <v>-0.6961403489112854</v>
      </c>
      <c r="C19" s="41">
        <v>8.9600000381469727</v>
      </c>
    </row>
    <row r="20" spans="1:3" x14ac:dyDescent="0.25">
      <c r="A20" s="41">
        <v>19</v>
      </c>
      <c r="B20" s="41">
        <v>-0.36334657669067383</v>
      </c>
      <c r="C20" s="41">
        <v>8.9600000381469727</v>
      </c>
    </row>
    <row r="21" spans="1:3" x14ac:dyDescent="0.25">
      <c r="A21" s="41">
        <v>20</v>
      </c>
      <c r="B21" s="41">
        <v>-0.36231380701065063</v>
      </c>
      <c r="C21" s="41">
        <v>8.9600000381469727</v>
      </c>
    </row>
    <row r="22" spans="1:3" x14ac:dyDescent="0.25">
      <c r="A22" s="41">
        <v>21</v>
      </c>
      <c r="B22" s="41">
        <v>-0.36231088638305664</v>
      </c>
      <c r="C22" s="41">
        <v>8.9600000381469727</v>
      </c>
    </row>
    <row r="23" spans="1:3" x14ac:dyDescent="0.25">
      <c r="A23" s="41">
        <v>22</v>
      </c>
      <c r="B23" s="41">
        <v>-0.36231070756912231</v>
      </c>
      <c r="C23" s="41">
        <v>8.9600000381469727</v>
      </c>
    </row>
    <row r="24" spans="1:3" x14ac:dyDescent="0.25">
      <c r="A24" s="41">
        <v>23</v>
      </c>
      <c r="B24" s="41">
        <v>-2.7018634136766195E-3</v>
      </c>
      <c r="C24" s="41">
        <v>8.9600000381469727</v>
      </c>
    </row>
    <row r="25" spans="1:3" x14ac:dyDescent="0.25">
      <c r="A25" s="41">
        <v>24</v>
      </c>
      <c r="B25" s="41">
        <v>-2.7018636465072632E-3</v>
      </c>
      <c r="C25" s="41">
        <v>8.9600000381469727</v>
      </c>
    </row>
    <row r="26" spans="1:3" x14ac:dyDescent="0.25">
      <c r="A26" s="41">
        <v>25</v>
      </c>
      <c r="B26" s="41">
        <v>-2.4302245583385229E-4</v>
      </c>
      <c r="C26" s="41">
        <v>1</v>
      </c>
    </row>
    <row r="27" spans="1:3" x14ac:dyDescent="0.25">
      <c r="A27" s="41">
        <v>26</v>
      </c>
      <c r="B27" s="41">
        <v>-2.4302245583385229E-4</v>
      </c>
      <c r="C27" s="41">
        <v>1</v>
      </c>
    </row>
    <row r="28" spans="1:3" x14ac:dyDescent="0.25">
      <c r="A28" s="41">
        <v>27</v>
      </c>
      <c r="B28" s="41">
        <v>-0.15724743902683258</v>
      </c>
      <c r="C28" s="41">
        <v>40</v>
      </c>
    </row>
    <row r="29" spans="1:3" x14ac:dyDescent="0.25">
      <c r="A29" s="41">
        <v>28</v>
      </c>
      <c r="B29" s="41">
        <v>-0.15724745392799377</v>
      </c>
      <c r="C29" s="41">
        <v>40</v>
      </c>
    </row>
    <row r="30" spans="1:3" x14ac:dyDescent="0.25">
      <c r="A30" s="41">
        <v>29</v>
      </c>
      <c r="B30" s="41">
        <v>-0.15724745392799377</v>
      </c>
      <c r="C30" s="41">
        <v>40</v>
      </c>
    </row>
    <row r="31" spans="1:3" x14ac:dyDescent="0.25">
      <c r="A31" s="41">
        <v>30</v>
      </c>
      <c r="B31" s="41">
        <v>-0.15724745392799377</v>
      </c>
      <c r="C31" s="41">
        <v>40</v>
      </c>
    </row>
    <row r="32" spans="1:3" x14ac:dyDescent="0.25">
      <c r="A32" s="41">
        <v>31</v>
      </c>
      <c r="B32" s="41">
        <v>-0.24083240330219269</v>
      </c>
      <c r="C32" s="41">
        <v>41</v>
      </c>
    </row>
    <row r="33" spans="1:3" x14ac:dyDescent="0.25">
      <c r="A33" s="41">
        <v>32</v>
      </c>
      <c r="B33" s="41">
        <v>-0.24083267152309418</v>
      </c>
      <c r="C33" s="41">
        <v>41</v>
      </c>
    </row>
    <row r="34" spans="1:3" x14ac:dyDescent="0.25">
      <c r="A34" s="41">
        <v>33</v>
      </c>
      <c r="B34" s="41">
        <v>-0.41165336966514587</v>
      </c>
      <c r="C34" s="41">
        <v>42</v>
      </c>
    </row>
    <row r="35" spans="1:3" x14ac:dyDescent="0.25">
      <c r="A35" s="41">
        <v>34</v>
      </c>
      <c r="B35" s="41">
        <v>-0.41165226697921753</v>
      </c>
      <c r="C35" s="41">
        <v>42</v>
      </c>
    </row>
    <row r="36" spans="1:3" x14ac:dyDescent="0.25">
      <c r="A36" s="41">
        <v>35</v>
      </c>
      <c r="B36" s="41">
        <v>0.15699464082717896</v>
      </c>
      <c r="C36" s="41">
        <v>45</v>
      </c>
    </row>
    <row r="37" spans="1:3" x14ac:dyDescent="0.25">
      <c r="A37" s="41">
        <v>36</v>
      </c>
      <c r="B37" s="41">
        <v>0.15699456632137299</v>
      </c>
      <c r="C37" s="41">
        <v>45</v>
      </c>
    </row>
    <row r="38" spans="1:3" x14ac:dyDescent="0.25">
      <c r="A38" s="41">
        <v>37</v>
      </c>
      <c r="B38" s="41">
        <v>0.35750871896743774</v>
      </c>
      <c r="C38" s="41">
        <v>43</v>
      </c>
    </row>
    <row r="39" spans="1:3" x14ac:dyDescent="0.25">
      <c r="A39" s="41">
        <v>38</v>
      </c>
      <c r="B39" s="41">
        <v>0.35750964283943176</v>
      </c>
      <c r="C39" s="41">
        <v>43</v>
      </c>
    </row>
    <row r="40" spans="1:3" x14ac:dyDescent="0.25">
      <c r="A40" s="41">
        <v>39</v>
      </c>
      <c r="B40" s="41">
        <v>0.5313144326210022</v>
      </c>
      <c r="C40" s="41">
        <v>42.5</v>
      </c>
    </row>
    <row r="41" spans="1:3" x14ac:dyDescent="0.25">
      <c r="A41" s="41">
        <v>40</v>
      </c>
      <c r="B41" s="41">
        <v>0.48346751928329468</v>
      </c>
      <c r="C41" s="41">
        <v>42.5</v>
      </c>
    </row>
    <row r="42" spans="1:3" x14ac:dyDescent="0.25">
      <c r="A42" s="41">
        <v>41</v>
      </c>
      <c r="B42" s="41">
        <v>0.48088815808296204</v>
      </c>
      <c r="C42" s="41">
        <v>42.5</v>
      </c>
    </row>
    <row r="43" spans="1:3" x14ac:dyDescent="0.25">
      <c r="A43" s="41">
        <v>42</v>
      </c>
      <c r="B43" s="41">
        <v>0.4807426929473877</v>
      </c>
      <c r="C43" s="41">
        <v>42.5</v>
      </c>
    </row>
    <row r="44" spans="1:3" x14ac:dyDescent="0.25">
      <c r="A44" s="41">
        <v>43</v>
      </c>
      <c r="B44" s="41">
        <v>0.48073643445968628</v>
      </c>
      <c r="C44" s="41">
        <v>42.5</v>
      </c>
    </row>
    <row r="45" spans="1:3" x14ac:dyDescent="0.25">
      <c r="A45" s="41">
        <v>44</v>
      </c>
      <c r="B45" s="41">
        <v>-0.48871994018554688</v>
      </c>
      <c r="C45" s="41">
        <v>42.299999237060547</v>
      </c>
    </row>
    <row r="46" spans="1:3" x14ac:dyDescent="0.25">
      <c r="A46" s="41">
        <v>45</v>
      </c>
      <c r="B46" s="41">
        <v>-0.48872071504592896</v>
      </c>
      <c r="C46" s="41">
        <v>42.299999237060547</v>
      </c>
    </row>
    <row r="47" spans="1:3" x14ac:dyDescent="0.25">
      <c r="A47" s="41">
        <v>46</v>
      </c>
      <c r="B47" s="41">
        <v>-0.48872122168540955</v>
      </c>
      <c r="C47" s="41">
        <v>42.299999237060547</v>
      </c>
    </row>
    <row r="48" spans="1:3" x14ac:dyDescent="0.25">
      <c r="A48" s="41">
        <v>47</v>
      </c>
      <c r="B48" s="41">
        <v>-0.4887215793132782</v>
      </c>
      <c r="C48" s="41">
        <v>42.299999237060547</v>
      </c>
    </row>
    <row r="49" spans="1:3" x14ac:dyDescent="0.25">
      <c r="A49" s="41">
        <v>48</v>
      </c>
      <c r="B49" s="41">
        <v>-0.51750999689102173</v>
      </c>
      <c r="C49" s="41">
        <v>42.400001525878906</v>
      </c>
    </row>
    <row r="50" spans="1:3" x14ac:dyDescent="0.25">
      <c r="A50" s="41">
        <v>49</v>
      </c>
      <c r="B50" s="41">
        <v>-0.51723408699035645</v>
      </c>
      <c r="C50" s="41">
        <v>42.400001525878906</v>
      </c>
    </row>
    <row r="51" spans="1:3" x14ac:dyDescent="0.25">
      <c r="A51" s="41">
        <v>50</v>
      </c>
      <c r="B51" s="41">
        <v>-0.51723450422286987</v>
      </c>
      <c r="C51" s="41">
        <v>42.400001525878906</v>
      </c>
    </row>
    <row r="52" spans="1:3" x14ac:dyDescent="0.25">
      <c r="A52" s="41">
        <v>51</v>
      </c>
      <c r="B52" s="41">
        <v>-0.51751023530960083</v>
      </c>
      <c r="C52" s="41">
        <v>42.400001525878906</v>
      </c>
    </row>
    <row r="53" spans="1:3" x14ac:dyDescent="0.25">
      <c r="A53" s="41">
        <v>52</v>
      </c>
      <c r="B53" s="41">
        <v>-0.51723408699035645</v>
      </c>
      <c r="C53" s="41">
        <v>42.400001525878906</v>
      </c>
    </row>
    <row r="54" spans="1:3" x14ac:dyDescent="0.25">
      <c r="A54" s="41">
        <v>53</v>
      </c>
      <c r="B54" s="41">
        <v>-0.51723450422286987</v>
      </c>
      <c r="C54" s="41">
        <v>42.400001525878906</v>
      </c>
    </row>
    <row r="55" spans="1:3" x14ac:dyDescent="0.25">
      <c r="A55" s="41">
        <v>54</v>
      </c>
      <c r="B55" s="41">
        <v>-0.51723486185073853</v>
      </c>
      <c r="C55" s="41">
        <v>42.400001525878906</v>
      </c>
    </row>
    <row r="56" spans="1:3" x14ac:dyDescent="0.25">
      <c r="A56" s="41">
        <v>55</v>
      </c>
      <c r="B56" s="41">
        <v>-0.5172351598739624</v>
      </c>
      <c r="C56" s="41">
        <v>42.400001525878906</v>
      </c>
    </row>
    <row r="57" spans="1:3" x14ac:dyDescent="0.25">
      <c r="A57" s="41">
        <v>56</v>
      </c>
      <c r="B57" s="41">
        <v>-0.5172353982925415</v>
      </c>
      <c r="C57" s="41">
        <v>42.400001525878906</v>
      </c>
    </row>
    <row r="58" spans="1:3" x14ac:dyDescent="0.25">
      <c r="A58" s="41">
        <v>57</v>
      </c>
      <c r="B58" s="41">
        <v>-0.51723557710647583</v>
      </c>
      <c r="C58" s="41">
        <v>42.400001525878906</v>
      </c>
    </row>
    <row r="59" spans="1:3" x14ac:dyDescent="0.25">
      <c r="A59" s="41">
        <v>58</v>
      </c>
      <c r="B59" s="41">
        <v>-0.12356437742710114</v>
      </c>
      <c r="C59" s="41">
        <v>42.400001525878906</v>
      </c>
    </row>
    <row r="60" spans="1:3" x14ac:dyDescent="0.25">
      <c r="A60" s="41">
        <v>59</v>
      </c>
      <c r="B60" s="41">
        <v>1.4331319835036993E-3</v>
      </c>
      <c r="C60" s="41">
        <v>1</v>
      </c>
    </row>
    <row r="61" spans="1:3" x14ac:dyDescent="0.25">
      <c r="A61" s="41">
        <v>60</v>
      </c>
      <c r="B61" s="41">
        <v>1.4331319835036993E-3</v>
      </c>
      <c r="C61" s="41">
        <v>1</v>
      </c>
    </row>
    <row r="62" spans="1:3" x14ac:dyDescent="0.25">
      <c r="A62" s="41">
        <v>61</v>
      </c>
      <c r="B62" s="41">
        <v>1.4331319835036993E-3</v>
      </c>
      <c r="C62" s="41">
        <v>1</v>
      </c>
    </row>
    <row r="63" spans="1:3" x14ac:dyDescent="0.25">
      <c r="A63" s="41">
        <v>62</v>
      </c>
      <c r="B63" s="41">
        <v>1.4331319835036993E-3</v>
      </c>
      <c r="C63" s="41">
        <v>1</v>
      </c>
    </row>
    <row r="64" spans="1:3" x14ac:dyDescent="0.25">
      <c r="A64" s="41">
        <v>63</v>
      </c>
      <c r="B64" s="41">
        <v>2.8736107051372528E-3</v>
      </c>
      <c r="C64" s="41">
        <v>1</v>
      </c>
    </row>
    <row r="65" spans="1:3" x14ac:dyDescent="0.25">
      <c r="A65" s="41">
        <v>64</v>
      </c>
      <c r="B65" s="41">
        <v>2.3557404056191444E-2</v>
      </c>
      <c r="C65" s="41">
        <v>8</v>
      </c>
    </row>
    <row r="66" spans="1:3" x14ac:dyDescent="0.25">
      <c r="A66" s="41">
        <v>65</v>
      </c>
      <c r="B66" s="41">
        <v>2.3557392880320549E-2</v>
      </c>
      <c r="C66" s="41">
        <v>8</v>
      </c>
    </row>
    <row r="67" spans="1:3" x14ac:dyDescent="0.25">
      <c r="A67" s="41">
        <v>66</v>
      </c>
      <c r="B67" s="41">
        <v>2.5074711069464684E-2</v>
      </c>
      <c r="C67" s="41">
        <v>8.5</v>
      </c>
    </row>
    <row r="68" spans="1:3" x14ac:dyDescent="0.25">
      <c r="A68" s="41">
        <v>67</v>
      </c>
      <c r="B68" s="41">
        <v>2.5074727833271027E-2</v>
      </c>
      <c r="C68" s="41">
        <v>8.5</v>
      </c>
    </row>
    <row r="69" spans="1:3" x14ac:dyDescent="0.25">
      <c r="A69" s="41">
        <v>68</v>
      </c>
      <c r="B69" s="41">
        <v>2.5074727833271027E-2</v>
      </c>
      <c r="C69" s="41">
        <v>8.5</v>
      </c>
    </row>
    <row r="70" spans="1:3" x14ac:dyDescent="0.25">
      <c r="A70" s="41">
        <v>69</v>
      </c>
      <c r="B70" s="41">
        <v>2.5683330371975899E-2</v>
      </c>
      <c r="C70" s="41">
        <v>8.6999998092651367</v>
      </c>
    </row>
    <row r="71" spans="1:3" x14ac:dyDescent="0.25">
      <c r="A71" s="41">
        <v>70</v>
      </c>
      <c r="B71" s="41">
        <v>2.5683233514428139E-2</v>
      </c>
      <c r="C71" s="41">
        <v>8.6999998092651367</v>
      </c>
    </row>
    <row r="72" spans="1:3" x14ac:dyDescent="0.25">
      <c r="A72" s="41">
        <v>71</v>
      </c>
      <c r="B72" s="41">
        <v>2.6293745264410973E-2</v>
      </c>
      <c r="C72" s="41">
        <v>8.8999996185302734</v>
      </c>
    </row>
    <row r="73" spans="1:3" x14ac:dyDescent="0.25">
      <c r="A73" s="41">
        <v>72</v>
      </c>
      <c r="B73" s="41">
        <v>2.6293134316802025E-2</v>
      </c>
      <c r="C73" s="41">
        <v>8.8999996185302734</v>
      </c>
    </row>
    <row r="74" spans="1:3" x14ac:dyDescent="0.25">
      <c r="A74" s="41">
        <v>73</v>
      </c>
      <c r="B74" s="41">
        <v>2.598804235458374E-2</v>
      </c>
      <c r="C74" s="41">
        <v>8.8000001907348633</v>
      </c>
    </row>
    <row r="75" spans="1:3" x14ac:dyDescent="0.25">
      <c r="A75" s="41">
        <v>74</v>
      </c>
      <c r="B75" s="41">
        <v>2.5987938046455383E-2</v>
      </c>
      <c r="C75" s="41">
        <v>8.8000001907348633</v>
      </c>
    </row>
    <row r="76" spans="1:3" x14ac:dyDescent="0.25">
      <c r="A76" s="41">
        <v>75</v>
      </c>
      <c r="B76" s="41">
        <v>-5</v>
      </c>
      <c r="C76" s="41">
        <v>8.8000001907348633</v>
      </c>
    </row>
    <row r="77" spans="1:3" x14ac:dyDescent="0.25">
      <c r="A77" s="41">
        <v>76</v>
      </c>
      <c r="B77" s="41">
        <v>6.3293652534484863</v>
      </c>
      <c r="C77" s="41">
        <v>8.8000001907348633</v>
      </c>
    </row>
    <row r="78" spans="1:3" x14ac:dyDescent="0.25">
      <c r="A78" s="41">
        <v>77</v>
      </c>
      <c r="B78" s="41">
        <v>0.7192460298538208</v>
      </c>
      <c r="C78" s="41">
        <v>1</v>
      </c>
    </row>
    <row r="79" spans="1:3" x14ac:dyDescent="0.25">
      <c r="A79" s="41">
        <v>78</v>
      </c>
      <c r="B79" s="41">
        <v>0.7192460298538208</v>
      </c>
      <c r="C79" s="41">
        <v>1</v>
      </c>
    </row>
    <row r="80" spans="1:3" x14ac:dyDescent="0.25">
      <c r="A80" s="41">
        <v>79</v>
      </c>
      <c r="B80" s="41">
        <v>0.7192460298538208</v>
      </c>
      <c r="C80" s="41">
        <v>1</v>
      </c>
    </row>
    <row r="81" spans="1:3" x14ac:dyDescent="0.25">
      <c r="A81" s="41">
        <v>80</v>
      </c>
      <c r="B81" s="41">
        <v>0.7192460298538208</v>
      </c>
      <c r="C81" s="41">
        <v>1</v>
      </c>
    </row>
    <row r="82" spans="1:3" x14ac:dyDescent="0.25">
      <c r="A82" s="41">
        <v>81</v>
      </c>
      <c r="B82" s="41">
        <v>0.7192460298538208</v>
      </c>
      <c r="C82" s="41">
        <v>1</v>
      </c>
    </row>
    <row r="83" spans="1:3" x14ac:dyDescent="0.25">
      <c r="A83" s="41">
        <v>82</v>
      </c>
      <c r="B83" s="41">
        <v>0.7192460298538208</v>
      </c>
      <c r="C83" s="41">
        <v>1</v>
      </c>
    </row>
    <row r="84" spans="1:3" x14ac:dyDescent="0.25">
      <c r="A84" s="41">
        <v>83</v>
      </c>
      <c r="B84" s="41">
        <v>0.7192460298538208</v>
      </c>
      <c r="C84" s="41">
        <v>1</v>
      </c>
    </row>
    <row r="85" spans="1:3" x14ac:dyDescent="0.25">
      <c r="A85" s="41">
        <v>84</v>
      </c>
      <c r="B85" s="41">
        <v>0.7192460298538208</v>
      </c>
      <c r="C85" s="41">
        <v>1</v>
      </c>
    </row>
    <row r="86" spans="1:3" x14ac:dyDescent="0.25">
      <c r="A86" s="41">
        <v>85</v>
      </c>
      <c r="B86" s="41">
        <v>0.7192460298538208</v>
      </c>
      <c r="C86" s="41">
        <v>1</v>
      </c>
    </row>
    <row r="87" spans="1:3" x14ac:dyDescent="0.25">
      <c r="A87" s="41">
        <v>86</v>
      </c>
      <c r="B87" s="41">
        <v>0.7192460298538208</v>
      </c>
      <c r="C87" s="41">
        <v>1</v>
      </c>
    </row>
    <row r="88" spans="1:3" x14ac:dyDescent="0.25">
      <c r="A88" s="41">
        <v>87</v>
      </c>
      <c r="B88" s="41">
        <v>0.7192460298538208</v>
      </c>
      <c r="C88" s="41">
        <v>1</v>
      </c>
    </row>
    <row r="89" spans="1:3" x14ac:dyDescent="0.25">
      <c r="A89" s="41">
        <v>88</v>
      </c>
      <c r="B89" s="41">
        <v>0.7192460298538208</v>
      </c>
      <c r="C89" s="41">
        <v>1</v>
      </c>
    </row>
    <row r="90" spans="1:3" x14ac:dyDescent="0.25">
      <c r="A90" s="41">
        <v>89</v>
      </c>
      <c r="B90" s="41">
        <v>0.7192460298538208</v>
      </c>
      <c r="C90" s="41">
        <v>1</v>
      </c>
    </row>
    <row r="91" spans="1:3" x14ac:dyDescent="0.25">
      <c r="A91" s="41">
        <v>90</v>
      </c>
      <c r="B91" s="41">
        <v>0.99342674016952515</v>
      </c>
      <c r="C91" s="41">
        <v>1</v>
      </c>
    </row>
    <row r="92" spans="1:3" x14ac:dyDescent="0.25">
      <c r="A92" s="41">
        <v>91</v>
      </c>
      <c r="B92" s="41">
        <v>0.99342674016952515</v>
      </c>
      <c r="C92" s="41">
        <v>1</v>
      </c>
    </row>
    <row r="93" spans="1:3" x14ac:dyDescent="0.25">
      <c r="A93" s="41">
        <v>92</v>
      </c>
      <c r="B93" s="41">
        <v>0.99342674016952515</v>
      </c>
      <c r="C93" s="41">
        <v>1</v>
      </c>
    </row>
    <row r="94" spans="1:3" x14ac:dyDescent="0.25">
      <c r="A94" s="41">
        <v>93</v>
      </c>
      <c r="B94" s="41">
        <v>1.0314089059829712</v>
      </c>
      <c r="C94" s="41">
        <v>1</v>
      </c>
    </row>
    <row r="95" spans="1:3" x14ac:dyDescent="0.25">
      <c r="A95" s="41">
        <v>94</v>
      </c>
      <c r="B95" s="41">
        <v>0.7192460298538208</v>
      </c>
      <c r="C95" s="41">
        <v>1</v>
      </c>
    </row>
    <row r="96" spans="1:3" x14ac:dyDescent="0.25">
      <c r="A96" s="41">
        <v>95</v>
      </c>
      <c r="B96" s="41">
        <v>0.7192460298538208</v>
      </c>
      <c r="C96" s="41">
        <v>1</v>
      </c>
    </row>
    <row r="97" spans="1:3" x14ac:dyDescent="0.25">
      <c r="A97" s="41">
        <v>96</v>
      </c>
      <c r="B97" s="41">
        <v>0.7192460298538208</v>
      </c>
      <c r="C97" s="41">
        <v>1</v>
      </c>
    </row>
    <row r="98" spans="1:3" x14ac:dyDescent="0.25">
      <c r="A98" s="41">
        <v>97</v>
      </c>
      <c r="B98" s="41">
        <v>1.0312191247940063</v>
      </c>
      <c r="C98" s="41">
        <v>1</v>
      </c>
    </row>
    <row r="99" spans="1:3" x14ac:dyDescent="0.25">
      <c r="A99" s="41">
        <v>98</v>
      </c>
      <c r="B99" s="41">
        <v>1.0312192440032959</v>
      </c>
      <c r="C99" s="41">
        <v>1</v>
      </c>
    </row>
    <row r="100" spans="1:3" x14ac:dyDescent="0.25">
      <c r="A100" s="41">
        <v>99</v>
      </c>
      <c r="B100" s="41">
        <v>0</v>
      </c>
      <c r="C100" s="41">
        <v>1</v>
      </c>
    </row>
    <row r="101" spans="1:3" x14ac:dyDescent="0.25">
      <c r="A101" s="41">
        <v>100</v>
      </c>
      <c r="B101" s="41">
        <v>0</v>
      </c>
      <c r="C101" s="41">
        <v>1</v>
      </c>
    </row>
    <row r="102" spans="1:3" x14ac:dyDescent="0.25">
      <c r="A102" s="41">
        <v>101</v>
      </c>
      <c r="B102" s="41">
        <v>0</v>
      </c>
      <c r="C102" s="41">
        <v>1</v>
      </c>
    </row>
    <row r="103" spans="1:3" x14ac:dyDescent="0.25">
      <c r="A103" s="41">
        <v>102</v>
      </c>
      <c r="B103" s="41">
        <v>0</v>
      </c>
      <c r="C103" s="41">
        <v>1</v>
      </c>
    </row>
    <row r="104" spans="1:3" x14ac:dyDescent="0.25">
      <c r="A104" s="41">
        <v>103</v>
      </c>
      <c r="B104" s="41">
        <v>0</v>
      </c>
      <c r="C104" s="41">
        <v>1</v>
      </c>
    </row>
    <row r="105" spans="1:3" x14ac:dyDescent="0.25">
      <c r="A105" s="41">
        <v>104</v>
      </c>
      <c r="B105" s="41">
        <v>0</v>
      </c>
      <c r="C105" s="41">
        <v>1</v>
      </c>
    </row>
    <row r="106" spans="1:3" x14ac:dyDescent="0.25">
      <c r="A106" s="41">
        <v>105</v>
      </c>
      <c r="B106" s="41">
        <v>0</v>
      </c>
      <c r="C106" s="41">
        <v>1</v>
      </c>
    </row>
    <row r="107" spans="1:3" x14ac:dyDescent="0.25">
      <c r="A107" s="41">
        <v>106</v>
      </c>
      <c r="B107" s="41">
        <v>0</v>
      </c>
      <c r="C107" s="41">
        <v>1</v>
      </c>
    </row>
    <row r="108" spans="1:3" x14ac:dyDescent="0.25">
      <c r="A108" s="41">
        <v>107</v>
      </c>
      <c r="B108" s="41">
        <v>0</v>
      </c>
      <c r="C108" s="41">
        <v>1</v>
      </c>
    </row>
    <row r="109" spans="1:3" x14ac:dyDescent="0.25">
      <c r="A109" s="41">
        <v>108</v>
      </c>
      <c r="B109" s="41">
        <v>0</v>
      </c>
      <c r="C109" s="41">
        <v>1</v>
      </c>
    </row>
    <row r="110" spans="1:3" x14ac:dyDescent="0.25">
      <c r="A110" s="41">
        <v>109</v>
      </c>
      <c r="B110" s="41">
        <v>0</v>
      </c>
      <c r="C110" s="41">
        <v>1</v>
      </c>
    </row>
    <row r="111" spans="1:3" x14ac:dyDescent="0.25">
      <c r="A111" s="41">
        <v>110</v>
      </c>
      <c r="B111" s="41">
        <v>0</v>
      </c>
      <c r="C111" s="41">
        <v>1</v>
      </c>
    </row>
    <row r="112" spans="1:3" x14ac:dyDescent="0.25">
      <c r="A112" s="41">
        <v>111</v>
      </c>
      <c r="B112" s="41">
        <v>0</v>
      </c>
      <c r="C112" s="41">
        <v>1</v>
      </c>
    </row>
    <row r="113" spans="1:3" x14ac:dyDescent="0.25">
      <c r="A113" s="41">
        <v>112</v>
      </c>
      <c r="B113" s="41">
        <v>0</v>
      </c>
      <c r="C113" s="41">
        <v>1</v>
      </c>
    </row>
    <row r="114" spans="1:3" x14ac:dyDescent="0.25">
      <c r="A114" s="41">
        <v>113</v>
      </c>
      <c r="B114" s="41">
        <v>0</v>
      </c>
      <c r="C114" s="41">
        <v>1</v>
      </c>
    </row>
    <row r="115" spans="1:3" x14ac:dyDescent="0.25">
      <c r="A115" s="41">
        <v>114</v>
      </c>
      <c r="B115" s="41">
        <v>0</v>
      </c>
      <c r="C115" s="41">
        <v>1</v>
      </c>
    </row>
    <row r="116" spans="1:3" x14ac:dyDescent="0.25">
      <c r="A116" s="41">
        <v>115</v>
      </c>
      <c r="B116" s="41">
        <v>0</v>
      </c>
      <c r="C116" s="41">
        <v>1</v>
      </c>
    </row>
    <row r="117" spans="1:3" x14ac:dyDescent="0.25">
      <c r="A117" s="41">
        <v>116</v>
      </c>
      <c r="B117" s="41">
        <v>0</v>
      </c>
      <c r="C117" s="41">
        <v>1</v>
      </c>
    </row>
    <row r="118" spans="1:3" x14ac:dyDescent="0.25">
      <c r="A118" s="41">
        <v>117</v>
      </c>
      <c r="B118" s="41">
        <v>0</v>
      </c>
      <c r="C118" s="41">
        <v>1</v>
      </c>
    </row>
    <row r="119" spans="1:3" x14ac:dyDescent="0.25">
      <c r="A119" s="41">
        <v>118</v>
      </c>
      <c r="B119" s="41">
        <v>0</v>
      </c>
      <c r="C119" s="41">
        <v>1</v>
      </c>
    </row>
    <row r="120" spans="1:3" x14ac:dyDescent="0.25">
      <c r="A120" s="41">
        <v>119</v>
      </c>
      <c r="B120" s="41">
        <v>0</v>
      </c>
      <c r="C120" s="41">
        <v>1</v>
      </c>
    </row>
    <row r="121" spans="1:3" x14ac:dyDescent="0.25">
      <c r="A121" s="41">
        <v>120</v>
      </c>
      <c r="B121" s="41">
        <v>0</v>
      </c>
      <c r="C121" s="41">
        <v>1</v>
      </c>
    </row>
    <row r="122" spans="1:3" x14ac:dyDescent="0.25">
      <c r="A122" s="41">
        <v>121</v>
      </c>
      <c r="B122" s="41">
        <v>0</v>
      </c>
      <c r="C122" s="41">
        <v>1</v>
      </c>
    </row>
    <row r="123" spans="1:3" x14ac:dyDescent="0.25">
      <c r="A123" s="41">
        <v>122</v>
      </c>
      <c r="B123" s="41">
        <v>0</v>
      </c>
      <c r="C123" s="41">
        <v>1</v>
      </c>
    </row>
    <row r="124" spans="1:3" x14ac:dyDescent="0.25">
      <c r="A124" s="41">
        <v>123</v>
      </c>
      <c r="B124" s="41">
        <v>0</v>
      </c>
      <c r="C124" s="41">
        <v>1</v>
      </c>
    </row>
    <row r="125" spans="1:3" x14ac:dyDescent="0.25">
      <c r="A125" s="41">
        <v>124</v>
      </c>
      <c r="B125" s="41">
        <v>0</v>
      </c>
      <c r="C125" s="41">
        <v>1</v>
      </c>
    </row>
    <row r="126" spans="1:3" x14ac:dyDescent="0.25">
      <c r="A126" s="41">
        <v>125</v>
      </c>
      <c r="B126" s="41">
        <v>0</v>
      </c>
      <c r="C126" s="41">
        <v>1</v>
      </c>
    </row>
    <row r="127" spans="1:3" x14ac:dyDescent="0.25">
      <c r="A127" s="41">
        <v>126</v>
      </c>
      <c r="B127" s="41">
        <v>0</v>
      </c>
      <c r="C127" s="41">
        <v>0</v>
      </c>
    </row>
    <row r="128" spans="1:3" x14ac:dyDescent="0.25">
      <c r="A128" s="41">
        <v>127</v>
      </c>
      <c r="B128" s="41">
        <v>0</v>
      </c>
      <c r="C128" s="41">
        <v>0</v>
      </c>
    </row>
    <row r="129" spans="1:3" x14ac:dyDescent="0.25">
      <c r="A129" s="41">
        <v>128</v>
      </c>
      <c r="B129" s="41">
        <v>0</v>
      </c>
      <c r="C129" s="41">
        <v>0</v>
      </c>
    </row>
    <row r="130" spans="1:3" x14ac:dyDescent="0.25">
      <c r="A130" s="41">
        <v>129</v>
      </c>
      <c r="B130" s="41">
        <v>0</v>
      </c>
      <c r="C130" s="41">
        <v>0</v>
      </c>
    </row>
    <row r="131" spans="1:3" x14ac:dyDescent="0.25">
      <c r="A131" s="41">
        <v>130</v>
      </c>
      <c r="B131" s="41">
        <v>0</v>
      </c>
      <c r="C131" s="41">
        <v>0</v>
      </c>
    </row>
    <row r="132" spans="1:3" x14ac:dyDescent="0.25">
      <c r="A132" s="41">
        <v>131</v>
      </c>
      <c r="B132" s="41">
        <v>0</v>
      </c>
      <c r="C132" s="41">
        <v>0</v>
      </c>
    </row>
    <row r="133" spans="1:3" x14ac:dyDescent="0.25">
      <c r="A133" s="41">
        <v>132</v>
      </c>
      <c r="B133" s="41">
        <v>0</v>
      </c>
      <c r="C133" s="41">
        <v>0</v>
      </c>
    </row>
    <row r="134" spans="1:3" x14ac:dyDescent="0.25">
      <c r="A134" s="41">
        <v>133</v>
      </c>
      <c r="B134" s="41">
        <v>0</v>
      </c>
      <c r="C134" s="41">
        <v>0</v>
      </c>
    </row>
    <row r="135" spans="1:3" x14ac:dyDescent="0.25">
      <c r="A135" s="41">
        <v>134</v>
      </c>
      <c r="B135" s="41">
        <v>0</v>
      </c>
      <c r="C135" s="41">
        <v>1</v>
      </c>
    </row>
    <row r="136" spans="1:3" x14ac:dyDescent="0.25">
      <c r="A136" s="41">
        <v>135</v>
      </c>
      <c r="B136" s="41">
        <v>0</v>
      </c>
      <c r="C136" s="41">
        <v>1</v>
      </c>
    </row>
    <row r="137" spans="1:3" x14ac:dyDescent="0.25">
      <c r="A137" s="41">
        <v>136</v>
      </c>
      <c r="B137" s="41">
        <v>0</v>
      </c>
      <c r="C137" s="41">
        <v>1</v>
      </c>
    </row>
    <row r="138" spans="1:3" x14ac:dyDescent="0.25">
      <c r="A138" s="41">
        <v>137</v>
      </c>
      <c r="B138" s="41">
        <v>0</v>
      </c>
      <c r="C138" s="41">
        <v>2</v>
      </c>
    </row>
    <row r="139" spans="1:3" x14ac:dyDescent="0.25">
      <c r="A139" s="41">
        <v>138</v>
      </c>
      <c r="B139" s="41">
        <v>0</v>
      </c>
      <c r="C139" s="41">
        <v>2</v>
      </c>
    </row>
    <row r="140" spans="1:3" x14ac:dyDescent="0.25">
      <c r="A140" s="41">
        <v>139</v>
      </c>
      <c r="B140" s="41">
        <v>0</v>
      </c>
      <c r="C140" s="41">
        <v>2</v>
      </c>
    </row>
    <row r="141" spans="1:3" x14ac:dyDescent="0.25">
      <c r="A141" s="41">
        <v>140</v>
      </c>
      <c r="B141" s="41">
        <v>0</v>
      </c>
      <c r="C141" s="41">
        <v>2</v>
      </c>
    </row>
    <row r="142" spans="1:3" x14ac:dyDescent="0.25">
      <c r="A142" s="41">
        <v>141</v>
      </c>
      <c r="B142" s="41">
        <v>0</v>
      </c>
      <c r="C142" s="41">
        <v>1</v>
      </c>
    </row>
    <row r="143" spans="1:3" x14ac:dyDescent="0.25">
      <c r="A143" s="41">
        <v>142</v>
      </c>
      <c r="B143" s="41">
        <v>0</v>
      </c>
      <c r="C143" s="41">
        <v>0</v>
      </c>
    </row>
    <row r="144" spans="1:3" x14ac:dyDescent="0.25">
      <c r="A144" s="41">
        <v>143</v>
      </c>
      <c r="B144" s="41">
        <v>0</v>
      </c>
      <c r="C144" s="41">
        <v>0</v>
      </c>
    </row>
    <row r="145" spans="1:3" x14ac:dyDescent="0.25">
      <c r="A145" s="41">
        <v>144</v>
      </c>
      <c r="B145" s="41">
        <v>0</v>
      </c>
      <c r="C145" s="41">
        <v>0</v>
      </c>
    </row>
    <row r="146" spans="1:3" x14ac:dyDescent="0.25">
      <c r="A146" s="41">
        <v>145</v>
      </c>
      <c r="B146" s="41">
        <v>0</v>
      </c>
      <c r="C146" s="41">
        <v>0</v>
      </c>
    </row>
    <row r="147" spans="1:3" x14ac:dyDescent="0.25">
      <c r="A147" s="41">
        <v>146</v>
      </c>
      <c r="B147" s="41">
        <v>0</v>
      </c>
      <c r="C147" s="41">
        <v>0</v>
      </c>
    </row>
    <row r="148" spans="1:3" x14ac:dyDescent="0.25">
      <c r="A148" s="41">
        <v>147</v>
      </c>
      <c r="B148" s="41">
        <v>0</v>
      </c>
      <c r="C148" s="41">
        <v>0</v>
      </c>
    </row>
    <row r="149" spans="1:3" x14ac:dyDescent="0.25">
      <c r="A149" s="41">
        <v>148</v>
      </c>
      <c r="B149" s="41">
        <v>0</v>
      </c>
      <c r="C149" s="41">
        <v>0</v>
      </c>
    </row>
    <row r="150" spans="1:3" x14ac:dyDescent="0.25">
      <c r="A150" s="41">
        <v>149</v>
      </c>
      <c r="B150" s="41">
        <v>0</v>
      </c>
      <c r="C150" s="41">
        <v>0</v>
      </c>
    </row>
    <row r="151" spans="1:3" x14ac:dyDescent="0.25">
      <c r="A151" s="41">
        <v>150</v>
      </c>
      <c r="B151" s="41">
        <v>0</v>
      </c>
      <c r="C151" s="41">
        <v>0</v>
      </c>
    </row>
    <row r="152" spans="1:3" x14ac:dyDescent="0.25">
      <c r="A152" s="41">
        <v>151</v>
      </c>
      <c r="B152" s="41">
        <v>0</v>
      </c>
      <c r="C152" s="41">
        <v>0</v>
      </c>
    </row>
    <row r="153" spans="1:3" x14ac:dyDescent="0.25">
      <c r="A153" s="41">
        <v>152</v>
      </c>
      <c r="B153" s="41">
        <v>0</v>
      </c>
      <c r="C153" s="41">
        <v>0</v>
      </c>
    </row>
    <row r="154" spans="1:3" x14ac:dyDescent="0.25">
      <c r="A154" s="41">
        <v>153</v>
      </c>
      <c r="B154" s="41">
        <v>0</v>
      </c>
      <c r="C154" s="41">
        <v>0</v>
      </c>
    </row>
    <row r="155" spans="1:3" x14ac:dyDescent="0.25">
      <c r="A155" s="41">
        <v>154</v>
      </c>
      <c r="B155" s="41">
        <v>0</v>
      </c>
      <c r="C155" s="41">
        <v>0</v>
      </c>
    </row>
    <row r="156" spans="1:3" x14ac:dyDescent="0.25">
      <c r="A156" s="41">
        <v>155</v>
      </c>
      <c r="B156" s="41">
        <v>0</v>
      </c>
      <c r="C156" s="41">
        <v>0</v>
      </c>
    </row>
    <row r="157" spans="1:3" x14ac:dyDescent="0.25">
      <c r="A157" s="41">
        <v>156</v>
      </c>
      <c r="B157" s="41">
        <v>0</v>
      </c>
      <c r="C157" s="41">
        <v>0</v>
      </c>
    </row>
    <row r="158" spans="1:3" x14ac:dyDescent="0.25">
      <c r="A158" s="41">
        <v>157</v>
      </c>
      <c r="B158" s="41">
        <v>0</v>
      </c>
      <c r="C158" s="41">
        <v>0</v>
      </c>
    </row>
    <row r="159" spans="1:3" x14ac:dyDescent="0.25">
      <c r="A159" s="41">
        <v>158</v>
      </c>
      <c r="B159" s="41">
        <v>0</v>
      </c>
      <c r="C159" s="41">
        <v>0</v>
      </c>
    </row>
    <row r="160" spans="1:3" x14ac:dyDescent="0.25">
      <c r="A160" s="41">
        <v>159</v>
      </c>
      <c r="B160" s="41">
        <v>0</v>
      </c>
      <c r="C160" s="41">
        <v>0</v>
      </c>
    </row>
    <row r="161" spans="1:3" x14ac:dyDescent="0.25">
      <c r="A161" s="41">
        <v>160</v>
      </c>
      <c r="B161" s="41">
        <v>0</v>
      </c>
      <c r="C161" s="41">
        <v>0</v>
      </c>
    </row>
    <row r="162" spans="1:3" x14ac:dyDescent="0.25">
      <c r="A162" s="41">
        <v>161</v>
      </c>
      <c r="B162" s="41">
        <v>0</v>
      </c>
      <c r="C162" s="41">
        <v>0</v>
      </c>
    </row>
    <row r="163" spans="1:3" x14ac:dyDescent="0.25">
      <c r="A163" s="41">
        <v>162</v>
      </c>
      <c r="B163" s="41">
        <v>0</v>
      </c>
      <c r="C163" s="41">
        <v>0</v>
      </c>
    </row>
    <row r="164" spans="1:3" x14ac:dyDescent="0.25">
      <c r="A164" s="41">
        <v>163</v>
      </c>
      <c r="B164" s="41">
        <v>0</v>
      </c>
      <c r="C164" s="41">
        <v>0</v>
      </c>
    </row>
    <row r="165" spans="1:3" x14ac:dyDescent="0.25">
      <c r="A165" s="41">
        <v>164</v>
      </c>
      <c r="B165" s="41">
        <v>0</v>
      </c>
      <c r="C165" s="41">
        <v>0</v>
      </c>
    </row>
    <row r="166" spans="1:3" x14ac:dyDescent="0.25">
      <c r="A166" s="41">
        <v>165</v>
      </c>
      <c r="B166" s="41">
        <v>0</v>
      </c>
      <c r="C166" s="41">
        <v>0</v>
      </c>
    </row>
    <row r="167" spans="1:3" x14ac:dyDescent="0.25">
      <c r="A167" s="41">
        <v>166</v>
      </c>
      <c r="B167" s="41">
        <v>0</v>
      </c>
      <c r="C167" s="41">
        <v>0</v>
      </c>
    </row>
    <row r="168" spans="1:3" x14ac:dyDescent="0.25">
      <c r="A168" s="41">
        <v>167</v>
      </c>
      <c r="B168" s="41">
        <v>0</v>
      </c>
      <c r="C168" s="41">
        <v>0</v>
      </c>
    </row>
    <row r="169" spans="1:3" x14ac:dyDescent="0.25">
      <c r="A169" s="41">
        <v>168</v>
      </c>
      <c r="B169" s="41">
        <v>0</v>
      </c>
      <c r="C169" s="41">
        <v>0</v>
      </c>
    </row>
    <row r="170" spans="1:3" x14ac:dyDescent="0.25">
      <c r="A170" s="41">
        <v>169</v>
      </c>
      <c r="B170" s="41">
        <v>0</v>
      </c>
      <c r="C170" s="41">
        <v>0</v>
      </c>
    </row>
    <row r="171" spans="1:3" x14ac:dyDescent="0.25">
      <c r="A171" s="41">
        <v>170</v>
      </c>
      <c r="B171" s="41">
        <v>0</v>
      </c>
      <c r="C171" s="41">
        <v>0</v>
      </c>
    </row>
    <row r="172" spans="1:3" x14ac:dyDescent="0.25">
      <c r="A172" s="41">
        <v>171</v>
      </c>
      <c r="B172" s="41">
        <v>0</v>
      </c>
      <c r="C172" s="41">
        <v>0</v>
      </c>
    </row>
    <row r="173" spans="1:3" x14ac:dyDescent="0.25">
      <c r="A173" s="41">
        <v>172</v>
      </c>
      <c r="B173" s="41">
        <v>0</v>
      </c>
      <c r="C173" s="41">
        <v>1</v>
      </c>
    </row>
    <row r="174" spans="1:3" x14ac:dyDescent="0.25">
      <c r="A174" s="41">
        <v>173</v>
      </c>
      <c r="B174" s="41">
        <v>0</v>
      </c>
      <c r="C174" s="41">
        <v>1</v>
      </c>
    </row>
    <row r="175" spans="1:3" x14ac:dyDescent="0.25">
      <c r="A175" s="41">
        <v>174</v>
      </c>
      <c r="B175" s="41">
        <v>0</v>
      </c>
      <c r="C175" s="41">
        <v>1</v>
      </c>
    </row>
    <row r="176" spans="1:3" x14ac:dyDescent="0.25">
      <c r="A176" s="41">
        <v>175</v>
      </c>
      <c r="B176" s="41">
        <v>0</v>
      </c>
      <c r="C176" s="41">
        <v>1</v>
      </c>
    </row>
    <row r="177" spans="1:3" x14ac:dyDescent="0.25">
      <c r="A177" s="41">
        <v>176</v>
      </c>
      <c r="B177" s="41">
        <v>0</v>
      </c>
      <c r="C177" s="41">
        <v>1</v>
      </c>
    </row>
    <row r="178" spans="1:3" x14ac:dyDescent="0.25">
      <c r="A178" s="41">
        <v>177</v>
      </c>
      <c r="B178" s="41">
        <v>0</v>
      </c>
      <c r="C178" s="41">
        <v>1</v>
      </c>
    </row>
    <row r="179" spans="1:3" x14ac:dyDescent="0.25">
      <c r="A179" s="41">
        <v>178</v>
      </c>
      <c r="B179" s="41">
        <v>0</v>
      </c>
      <c r="C179" s="41">
        <v>1</v>
      </c>
    </row>
    <row r="180" spans="1:3" x14ac:dyDescent="0.25">
      <c r="A180" s="41">
        <v>179</v>
      </c>
      <c r="B180" s="41">
        <v>0</v>
      </c>
      <c r="C180" s="41">
        <v>1</v>
      </c>
    </row>
    <row r="181" spans="1:3" x14ac:dyDescent="0.25">
      <c r="A181" s="41">
        <v>180</v>
      </c>
      <c r="B181" s="41">
        <v>0</v>
      </c>
      <c r="C181" s="41">
        <v>1</v>
      </c>
    </row>
    <row r="182" spans="1:3" x14ac:dyDescent="0.25">
      <c r="A182" s="41">
        <v>181</v>
      </c>
      <c r="B182" s="41">
        <v>0</v>
      </c>
      <c r="C182" s="41">
        <v>1</v>
      </c>
    </row>
    <row r="183" spans="1:3" x14ac:dyDescent="0.25">
      <c r="A183" s="41">
        <v>182</v>
      </c>
      <c r="B183" s="41">
        <v>0</v>
      </c>
      <c r="C183" s="41">
        <v>1</v>
      </c>
    </row>
    <row r="184" spans="1:3" x14ac:dyDescent="0.25">
      <c r="A184" s="41">
        <v>183</v>
      </c>
      <c r="B184" s="41">
        <v>0</v>
      </c>
      <c r="C184" s="41">
        <v>1</v>
      </c>
    </row>
    <row r="185" spans="1:3" x14ac:dyDescent="0.25">
      <c r="A185" s="41">
        <v>184</v>
      </c>
      <c r="B185" s="41">
        <v>0</v>
      </c>
      <c r="C185" s="41">
        <v>1</v>
      </c>
    </row>
    <row r="186" spans="1:3" x14ac:dyDescent="0.25">
      <c r="A186" s="41">
        <v>185</v>
      </c>
      <c r="B186" s="41">
        <v>0</v>
      </c>
      <c r="C186" s="41">
        <v>1</v>
      </c>
    </row>
    <row r="187" spans="1:3" x14ac:dyDescent="0.25">
      <c r="A187" s="41">
        <v>186</v>
      </c>
      <c r="B187" s="41">
        <v>0</v>
      </c>
      <c r="C187" s="41">
        <v>1</v>
      </c>
    </row>
    <row r="188" spans="1:3" x14ac:dyDescent="0.25">
      <c r="A188" s="41">
        <v>187</v>
      </c>
      <c r="B188" s="41">
        <v>0</v>
      </c>
      <c r="C188" s="41">
        <v>1</v>
      </c>
    </row>
    <row r="189" spans="1:3" x14ac:dyDescent="0.25">
      <c r="A189" s="41">
        <v>188</v>
      </c>
      <c r="B189" s="41">
        <v>0</v>
      </c>
      <c r="C189" s="41">
        <v>1</v>
      </c>
    </row>
    <row r="190" spans="1:3" x14ac:dyDescent="0.25">
      <c r="A190" s="41">
        <v>189</v>
      </c>
      <c r="B190" s="41">
        <v>0</v>
      </c>
      <c r="C190" s="41">
        <v>1</v>
      </c>
    </row>
    <row r="191" spans="1:3" x14ac:dyDescent="0.25">
      <c r="A191" s="41">
        <v>190</v>
      </c>
      <c r="B191" s="41">
        <v>0</v>
      </c>
      <c r="C191" s="41">
        <v>1</v>
      </c>
    </row>
    <row r="192" spans="1:3" x14ac:dyDescent="0.25">
      <c r="A192" s="41">
        <v>191</v>
      </c>
      <c r="B192" s="41">
        <v>0</v>
      </c>
      <c r="C192" s="41">
        <v>1</v>
      </c>
    </row>
    <row r="193" spans="1:3" x14ac:dyDescent="0.25">
      <c r="A193" s="41">
        <v>192</v>
      </c>
      <c r="B193" s="41">
        <v>0</v>
      </c>
      <c r="C193" s="41">
        <v>1</v>
      </c>
    </row>
    <row r="194" spans="1:3" x14ac:dyDescent="0.25">
      <c r="A194" s="41">
        <v>193</v>
      </c>
      <c r="B194" s="41">
        <v>0</v>
      </c>
      <c r="C194" s="41">
        <v>1</v>
      </c>
    </row>
    <row r="195" spans="1:3" x14ac:dyDescent="0.25">
      <c r="A195" s="41">
        <v>194</v>
      </c>
      <c r="B195" s="41">
        <v>0</v>
      </c>
      <c r="C195" s="41">
        <v>1</v>
      </c>
    </row>
    <row r="196" spans="1:3" x14ac:dyDescent="0.25">
      <c r="A196" s="41">
        <v>195</v>
      </c>
      <c r="B196" s="41">
        <v>0</v>
      </c>
      <c r="C196" s="41">
        <v>1</v>
      </c>
    </row>
    <row r="197" spans="1:3" x14ac:dyDescent="0.25">
      <c r="A197" s="41">
        <v>196</v>
      </c>
      <c r="B197" s="41">
        <v>0</v>
      </c>
      <c r="C197" s="41">
        <v>1</v>
      </c>
    </row>
    <row r="198" spans="1:3" x14ac:dyDescent="0.25">
      <c r="A198" s="41">
        <v>197</v>
      </c>
      <c r="B198" s="41">
        <v>0</v>
      </c>
      <c r="C198" s="41">
        <v>1</v>
      </c>
    </row>
    <row r="199" spans="1:3" x14ac:dyDescent="0.25">
      <c r="A199" s="41">
        <v>198</v>
      </c>
      <c r="B199" s="41">
        <v>0</v>
      </c>
      <c r="C199" s="41">
        <v>1</v>
      </c>
    </row>
    <row r="200" spans="1:3" x14ac:dyDescent="0.25">
      <c r="A200" s="41">
        <v>199</v>
      </c>
      <c r="B200" s="41">
        <v>0</v>
      </c>
      <c r="C200" s="41">
        <v>1</v>
      </c>
    </row>
    <row r="201" spans="1:3" x14ac:dyDescent="0.25">
      <c r="A201" s="41">
        <v>200</v>
      </c>
      <c r="B201" s="41">
        <v>0</v>
      </c>
      <c r="C201" s="41">
        <v>1</v>
      </c>
    </row>
    <row r="202" spans="1:3" x14ac:dyDescent="0.25">
      <c r="A202" s="41">
        <v>201</v>
      </c>
      <c r="B202" s="41">
        <v>0</v>
      </c>
      <c r="C202" s="41">
        <v>1</v>
      </c>
    </row>
    <row r="203" spans="1:3" x14ac:dyDescent="0.25">
      <c r="A203" s="41">
        <v>202</v>
      </c>
      <c r="B203" s="41">
        <v>0</v>
      </c>
      <c r="C203" s="41">
        <v>1</v>
      </c>
    </row>
    <row r="204" spans="1:3" x14ac:dyDescent="0.25">
      <c r="A204" s="41">
        <v>203</v>
      </c>
      <c r="B204" s="41">
        <v>0</v>
      </c>
      <c r="C204" s="41">
        <v>1</v>
      </c>
    </row>
    <row r="205" spans="1:3" x14ac:dyDescent="0.25">
      <c r="A205" s="41">
        <v>204</v>
      </c>
      <c r="B205" s="41">
        <v>0</v>
      </c>
      <c r="C205" s="41">
        <v>1</v>
      </c>
    </row>
    <row r="206" spans="1:3" x14ac:dyDescent="0.25">
      <c r="A206" s="41">
        <v>205</v>
      </c>
      <c r="B206" s="41">
        <v>0</v>
      </c>
      <c r="C206" s="41">
        <v>1</v>
      </c>
    </row>
    <row r="207" spans="1:3" x14ac:dyDescent="0.25">
      <c r="A207" s="41">
        <v>206</v>
      </c>
      <c r="B207" s="41">
        <v>0</v>
      </c>
      <c r="C207" s="41">
        <v>1</v>
      </c>
    </row>
    <row r="208" spans="1:3" x14ac:dyDescent="0.25">
      <c r="A208" s="41">
        <v>207</v>
      </c>
      <c r="B208" s="41">
        <v>0</v>
      </c>
      <c r="C208" s="41">
        <v>1</v>
      </c>
    </row>
    <row r="209" spans="1:3" x14ac:dyDescent="0.25">
      <c r="A209" s="41">
        <v>208</v>
      </c>
      <c r="B209" s="41">
        <v>0</v>
      </c>
      <c r="C209" s="41">
        <v>1</v>
      </c>
    </row>
    <row r="210" spans="1:3" x14ac:dyDescent="0.25">
      <c r="A210" s="41">
        <v>209</v>
      </c>
      <c r="B210" s="41">
        <v>0</v>
      </c>
      <c r="C210" s="41">
        <v>1</v>
      </c>
    </row>
    <row r="211" spans="1:3" x14ac:dyDescent="0.25">
      <c r="A211" s="41">
        <v>210</v>
      </c>
      <c r="B211" s="41">
        <v>0</v>
      </c>
      <c r="C211" s="41">
        <v>1</v>
      </c>
    </row>
    <row r="212" spans="1:3" x14ac:dyDescent="0.25">
      <c r="A212" s="41">
        <v>211</v>
      </c>
      <c r="B212" s="41">
        <v>0</v>
      </c>
      <c r="C212" s="41">
        <v>1</v>
      </c>
    </row>
    <row r="213" spans="1:3" x14ac:dyDescent="0.25">
      <c r="A213" s="41">
        <v>212</v>
      </c>
      <c r="B213" s="41">
        <v>0</v>
      </c>
      <c r="C213" s="41">
        <v>1</v>
      </c>
    </row>
    <row r="214" spans="1:3" x14ac:dyDescent="0.25">
      <c r="A214" s="41">
        <v>213</v>
      </c>
      <c r="B214" s="41">
        <v>0</v>
      </c>
      <c r="C214" s="41">
        <v>1</v>
      </c>
    </row>
    <row r="215" spans="1:3" x14ac:dyDescent="0.25">
      <c r="A215" s="41">
        <v>214</v>
      </c>
      <c r="B215" s="41">
        <v>0</v>
      </c>
      <c r="C215" s="41">
        <v>1</v>
      </c>
    </row>
    <row r="216" spans="1:3" x14ac:dyDescent="0.25">
      <c r="A216" s="41">
        <v>215</v>
      </c>
      <c r="B216" s="41">
        <v>0</v>
      </c>
      <c r="C216" s="41">
        <v>1</v>
      </c>
    </row>
    <row r="217" spans="1:3" x14ac:dyDescent="0.25">
      <c r="A217" s="41">
        <v>216</v>
      </c>
      <c r="B217" s="41">
        <v>0</v>
      </c>
      <c r="C217" s="41">
        <v>1</v>
      </c>
    </row>
    <row r="218" spans="1:3" x14ac:dyDescent="0.25">
      <c r="A218" s="41">
        <v>217</v>
      </c>
      <c r="B218" s="41">
        <v>0</v>
      </c>
      <c r="C218" s="41">
        <v>1</v>
      </c>
    </row>
    <row r="219" spans="1:3" x14ac:dyDescent="0.25">
      <c r="A219" s="41">
        <v>218</v>
      </c>
      <c r="B219" s="41">
        <v>0</v>
      </c>
      <c r="C219" s="41">
        <v>1</v>
      </c>
    </row>
    <row r="220" spans="1:3" x14ac:dyDescent="0.25">
      <c r="A220" s="41">
        <v>219</v>
      </c>
      <c r="B220" s="41">
        <v>0</v>
      </c>
      <c r="C220" s="41">
        <v>1</v>
      </c>
    </row>
    <row r="221" spans="1:3" x14ac:dyDescent="0.25">
      <c r="A221" s="41">
        <v>220</v>
      </c>
      <c r="B221" s="41">
        <v>0</v>
      </c>
      <c r="C221" s="41">
        <v>1</v>
      </c>
    </row>
    <row r="222" spans="1:3" x14ac:dyDescent="0.25">
      <c r="A222" s="41">
        <v>221</v>
      </c>
      <c r="B222" s="41">
        <v>0</v>
      </c>
      <c r="C222" s="41">
        <v>1</v>
      </c>
    </row>
    <row r="223" spans="1:3" x14ac:dyDescent="0.25">
      <c r="A223" s="41">
        <v>222</v>
      </c>
      <c r="B223" s="41">
        <v>0</v>
      </c>
      <c r="C223" s="41">
        <v>1</v>
      </c>
    </row>
    <row r="224" spans="1:3" x14ac:dyDescent="0.25">
      <c r="A224" s="41">
        <v>223</v>
      </c>
      <c r="B224" s="41">
        <v>0</v>
      </c>
      <c r="C224" s="41">
        <v>1</v>
      </c>
    </row>
    <row r="225" spans="1:3" x14ac:dyDescent="0.25">
      <c r="A225" s="41">
        <v>224</v>
      </c>
      <c r="B225" s="41">
        <v>0</v>
      </c>
      <c r="C225" s="41">
        <v>1</v>
      </c>
    </row>
    <row r="226" spans="1:3" x14ac:dyDescent="0.25">
      <c r="A226" s="41">
        <v>225</v>
      </c>
      <c r="B226" s="41">
        <v>0</v>
      </c>
      <c r="C226" s="41">
        <v>1</v>
      </c>
    </row>
    <row r="227" spans="1:3" x14ac:dyDescent="0.25">
      <c r="A227" s="41">
        <v>226</v>
      </c>
      <c r="B227" s="41">
        <v>0</v>
      </c>
      <c r="C227" s="41">
        <v>1</v>
      </c>
    </row>
    <row r="228" spans="1:3" x14ac:dyDescent="0.25">
      <c r="A228" s="41">
        <v>227</v>
      </c>
      <c r="B228" s="41">
        <v>0</v>
      </c>
      <c r="C228" s="41">
        <v>1</v>
      </c>
    </row>
    <row r="229" spans="1:3" x14ac:dyDescent="0.25">
      <c r="A229" s="41">
        <v>228</v>
      </c>
      <c r="B229" s="41">
        <v>0</v>
      </c>
      <c r="C229" s="41">
        <v>1</v>
      </c>
    </row>
    <row r="230" spans="1:3" x14ac:dyDescent="0.25">
      <c r="A230" s="41">
        <v>229</v>
      </c>
      <c r="B230" s="41">
        <v>0</v>
      </c>
      <c r="C230" s="41">
        <v>1</v>
      </c>
    </row>
    <row r="231" spans="1:3" x14ac:dyDescent="0.25">
      <c r="A231" s="41">
        <v>230</v>
      </c>
      <c r="B231" s="41">
        <v>0</v>
      </c>
      <c r="C231" s="41">
        <v>1</v>
      </c>
    </row>
    <row r="232" spans="1:3" x14ac:dyDescent="0.25">
      <c r="A232" s="41">
        <v>231</v>
      </c>
      <c r="B232" s="41">
        <v>0</v>
      </c>
      <c r="C232" s="41">
        <v>1</v>
      </c>
    </row>
    <row r="233" spans="1:3" x14ac:dyDescent="0.25">
      <c r="A233" s="41">
        <v>232</v>
      </c>
      <c r="B233" s="41">
        <v>0</v>
      </c>
      <c r="C233" s="41">
        <v>1</v>
      </c>
    </row>
    <row r="234" spans="1:3" x14ac:dyDescent="0.25">
      <c r="A234" s="41">
        <v>233</v>
      </c>
      <c r="B234" s="41">
        <v>0</v>
      </c>
      <c r="C234" s="41">
        <v>1</v>
      </c>
    </row>
    <row r="235" spans="1:3" x14ac:dyDescent="0.25">
      <c r="A235" s="41">
        <v>234</v>
      </c>
      <c r="B235" s="41">
        <v>0</v>
      </c>
      <c r="C235" s="41">
        <v>1</v>
      </c>
    </row>
    <row r="236" spans="1:3" x14ac:dyDescent="0.25">
      <c r="A236" s="41">
        <v>235</v>
      </c>
      <c r="B236" s="41">
        <v>0</v>
      </c>
      <c r="C236" s="41">
        <v>1</v>
      </c>
    </row>
    <row r="237" spans="1:3" x14ac:dyDescent="0.25">
      <c r="A237" s="41">
        <v>236</v>
      </c>
      <c r="B237" s="41">
        <v>0</v>
      </c>
      <c r="C237" s="41">
        <v>1</v>
      </c>
    </row>
    <row r="238" spans="1:3" x14ac:dyDescent="0.25">
      <c r="A238" s="41">
        <v>237</v>
      </c>
      <c r="B238" s="41">
        <v>0</v>
      </c>
      <c r="C238" s="41">
        <v>1</v>
      </c>
    </row>
    <row r="239" spans="1:3" x14ac:dyDescent="0.25">
      <c r="A239" s="41">
        <v>238</v>
      </c>
      <c r="B239" s="41">
        <v>0</v>
      </c>
      <c r="C239" s="41">
        <v>1</v>
      </c>
    </row>
    <row r="240" spans="1:3" x14ac:dyDescent="0.25">
      <c r="A240" s="41">
        <v>239</v>
      </c>
      <c r="B240" s="41">
        <v>0</v>
      </c>
      <c r="C240" s="41">
        <v>1</v>
      </c>
    </row>
    <row r="241" spans="1:3" x14ac:dyDescent="0.25">
      <c r="A241" s="41">
        <v>240</v>
      </c>
      <c r="B241" s="41">
        <v>0</v>
      </c>
      <c r="C241" s="41">
        <v>1</v>
      </c>
    </row>
    <row r="242" spans="1:3" x14ac:dyDescent="0.25">
      <c r="A242" s="41">
        <v>241</v>
      </c>
      <c r="B242" s="41">
        <v>0</v>
      </c>
      <c r="C242" s="41">
        <v>1</v>
      </c>
    </row>
    <row r="243" spans="1:3" x14ac:dyDescent="0.25">
      <c r="A243" s="41">
        <v>242</v>
      </c>
      <c r="B243" s="41">
        <v>0</v>
      </c>
      <c r="C243" s="41">
        <v>1</v>
      </c>
    </row>
    <row r="244" spans="1:3" x14ac:dyDescent="0.25">
      <c r="A244" s="41">
        <v>243</v>
      </c>
      <c r="B244" s="41">
        <v>0</v>
      </c>
      <c r="C244" s="41">
        <v>1</v>
      </c>
    </row>
    <row r="245" spans="1:3" x14ac:dyDescent="0.25">
      <c r="A245" s="41">
        <v>244</v>
      </c>
      <c r="B245" s="41">
        <v>0</v>
      </c>
      <c r="C245" s="41">
        <v>1</v>
      </c>
    </row>
    <row r="246" spans="1:3" x14ac:dyDescent="0.25">
      <c r="A246" s="41">
        <v>245</v>
      </c>
      <c r="B246" s="41">
        <v>0</v>
      </c>
      <c r="C246" s="41">
        <v>1</v>
      </c>
    </row>
    <row r="247" spans="1:3" x14ac:dyDescent="0.25">
      <c r="A247" s="41">
        <v>246</v>
      </c>
      <c r="B247" s="41">
        <v>0</v>
      </c>
      <c r="C247" s="41">
        <v>1</v>
      </c>
    </row>
    <row r="248" spans="1:3" x14ac:dyDescent="0.25">
      <c r="A248" s="41">
        <v>247</v>
      </c>
      <c r="B248" s="41">
        <v>0</v>
      </c>
      <c r="C248" s="41">
        <v>1</v>
      </c>
    </row>
    <row r="249" spans="1:3" x14ac:dyDescent="0.25">
      <c r="A249" s="41">
        <v>248</v>
      </c>
      <c r="B249" s="41">
        <v>0</v>
      </c>
      <c r="C249" s="41">
        <v>1</v>
      </c>
    </row>
    <row r="250" spans="1:3" x14ac:dyDescent="0.25">
      <c r="A250" s="41">
        <v>249</v>
      </c>
      <c r="B250" s="41">
        <v>0</v>
      </c>
      <c r="C250" s="41">
        <v>1</v>
      </c>
    </row>
    <row r="251" spans="1:3" x14ac:dyDescent="0.25">
      <c r="A251" s="41">
        <v>250</v>
      </c>
      <c r="B251" s="41">
        <v>0</v>
      </c>
      <c r="C251" s="41">
        <v>1</v>
      </c>
    </row>
    <row r="252" spans="1:3" x14ac:dyDescent="0.25">
      <c r="A252" s="41">
        <v>251</v>
      </c>
      <c r="B252" s="41">
        <v>0</v>
      </c>
      <c r="C252" s="41">
        <v>1</v>
      </c>
    </row>
    <row r="253" spans="1:3" x14ac:dyDescent="0.25">
      <c r="A253" s="41">
        <v>252</v>
      </c>
      <c r="B253" s="41">
        <v>0</v>
      </c>
      <c r="C253" s="41">
        <v>1</v>
      </c>
    </row>
    <row r="254" spans="1:3" x14ac:dyDescent="0.25">
      <c r="A254" s="41">
        <v>253</v>
      </c>
      <c r="B254" s="41">
        <v>0</v>
      </c>
      <c r="C254" s="41">
        <v>1</v>
      </c>
    </row>
    <row r="255" spans="1:3" x14ac:dyDescent="0.25">
      <c r="A255" s="41">
        <v>254</v>
      </c>
      <c r="B255" s="41">
        <v>0</v>
      </c>
      <c r="C255" s="41">
        <v>1</v>
      </c>
    </row>
    <row r="256" spans="1:3" x14ac:dyDescent="0.25">
      <c r="A256" s="41">
        <v>255</v>
      </c>
      <c r="B256" s="41">
        <v>0</v>
      </c>
      <c r="C256" s="41">
        <v>1</v>
      </c>
    </row>
    <row r="257" spans="1:3" x14ac:dyDescent="0.25">
      <c r="A257" s="41">
        <v>256</v>
      </c>
      <c r="B257" s="41">
        <v>0</v>
      </c>
      <c r="C257" s="41">
        <v>1</v>
      </c>
    </row>
    <row r="258" spans="1:3" x14ac:dyDescent="0.25">
      <c r="A258" s="41">
        <v>257</v>
      </c>
      <c r="B258" s="41">
        <v>0</v>
      </c>
      <c r="C258" s="41">
        <v>1</v>
      </c>
    </row>
    <row r="259" spans="1:3" x14ac:dyDescent="0.25">
      <c r="A259" s="41">
        <v>258</v>
      </c>
      <c r="B259" s="41">
        <v>0</v>
      </c>
      <c r="C259" s="41">
        <v>1</v>
      </c>
    </row>
    <row r="260" spans="1:3" x14ac:dyDescent="0.25">
      <c r="A260" s="41">
        <v>259</v>
      </c>
      <c r="B260" s="41">
        <v>0</v>
      </c>
      <c r="C260" s="41">
        <v>1</v>
      </c>
    </row>
    <row r="261" spans="1:3" x14ac:dyDescent="0.25">
      <c r="A261" s="41">
        <v>260</v>
      </c>
      <c r="B261" s="41">
        <v>0</v>
      </c>
      <c r="C261" s="41">
        <v>1</v>
      </c>
    </row>
    <row r="262" spans="1:3" x14ac:dyDescent="0.25">
      <c r="A262" s="41">
        <v>261</v>
      </c>
      <c r="B262" s="41">
        <v>0</v>
      </c>
      <c r="C262" s="41">
        <v>1</v>
      </c>
    </row>
    <row r="263" spans="1:3" x14ac:dyDescent="0.25">
      <c r="A263" s="41">
        <v>262</v>
      </c>
      <c r="B263" s="41">
        <v>0</v>
      </c>
      <c r="C263" s="41">
        <v>1</v>
      </c>
    </row>
    <row r="264" spans="1:3" x14ac:dyDescent="0.25">
      <c r="A264" s="41">
        <v>263</v>
      </c>
      <c r="B264" s="41">
        <v>0</v>
      </c>
      <c r="C264" s="41">
        <v>1</v>
      </c>
    </row>
    <row r="265" spans="1:3" x14ac:dyDescent="0.25">
      <c r="A265" s="41">
        <v>264</v>
      </c>
      <c r="B265" s="41">
        <v>0</v>
      </c>
      <c r="C265" s="41">
        <v>1</v>
      </c>
    </row>
    <row r="266" spans="1:3" x14ac:dyDescent="0.25">
      <c r="A266" s="41">
        <v>265</v>
      </c>
      <c r="B266" s="41">
        <v>0</v>
      </c>
      <c r="C266" s="41">
        <v>1</v>
      </c>
    </row>
    <row r="267" spans="1:3" x14ac:dyDescent="0.25">
      <c r="A267" s="41">
        <v>266</v>
      </c>
      <c r="B267" s="41">
        <v>0</v>
      </c>
      <c r="C267" s="41">
        <v>1</v>
      </c>
    </row>
    <row r="268" spans="1:3" x14ac:dyDescent="0.25">
      <c r="A268" s="41">
        <v>267</v>
      </c>
      <c r="B268" s="41">
        <v>0</v>
      </c>
      <c r="C268" s="41">
        <v>1</v>
      </c>
    </row>
    <row r="269" spans="1:3" x14ac:dyDescent="0.25">
      <c r="A269" s="41">
        <v>268</v>
      </c>
      <c r="B269" s="41">
        <v>0</v>
      </c>
      <c r="C269" s="41">
        <v>1</v>
      </c>
    </row>
    <row r="270" spans="1:3" x14ac:dyDescent="0.25">
      <c r="A270" s="41">
        <v>269</v>
      </c>
      <c r="B270" s="41">
        <v>0</v>
      </c>
      <c r="C270" s="41">
        <v>1</v>
      </c>
    </row>
    <row r="271" spans="1:3" x14ac:dyDescent="0.25">
      <c r="A271" s="41">
        <v>270</v>
      </c>
      <c r="B271" s="41">
        <v>0</v>
      </c>
      <c r="C271" s="41">
        <v>1</v>
      </c>
    </row>
    <row r="272" spans="1:3" x14ac:dyDescent="0.25">
      <c r="A272" s="41">
        <v>271</v>
      </c>
      <c r="B272" s="41">
        <v>0</v>
      </c>
      <c r="C272" s="41">
        <v>1</v>
      </c>
    </row>
    <row r="273" spans="1:3" x14ac:dyDescent="0.25">
      <c r="A273" s="41">
        <v>272</v>
      </c>
      <c r="B273" s="41">
        <v>0</v>
      </c>
      <c r="C273" s="41">
        <v>1</v>
      </c>
    </row>
    <row r="274" spans="1:3" x14ac:dyDescent="0.25">
      <c r="A274" s="41">
        <v>273</v>
      </c>
      <c r="B274" s="41">
        <v>0</v>
      </c>
      <c r="C274" s="41">
        <v>1</v>
      </c>
    </row>
    <row r="275" spans="1:3" x14ac:dyDescent="0.25">
      <c r="A275" s="41">
        <v>274</v>
      </c>
      <c r="B275" s="41">
        <v>0</v>
      </c>
      <c r="C275" s="41">
        <v>1</v>
      </c>
    </row>
    <row r="276" spans="1:3" x14ac:dyDescent="0.25">
      <c r="A276" s="41">
        <v>275</v>
      </c>
      <c r="B276" s="41">
        <v>0</v>
      </c>
      <c r="C276" s="41">
        <v>1</v>
      </c>
    </row>
    <row r="277" spans="1:3" x14ac:dyDescent="0.25">
      <c r="A277" s="41">
        <v>276</v>
      </c>
      <c r="B277" s="41">
        <v>0</v>
      </c>
      <c r="C277" s="41">
        <v>1</v>
      </c>
    </row>
    <row r="278" spans="1:3" x14ac:dyDescent="0.25">
      <c r="A278" s="41">
        <v>277</v>
      </c>
      <c r="B278" s="41">
        <v>0</v>
      </c>
      <c r="C278" s="41">
        <v>1</v>
      </c>
    </row>
    <row r="279" spans="1:3" x14ac:dyDescent="0.25">
      <c r="A279" s="41">
        <v>278</v>
      </c>
      <c r="B279" s="41">
        <v>0</v>
      </c>
      <c r="C279" s="41">
        <v>1</v>
      </c>
    </row>
    <row r="280" spans="1:3" x14ac:dyDescent="0.25">
      <c r="A280" s="41">
        <v>279</v>
      </c>
      <c r="B280" s="41">
        <v>0</v>
      </c>
      <c r="C280" s="41">
        <v>1</v>
      </c>
    </row>
    <row r="281" spans="1:3" x14ac:dyDescent="0.25">
      <c r="A281" s="41">
        <v>280</v>
      </c>
      <c r="B281" s="41">
        <v>0</v>
      </c>
      <c r="C281" s="41">
        <v>1</v>
      </c>
    </row>
    <row r="282" spans="1:3" x14ac:dyDescent="0.25">
      <c r="A282" s="41">
        <v>281</v>
      </c>
      <c r="B282" s="41">
        <v>0</v>
      </c>
      <c r="C282" s="41">
        <v>1</v>
      </c>
    </row>
    <row r="283" spans="1:3" x14ac:dyDescent="0.25">
      <c r="A283" s="41">
        <v>282</v>
      </c>
      <c r="B283" s="41">
        <v>0</v>
      </c>
      <c r="C283" s="41">
        <v>1</v>
      </c>
    </row>
    <row r="284" spans="1:3" x14ac:dyDescent="0.25">
      <c r="A284" s="41">
        <v>283</v>
      </c>
      <c r="B284" s="41">
        <v>0</v>
      </c>
      <c r="C284" s="41">
        <v>1</v>
      </c>
    </row>
    <row r="285" spans="1:3" x14ac:dyDescent="0.25">
      <c r="A285" s="41">
        <v>284</v>
      </c>
      <c r="B285" s="41">
        <v>0</v>
      </c>
      <c r="C285" s="41">
        <v>1</v>
      </c>
    </row>
    <row r="286" spans="1:3" x14ac:dyDescent="0.25">
      <c r="A286" s="41">
        <v>285</v>
      </c>
      <c r="B286" s="41">
        <v>0</v>
      </c>
      <c r="C286" s="41">
        <v>1</v>
      </c>
    </row>
    <row r="287" spans="1:3" x14ac:dyDescent="0.25">
      <c r="A287" s="41">
        <v>286</v>
      </c>
      <c r="B287" s="41">
        <v>0</v>
      </c>
      <c r="C287" s="41">
        <v>1</v>
      </c>
    </row>
    <row r="288" spans="1:3" x14ac:dyDescent="0.25">
      <c r="A288" s="41">
        <v>287</v>
      </c>
      <c r="B288" s="41">
        <v>0</v>
      </c>
      <c r="C288" s="41">
        <v>1</v>
      </c>
    </row>
    <row r="289" spans="1:3" x14ac:dyDescent="0.25">
      <c r="A289" s="41">
        <v>288</v>
      </c>
      <c r="B289" s="41">
        <v>0</v>
      </c>
      <c r="C289" s="41">
        <v>1</v>
      </c>
    </row>
    <row r="290" spans="1:3" x14ac:dyDescent="0.25">
      <c r="A290" s="41">
        <v>289</v>
      </c>
      <c r="B290" s="41">
        <v>0</v>
      </c>
      <c r="C290" s="41">
        <v>1</v>
      </c>
    </row>
    <row r="291" spans="1:3" x14ac:dyDescent="0.25">
      <c r="A291" s="41">
        <v>290</v>
      </c>
      <c r="B291" s="41">
        <v>0</v>
      </c>
      <c r="C291" s="41">
        <v>1</v>
      </c>
    </row>
    <row r="292" spans="1:3" x14ac:dyDescent="0.25">
      <c r="A292" s="41">
        <v>291</v>
      </c>
      <c r="B292" s="41">
        <v>0</v>
      </c>
      <c r="C292" s="41">
        <v>1</v>
      </c>
    </row>
    <row r="293" spans="1:3" x14ac:dyDescent="0.25">
      <c r="A293" s="41">
        <v>292</v>
      </c>
      <c r="B293" s="41">
        <v>0</v>
      </c>
      <c r="C293" s="41">
        <v>1</v>
      </c>
    </row>
    <row r="294" spans="1:3" x14ac:dyDescent="0.25">
      <c r="A294" s="41">
        <v>293</v>
      </c>
      <c r="B294" s="41">
        <v>0</v>
      </c>
      <c r="C294" s="41">
        <v>1</v>
      </c>
    </row>
    <row r="295" spans="1:3" x14ac:dyDescent="0.25">
      <c r="A295" s="41">
        <v>294</v>
      </c>
      <c r="B295" s="41">
        <v>0</v>
      </c>
      <c r="C295" s="41">
        <v>1</v>
      </c>
    </row>
    <row r="296" spans="1:3" x14ac:dyDescent="0.25">
      <c r="A296" s="41">
        <v>295</v>
      </c>
      <c r="B296" s="41">
        <v>0</v>
      </c>
      <c r="C296" s="41">
        <v>1</v>
      </c>
    </row>
    <row r="297" spans="1:3" x14ac:dyDescent="0.25">
      <c r="A297" s="41">
        <v>296</v>
      </c>
      <c r="B297" s="41">
        <v>0</v>
      </c>
      <c r="C297" s="41">
        <v>1</v>
      </c>
    </row>
    <row r="298" spans="1:3" x14ac:dyDescent="0.25">
      <c r="A298" s="41">
        <v>297</v>
      </c>
      <c r="B298" s="41">
        <v>0</v>
      </c>
      <c r="C298" s="41">
        <v>1</v>
      </c>
    </row>
    <row r="299" spans="1:3" x14ac:dyDescent="0.25">
      <c r="A299" s="41">
        <v>298</v>
      </c>
      <c r="B299" s="41">
        <v>0</v>
      </c>
      <c r="C299" s="41">
        <v>1</v>
      </c>
    </row>
    <row r="300" spans="1:3" x14ac:dyDescent="0.25">
      <c r="A300" s="41">
        <v>299</v>
      </c>
      <c r="B300" s="41">
        <v>0</v>
      </c>
      <c r="C300" s="41">
        <v>1</v>
      </c>
    </row>
    <row r="301" spans="1:3" x14ac:dyDescent="0.25">
      <c r="A301" s="41">
        <v>300</v>
      </c>
      <c r="B301" s="41">
        <v>0</v>
      </c>
      <c r="C301" s="41">
        <v>1</v>
      </c>
    </row>
    <row r="302" spans="1:3" x14ac:dyDescent="0.25">
      <c r="A302" s="41">
        <v>301</v>
      </c>
      <c r="B302" s="41">
        <v>0</v>
      </c>
      <c r="C302" s="41">
        <v>1</v>
      </c>
    </row>
    <row r="303" spans="1:3" x14ac:dyDescent="0.25">
      <c r="A303" s="41">
        <v>302</v>
      </c>
      <c r="B303" s="41">
        <v>0</v>
      </c>
      <c r="C303" s="41">
        <v>1</v>
      </c>
    </row>
    <row r="304" spans="1:3" x14ac:dyDescent="0.25">
      <c r="A304" s="41">
        <v>303</v>
      </c>
      <c r="B304" s="41">
        <v>0</v>
      </c>
      <c r="C304" s="41">
        <v>1</v>
      </c>
    </row>
    <row r="305" spans="1:3" x14ac:dyDescent="0.25">
      <c r="A305" s="41">
        <v>304</v>
      </c>
      <c r="B305" s="41">
        <v>0</v>
      </c>
      <c r="C305" s="41">
        <v>1</v>
      </c>
    </row>
    <row r="306" spans="1:3" x14ac:dyDescent="0.25">
      <c r="A306" s="41">
        <v>305</v>
      </c>
      <c r="B306" s="41">
        <v>0</v>
      </c>
      <c r="C306" s="41">
        <v>1</v>
      </c>
    </row>
    <row r="307" spans="1:3" x14ac:dyDescent="0.25">
      <c r="A307" s="41">
        <v>306</v>
      </c>
      <c r="B307" s="41">
        <v>0</v>
      </c>
      <c r="C307" s="41">
        <v>1</v>
      </c>
    </row>
    <row r="308" spans="1:3" x14ac:dyDescent="0.25">
      <c r="A308" s="41">
        <v>307</v>
      </c>
      <c r="B308" s="41">
        <v>0</v>
      </c>
      <c r="C308" s="41">
        <v>1</v>
      </c>
    </row>
    <row r="309" spans="1:3" x14ac:dyDescent="0.25">
      <c r="A309" s="41">
        <v>308</v>
      </c>
      <c r="B309" s="41">
        <v>0</v>
      </c>
      <c r="C309" s="41">
        <v>1</v>
      </c>
    </row>
    <row r="310" spans="1:3" x14ac:dyDescent="0.25">
      <c r="A310" s="41">
        <v>309</v>
      </c>
      <c r="B310" s="41">
        <v>0</v>
      </c>
      <c r="C310" s="41">
        <v>1</v>
      </c>
    </row>
    <row r="311" spans="1:3" x14ac:dyDescent="0.25">
      <c r="A311" s="41">
        <v>310</v>
      </c>
      <c r="B311" s="41">
        <v>0</v>
      </c>
      <c r="C311" s="41">
        <v>1</v>
      </c>
    </row>
    <row r="312" spans="1:3" x14ac:dyDescent="0.25">
      <c r="A312" s="41">
        <v>311</v>
      </c>
      <c r="B312" s="41">
        <v>0</v>
      </c>
      <c r="C312" s="41">
        <v>1</v>
      </c>
    </row>
    <row r="313" spans="1:3" x14ac:dyDescent="0.25">
      <c r="A313" s="41">
        <v>312</v>
      </c>
      <c r="B313" s="41">
        <v>0</v>
      </c>
      <c r="C313" s="41">
        <v>1</v>
      </c>
    </row>
    <row r="314" spans="1:3" x14ac:dyDescent="0.25">
      <c r="A314" s="41">
        <v>313</v>
      </c>
      <c r="B314" s="41">
        <v>0</v>
      </c>
      <c r="C314" s="41">
        <v>1</v>
      </c>
    </row>
    <row r="315" spans="1:3" x14ac:dyDescent="0.25">
      <c r="A315" s="41">
        <v>314</v>
      </c>
      <c r="B315" s="41">
        <v>0</v>
      </c>
      <c r="C315" s="41">
        <v>1</v>
      </c>
    </row>
    <row r="316" spans="1:3" x14ac:dyDescent="0.25">
      <c r="A316" s="41">
        <v>315</v>
      </c>
      <c r="B316" s="41">
        <v>0</v>
      </c>
      <c r="C316" s="41">
        <v>1</v>
      </c>
    </row>
    <row r="317" spans="1:3" x14ac:dyDescent="0.25">
      <c r="A317" s="41">
        <v>316</v>
      </c>
      <c r="B317" s="41">
        <v>0</v>
      </c>
      <c r="C317" s="41">
        <v>1</v>
      </c>
    </row>
    <row r="318" spans="1:3" x14ac:dyDescent="0.25">
      <c r="A318" s="41">
        <v>317</v>
      </c>
      <c r="B318" s="41">
        <v>0</v>
      </c>
      <c r="C318" s="41">
        <v>1</v>
      </c>
    </row>
    <row r="319" spans="1:3" x14ac:dyDescent="0.25">
      <c r="A319" s="41">
        <v>318</v>
      </c>
      <c r="B319" s="41">
        <v>0</v>
      </c>
      <c r="C319" s="41">
        <v>1</v>
      </c>
    </row>
    <row r="320" spans="1:3" x14ac:dyDescent="0.25">
      <c r="A320" s="41">
        <v>319</v>
      </c>
      <c r="B320" s="41">
        <v>0</v>
      </c>
      <c r="C320" s="41">
        <v>1</v>
      </c>
    </row>
    <row r="321" spans="1:3" x14ac:dyDescent="0.25">
      <c r="A321" s="41">
        <v>320</v>
      </c>
      <c r="B321" s="41">
        <v>0</v>
      </c>
      <c r="C321" s="41">
        <v>1</v>
      </c>
    </row>
    <row r="322" spans="1:3" x14ac:dyDescent="0.25">
      <c r="A322" s="41">
        <v>321</v>
      </c>
      <c r="B322" s="41">
        <v>0</v>
      </c>
      <c r="C322" s="41">
        <v>1</v>
      </c>
    </row>
    <row r="323" spans="1:3" x14ac:dyDescent="0.25">
      <c r="A323" s="41">
        <v>322</v>
      </c>
      <c r="B323" s="41">
        <v>0</v>
      </c>
      <c r="C323" s="41">
        <v>1</v>
      </c>
    </row>
    <row r="324" spans="1:3" x14ac:dyDescent="0.25">
      <c r="A324" s="41">
        <v>323</v>
      </c>
      <c r="B324" s="41">
        <v>0</v>
      </c>
      <c r="C324" s="41">
        <v>1</v>
      </c>
    </row>
    <row r="325" spans="1:3" x14ac:dyDescent="0.25">
      <c r="A325" s="41">
        <v>324</v>
      </c>
      <c r="B325" s="41">
        <v>0</v>
      </c>
      <c r="C325" s="41">
        <v>1</v>
      </c>
    </row>
    <row r="326" spans="1:3" x14ac:dyDescent="0.25">
      <c r="A326" s="41">
        <v>325</v>
      </c>
      <c r="B326" s="41">
        <v>0</v>
      </c>
      <c r="C326" s="41">
        <v>1</v>
      </c>
    </row>
    <row r="327" spans="1:3" x14ac:dyDescent="0.25">
      <c r="A327" s="41">
        <v>326</v>
      </c>
      <c r="B327" s="41">
        <v>0</v>
      </c>
      <c r="C327" s="41">
        <v>1</v>
      </c>
    </row>
    <row r="328" spans="1:3" x14ac:dyDescent="0.25">
      <c r="A328" s="41">
        <v>327</v>
      </c>
      <c r="B328" s="41">
        <v>0</v>
      </c>
      <c r="C328" s="41">
        <v>1</v>
      </c>
    </row>
    <row r="329" spans="1:3" x14ac:dyDescent="0.25">
      <c r="A329" s="41">
        <v>328</v>
      </c>
      <c r="B329" s="41">
        <v>0</v>
      </c>
      <c r="C329" s="41">
        <v>1</v>
      </c>
    </row>
    <row r="330" spans="1:3" x14ac:dyDescent="0.25">
      <c r="A330" s="41">
        <v>329</v>
      </c>
      <c r="B330" s="41">
        <v>0</v>
      </c>
      <c r="C330" s="41">
        <v>1</v>
      </c>
    </row>
    <row r="331" spans="1:3" x14ac:dyDescent="0.25">
      <c r="A331" s="41">
        <v>330</v>
      </c>
      <c r="B331" s="41">
        <v>0</v>
      </c>
      <c r="C331" s="41">
        <v>1</v>
      </c>
    </row>
    <row r="332" spans="1:3" x14ac:dyDescent="0.25">
      <c r="A332" s="41">
        <v>331</v>
      </c>
      <c r="B332" s="41">
        <v>0</v>
      </c>
      <c r="C332" s="41">
        <v>1</v>
      </c>
    </row>
    <row r="333" spans="1:3" x14ac:dyDescent="0.25">
      <c r="A333" s="41">
        <v>332</v>
      </c>
      <c r="B333" s="41">
        <v>0</v>
      </c>
      <c r="C333" s="41">
        <v>1</v>
      </c>
    </row>
    <row r="334" spans="1:3" x14ac:dyDescent="0.25">
      <c r="A334" s="41">
        <v>333</v>
      </c>
      <c r="B334" s="41">
        <v>0</v>
      </c>
      <c r="C334" s="41">
        <v>1</v>
      </c>
    </row>
    <row r="335" spans="1:3" x14ac:dyDescent="0.25">
      <c r="A335" s="41">
        <v>334</v>
      </c>
      <c r="B335" s="41">
        <v>0</v>
      </c>
      <c r="C335" s="41">
        <v>1</v>
      </c>
    </row>
    <row r="336" spans="1:3" x14ac:dyDescent="0.25">
      <c r="A336" s="41">
        <v>335</v>
      </c>
      <c r="B336" s="41">
        <v>0</v>
      </c>
      <c r="C336" s="41">
        <v>1</v>
      </c>
    </row>
    <row r="337" spans="1:3" x14ac:dyDescent="0.25">
      <c r="A337" s="41">
        <v>336</v>
      </c>
      <c r="B337" s="41">
        <v>0</v>
      </c>
      <c r="C337" s="41">
        <v>1</v>
      </c>
    </row>
    <row r="338" spans="1:3" x14ac:dyDescent="0.25">
      <c r="A338" s="41">
        <v>337</v>
      </c>
      <c r="B338" s="41">
        <v>0</v>
      </c>
      <c r="C338" s="41">
        <v>1</v>
      </c>
    </row>
    <row r="339" spans="1:3" x14ac:dyDescent="0.25">
      <c r="A339" s="41">
        <v>338</v>
      </c>
      <c r="B339" s="41">
        <v>0</v>
      </c>
      <c r="C339" s="41">
        <v>1</v>
      </c>
    </row>
    <row r="340" spans="1:3" x14ac:dyDescent="0.25">
      <c r="A340" s="41">
        <v>339</v>
      </c>
      <c r="B340" s="41">
        <v>0</v>
      </c>
      <c r="C340" s="41">
        <v>1</v>
      </c>
    </row>
    <row r="341" spans="1:3" x14ac:dyDescent="0.25">
      <c r="A341" s="41">
        <v>340</v>
      </c>
      <c r="B341" s="41">
        <v>0</v>
      </c>
      <c r="C341" s="41">
        <v>1</v>
      </c>
    </row>
    <row r="342" spans="1:3" x14ac:dyDescent="0.25">
      <c r="A342" s="41">
        <v>341</v>
      </c>
      <c r="B342" s="41">
        <v>0</v>
      </c>
      <c r="C342" s="41">
        <v>1</v>
      </c>
    </row>
    <row r="343" spans="1:3" x14ac:dyDescent="0.25">
      <c r="A343" s="41">
        <v>342</v>
      </c>
      <c r="B343" s="41">
        <v>0</v>
      </c>
      <c r="C343" s="41">
        <v>1</v>
      </c>
    </row>
    <row r="344" spans="1:3" x14ac:dyDescent="0.25">
      <c r="A344" s="41">
        <v>343</v>
      </c>
      <c r="B344" s="41">
        <v>0</v>
      </c>
      <c r="C344" s="41">
        <v>1</v>
      </c>
    </row>
    <row r="345" spans="1:3" x14ac:dyDescent="0.25">
      <c r="A345" s="41">
        <v>344</v>
      </c>
      <c r="B345" s="41">
        <v>0</v>
      </c>
      <c r="C345" s="41">
        <v>1</v>
      </c>
    </row>
    <row r="346" spans="1:3" x14ac:dyDescent="0.25">
      <c r="A346" s="41">
        <v>345</v>
      </c>
      <c r="B346" s="41">
        <v>0</v>
      </c>
      <c r="C346" s="41">
        <v>1</v>
      </c>
    </row>
    <row r="347" spans="1:3" x14ac:dyDescent="0.25">
      <c r="A347" s="41">
        <v>346</v>
      </c>
      <c r="B347" s="41">
        <v>0</v>
      </c>
      <c r="C347" s="41">
        <v>1</v>
      </c>
    </row>
    <row r="348" spans="1:3" x14ac:dyDescent="0.25">
      <c r="A348" s="41">
        <v>347</v>
      </c>
      <c r="B348" s="41">
        <v>0</v>
      </c>
      <c r="C348" s="41">
        <v>1</v>
      </c>
    </row>
    <row r="349" spans="1:3" x14ac:dyDescent="0.25">
      <c r="A349" s="41">
        <v>348</v>
      </c>
      <c r="B349" s="41">
        <v>0</v>
      </c>
      <c r="C349" s="41">
        <v>1</v>
      </c>
    </row>
    <row r="350" spans="1:3" x14ac:dyDescent="0.25">
      <c r="A350" s="41">
        <v>349</v>
      </c>
      <c r="B350" s="41">
        <v>0</v>
      </c>
      <c r="C350" s="41">
        <v>1</v>
      </c>
    </row>
    <row r="351" spans="1:3" x14ac:dyDescent="0.25">
      <c r="A351" s="41">
        <v>350</v>
      </c>
      <c r="B351" s="41">
        <v>0</v>
      </c>
      <c r="C351" s="41">
        <v>1</v>
      </c>
    </row>
    <row r="352" spans="1:3" x14ac:dyDescent="0.25">
      <c r="A352" s="41">
        <v>351</v>
      </c>
      <c r="B352" s="41">
        <v>0</v>
      </c>
      <c r="C352" s="41">
        <v>1</v>
      </c>
    </row>
    <row r="353" spans="1:3" x14ac:dyDescent="0.25">
      <c r="A353" s="41">
        <v>352</v>
      </c>
      <c r="B353" s="41">
        <v>0</v>
      </c>
      <c r="C353" s="41">
        <v>1</v>
      </c>
    </row>
    <row r="354" spans="1:3" x14ac:dyDescent="0.25">
      <c r="A354" s="41">
        <v>353</v>
      </c>
      <c r="B354" s="41">
        <v>0</v>
      </c>
      <c r="C354" s="41">
        <v>1</v>
      </c>
    </row>
    <row r="355" spans="1:3" x14ac:dyDescent="0.25">
      <c r="A355" s="41">
        <v>354</v>
      </c>
      <c r="B355" s="41">
        <v>0</v>
      </c>
      <c r="C355" s="41">
        <v>1</v>
      </c>
    </row>
    <row r="356" spans="1:3" x14ac:dyDescent="0.25">
      <c r="A356" s="41">
        <v>355</v>
      </c>
      <c r="B356" s="41">
        <v>0</v>
      </c>
      <c r="C356" s="41">
        <v>1</v>
      </c>
    </row>
    <row r="357" spans="1:3" x14ac:dyDescent="0.25">
      <c r="A357" s="41">
        <v>356</v>
      </c>
      <c r="B357" s="41">
        <v>0</v>
      </c>
      <c r="C357" s="41">
        <v>1</v>
      </c>
    </row>
    <row r="358" spans="1:3" x14ac:dyDescent="0.25">
      <c r="A358" s="41">
        <v>357</v>
      </c>
      <c r="B358" s="41">
        <v>0</v>
      </c>
      <c r="C358" s="41">
        <v>1</v>
      </c>
    </row>
    <row r="359" spans="1:3" x14ac:dyDescent="0.25">
      <c r="A359" s="41">
        <v>358</v>
      </c>
      <c r="B359" s="41">
        <v>0</v>
      </c>
      <c r="C359" s="41">
        <v>1</v>
      </c>
    </row>
    <row r="360" spans="1:3" x14ac:dyDescent="0.25">
      <c r="A360" s="41">
        <v>359</v>
      </c>
      <c r="B360" s="41">
        <v>0</v>
      </c>
      <c r="C360" s="41">
        <v>1</v>
      </c>
    </row>
    <row r="361" spans="1:3" x14ac:dyDescent="0.25">
      <c r="A361" s="41">
        <v>360</v>
      </c>
      <c r="B361" s="41">
        <v>0</v>
      </c>
      <c r="C361" s="41">
        <v>1</v>
      </c>
    </row>
    <row r="362" spans="1:3" x14ac:dyDescent="0.25">
      <c r="A362" s="41">
        <v>361</v>
      </c>
      <c r="B362" s="41">
        <v>0</v>
      </c>
      <c r="C362" s="41">
        <v>1</v>
      </c>
    </row>
    <row r="363" spans="1:3" x14ac:dyDescent="0.25">
      <c r="A363" s="41">
        <v>362</v>
      </c>
      <c r="B363" s="41">
        <v>0</v>
      </c>
      <c r="C363" s="41">
        <v>1</v>
      </c>
    </row>
    <row r="364" spans="1:3" x14ac:dyDescent="0.25">
      <c r="A364" s="41">
        <v>363</v>
      </c>
      <c r="B364" s="41">
        <v>0</v>
      </c>
      <c r="C364" s="41">
        <v>1</v>
      </c>
    </row>
    <row r="365" spans="1:3" x14ac:dyDescent="0.25">
      <c r="A365" s="41">
        <v>364</v>
      </c>
      <c r="B365" s="41">
        <v>0</v>
      </c>
      <c r="C365" s="41">
        <v>1</v>
      </c>
    </row>
    <row r="366" spans="1:3" x14ac:dyDescent="0.25">
      <c r="A366" s="41">
        <v>365</v>
      </c>
      <c r="B366" s="41">
        <v>0</v>
      </c>
      <c r="C366" s="41">
        <v>1</v>
      </c>
    </row>
    <row r="367" spans="1:3" x14ac:dyDescent="0.25">
      <c r="A367" s="41">
        <v>366</v>
      </c>
      <c r="B367" s="41">
        <v>0</v>
      </c>
      <c r="C367" s="41">
        <v>1</v>
      </c>
    </row>
    <row r="368" spans="1:3" x14ac:dyDescent="0.25">
      <c r="A368" s="41">
        <v>367</v>
      </c>
      <c r="B368" s="41">
        <v>0</v>
      </c>
      <c r="C368" s="41">
        <v>1</v>
      </c>
    </row>
    <row r="369" spans="1:3" x14ac:dyDescent="0.25">
      <c r="A369" s="41">
        <v>368</v>
      </c>
      <c r="B369" s="41">
        <v>0</v>
      </c>
      <c r="C369" s="41">
        <v>1</v>
      </c>
    </row>
    <row r="370" spans="1:3" x14ac:dyDescent="0.25">
      <c r="A370" s="41">
        <v>369</v>
      </c>
      <c r="B370" s="41">
        <v>0</v>
      </c>
      <c r="C370" s="41">
        <v>1</v>
      </c>
    </row>
    <row r="371" spans="1:3" x14ac:dyDescent="0.25">
      <c r="A371" s="41">
        <v>370</v>
      </c>
      <c r="B371" s="41">
        <v>0</v>
      </c>
      <c r="C371" s="41">
        <v>1</v>
      </c>
    </row>
    <row r="372" spans="1:3" x14ac:dyDescent="0.25">
      <c r="A372" s="41">
        <v>371</v>
      </c>
      <c r="B372" s="41">
        <v>0</v>
      </c>
      <c r="C372" s="41">
        <v>1</v>
      </c>
    </row>
    <row r="373" spans="1:3" x14ac:dyDescent="0.25">
      <c r="A373" s="41">
        <v>372</v>
      </c>
      <c r="B373" s="41">
        <v>0</v>
      </c>
      <c r="C373" s="41">
        <v>1</v>
      </c>
    </row>
    <row r="374" spans="1:3" x14ac:dyDescent="0.25">
      <c r="A374" s="41">
        <v>373</v>
      </c>
      <c r="B374" s="41">
        <v>0</v>
      </c>
      <c r="C374" s="41">
        <v>1</v>
      </c>
    </row>
    <row r="375" spans="1:3" x14ac:dyDescent="0.25">
      <c r="A375" s="41">
        <v>374</v>
      </c>
      <c r="B375" s="41">
        <v>0</v>
      </c>
      <c r="C375" s="41">
        <v>1</v>
      </c>
    </row>
    <row r="376" spans="1:3" x14ac:dyDescent="0.25">
      <c r="A376" s="41">
        <v>375</v>
      </c>
      <c r="B376" s="41">
        <v>0</v>
      </c>
      <c r="C376" s="41">
        <v>1</v>
      </c>
    </row>
    <row r="377" spans="1:3" x14ac:dyDescent="0.25">
      <c r="A377" s="41">
        <v>376</v>
      </c>
      <c r="B377" s="41">
        <v>0</v>
      </c>
      <c r="C377" s="41">
        <v>1</v>
      </c>
    </row>
    <row r="378" spans="1:3" x14ac:dyDescent="0.25">
      <c r="A378" s="41">
        <v>377</v>
      </c>
      <c r="B378" s="41">
        <v>0</v>
      </c>
      <c r="C378" s="41">
        <v>1</v>
      </c>
    </row>
    <row r="379" spans="1:3" x14ac:dyDescent="0.25">
      <c r="A379" s="41">
        <v>378</v>
      </c>
      <c r="B379" s="41">
        <v>0</v>
      </c>
      <c r="C379" s="41">
        <v>1</v>
      </c>
    </row>
    <row r="380" spans="1:3" x14ac:dyDescent="0.25">
      <c r="A380" s="41">
        <v>379</v>
      </c>
      <c r="B380" s="41">
        <v>0</v>
      </c>
      <c r="C380" s="41">
        <v>1</v>
      </c>
    </row>
    <row r="381" spans="1:3" x14ac:dyDescent="0.25">
      <c r="A381" s="41">
        <v>380</v>
      </c>
      <c r="B381" s="41">
        <v>0</v>
      </c>
      <c r="C381" s="41">
        <v>1</v>
      </c>
    </row>
    <row r="382" spans="1:3" x14ac:dyDescent="0.25">
      <c r="A382" s="41">
        <v>381</v>
      </c>
      <c r="B382" s="41">
        <v>0</v>
      </c>
      <c r="C382" s="41">
        <v>1</v>
      </c>
    </row>
    <row r="383" spans="1:3" x14ac:dyDescent="0.25">
      <c r="A383" s="41">
        <v>382</v>
      </c>
      <c r="B383" s="41">
        <v>0</v>
      </c>
      <c r="C383" s="41">
        <v>1</v>
      </c>
    </row>
    <row r="384" spans="1:3" x14ac:dyDescent="0.25">
      <c r="A384" s="41">
        <v>383</v>
      </c>
      <c r="B384" s="41">
        <v>0</v>
      </c>
      <c r="C384" s="41">
        <v>1</v>
      </c>
    </row>
    <row r="385" spans="1:3" x14ac:dyDescent="0.25">
      <c r="A385" s="41">
        <v>384</v>
      </c>
      <c r="B385" s="41">
        <v>0</v>
      </c>
      <c r="C385" s="41">
        <v>1</v>
      </c>
    </row>
    <row r="386" spans="1:3" x14ac:dyDescent="0.25">
      <c r="A386" s="41">
        <v>385</v>
      </c>
      <c r="B386" s="41">
        <v>0</v>
      </c>
      <c r="C386" s="41">
        <v>1</v>
      </c>
    </row>
    <row r="387" spans="1:3" x14ac:dyDescent="0.25">
      <c r="A387" s="41">
        <v>386</v>
      </c>
      <c r="B387" s="41">
        <v>0</v>
      </c>
      <c r="C387" s="41">
        <v>1</v>
      </c>
    </row>
    <row r="388" spans="1:3" x14ac:dyDescent="0.25">
      <c r="A388" s="41">
        <v>387</v>
      </c>
      <c r="B388" s="41">
        <v>0</v>
      </c>
      <c r="C388" s="41">
        <v>1</v>
      </c>
    </row>
    <row r="389" spans="1:3" x14ac:dyDescent="0.25">
      <c r="A389" s="41">
        <v>388</v>
      </c>
      <c r="B389" s="41">
        <v>0</v>
      </c>
      <c r="C389" s="41">
        <v>1</v>
      </c>
    </row>
    <row r="390" spans="1:3" x14ac:dyDescent="0.25">
      <c r="A390" s="41">
        <v>389</v>
      </c>
      <c r="B390" s="41">
        <v>0</v>
      </c>
      <c r="C390" s="41">
        <v>1</v>
      </c>
    </row>
    <row r="391" spans="1:3" x14ac:dyDescent="0.25">
      <c r="A391" s="41">
        <v>390</v>
      </c>
      <c r="B391" s="41">
        <v>0</v>
      </c>
      <c r="C391" s="41">
        <v>1</v>
      </c>
    </row>
    <row r="392" spans="1:3" x14ac:dyDescent="0.25">
      <c r="A392" s="41">
        <v>391</v>
      </c>
      <c r="B392" s="41">
        <v>0</v>
      </c>
      <c r="C392" s="41">
        <v>1</v>
      </c>
    </row>
    <row r="393" spans="1:3" x14ac:dyDescent="0.25">
      <c r="A393" s="41">
        <v>392</v>
      </c>
      <c r="B393" s="41">
        <v>0</v>
      </c>
      <c r="C393" s="41">
        <v>1</v>
      </c>
    </row>
    <row r="394" spans="1:3" x14ac:dyDescent="0.25">
      <c r="A394" s="41">
        <v>393</v>
      </c>
      <c r="B394" s="41">
        <v>0</v>
      </c>
      <c r="C394" s="41">
        <v>1</v>
      </c>
    </row>
    <row r="395" spans="1:3" x14ac:dyDescent="0.25">
      <c r="A395" s="41">
        <v>394</v>
      </c>
      <c r="B395" s="41">
        <v>0</v>
      </c>
      <c r="C395" s="41">
        <v>1</v>
      </c>
    </row>
    <row r="396" spans="1:3" x14ac:dyDescent="0.25">
      <c r="A396" s="41">
        <v>395</v>
      </c>
      <c r="B396" s="41">
        <v>0</v>
      </c>
      <c r="C396" s="41">
        <v>1</v>
      </c>
    </row>
    <row r="397" spans="1:3" x14ac:dyDescent="0.25">
      <c r="A397" s="41">
        <v>396</v>
      </c>
      <c r="B397" s="41">
        <v>0</v>
      </c>
      <c r="C397" s="41">
        <v>1</v>
      </c>
    </row>
    <row r="398" spans="1:3" x14ac:dyDescent="0.25">
      <c r="A398" s="41">
        <v>397</v>
      </c>
      <c r="B398" s="41">
        <v>0</v>
      </c>
      <c r="C398" s="41">
        <v>1</v>
      </c>
    </row>
    <row r="399" spans="1:3" x14ac:dyDescent="0.25">
      <c r="A399" s="41">
        <v>398</v>
      </c>
      <c r="B399" s="41">
        <v>0</v>
      </c>
      <c r="C399" s="41">
        <v>1</v>
      </c>
    </row>
    <row r="400" spans="1:3" x14ac:dyDescent="0.25">
      <c r="A400" s="41">
        <v>399</v>
      </c>
      <c r="B400" s="41">
        <v>0</v>
      </c>
      <c r="C400" s="41">
        <v>1</v>
      </c>
    </row>
    <row r="401" spans="1:3" x14ac:dyDescent="0.25">
      <c r="A401" s="41">
        <v>400</v>
      </c>
      <c r="B401" s="41">
        <v>0</v>
      </c>
      <c r="C401" s="41">
        <v>1</v>
      </c>
    </row>
    <row r="402" spans="1:3" x14ac:dyDescent="0.25">
      <c r="A402" s="41">
        <v>401</v>
      </c>
      <c r="B402" s="41">
        <v>0</v>
      </c>
      <c r="C402" s="41">
        <v>1</v>
      </c>
    </row>
    <row r="403" spans="1:3" x14ac:dyDescent="0.25">
      <c r="A403" s="41">
        <v>402</v>
      </c>
      <c r="B403" s="41">
        <v>0</v>
      </c>
      <c r="C403" s="41">
        <v>1</v>
      </c>
    </row>
    <row r="404" spans="1:3" x14ac:dyDescent="0.25">
      <c r="A404" s="41">
        <v>403</v>
      </c>
      <c r="B404" s="41">
        <v>0</v>
      </c>
      <c r="C404" s="41">
        <v>1</v>
      </c>
    </row>
    <row r="405" spans="1:3" x14ac:dyDescent="0.25">
      <c r="A405" s="41">
        <v>404</v>
      </c>
      <c r="B405" s="41">
        <v>0</v>
      </c>
      <c r="C405" s="41">
        <v>1</v>
      </c>
    </row>
    <row r="406" spans="1:3" x14ac:dyDescent="0.25">
      <c r="A406" s="41">
        <v>405</v>
      </c>
      <c r="B406" s="41">
        <v>0</v>
      </c>
      <c r="C406" s="41">
        <v>1</v>
      </c>
    </row>
    <row r="407" spans="1:3" x14ac:dyDescent="0.25">
      <c r="A407" s="41">
        <v>406</v>
      </c>
      <c r="B407" s="41">
        <v>0</v>
      </c>
      <c r="C407" s="41">
        <v>1</v>
      </c>
    </row>
    <row r="408" spans="1:3" x14ac:dyDescent="0.25">
      <c r="A408" s="41">
        <v>407</v>
      </c>
      <c r="B408" s="41">
        <v>0</v>
      </c>
      <c r="C408" s="41">
        <v>1</v>
      </c>
    </row>
    <row r="409" spans="1:3" x14ac:dyDescent="0.25">
      <c r="A409" s="41">
        <v>408</v>
      </c>
      <c r="B409" s="41">
        <v>0</v>
      </c>
      <c r="C409" s="41">
        <v>1</v>
      </c>
    </row>
    <row r="410" spans="1:3" x14ac:dyDescent="0.25">
      <c r="A410" s="41">
        <v>409</v>
      </c>
      <c r="B410" s="41">
        <v>0</v>
      </c>
      <c r="C410" s="41">
        <v>1</v>
      </c>
    </row>
    <row r="411" spans="1:3" x14ac:dyDescent="0.25">
      <c r="A411" s="41">
        <v>410</v>
      </c>
      <c r="B411" s="41">
        <v>0</v>
      </c>
      <c r="C411" s="41">
        <v>1</v>
      </c>
    </row>
    <row r="412" spans="1:3" x14ac:dyDescent="0.25">
      <c r="A412" s="41">
        <v>411</v>
      </c>
      <c r="B412" s="41">
        <v>0</v>
      </c>
      <c r="C412" s="41">
        <v>1</v>
      </c>
    </row>
    <row r="413" spans="1:3" x14ac:dyDescent="0.25">
      <c r="A413" s="41">
        <v>412</v>
      </c>
      <c r="B413" s="41">
        <v>0</v>
      </c>
      <c r="C413" s="41">
        <v>1</v>
      </c>
    </row>
    <row r="414" spans="1:3" x14ac:dyDescent="0.25">
      <c r="A414" s="41">
        <v>413</v>
      </c>
      <c r="B414" s="41">
        <v>0</v>
      </c>
      <c r="C414" s="41">
        <v>1</v>
      </c>
    </row>
    <row r="415" spans="1:3" x14ac:dyDescent="0.25">
      <c r="A415" s="41">
        <v>414</v>
      </c>
      <c r="B415" s="41">
        <v>0</v>
      </c>
      <c r="C415" s="41">
        <v>1</v>
      </c>
    </row>
    <row r="416" spans="1:3" x14ac:dyDescent="0.25">
      <c r="A416" s="41">
        <v>415</v>
      </c>
      <c r="B416" s="41">
        <v>0</v>
      </c>
      <c r="C416" s="41">
        <v>1</v>
      </c>
    </row>
    <row r="417" spans="1:3" x14ac:dyDescent="0.25">
      <c r="A417" s="41">
        <v>416</v>
      </c>
      <c r="B417" s="41">
        <v>0</v>
      </c>
      <c r="C417" s="41">
        <v>1</v>
      </c>
    </row>
    <row r="418" spans="1:3" x14ac:dyDescent="0.25">
      <c r="A418" s="41">
        <v>417</v>
      </c>
      <c r="B418" s="41">
        <v>0</v>
      </c>
      <c r="C418" s="41">
        <v>1</v>
      </c>
    </row>
    <row r="419" spans="1:3" x14ac:dyDescent="0.25">
      <c r="A419" s="41">
        <v>418</v>
      </c>
      <c r="B419" s="41">
        <v>0</v>
      </c>
      <c r="C419" s="41">
        <v>1</v>
      </c>
    </row>
    <row r="420" spans="1:3" x14ac:dyDescent="0.25">
      <c r="A420" s="41">
        <v>419</v>
      </c>
      <c r="B420" s="41">
        <v>0</v>
      </c>
      <c r="C420" s="41">
        <v>1</v>
      </c>
    </row>
    <row r="421" spans="1:3" x14ac:dyDescent="0.25">
      <c r="A421" s="41">
        <v>420</v>
      </c>
      <c r="B421" s="41">
        <v>0</v>
      </c>
      <c r="C421" s="41">
        <v>1</v>
      </c>
    </row>
    <row r="422" spans="1:3" x14ac:dyDescent="0.25">
      <c r="A422" s="41">
        <v>421</v>
      </c>
      <c r="B422" s="41">
        <v>0</v>
      </c>
      <c r="C422" s="41">
        <v>1</v>
      </c>
    </row>
    <row r="423" spans="1:3" x14ac:dyDescent="0.25">
      <c r="A423" s="41">
        <v>422</v>
      </c>
      <c r="B423" s="41">
        <v>0</v>
      </c>
      <c r="C423" s="41">
        <v>1</v>
      </c>
    </row>
    <row r="424" spans="1:3" x14ac:dyDescent="0.25">
      <c r="A424" s="41">
        <v>423</v>
      </c>
      <c r="B424" s="41">
        <v>0</v>
      </c>
      <c r="C424" s="41">
        <v>1</v>
      </c>
    </row>
    <row r="425" spans="1:3" x14ac:dyDescent="0.25">
      <c r="A425" s="41">
        <v>424</v>
      </c>
      <c r="B425" s="41">
        <v>0</v>
      </c>
      <c r="C425" s="41">
        <v>1</v>
      </c>
    </row>
    <row r="426" spans="1:3" x14ac:dyDescent="0.25">
      <c r="A426" s="41">
        <v>425</v>
      </c>
      <c r="B426" s="41">
        <v>0</v>
      </c>
      <c r="C426" s="41">
        <v>1</v>
      </c>
    </row>
    <row r="427" spans="1:3" x14ac:dyDescent="0.25">
      <c r="A427" s="41">
        <v>426</v>
      </c>
      <c r="B427" s="41">
        <v>0</v>
      </c>
      <c r="C427" s="41">
        <v>1</v>
      </c>
    </row>
    <row r="428" spans="1:3" x14ac:dyDescent="0.25">
      <c r="A428" s="41">
        <v>427</v>
      </c>
      <c r="B428" s="41">
        <v>0</v>
      </c>
      <c r="C428" s="41">
        <v>1</v>
      </c>
    </row>
    <row r="429" spans="1:3" x14ac:dyDescent="0.25">
      <c r="A429" s="41">
        <v>428</v>
      </c>
      <c r="B429" s="41">
        <v>0</v>
      </c>
      <c r="C429" s="41">
        <v>1</v>
      </c>
    </row>
    <row r="430" spans="1:3" x14ac:dyDescent="0.25">
      <c r="A430" s="41">
        <v>429</v>
      </c>
      <c r="B430" s="41">
        <v>0</v>
      </c>
      <c r="C430" s="41">
        <v>1</v>
      </c>
    </row>
    <row r="431" spans="1:3" x14ac:dyDescent="0.25">
      <c r="A431" s="41">
        <v>430</v>
      </c>
      <c r="B431" s="41">
        <v>0</v>
      </c>
      <c r="C431" s="41">
        <v>1</v>
      </c>
    </row>
    <row r="432" spans="1:3" x14ac:dyDescent="0.25">
      <c r="A432" s="41">
        <v>431</v>
      </c>
      <c r="B432" s="41">
        <v>0</v>
      </c>
      <c r="C432" s="41">
        <v>1</v>
      </c>
    </row>
    <row r="433" spans="1:3" x14ac:dyDescent="0.25">
      <c r="A433" s="41">
        <v>432</v>
      </c>
      <c r="B433" s="41">
        <v>0</v>
      </c>
      <c r="C433" s="41">
        <v>1</v>
      </c>
    </row>
    <row r="434" spans="1:3" x14ac:dyDescent="0.25">
      <c r="A434" s="41">
        <v>433</v>
      </c>
      <c r="B434" s="41">
        <v>0</v>
      </c>
      <c r="C434" s="41">
        <v>1</v>
      </c>
    </row>
    <row r="435" spans="1:3" x14ac:dyDescent="0.25">
      <c r="A435" s="41">
        <v>434</v>
      </c>
      <c r="B435" s="41">
        <v>0</v>
      </c>
      <c r="C435" s="41">
        <v>1</v>
      </c>
    </row>
    <row r="436" spans="1:3" x14ac:dyDescent="0.25">
      <c r="A436" s="41">
        <v>435</v>
      </c>
      <c r="B436" s="41">
        <v>0</v>
      </c>
      <c r="C436" s="41">
        <v>1</v>
      </c>
    </row>
    <row r="437" spans="1:3" x14ac:dyDescent="0.25">
      <c r="A437" s="41">
        <v>436</v>
      </c>
      <c r="B437" s="41">
        <v>0</v>
      </c>
      <c r="C437" s="41">
        <v>1</v>
      </c>
    </row>
    <row r="438" spans="1:3" x14ac:dyDescent="0.25">
      <c r="A438" s="41">
        <v>437</v>
      </c>
      <c r="B438" s="41">
        <v>0</v>
      </c>
      <c r="C438" s="41">
        <v>1</v>
      </c>
    </row>
    <row r="439" spans="1:3" x14ac:dyDescent="0.25">
      <c r="A439" s="41">
        <v>438</v>
      </c>
      <c r="B439" s="41">
        <v>0</v>
      </c>
      <c r="C439" s="41">
        <v>1</v>
      </c>
    </row>
    <row r="440" spans="1:3" x14ac:dyDescent="0.25">
      <c r="A440" s="41">
        <v>439</v>
      </c>
      <c r="B440" s="41">
        <v>0</v>
      </c>
      <c r="C440" s="41">
        <v>1</v>
      </c>
    </row>
    <row r="441" spans="1:3" x14ac:dyDescent="0.25">
      <c r="A441" s="41">
        <v>440</v>
      </c>
      <c r="B441" s="41">
        <v>0</v>
      </c>
      <c r="C441" s="41">
        <v>1</v>
      </c>
    </row>
    <row r="442" spans="1:3" x14ac:dyDescent="0.25">
      <c r="A442" s="41">
        <v>441</v>
      </c>
      <c r="B442" s="41">
        <v>0</v>
      </c>
      <c r="C442" s="41">
        <v>1</v>
      </c>
    </row>
    <row r="443" spans="1:3" x14ac:dyDescent="0.25">
      <c r="A443" s="41">
        <v>442</v>
      </c>
      <c r="B443" s="41">
        <v>0</v>
      </c>
      <c r="C443" s="41">
        <v>1</v>
      </c>
    </row>
    <row r="444" spans="1:3" x14ac:dyDescent="0.25">
      <c r="A444" s="41">
        <v>443</v>
      </c>
      <c r="B444" s="41">
        <v>0</v>
      </c>
      <c r="C444" s="41">
        <v>1</v>
      </c>
    </row>
    <row r="445" spans="1:3" x14ac:dyDescent="0.25">
      <c r="A445" s="41">
        <v>444</v>
      </c>
      <c r="B445" s="41">
        <v>0</v>
      </c>
      <c r="C445" s="41">
        <v>1</v>
      </c>
    </row>
    <row r="446" spans="1:3" x14ac:dyDescent="0.25">
      <c r="A446" s="41">
        <v>445</v>
      </c>
      <c r="B446" s="41">
        <v>0</v>
      </c>
      <c r="C446" s="41">
        <v>1</v>
      </c>
    </row>
    <row r="447" spans="1:3" x14ac:dyDescent="0.25">
      <c r="A447" s="41">
        <v>446</v>
      </c>
      <c r="B447" s="41">
        <v>0</v>
      </c>
      <c r="C447" s="41">
        <v>1</v>
      </c>
    </row>
    <row r="448" spans="1:3" x14ac:dyDescent="0.25">
      <c r="A448" s="41">
        <v>447</v>
      </c>
      <c r="B448" s="41">
        <v>0</v>
      </c>
      <c r="C448" s="41">
        <v>1</v>
      </c>
    </row>
    <row r="449" spans="1:3" x14ac:dyDescent="0.25">
      <c r="A449" s="41">
        <v>448</v>
      </c>
      <c r="B449" s="41">
        <v>0</v>
      </c>
      <c r="C449" s="41">
        <v>1</v>
      </c>
    </row>
    <row r="450" spans="1:3" x14ac:dyDescent="0.25">
      <c r="A450" s="41">
        <v>449</v>
      </c>
      <c r="B450" s="41">
        <v>0</v>
      </c>
      <c r="C450" s="41">
        <v>1</v>
      </c>
    </row>
    <row r="451" spans="1:3" x14ac:dyDescent="0.25">
      <c r="A451" s="41">
        <v>450</v>
      </c>
      <c r="B451" s="41">
        <v>0</v>
      </c>
      <c r="C451" s="41">
        <v>1</v>
      </c>
    </row>
    <row r="452" spans="1:3" x14ac:dyDescent="0.25">
      <c r="A452" s="41">
        <v>451</v>
      </c>
      <c r="B452" s="41">
        <v>0</v>
      </c>
      <c r="C452" s="41">
        <v>1</v>
      </c>
    </row>
    <row r="453" spans="1:3" x14ac:dyDescent="0.25">
      <c r="A453" s="41">
        <v>452</v>
      </c>
      <c r="B453" s="41">
        <v>0</v>
      </c>
      <c r="C453" s="41">
        <v>1</v>
      </c>
    </row>
    <row r="454" spans="1:3" x14ac:dyDescent="0.25">
      <c r="A454" s="41">
        <v>453</v>
      </c>
      <c r="B454" s="41">
        <v>0</v>
      </c>
      <c r="C454" s="41">
        <v>1</v>
      </c>
    </row>
    <row r="455" spans="1:3" x14ac:dyDescent="0.25">
      <c r="A455" s="41">
        <v>454</v>
      </c>
      <c r="B455" s="41">
        <v>0</v>
      </c>
      <c r="C455" s="41">
        <v>1</v>
      </c>
    </row>
    <row r="456" spans="1:3" x14ac:dyDescent="0.25">
      <c r="A456" s="41">
        <v>455</v>
      </c>
      <c r="B456" s="41">
        <v>0</v>
      </c>
      <c r="C456" s="41">
        <v>1</v>
      </c>
    </row>
    <row r="457" spans="1:3" x14ac:dyDescent="0.25">
      <c r="A457" s="41">
        <v>456</v>
      </c>
      <c r="B457" s="41">
        <v>0</v>
      </c>
      <c r="C457" s="41">
        <v>1</v>
      </c>
    </row>
    <row r="458" spans="1:3" x14ac:dyDescent="0.25">
      <c r="A458" s="41">
        <v>457</v>
      </c>
      <c r="B458" s="41">
        <v>0</v>
      </c>
      <c r="C458" s="41">
        <v>1</v>
      </c>
    </row>
    <row r="459" spans="1:3" x14ac:dyDescent="0.25">
      <c r="A459" s="41">
        <v>458</v>
      </c>
      <c r="B459" s="41">
        <v>0</v>
      </c>
      <c r="C459" s="41">
        <v>1</v>
      </c>
    </row>
    <row r="460" spans="1:3" x14ac:dyDescent="0.25">
      <c r="A460" s="41">
        <v>459</v>
      </c>
      <c r="B460" s="41">
        <v>0</v>
      </c>
      <c r="C460" s="41">
        <v>1</v>
      </c>
    </row>
    <row r="461" spans="1:3" x14ac:dyDescent="0.25">
      <c r="A461" s="41">
        <v>460</v>
      </c>
      <c r="B461" s="41">
        <v>0</v>
      </c>
      <c r="C461" s="41">
        <v>1</v>
      </c>
    </row>
    <row r="462" spans="1:3" x14ac:dyDescent="0.25">
      <c r="A462" s="41">
        <v>461</v>
      </c>
      <c r="B462" s="41">
        <v>0</v>
      </c>
      <c r="C462" s="41">
        <v>1</v>
      </c>
    </row>
    <row r="463" spans="1:3" x14ac:dyDescent="0.25">
      <c r="A463" s="41">
        <v>462</v>
      </c>
      <c r="B463" s="41">
        <v>0</v>
      </c>
      <c r="C463" s="41">
        <v>1</v>
      </c>
    </row>
    <row r="464" spans="1:3" x14ac:dyDescent="0.25">
      <c r="A464" s="41">
        <v>463</v>
      </c>
      <c r="B464" s="41">
        <v>0</v>
      </c>
      <c r="C464" s="41">
        <v>1</v>
      </c>
    </row>
    <row r="465" spans="1:3" x14ac:dyDescent="0.25">
      <c r="A465" s="41">
        <v>464</v>
      </c>
      <c r="B465" s="41">
        <v>0</v>
      </c>
      <c r="C465" s="41">
        <v>1</v>
      </c>
    </row>
    <row r="466" spans="1:3" x14ac:dyDescent="0.25">
      <c r="A466" s="41">
        <v>465</v>
      </c>
      <c r="B466" s="41">
        <v>0</v>
      </c>
      <c r="C466" s="41">
        <v>1</v>
      </c>
    </row>
    <row r="467" spans="1:3" x14ac:dyDescent="0.25">
      <c r="A467" s="41">
        <v>466</v>
      </c>
      <c r="B467" s="41">
        <v>0</v>
      </c>
      <c r="C467" s="41">
        <v>1</v>
      </c>
    </row>
    <row r="468" spans="1:3" x14ac:dyDescent="0.25">
      <c r="A468" s="41">
        <v>467</v>
      </c>
      <c r="B468" s="41">
        <v>0</v>
      </c>
      <c r="C468" s="41">
        <v>1</v>
      </c>
    </row>
    <row r="469" spans="1:3" x14ac:dyDescent="0.25">
      <c r="A469" s="41">
        <v>468</v>
      </c>
      <c r="B469" s="41">
        <v>0</v>
      </c>
      <c r="C469" s="41">
        <v>1</v>
      </c>
    </row>
    <row r="470" spans="1:3" x14ac:dyDescent="0.25">
      <c r="A470" s="41">
        <v>469</v>
      </c>
      <c r="B470" s="41">
        <v>0</v>
      </c>
      <c r="C470" s="41">
        <v>1</v>
      </c>
    </row>
    <row r="471" spans="1:3" x14ac:dyDescent="0.25">
      <c r="A471" s="41">
        <v>470</v>
      </c>
      <c r="B471" s="41">
        <v>0</v>
      </c>
      <c r="C471" s="41">
        <v>1</v>
      </c>
    </row>
    <row r="472" spans="1:3" x14ac:dyDescent="0.25">
      <c r="A472" s="41">
        <v>471</v>
      </c>
      <c r="B472" s="41">
        <v>0</v>
      </c>
      <c r="C472" s="41">
        <v>1</v>
      </c>
    </row>
    <row r="473" spans="1:3" x14ac:dyDescent="0.25">
      <c r="A473" s="41">
        <v>472</v>
      </c>
      <c r="B473" s="41">
        <v>0</v>
      </c>
      <c r="C473" s="41">
        <v>1</v>
      </c>
    </row>
    <row r="474" spans="1:3" x14ac:dyDescent="0.25">
      <c r="A474" s="41">
        <v>473</v>
      </c>
      <c r="B474" s="41">
        <v>0</v>
      </c>
      <c r="C474" s="41">
        <v>1</v>
      </c>
    </row>
    <row r="475" spans="1:3" x14ac:dyDescent="0.25">
      <c r="A475" s="41">
        <v>474</v>
      </c>
      <c r="B475" s="41">
        <v>0</v>
      </c>
      <c r="C475" s="41">
        <v>1</v>
      </c>
    </row>
    <row r="476" spans="1:3" x14ac:dyDescent="0.25">
      <c r="A476" s="41">
        <v>475</v>
      </c>
      <c r="B476" s="41">
        <v>0</v>
      </c>
      <c r="C476" s="41">
        <v>1</v>
      </c>
    </row>
    <row r="477" spans="1:3" x14ac:dyDescent="0.25">
      <c r="A477" s="41">
        <v>476</v>
      </c>
      <c r="B477" s="41">
        <v>0</v>
      </c>
      <c r="C477" s="41">
        <v>1</v>
      </c>
    </row>
    <row r="478" spans="1:3" x14ac:dyDescent="0.25">
      <c r="A478" s="41">
        <v>477</v>
      </c>
      <c r="B478" s="41">
        <v>0</v>
      </c>
      <c r="C478" s="41">
        <v>1</v>
      </c>
    </row>
    <row r="479" spans="1:3" x14ac:dyDescent="0.25">
      <c r="A479" s="41">
        <v>478</v>
      </c>
      <c r="B479" s="41">
        <v>0</v>
      </c>
      <c r="C479" s="41">
        <v>1</v>
      </c>
    </row>
    <row r="480" spans="1:3" x14ac:dyDescent="0.25">
      <c r="A480" s="41">
        <v>479</v>
      </c>
      <c r="B480" s="41">
        <v>0</v>
      </c>
      <c r="C480" s="41">
        <v>1</v>
      </c>
    </row>
    <row r="481" spans="1:3" x14ac:dyDescent="0.25">
      <c r="A481" s="41">
        <v>480</v>
      </c>
      <c r="B481" s="41">
        <v>0</v>
      </c>
      <c r="C481" s="41">
        <v>1</v>
      </c>
    </row>
    <row r="482" spans="1:3" x14ac:dyDescent="0.25">
      <c r="A482" s="41">
        <v>481</v>
      </c>
      <c r="B482" s="41">
        <v>0</v>
      </c>
      <c r="C482" s="41">
        <v>1</v>
      </c>
    </row>
    <row r="483" spans="1:3" x14ac:dyDescent="0.25">
      <c r="A483" s="41">
        <v>482</v>
      </c>
      <c r="B483" s="41">
        <v>0</v>
      </c>
      <c r="C483" s="41">
        <v>1</v>
      </c>
    </row>
    <row r="484" spans="1:3" x14ac:dyDescent="0.25">
      <c r="A484" s="41">
        <v>483</v>
      </c>
      <c r="B484" s="41">
        <v>0</v>
      </c>
      <c r="C484" s="41">
        <v>1</v>
      </c>
    </row>
    <row r="485" spans="1:3" x14ac:dyDescent="0.25">
      <c r="A485" s="41">
        <v>484</v>
      </c>
      <c r="B485" s="41">
        <v>0</v>
      </c>
      <c r="C485" s="41">
        <v>1</v>
      </c>
    </row>
    <row r="486" spans="1:3" x14ac:dyDescent="0.25">
      <c r="A486" s="41">
        <v>485</v>
      </c>
      <c r="B486" s="41">
        <v>0</v>
      </c>
      <c r="C486" s="41">
        <v>1</v>
      </c>
    </row>
    <row r="487" spans="1:3" x14ac:dyDescent="0.25">
      <c r="A487" s="41">
        <v>486</v>
      </c>
      <c r="B487" s="41">
        <v>0</v>
      </c>
      <c r="C487" s="41">
        <v>1</v>
      </c>
    </row>
    <row r="488" spans="1:3" x14ac:dyDescent="0.25">
      <c r="A488" s="41">
        <v>487</v>
      </c>
      <c r="B488" s="41">
        <v>0</v>
      </c>
      <c r="C488" s="41">
        <v>1</v>
      </c>
    </row>
    <row r="489" spans="1:3" x14ac:dyDescent="0.25">
      <c r="A489" s="41">
        <v>488</v>
      </c>
      <c r="B489" s="41">
        <v>0</v>
      </c>
      <c r="C489" s="41">
        <v>1</v>
      </c>
    </row>
    <row r="490" spans="1:3" x14ac:dyDescent="0.25">
      <c r="A490" s="41">
        <v>489</v>
      </c>
      <c r="B490" s="41">
        <v>0</v>
      </c>
      <c r="C490" s="41">
        <v>1</v>
      </c>
    </row>
    <row r="491" spans="1:3" x14ac:dyDescent="0.25">
      <c r="A491" s="41">
        <v>490</v>
      </c>
      <c r="B491" s="41">
        <v>0</v>
      </c>
      <c r="C491" s="41">
        <v>1</v>
      </c>
    </row>
    <row r="492" spans="1:3" x14ac:dyDescent="0.25">
      <c r="A492" s="41">
        <v>491</v>
      </c>
      <c r="B492" s="41">
        <v>0</v>
      </c>
      <c r="C492" s="41">
        <v>1</v>
      </c>
    </row>
    <row r="493" spans="1:3" x14ac:dyDescent="0.25">
      <c r="A493" s="41">
        <v>492</v>
      </c>
      <c r="B493" s="41">
        <v>0</v>
      </c>
      <c r="C493" s="41">
        <v>1</v>
      </c>
    </row>
    <row r="494" spans="1:3" x14ac:dyDescent="0.25">
      <c r="A494" s="41">
        <v>493</v>
      </c>
      <c r="B494" s="41">
        <v>0</v>
      </c>
      <c r="C494" s="41">
        <v>1</v>
      </c>
    </row>
    <row r="495" spans="1:3" x14ac:dyDescent="0.25">
      <c r="A495" s="41">
        <v>494</v>
      </c>
      <c r="B495" s="41">
        <v>0</v>
      </c>
      <c r="C495" s="41">
        <v>1</v>
      </c>
    </row>
    <row r="496" spans="1:3" x14ac:dyDescent="0.25">
      <c r="A496" s="41">
        <v>495</v>
      </c>
      <c r="B496" s="41">
        <v>0</v>
      </c>
      <c r="C496" s="41">
        <v>1</v>
      </c>
    </row>
    <row r="497" spans="1:3" x14ac:dyDescent="0.25">
      <c r="A497" s="41">
        <v>496</v>
      </c>
      <c r="B497" s="41">
        <v>0</v>
      </c>
      <c r="C497" s="41">
        <v>1</v>
      </c>
    </row>
    <row r="498" spans="1:3" x14ac:dyDescent="0.25">
      <c r="A498" s="41">
        <v>497</v>
      </c>
      <c r="B498" s="41">
        <v>0</v>
      </c>
      <c r="C498" s="41">
        <v>1</v>
      </c>
    </row>
    <row r="499" spans="1:3" x14ac:dyDescent="0.25">
      <c r="A499" s="41">
        <v>498</v>
      </c>
      <c r="B499" s="41">
        <v>0</v>
      </c>
      <c r="C499" s="41">
        <v>1</v>
      </c>
    </row>
    <row r="500" spans="1:3" x14ac:dyDescent="0.25">
      <c r="A500" s="41">
        <v>499</v>
      </c>
      <c r="B500" s="41">
        <v>0</v>
      </c>
      <c r="C500" s="41">
        <v>1</v>
      </c>
    </row>
    <row r="501" spans="1:3" x14ac:dyDescent="0.25">
      <c r="A501" s="41">
        <v>500</v>
      </c>
      <c r="B501" s="41">
        <v>0</v>
      </c>
      <c r="C501" s="41">
        <v>1</v>
      </c>
    </row>
    <row r="502" spans="1:3" x14ac:dyDescent="0.25">
      <c r="A502" s="41">
        <v>501</v>
      </c>
      <c r="B502" s="41">
        <v>0</v>
      </c>
      <c r="C502" s="41">
        <v>1</v>
      </c>
    </row>
    <row r="503" spans="1:3" x14ac:dyDescent="0.25">
      <c r="A503" s="41">
        <v>502</v>
      </c>
      <c r="B503" s="41">
        <v>0</v>
      </c>
      <c r="C503" s="41">
        <v>1</v>
      </c>
    </row>
    <row r="504" spans="1:3" x14ac:dyDescent="0.25">
      <c r="A504" s="41">
        <v>503</v>
      </c>
      <c r="B504" s="41">
        <v>0</v>
      </c>
      <c r="C504" s="41">
        <v>1</v>
      </c>
    </row>
    <row r="505" spans="1:3" x14ac:dyDescent="0.25">
      <c r="A505" s="41">
        <v>504</v>
      </c>
      <c r="B505" s="41">
        <v>0</v>
      </c>
      <c r="C505" s="41">
        <v>1</v>
      </c>
    </row>
    <row r="506" spans="1:3" x14ac:dyDescent="0.25">
      <c r="A506" s="41">
        <v>505</v>
      </c>
      <c r="B506" s="41">
        <v>0</v>
      </c>
      <c r="C506" s="41">
        <v>1</v>
      </c>
    </row>
    <row r="507" spans="1:3" x14ac:dyDescent="0.25">
      <c r="A507" s="41">
        <v>506</v>
      </c>
      <c r="B507" s="41">
        <v>0</v>
      </c>
      <c r="C507" s="41">
        <v>1</v>
      </c>
    </row>
    <row r="508" spans="1:3" x14ac:dyDescent="0.25">
      <c r="A508" s="41">
        <v>507</v>
      </c>
      <c r="B508" s="41">
        <v>0</v>
      </c>
      <c r="C508" s="41">
        <v>1</v>
      </c>
    </row>
    <row r="509" spans="1:3" x14ac:dyDescent="0.25">
      <c r="A509" s="41">
        <v>508</v>
      </c>
      <c r="B509" s="41">
        <v>0</v>
      </c>
      <c r="C509" s="41">
        <v>1</v>
      </c>
    </row>
    <row r="510" spans="1:3" x14ac:dyDescent="0.25">
      <c r="A510" s="41">
        <v>509</v>
      </c>
      <c r="B510" s="41">
        <v>0</v>
      </c>
      <c r="C510" s="41">
        <v>1</v>
      </c>
    </row>
    <row r="511" spans="1:3" x14ac:dyDescent="0.25">
      <c r="A511" s="41">
        <v>510</v>
      </c>
      <c r="B511" s="41">
        <v>0</v>
      </c>
      <c r="C511" s="41">
        <v>1</v>
      </c>
    </row>
    <row r="512" spans="1:3" x14ac:dyDescent="0.25">
      <c r="A512" s="41">
        <v>511</v>
      </c>
      <c r="B512" s="41">
        <v>0</v>
      </c>
      <c r="C512" s="41">
        <v>1</v>
      </c>
    </row>
    <row r="513" spans="1:3" x14ac:dyDescent="0.25">
      <c r="A513" s="41">
        <v>512</v>
      </c>
      <c r="B513" s="41">
        <v>0</v>
      </c>
      <c r="C513" s="41">
        <v>1</v>
      </c>
    </row>
    <row r="514" spans="1:3" x14ac:dyDescent="0.25">
      <c r="A514" s="41">
        <v>513</v>
      </c>
      <c r="B514" s="41">
        <v>0</v>
      </c>
      <c r="C514" s="41">
        <v>1</v>
      </c>
    </row>
    <row r="515" spans="1:3" x14ac:dyDescent="0.25">
      <c r="A515" s="41">
        <v>514</v>
      </c>
      <c r="B515" s="41">
        <v>0</v>
      </c>
      <c r="C515" s="41">
        <v>1</v>
      </c>
    </row>
    <row r="516" spans="1:3" x14ac:dyDescent="0.25">
      <c r="A516" s="41">
        <v>515</v>
      </c>
      <c r="B516" s="41">
        <v>0</v>
      </c>
      <c r="C516" s="41">
        <v>1</v>
      </c>
    </row>
    <row r="517" spans="1:3" x14ac:dyDescent="0.25">
      <c r="A517" s="41">
        <v>516</v>
      </c>
      <c r="B517" s="41">
        <v>0</v>
      </c>
      <c r="C517" s="41">
        <v>1</v>
      </c>
    </row>
    <row r="518" spans="1:3" x14ac:dyDescent="0.25">
      <c r="A518" s="41">
        <v>517</v>
      </c>
      <c r="B518" s="41">
        <v>0</v>
      </c>
      <c r="C518" s="41">
        <v>1</v>
      </c>
    </row>
    <row r="519" spans="1:3" x14ac:dyDescent="0.25">
      <c r="A519" s="41">
        <v>518</v>
      </c>
      <c r="B519" s="41">
        <v>0</v>
      </c>
      <c r="C519" s="41">
        <v>1</v>
      </c>
    </row>
    <row r="520" spans="1:3" x14ac:dyDescent="0.25">
      <c r="A520" s="41">
        <v>519</v>
      </c>
      <c r="B520" s="41">
        <v>0</v>
      </c>
      <c r="C520" s="41">
        <v>1</v>
      </c>
    </row>
    <row r="521" spans="1:3" x14ac:dyDescent="0.25">
      <c r="A521" s="41">
        <v>520</v>
      </c>
      <c r="B521" s="41">
        <v>0</v>
      </c>
      <c r="C521" s="41">
        <v>1</v>
      </c>
    </row>
    <row r="522" spans="1:3" x14ac:dyDescent="0.25">
      <c r="A522" s="41">
        <v>521</v>
      </c>
      <c r="B522" s="41">
        <v>0</v>
      </c>
      <c r="C522" s="41">
        <v>1</v>
      </c>
    </row>
    <row r="523" spans="1:3" x14ac:dyDescent="0.25">
      <c r="A523" s="41">
        <v>522</v>
      </c>
      <c r="B523" s="41">
        <v>0</v>
      </c>
      <c r="C523" s="41">
        <v>1</v>
      </c>
    </row>
    <row r="524" spans="1:3" x14ac:dyDescent="0.25">
      <c r="A524" s="41">
        <v>523</v>
      </c>
      <c r="B524" s="41">
        <v>0</v>
      </c>
      <c r="C524" s="41">
        <v>1</v>
      </c>
    </row>
    <row r="525" spans="1:3" x14ac:dyDescent="0.25">
      <c r="A525" s="41">
        <v>524</v>
      </c>
      <c r="B525" s="41">
        <v>0</v>
      </c>
      <c r="C525" s="41">
        <v>1</v>
      </c>
    </row>
    <row r="526" spans="1:3" x14ac:dyDescent="0.25">
      <c r="A526" s="41">
        <v>525</v>
      </c>
      <c r="B526" s="41">
        <v>0</v>
      </c>
      <c r="C526" s="41">
        <v>1</v>
      </c>
    </row>
    <row r="527" spans="1:3" x14ac:dyDescent="0.25">
      <c r="A527" s="41">
        <v>526</v>
      </c>
      <c r="B527" s="41">
        <v>0</v>
      </c>
      <c r="C527" s="41">
        <v>1</v>
      </c>
    </row>
    <row r="528" spans="1:3" x14ac:dyDescent="0.25">
      <c r="A528" s="41">
        <v>527</v>
      </c>
      <c r="B528" s="41">
        <v>0</v>
      </c>
      <c r="C528" s="41">
        <v>1</v>
      </c>
    </row>
    <row r="529" spans="1:3" x14ac:dyDescent="0.25">
      <c r="A529" s="41">
        <v>528</v>
      </c>
      <c r="B529" s="41">
        <v>0</v>
      </c>
      <c r="C529" s="41">
        <v>1</v>
      </c>
    </row>
    <row r="530" spans="1:3" x14ac:dyDescent="0.25">
      <c r="A530" s="41">
        <v>529</v>
      </c>
      <c r="B530" s="41">
        <v>0</v>
      </c>
      <c r="C530" s="41">
        <v>1</v>
      </c>
    </row>
    <row r="531" spans="1:3" x14ac:dyDescent="0.25">
      <c r="A531" s="41">
        <v>530</v>
      </c>
      <c r="B531" s="41">
        <v>0</v>
      </c>
      <c r="C531" s="41">
        <v>1</v>
      </c>
    </row>
    <row r="532" spans="1:3" x14ac:dyDescent="0.25">
      <c r="A532" s="41">
        <v>531</v>
      </c>
      <c r="B532" s="41">
        <v>0</v>
      </c>
      <c r="C532" s="41">
        <v>1</v>
      </c>
    </row>
    <row r="533" spans="1:3" x14ac:dyDescent="0.25">
      <c r="A533" s="41">
        <v>532</v>
      </c>
      <c r="B533" s="41">
        <v>0</v>
      </c>
      <c r="C533" s="41">
        <v>1</v>
      </c>
    </row>
    <row r="534" spans="1:3" x14ac:dyDescent="0.25">
      <c r="A534" s="41">
        <v>533</v>
      </c>
      <c r="B534" s="41">
        <v>0</v>
      </c>
      <c r="C534" s="41">
        <v>1</v>
      </c>
    </row>
    <row r="535" spans="1:3" x14ac:dyDescent="0.25">
      <c r="A535" s="41">
        <v>534</v>
      </c>
      <c r="B535" s="41">
        <v>0</v>
      </c>
      <c r="C535" s="41">
        <v>1</v>
      </c>
    </row>
    <row r="536" spans="1:3" x14ac:dyDescent="0.25">
      <c r="A536" s="41">
        <v>535</v>
      </c>
      <c r="B536" s="41">
        <v>0</v>
      </c>
      <c r="C536" s="41">
        <v>1</v>
      </c>
    </row>
    <row r="537" spans="1:3" x14ac:dyDescent="0.25">
      <c r="A537" s="41">
        <v>536</v>
      </c>
      <c r="B537" s="41">
        <v>0</v>
      </c>
      <c r="C537" s="41">
        <v>1</v>
      </c>
    </row>
    <row r="538" spans="1:3" x14ac:dyDescent="0.25">
      <c r="A538" s="41">
        <v>537</v>
      </c>
      <c r="B538" s="41">
        <v>0</v>
      </c>
      <c r="C538" s="41">
        <v>1</v>
      </c>
    </row>
    <row r="539" spans="1:3" x14ac:dyDescent="0.25">
      <c r="A539" s="41">
        <v>538</v>
      </c>
      <c r="B539" s="41">
        <v>0</v>
      </c>
      <c r="C539" s="41">
        <v>1</v>
      </c>
    </row>
    <row r="540" spans="1:3" x14ac:dyDescent="0.25">
      <c r="A540" s="41">
        <v>539</v>
      </c>
      <c r="B540" s="41">
        <v>0</v>
      </c>
      <c r="C540" s="41">
        <v>1</v>
      </c>
    </row>
    <row r="541" spans="1:3" x14ac:dyDescent="0.25">
      <c r="A541" s="41">
        <v>540</v>
      </c>
      <c r="B541" s="41">
        <v>0</v>
      </c>
      <c r="C541" s="41">
        <v>1</v>
      </c>
    </row>
    <row r="542" spans="1:3" x14ac:dyDescent="0.25">
      <c r="A542" s="41">
        <v>541</v>
      </c>
      <c r="B542" s="41">
        <v>0</v>
      </c>
      <c r="C542" s="41">
        <v>1</v>
      </c>
    </row>
    <row r="543" spans="1:3" x14ac:dyDescent="0.25">
      <c r="A543" s="41">
        <v>542</v>
      </c>
      <c r="B543" s="41">
        <v>0</v>
      </c>
      <c r="C543" s="41">
        <v>1</v>
      </c>
    </row>
    <row r="544" spans="1:3" x14ac:dyDescent="0.25">
      <c r="A544" s="41">
        <v>543</v>
      </c>
      <c r="B544" s="41">
        <v>0</v>
      </c>
      <c r="C544" s="41">
        <v>1</v>
      </c>
    </row>
    <row r="545" spans="1:3" x14ac:dyDescent="0.25">
      <c r="A545" s="41">
        <v>544</v>
      </c>
      <c r="B545" s="41">
        <v>0</v>
      </c>
      <c r="C545" s="41">
        <v>1</v>
      </c>
    </row>
    <row r="546" spans="1:3" x14ac:dyDescent="0.25">
      <c r="A546" s="41">
        <v>545</v>
      </c>
      <c r="B546" s="41">
        <v>0</v>
      </c>
      <c r="C546" s="41">
        <v>1</v>
      </c>
    </row>
    <row r="547" spans="1:3" x14ac:dyDescent="0.25">
      <c r="A547" s="41">
        <v>546</v>
      </c>
      <c r="B547" s="41">
        <v>0</v>
      </c>
      <c r="C547" s="41">
        <v>1</v>
      </c>
    </row>
    <row r="548" spans="1:3" x14ac:dyDescent="0.25">
      <c r="A548" s="41">
        <v>547</v>
      </c>
      <c r="B548" s="41">
        <v>0</v>
      </c>
      <c r="C548" s="41">
        <v>1</v>
      </c>
    </row>
    <row r="549" spans="1:3" x14ac:dyDescent="0.25">
      <c r="A549" s="41">
        <v>548</v>
      </c>
      <c r="B549" s="41">
        <v>0</v>
      </c>
      <c r="C549" s="41">
        <v>1</v>
      </c>
    </row>
    <row r="550" spans="1:3" x14ac:dyDescent="0.25">
      <c r="A550" s="41">
        <v>549</v>
      </c>
      <c r="B550" s="41">
        <v>0</v>
      </c>
      <c r="C550" s="41">
        <v>1</v>
      </c>
    </row>
    <row r="551" spans="1:3" x14ac:dyDescent="0.25">
      <c r="A551" s="41">
        <v>550</v>
      </c>
      <c r="B551" s="41">
        <v>0</v>
      </c>
      <c r="C551" s="41">
        <v>1</v>
      </c>
    </row>
    <row r="552" spans="1:3" x14ac:dyDescent="0.25">
      <c r="A552" s="41">
        <v>551</v>
      </c>
      <c r="B552" s="41">
        <v>0</v>
      </c>
      <c r="C552" s="41">
        <v>1</v>
      </c>
    </row>
    <row r="553" spans="1:3" x14ac:dyDescent="0.25">
      <c r="A553" s="41">
        <v>552</v>
      </c>
      <c r="B553" s="41">
        <v>0</v>
      </c>
      <c r="C553" s="41">
        <v>1</v>
      </c>
    </row>
    <row r="554" spans="1:3" x14ac:dyDescent="0.25">
      <c r="A554" s="41">
        <v>553</v>
      </c>
      <c r="B554" s="41">
        <v>0</v>
      </c>
      <c r="C554" s="41">
        <v>1</v>
      </c>
    </row>
    <row r="555" spans="1:3" x14ac:dyDescent="0.25">
      <c r="A555" s="41">
        <v>554</v>
      </c>
      <c r="B555" s="41">
        <v>0</v>
      </c>
      <c r="C555" s="41">
        <v>1</v>
      </c>
    </row>
    <row r="556" spans="1:3" x14ac:dyDescent="0.25">
      <c r="A556" s="41">
        <v>555</v>
      </c>
      <c r="B556" s="41">
        <v>0</v>
      </c>
      <c r="C556" s="41">
        <v>1</v>
      </c>
    </row>
    <row r="557" spans="1:3" x14ac:dyDescent="0.25">
      <c r="A557" s="41">
        <v>556</v>
      </c>
      <c r="B557" s="41">
        <v>0</v>
      </c>
      <c r="C557" s="41">
        <v>1</v>
      </c>
    </row>
    <row r="558" spans="1:3" x14ac:dyDescent="0.25">
      <c r="A558" s="41">
        <v>557</v>
      </c>
      <c r="B558" s="41">
        <v>0</v>
      </c>
      <c r="C558" s="41">
        <v>1</v>
      </c>
    </row>
    <row r="559" spans="1:3" x14ac:dyDescent="0.25">
      <c r="A559" s="41">
        <v>558</v>
      </c>
      <c r="B559" s="41">
        <v>0</v>
      </c>
      <c r="C559" s="41">
        <v>1</v>
      </c>
    </row>
    <row r="560" spans="1:3" x14ac:dyDescent="0.25">
      <c r="A560" s="41">
        <v>559</v>
      </c>
      <c r="B560" s="41">
        <v>0</v>
      </c>
      <c r="C560" s="41">
        <v>1</v>
      </c>
    </row>
    <row r="561" spans="1:3" x14ac:dyDescent="0.25">
      <c r="A561" s="41">
        <v>560</v>
      </c>
      <c r="B561" s="41">
        <v>0</v>
      </c>
      <c r="C561" s="41">
        <v>1</v>
      </c>
    </row>
    <row r="562" spans="1:3" x14ac:dyDescent="0.25">
      <c r="A562" s="41">
        <v>561</v>
      </c>
      <c r="B562" s="41">
        <v>0</v>
      </c>
      <c r="C562" s="41">
        <v>1</v>
      </c>
    </row>
    <row r="563" spans="1:3" x14ac:dyDescent="0.25">
      <c r="A563" s="41">
        <v>562</v>
      </c>
      <c r="B563" s="41">
        <v>0</v>
      </c>
      <c r="C563" s="41">
        <v>1</v>
      </c>
    </row>
    <row r="564" spans="1:3" x14ac:dyDescent="0.25">
      <c r="A564" s="41">
        <v>563</v>
      </c>
      <c r="B564" s="41">
        <v>0</v>
      </c>
      <c r="C564" s="41">
        <v>1</v>
      </c>
    </row>
    <row r="565" spans="1:3" x14ac:dyDescent="0.25">
      <c r="A565" s="41">
        <v>564</v>
      </c>
      <c r="B565" s="41">
        <v>0</v>
      </c>
      <c r="C565" s="41">
        <v>1</v>
      </c>
    </row>
    <row r="566" spans="1:3" x14ac:dyDescent="0.25">
      <c r="A566" s="41">
        <v>565</v>
      </c>
      <c r="B566" s="41">
        <v>0</v>
      </c>
      <c r="C566" s="41">
        <v>1</v>
      </c>
    </row>
    <row r="567" spans="1:3" x14ac:dyDescent="0.25">
      <c r="A567" s="41">
        <v>566</v>
      </c>
      <c r="B567" s="41">
        <v>0</v>
      </c>
      <c r="C567" s="41">
        <v>1</v>
      </c>
    </row>
    <row r="568" spans="1:3" x14ac:dyDescent="0.25">
      <c r="A568" s="41">
        <v>567</v>
      </c>
      <c r="B568" s="41">
        <v>0</v>
      </c>
      <c r="C568" s="41">
        <v>1</v>
      </c>
    </row>
    <row r="569" spans="1:3" x14ac:dyDescent="0.25">
      <c r="A569" s="41">
        <v>568</v>
      </c>
      <c r="B569" s="41">
        <v>0</v>
      </c>
      <c r="C569" s="41">
        <v>1</v>
      </c>
    </row>
    <row r="570" spans="1:3" x14ac:dyDescent="0.25">
      <c r="A570" s="41">
        <v>569</v>
      </c>
      <c r="B570" s="41">
        <v>0</v>
      </c>
      <c r="C570" s="41">
        <v>1</v>
      </c>
    </row>
    <row r="571" spans="1:3" x14ac:dyDescent="0.25">
      <c r="A571" s="41">
        <v>570</v>
      </c>
      <c r="B571" s="41">
        <v>0</v>
      </c>
      <c r="C571" s="41">
        <v>1</v>
      </c>
    </row>
    <row r="572" spans="1:3" x14ac:dyDescent="0.25">
      <c r="A572" s="41">
        <v>571</v>
      </c>
      <c r="B572" s="41">
        <v>0</v>
      </c>
      <c r="C572" s="41">
        <v>1</v>
      </c>
    </row>
    <row r="573" spans="1:3" x14ac:dyDescent="0.25">
      <c r="A573" s="41">
        <v>572</v>
      </c>
      <c r="B573" s="41">
        <v>0</v>
      </c>
      <c r="C573" s="41">
        <v>1</v>
      </c>
    </row>
    <row r="574" spans="1:3" x14ac:dyDescent="0.25">
      <c r="A574" s="41">
        <v>573</v>
      </c>
      <c r="B574" s="41">
        <v>0</v>
      </c>
      <c r="C574" s="41">
        <v>1</v>
      </c>
    </row>
    <row r="575" spans="1:3" x14ac:dyDescent="0.25">
      <c r="A575" s="41">
        <v>574</v>
      </c>
      <c r="B575" s="41">
        <v>0</v>
      </c>
      <c r="C575" s="41">
        <v>1</v>
      </c>
    </row>
    <row r="576" spans="1:3" x14ac:dyDescent="0.25">
      <c r="A576" s="41">
        <v>575</v>
      </c>
      <c r="B576" s="41">
        <v>0</v>
      </c>
      <c r="C576" s="41">
        <v>1</v>
      </c>
    </row>
    <row r="577" spans="1:3" x14ac:dyDescent="0.25">
      <c r="A577" s="41">
        <v>576</v>
      </c>
      <c r="B577" s="41">
        <v>0</v>
      </c>
      <c r="C577" s="41">
        <v>1</v>
      </c>
    </row>
    <row r="578" spans="1:3" x14ac:dyDescent="0.25">
      <c r="A578" s="41">
        <v>577</v>
      </c>
      <c r="B578" s="41">
        <v>0</v>
      </c>
      <c r="C578" s="41">
        <v>1</v>
      </c>
    </row>
    <row r="579" spans="1:3" x14ac:dyDescent="0.25">
      <c r="A579" s="41">
        <v>578</v>
      </c>
      <c r="B579" s="41">
        <v>0</v>
      </c>
      <c r="C579" s="41">
        <v>1</v>
      </c>
    </row>
    <row r="580" spans="1:3" x14ac:dyDescent="0.25">
      <c r="A580" s="41">
        <v>579</v>
      </c>
      <c r="B580" s="41">
        <v>0</v>
      </c>
      <c r="C580" s="41">
        <v>1</v>
      </c>
    </row>
    <row r="581" spans="1:3" x14ac:dyDescent="0.25">
      <c r="A581" s="41">
        <v>580</v>
      </c>
      <c r="B581" s="41">
        <v>0</v>
      </c>
      <c r="C581" s="41">
        <v>1</v>
      </c>
    </row>
    <row r="582" spans="1:3" x14ac:dyDescent="0.25">
      <c r="A582" s="41">
        <v>581</v>
      </c>
      <c r="B582" s="41">
        <v>0</v>
      </c>
      <c r="C582" s="41">
        <v>1</v>
      </c>
    </row>
    <row r="583" spans="1:3" x14ac:dyDescent="0.25">
      <c r="A583" s="41">
        <v>582</v>
      </c>
      <c r="B583" s="41">
        <v>0</v>
      </c>
      <c r="C583" s="41">
        <v>1</v>
      </c>
    </row>
    <row r="584" spans="1:3" x14ac:dyDescent="0.25">
      <c r="A584" s="41">
        <v>583</v>
      </c>
      <c r="B584" s="41">
        <v>0</v>
      </c>
      <c r="C584" s="41">
        <v>1</v>
      </c>
    </row>
    <row r="585" spans="1:3" x14ac:dyDescent="0.25">
      <c r="A585" s="41">
        <v>584</v>
      </c>
      <c r="B585" s="41">
        <v>0</v>
      </c>
      <c r="C585" s="41">
        <v>1</v>
      </c>
    </row>
    <row r="586" spans="1:3" x14ac:dyDescent="0.25">
      <c r="A586" s="41">
        <v>585</v>
      </c>
      <c r="B586" s="41">
        <v>0</v>
      </c>
      <c r="C586" s="41">
        <v>1</v>
      </c>
    </row>
    <row r="587" spans="1:3" x14ac:dyDescent="0.25">
      <c r="A587" s="41">
        <v>586</v>
      </c>
      <c r="B587" s="41">
        <v>0</v>
      </c>
      <c r="C587" s="41">
        <v>1</v>
      </c>
    </row>
    <row r="588" spans="1:3" x14ac:dyDescent="0.25">
      <c r="A588" s="41">
        <v>587</v>
      </c>
      <c r="B588" s="41">
        <v>0</v>
      </c>
      <c r="C588" s="41">
        <v>1</v>
      </c>
    </row>
    <row r="589" spans="1:3" x14ac:dyDescent="0.25">
      <c r="A589" s="41">
        <v>588</v>
      </c>
      <c r="B589" s="41">
        <v>0</v>
      </c>
      <c r="C589" s="41">
        <v>1</v>
      </c>
    </row>
    <row r="590" spans="1:3" x14ac:dyDescent="0.25">
      <c r="A590" s="41">
        <v>589</v>
      </c>
      <c r="B590" s="41">
        <v>0</v>
      </c>
      <c r="C590" s="41">
        <v>1</v>
      </c>
    </row>
    <row r="591" spans="1:3" x14ac:dyDescent="0.25">
      <c r="A591" s="41">
        <v>590</v>
      </c>
      <c r="B591" s="41">
        <v>0</v>
      </c>
      <c r="C591" s="41">
        <v>1</v>
      </c>
    </row>
    <row r="592" spans="1:3" x14ac:dyDescent="0.25">
      <c r="A592" s="41">
        <v>591</v>
      </c>
      <c r="B592" s="41">
        <v>0</v>
      </c>
      <c r="C592" s="41">
        <v>1</v>
      </c>
    </row>
    <row r="593" spans="1:3" x14ac:dyDescent="0.25">
      <c r="A593" s="41">
        <v>592</v>
      </c>
      <c r="B593" s="41">
        <v>0</v>
      </c>
      <c r="C593" s="41">
        <v>1</v>
      </c>
    </row>
    <row r="594" spans="1:3" x14ac:dyDescent="0.25">
      <c r="A594" s="41">
        <v>593</v>
      </c>
      <c r="B594" s="41">
        <v>0</v>
      </c>
      <c r="C594" s="41">
        <v>1</v>
      </c>
    </row>
    <row r="595" spans="1:3" x14ac:dyDescent="0.25">
      <c r="A595" s="41">
        <v>594</v>
      </c>
      <c r="B595" s="41">
        <v>0</v>
      </c>
      <c r="C595" s="41">
        <v>1</v>
      </c>
    </row>
    <row r="596" spans="1:3" x14ac:dyDescent="0.25">
      <c r="A596" s="41">
        <v>595</v>
      </c>
      <c r="B596" s="41">
        <v>0</v>
      </c>
      <c r="C596" s="41">
        <v>1</v>
      </c>
    </row>
    <row r="597" spans="1:3" x14ac:dyDescent="0.25">
      <c r="A597" s="41">
        <v>596</v>
      </c>
      <c r="B597" s="41">
        <v>0</v>
      </c>
      <c r="C597" s="41">
        <v>1</v>
      </c>
    </row>
    <row r="598" spans="1:3" x14ac:dyDescent="0.25">
      <c r="A598" s="41">
        <v>597</v>
      </c>
      <c r="B598" s="41">
        <v>0</v>
      </c>
      <c r="C598" s="41">
        <v>1</v>
      </c>
    </row>
    <row r="599" spans="1:3" x14ac:dyDescent="0.25">
      <c r="A599" s="41">
        <v>598</v>
      </c>
      <c r="B599" s="41">
        <v>0</v>
      </c>
      <c r="C599" s="41">
        <v>1</v>
      </c>
    </row>
    <row r="600" spans="1:3" x14ac:dyDescent="0.25">
      <c r="A600" s="41">
        <v>599</v>
      </c>
      <c r="B600" s="41">
        <v>0</v>
      </c>
      <c r="C600" s="41">
        <v>1</v>
      </c>
    </row>
    <row r="601" spans="1:3" x14ac:dyDescent="0.25">
      <c r="A601" s="41">
        <v>600</v>
      </c>
      <c r="B601" s="41">
        <v>0</v>
      </c>
      <c r="C601" s="41">
        <v>1</v>
      </c>
    </row>
    <row r="602" spans="1:3" x14ac:dyDescent="0.25">
      <c r="A602" s="41">
        <v>601</v>
      </c>
      <c r="B602" s="41">
        <v>0</v>
      </c>
      <c r="C602" s="41">
        <v>1</v>
      </c>
    </row>
    <row r="603" spans="1:3" x14ac:dyDescent="0.25">
      <c r="A603" s="41">
        <v>602</v>
      </c>
      <c r="B603" s="41">
        <v>0</v>
      </c>
      <c r="C603" s="41">
        <v>1</v>
      </c>
    </row>
    <row r="604" spans="1:3" x14ac:dyDescent="0.25">
      <c r="A604" s="41">
        <v>603</v>
      </c>
      <c r="B604" s="41">
        <v>0</v>
      </c>
      <c r="C604" s="41">
        <v>1</v>
      </c>
    </row>
    <row r="605" spans="1:3" x14ac:dyDescent="0.25">
      <c r="A605" s="41">
        <v>604</v>
      </c>
      <c r="B605" s="41">
        <v>0</v>
      </c>
      <c r="C605" s="41">
        <v>1</v>
      </c>
    </row>
    <row r="606" spans="1:3" x14ac:dyDescent="0.25">
      <c r="A606" s="41">
        <v>605</v>
      </c>
      <c r="B606" s="41">
        <v>0</v>
      </c>
      <c r="C606" s="41">
        <v>1</v>
      </c>
    </row>
    <row r="607" spans="1:3" x14ac:dyDescent="0.25">
      <c r="A607" s="41">
        <v>606</v>
      </c>
      <c r="B607" s="41">
        <v>0</v>
      </c>
      <c r="C607" s="41">
        <v>1</v>
      </c>
    </row>
    <row r="608" spans="1:3" x14ac:dyDescent="0.25">
      <c r="A608" s="41">
        <v>607</v>
      </c>
      <c r="B608" s="41">
        <v>0</v>
      </c>
      <c r="C608" s="41">
        <v>1</v>
      </c>
    </row>
    <row r="609" spans="1:3" x14ac:dyDescent="0.25">
      <c r="A609" s="41">
        <v>608</v>
      </c>
      <c r="B609" s="41">
        <v>0</v>
      </c>
      <c r="C609" s="41">
        <v>1</v>
      </c>
    </row>
    <row r="610" spans="1:3" x14ac:dyDescent="0.25">
      <c r="A610" s="41">
        <v>609</v>
      </c>
      <c r="B610" s="41">
        <v>0</v>
      </c>
      <c r="C610" s="41">
        <v>1</v>
      </c>
    </row>
    <row r="611" spans="1:3" x14ac:dyDescent="0.25">
      <c r="A611" s="41">
        <v>610</v>
      </c>
      <c r="B611" s="41">
        <v>0</v>
      </c>
      <c r="C611" s="41">
        <v>1</v>
      </c>
    </row>
    <row r="612" spans="1:3" x14ac:dyDescent="0.25">
      <c r="A612" s="41">
        <v>611</v>
      </c>
      <c r="B612" s="41">
        <v>0</v>
      </c>
      <c r="C612" s="41">
        <v>1</v>
      </c>
    </row>
    <row r="613" spans="1:3" x14ac:dyDescent="0.25">
      <c r="A613" s="41">
        <v>612</v>
      </c>
      <c r="B613" s="41">
        <v>0</v>
      </c>
      <c r="C613" s="41">
        <v>1</v>
      </c>
    </row>
    <row r="614" spans="1:3" x14ac:dyDescent="0.25">
      <c r="A614" s="41">
        <v>613</v>
      </c>
      <c r="B614" s="41">
        <v>0</v>
      </c>
      <c r="C614" s="41">
        <v>1</v>
      </c>
    </row>
    <row r="615" spans="1:3" x14ac:dyDescent="0.25">
      <c r="A615" s="41">
        <v>614</v>
      </c>
      <c r="B615" s="41">
        <v>0</v>
      </c>
      <c r="C615" s="41">
        <v>1</v>
      </c>
    </row>
    <row r="616" spans="1:3" x14ac:dyDescent="0.25">
      <c r="A616" s="41">
        <v>615</v>
      </c>
      <c r="B616" s="41">
        <v>0</v>
      </c>
      <c r="C616" s="41">
        <v>1</v>
      </c>
    </row>
    <row r="617" spans="1:3" x14ac:dyDescent="0.25">
      <c r="A617" s="41">
        <v>616</v>
      </c>
      <c r="B617" s="41">
        <v>0</v>
      </c>
      <c r="C617" s="41">
        <v>1</v>
      </c>
    </row>
    <row r="618" spans="1:3" x14ac:dyDescent="0.25">
      <c r="A618" s="41">
        <v>617</v>
      </c>
      <c r="B618" s="41">
        <v>0</v>
      </c>
      <c r="C618" s="41">
        <v>1</v>
      </c>
    </row>
    <row r="619" spans="1:3" x14ac:dyDescent="0.25">
      <c r="A619" s="41">
        <v>618</v>
      </c>
      <c r="B619" s="41">
        <v>0</v>
      </c>
      <c r="C619" s="41">
        <v>1</v>
      </c>
    </row>
    <row r="620" spans="1:3" x14ac:dyDescent="0.25">
      <c r="A620" s="41">
        <v>619</v>
      </c>
      <c r="B620" s="41">
        <v>0</v>
      </c>
      <c r="C620" s="41">
        <v>1</v>
      </c>
    </row>
    <row r="621" spans="1:3" x14ac:dyDescent="0.25">
      <c r="A621" s="41">
        <v>620</v>
      </c>
      <c r="B621" s="41">
        <v>0</v>
      </c>
      <c r="C621" s="41">
        <v>1</v>
      </c>
    </row>
    <row r="622" spans="1:3" x14ac:dyDescent="0.25">
      <c r="A622" s="41">
        <v>621</v>
      </c>
      <c r="B622" s="41">
        <v>0</v>
      </c>
      <c r="C622" s="41">
        <v>1</v>
      </c>
    </row>
    <row r="623" spans="1:3" x14ac:dyDescent="0.25">
      <c r="A623" s="41">
        <v>622</v>
      </c>
      <c r="B623" s="41">
        <v>0</v>
      </c>
      <c r="C623" s="41">
        <v>1</v>
      </c>
    </row>
    <row r="624" spans="1:3" x14ac:dyDescent="0.25">
      <c r="A624" s="41">
        <v>623</v>
      </c>
      <c r="B624" s="41">
        <v>0</v>
      </c>
      <c r="C624" s="41">
        <v>1</v>
      </c>
    </row>
    <row r="625" spans="1:3" x14ac:dyDescent="0.25">
      <c r="A625" s="41">
        <v>624</v>
      </c>
      <c r="B625" s="41">
        <v>0</v>
      </c>
      <c r="C625" s="41">
        <v>1</v>
      </c>
    </row>
    <row r="626" spans="1:3" x14ac:dyDescent="0.25">
      <c r="A626" s="41">
        <v>625</v>
      </c>
      <c r="B626" s="41">
        <v>0</v>
      </c>
      <c r="C626" s="41">
        <v>1</v>
      </c>
    </row>
    <row r="627" spans="1:3" x14ac:dyDescent="0.25">
      <c r="A627" s="41">
        <v>626</v>
      </c>
      <c r="B627" s="41">
        <v>0</v>
      </c>
      <c r="C627" s="41">
        <v>1</v>
      </c>
    </row>
    <row r="628" spans="1:3" x14ac:dyDescent="0.25">
      <c r="A628" s="41">
        <v>627</v>
      </c>
      <c r="B628" s="41">
        <v>0</v>
      </c>
      <c r="C628" s="41">
        <v>1</v>
      </c>
    </row>
    <row r="629" spans="1:3" x14ac:dyDescent="0.25">
      <c r="A629" s="41">
        <v>628</v>
      </c>
      <c r="B629" s="41">
        <v>0</v>
      </c>
      <c r="C629" s="41">
        <v>1</v>
      </c>
    </row>
    <row r="630" spans="1:3" x14ac:dyDescent="0.25">
      <c r="A630" s="41">
        <v>629</v>
      </c>
      <c r="B630" s="41">
        <v>0</v>
      </c>
      <c r="C630" s="41">
        <v>1</v>
      </c>
    </row>
    <row r="631" spans="1:3" x14ac:dyDescent="0.25">
      <c r="A631" s="41">
        <v>630</v>
      </c>
      <c r="B631" s="41">
        <v>0</v>
      </c>
      <c r="C631" s="41">
        <v>1</v>
      </c>
    </row>
    <row r="632" spans="1:3" x14ac:dyDescent="0.25">
      <c r="A632" s="41">
        <v>631</v>
      </c>
      <c r="B632" s="41">
        <v>0</v>
      </c>
      <c r="C632" s="41">
        <v>1</v>
      </c>
    </row>
    <row r="633" spans="1:3" x14ac:dyDescent="0.25">
      <c r="A633" s="41">
        <v>632</v>
      </c>
      <c r="B633" s="41">
        <v>0</v>
      </c>
      <c r="C633" s="41">
        <v>1</v>
      </c>
    </row>
    <row r="634" spans="1:3" x14ac:dyDescent="0.25">
      <c r="A634" s="41">
        <v>633</v>
      </c>
      <c r="B634" s="41">
        <v>0</v>
      </c>
      <c r="C634" s="41">
        <v>1</v>
      </c>
    </row>
    <row r="635" spans="1:3" x14ac:dyDescent="0.25">
      <c r="A635" s="41">
        <v>634</v>
      </c>
      <c r="B635" s="41">
        <v>0</v>
      </c>
      <c r="C635" s="41">
        <v>1</v>
      </c>
    </row>
    <row r="636" spans="1:3" x14ac:dyDescent="0.25">
      <c r="A636" s="41">
        <v>635</v>
      </c>
      <c r="B636" s="41">
        <v>0</v>
      </c>
      <c r="C636" s="41">
        <v>1</v>
      </c>
    </row>
    <row r="637" spans="1:3" x14ac:dyDescent="0.25">
      <c r="A637" s="41">
        <v>636</v>
      </c>
      <c r="B637" s="41">
        <v>0</v>
      </c>
      <c r="C637" s="41">
        <v>1</v>
      </c>
    </row>
    <row r="638" spans="1:3" x14ac:dyDescent="0.25">
      <c r="A638" s="41">
        <v>637</v>
      </c>
      <c r="B638" s="41">
        <v>0</v>
      </c>
      <c r="C638" s="41">
        <v>1</v>
      </c>
    </row>
    <row r="639" spans="1:3" x14ac:dyDescent="0.25">
      <c r="A639" s="41">
        <v>638</v>
      </c>
      <c r="B639" s="41">
        <v>0</v>
      </c>
      <c r="C639" s="41">
        <v>1</v>
      </c>
    </row>
    <row r="640" spans="1:3" x14ac:dyDescent="0.25">
      <c r="A640" s="41">
        <v>639</v>
      </c>
      <c r="B640" s="41">
        <v>0</v>
      </c>
      <c r="C640" s="41">
        <v>1</v>
      </c>
    </row>
    <row r="641" spans="1:3" x14ac:dyDescent="0.25">
      <c r="A641" s="41">
        <v>640</v>
      </c>
      <c r="B641" s="41">
        <v>0</v>
      </c>
      <c r="C641" s="41">
        <v>1</v>
      </c>
    </row>
    <row r="642" spans="1:3" x14ac:dyDescent="0.25">
      <c r="A642" s="41">
        <v>641</v>
      </c>
      <c r="B642" s="41">
        <v>0</v>
      </c>
      <c r="C642" s="41">
        <v>1</v>
      </c>
    </row>
    <row r="643" spans="1:3" x14ac:dyDescent="0.25">
      <c r="A643" s="41">
        <v>642</v>
      </c>
      <c r="B643" s="41">
        <v>0</v>
      </c>
      <c r="C643" s="41">
        <v>1</v>
      </c>
    </row>
    <row r="644" spans="1:3" x14ac:dyDescent="0.25">
      <c r="A644" s="41">
        <v>643</v>
      </c>
      <c r="B644" s="41">
        <v>0</v>
      </c>
      <c r="C644" s="41">
        <v>1</v>
      </c>
    </row>
    <row r="645" spans="1:3" x14ac:dyDescent="0.25">
      <c r="A645" s="41">
        <v>644</v>
      </c>
      <c r="B645" s="41">
        <v>0</v>
      </c>
      <c r="C645" s="41">
        <v>1</v>
      </c>
    </row>
    <row r="646" spans="1:3" x14ac:dyDescent="0.25">
      <c r="A646" s="41">
        <v>645</v>
      </c>
      <c r="B646" s="41">
        <v>0</v>
      </c>
      <c r="C646" s="41">
        <v>1</v>
      </c>
    </row>
    <row r="647" spans="1:3" x14ac:dyDescent="0.25">
      <c r="A647" s="41">
        <v>646</v>
      </c>
      <c r="B647" s="41">
        <v>0</v>
      </c>
      <c r="C647" s="41">
        <v>1</v>
      </c>
    </row>
    <row r="648" spans="1:3" x14ac:dyDescent="0.25">
      <c r="A648" s="41">
        <v>647</v>
      </c>
      <c r="B648" s="41">
        <v>0</v>
      </c>
      <c r="C648" s="41">
        <v>1</v>
      </c>
    </row>
    <row r="649" spans="1:3" x14ac:dyDescent="0.25">
      <c r="A649" s="41">
        <v>648</v>
      </c>
      <c r="B649" s="41">
        <v>0</v>
      </c>
      <c r="C649" s="41">
        <v>1</v>
      </c>
    </row>
    <row r="650" spans="1:3" x14ac:dyDescent="0.25">
      <c r="A650" s="41">
        <v>649</v>
      </c>
      <c r="B650" s="41">
        <v>0</v>
      </c>
      <c r="C650" s="41">
        <v>1</v>
      </c>
    </row>
    <row r="651" spans="1:3" x14ac:dyDescent="0.25">
      <c r="A651" s="41">
        <v>650</v>
      </c>
      <c r="B651" s="41">
        <v>0</v>
      </c>
      <c r="C651" s="41">
        <v>1</v>
      </c>
    </row>
    <row r="652" spans="1:3" x14ac:dyDescent="0.25">
      <c r="A652" s="41">
        <v>651</v>
      </c>
      <c r="B652" s="41">
        <v>0</v>
      </c>
      <c r="C652" s="41">
        <v>1</v>
      </c>
    </row>
    <row r="653" spans="1:3" x14ac:dyDescent="0.25">
      <c r="A653" s="41">
        <v>652</v>
      </c>
      <c r="B653" s="41">
        <v>0</v>
      </c>
      <c r="C653" s="41">
        <v>1</v>
      </c>
    </row>
    <row r="654" spans="1:3" x14ac:dyDescent="0.25">
      <c r="A654" s="41">
        <v>653</v>
      </c>
      <c r="B654" s="41">
        <v>0</v>
      </c>
      <c r="C654" s="41">
        <v>1</v>
      </c>
    </row>
    <row r="655" spans="1:3" x14ac:dyDescent="0.25">
      <c r="A655" s="41">
        <v>654</v>
      </c>
      <c r="B655" s="41">
        <v>0</v>
      </c>
      <c r="C655" s="41">
        <v>1</v>
      </c>
    </row>
    <row r="656" spans="1:3" x14ac:dyDescent="0.25">
      <c r="A656" s="41">
        <v>655</v>
      </c>
      <c r="B656" s="41">
        <v>0</v>
      </c>
      <c r="C656" s="41">
        <v>1</v>
      </c>
    </row>
    <row r="657" spans="1:3" x14ac:dyDescent="0.25">
      <c r="A657" s="41">
        <v>656</v>
      </c>
      <c r="B657" s="41">
        <v>0</v>
      </c>
      <c r="C657" s="41">
        <v>1</v>
      </c>
    </row>
    <row r="658" spans="1:3" x14ac:dyDescent="0.25">
      <c r="A658" s="41">
        <v>657</v>
      </c>
      <c r="B658" s="41">
        <v>0</v>
      </c>
      <c r="C658" s="41">
        <v>1</v>
      </c>
    </row>
    <row r="659" spans="1:3" x14ac:dyDescent="0.25">
      <c r="A659" s="41">
        <v>658</v>
      </c>
      <c r="B659" s="41">
        <v>0</v>
      </c>
      <c r="C659" s="41">
        <v>1</v>
      </c>
    </row>
    <row r="660" spans="1:3" x14ac:dyDescent="0.25">
      <c r="A660" s="41">
        <v>659</v>
      </c>
      <c r="B660" s="41">
        <v>0</v>
      </c>
      <c r="C660" s="41">
        <v>1</v>
      </c>
    </row>
    <row r="661" spans="1:3" x14ac:dyDescent="0.25">
      <c r="A661" s="41">
        <v>660</v>
      </c>
      <c r="B661" s="41">
        <v>0</v>
      </c>
      <c r="C661" s="41">
        <v>1</v>
      </c>
    </row>
    <row r="662" spans="1:3" x14ac:dyDescent="0.25">
      <c r="A662" s="41">
        <v>661</v>
      </c>
      <c r="B662" s="41">
        <v>0</v>
      </c>
      <c r="C662" s="41">
        <v>1</v>
      </c>
    </row>
    <row r="663" spans="1:3" x14ac:dyDescent="0.25">
      <c r="A663" s="41">
        <v>662</v>
      </c>
      <c r="B663" s="41">
        <v>0</v>
      </c>
      <c r="C663" s="41">
        <v>1</v>
      </c>
    </row>
    <row r="664" spans="1:3" x14ac:dyDescent="0.25">
      <c r="A664" s="41">
        <v>663</v>
      </c>
      <c r="B664" s="41">
        <v>0</v>
      </c>
      <c r="C664" s="41">
        <v>1</v>
      </c>
    </row>
    <row r="665" spans="1:3" x14ac:dyDescent="0.25">
      <c r="A665" s="41">
        <v>664</v>
      </c>
      <c r="B665" s="41">
        <v>0</v>
      </c>
      <c r="C665" s="41">
        <v>1</v>
      </c>
    </row>
    <row r="666" spans="1:3" x14ac:dyDescent="0.25">
      <c r="A666" s="41">
        <v>665</v>
      </c>
      <c r="B666" s="41">
        <v>0</v>
      </c>
      <c r="C666" s="41">
        <v>1</v>
      </c>
    </row>
    <row r="667" spans="1:3" x14ac:dyDescent="0.25">
      <c r="A667" s="41">
        <v>666</v>
      </c>
      <c r="B667" s="41">
        <v>0</v>
      </c>
      <c r="C667" s="41">
        <v>1</v>
      </c>
    </row>
    <row r="668" spans="1:3" x14ac:dyDescent="0.25">
      <c r="A668" s="41">
        <v>667</v>
      </c>
      <c r="B668" s="41">
        <v>0</v>
      </c>
      <c r="C668" s="41">
        <v>1</v>
      </c>
    </row>
    <row r="669" spans="1:3" x14ac:dyDescent="0.25">
      <c r="A669" s="41">
        <v>668</v>
      </c>
      <c r="B669" s="41">
        <v>0</v>
      </c>
      <c r="C669" s="41">
        <v>1</v>
      </c>
    </row>
    <row r="670" spans="1:3" x14ac:dyDescent="0.25">
      <c r="A670" s="41">
        <v>669</v>
      </c>
      <c r="B670" s="41">
        <v>0</v>
      </c>
      <c r="C670" s="41">
        <v>1</v>
      </c>
    </row>
    <row r="671" spans="1:3" x14ac:dyDescent="0.25">
      <c r="A671" s="41">
        <v>670</v>
      </c>
      <c r="B671" s="41">
        <v>0</v>
      </c>
      <c r="C671" s="41">
        <v>1</v>
      </c>
    </row>
    <row r="672" spans="1:3" x14ac:dyDescent="0.25">
      <c r="A672" s="41">
        <v>671</v>
      </c>
      <c r="B672" s="41">
        <v>0</v>
      </c>
      <c r="C672" s="41">
        <v>1</v>
      </c>
    </row>
    <row r="673" spans="1:3" x14ac:dyDescent="0.25">
      <c r="A673" s="41">
        <v>672</v>
      </c>
      <c r="B673" s="41">
        <v>0</v>
      </c>
      <c r="C673" s="41">
        <v>1</v>
      </c>
    </row>
    <row r="674" spans="1:3" x14ac:dyDescent="0.25">
      <c r="A674" s="41">
        <v>673</v>
      </c>
      <c r="B674" s="41">
        <v>0</v>
      </c>
      <c r="C674" s="41">
        <v>1</v>
      </c>
    </row>
    <row r="675" spans="1:3" x14ac:dyDescent="0.25">
      <c r="A675" s="41">
        <v>674</v>
      </c>
      <c r="B675" s="41">
        <v>0</v>
      </c>
      <c r="C675" s="41">
        <v>1</v>
      </c>
    </row>
    <row r="676" spans="1:3" x14ac:dyDescent="0.25">
      <c r="A676" s="41">
        <v>675</v>
      </c>
      <c r="B676" s="41">
        <v>0</v>
      </c>
      <c r="C676" s="41">
        <v>1</v>
      </c>
    </row>
    <row r="677" spans="1:3" x14ac:dyDescent="0.25">
      <c r="A677" s="41">
        <v>676</v>
      </c>
      <c r="B677" s="41">
        <v>0</v>
      </c>
      <c r="C677" s="41">
        <v>1</v>
      </c>
    </row>
    <row r="678" spans="1:3" x14ac:dyDescent="0.25">
      <c r="A678" s="41">
        <v>677</v>
      </c>
      <c r="B678" s="41">
        <v>0</v>
      </c>
      <c r="C678" s="41">
        <v>1</v>
      </c>
    </row>
    <row r="679" spans="1:3" x14ac:dyDescent="0.25">
      <c r="A679" s="41">
        <v>678</v>
      </c>
      <c r="B679" s="41">
        <v>0</v>
      </c>
      <c r="C679" s="41">
        <v>1</v>
      </c>
    </row>
    <row r="680" spans="1:3" x14ac:dyDescent="0.25">
      <c r="A680" s="41">
        <v>679</v>
      </c>
      <c r="B680" s="41">
        <v>0</v>
      </c>
      <c r="C680" s="41">
        <v>1</v>
      </c>
    </row>
    <row r="681" spans="1:3" x14ac:dyDescent="0.25">
      <c r="A681" s="41">
        <v>680</v>
      </c>
      <c r="B681" s="41">
        <v>0</v>
      </c>
      <c r="C681" s="41">
        <v>1</v>
      </c>
    </row>
    <row r="682" spans="1:3" x14ac:dyDescent="0.25">
      <c r="A682" s="41">
        <v>681</v>
      </c>
      <c r="B682" s="41">
        <v>0</v>
      </c>
      <c r="C682" s="41">
        <v>1</v>
      </c>
    </row>
    <row r="683" spans="1:3" x14ac:dyDescent="0.25">
      <c r="A683" s="41">
        <v>682</v>
      </c>
      <c r="B683" s="41">
        <v>0</v>
      </c>
      <c r="C683" s="41">
        <v>1</v>
      </c>
    </row>
    <row r="684" spans="1:3" x14ac:dyDescent="0.25">
      <c r="A684" s="41">
        <v>683</v>
      </c>
      <c r="B684" s="41">
        <v>0</v>
      </c>
      <c r="C684" s="41">
        <v>1</v>
      </c>
    </row>
    <row r="685" spans="1:3" x14ac:dyDescent="0.25">
      <c r="A685" s="41">
        <v>684</v>
      </c>
      <c r="B685" s="41">
        <v>0</v>
      </c>
      <c r="C685" s="41">
        <v>1</v>
      </c>
    </row>
    <row r="686" spans="1:3" x14ac:dyDescent="0.25">
      <c r="A686" s="41">
        <v>685</v>
      </c>
      <c r="B686" s="41">
        <v>0</v>
      </c>
      <c r="C686" s="41">
        <v>1</v>
      </c>
    </row>
    <row r="687" spans="1:3" x14ac:dyDescent="0.25">
      <c r="A687" s="41">
        <v>686</v>
      </c>
      <c r="B687" s="41">
        <v>0</v>
      </c>
      <c r="C687" s="41">
        <v>1</v>
      </c>
    </row>
    <row r="688" spans="1:3" x14ac:dyDescent="0.25">
      <c r="A688" s="41">
        <v>687</v>
      </c>
      <c r="B688" s="41">
        <v>0</v>
      </c>
      <c r="C688" s="41">
        <v>1</v>
      </c>
    </row>
    <row r="689" spans="1:3" x14ac:dyDescent="0.25">
      <c r="A689" s="41">
        <v>688</v>
      </c>
      <c r="B689" s="41">
        <v>0</v>
      </c>
      <c r="C689" s="41">
        <v>1</v>
      </c>
    </row>
    <row r="690" spans="1:3" x14ac:dyDescent="0.25">
      <c r="A690" s="41">
        <v>689</v>
      </c>
      <c r="B690" s="41">
        <v>0</v>
      </c>
      <c r="C690" s="41">
        <v>1</v>
      </c>
    </row>
    <row r="691" spans="1:3" x14ac:dyDescent="0.25">
      <c r="A691" s="41">
        <v>690</v>
      </c>
      <c r="B691" s="41">
        <v>0</v>
      </c>
      <c r="C691" s="41">
        <v>1</v>
      </c>
    </row>
    <row r="692" spans="1:3" x14ac:dyDescent="0.25">
      <c r="A692" s="41">
        <v>691</v>
      </c>
      <c r="B692" s="41">
        <v>0</v>
      </c>
      <c r="C692" s="41">
        <v>1</v>
      </c>
    </row>
    <row r="693" spans="1:3" x14ac:dyDescent="0.25">
      <c r="A693" s="41">
        <v>692</v>
      </c>
      <c r="B693" s="41">
        <v>0</v>
      </c>
      <c r="C693" s="41">
        <v>1</v>
      </c>
    </row>
    <row r="694" spans="1:3" x14ac:dyDescent="0.25">
      <c r="A694" s="41">
        <v>693</v>
      </c>
      <c r="B694" s="41">
        <v>0</v>
      </c>
      <c r="C694" s="41">
        <v>1</v>
      </c>
    </row>
    <row r="695" spans="1:3" x14ac:dyDescent="0.25">
      <c r="A695" s="41">
        <v>694</v>
      </c>
      <c r="B695" s="41">
        <v>0</v>
      </c>
      <c r="C695" s="41">
        <v>1</v>
      </c>
    </row>
    <row r="696" spans="1:3" x14ac:dyDescent="0.25">
      <c r="A696" s="41">
        <v>695</v>
      </c>
      <c r="B696" s="41">
        <v>0</v>
      </c>
      <c r="C696" s="41">
        <v>1</v>
      </c>
    </row>
    <row r="697" spans="1:3" x14ac:dyDescent="0.25">
      <c r="A697" s="41">
        <v>696</v>
      </c>
      <c r="B697" s="41">
        <v>0</v>
      </c>
      <c r="C697" s="41">
        <v>1</v>
      </c>
    </row>
    <row r="698" spans="1:3" x14ac:dyDescent="0.25">
      <c r="A698" s="41">
        <v>697</v>
      </c>
      <c r="B698" s="41">
        <v>0</v>
      </c>
      <c r="C698" s="41">
        <v>1</v>
      </c>
    </row>
    <row r="699" spans="1:3" x14ac:dyDescent="0.25">
      <c r="A699" s="41">
        <v>698</v>
      </c>
      <c r="B699" s="41">
        <v>0</v>
      </c>
      <c r="C699" s="41">
        <v>1</v>
      </c>
    </row>
    <row r="700" spans="1:3" x14ac:dyDescent="0.25">
      <c r="A700" s="41">
        <v>699</v>
      </c>
      <c r="B700" s="41">
        <v>0</v>
      </c>
      <c r="C700" s="41">
        <v>1</v>
      </c>
    </row>
    <row r="701" spans="1:3" x14ac:dyDescent="0.25">
      <c r="A701" s="41">
        <v>700</v>
      </c>
      <c r="B701" s="41">
        <v>0</v>
      </c>
      <c r="C701" s="41">
        <v>1</v>
      </c>
    </row>
    <row r="702" spans="1:3" x14ac:dyDescent="0.25">
      <c r="A702" s="41">
        <v>701</v>
      </c>
      <c r="B702" s="41">
        <v>0</v>
      </c>
      <c r="C702" s="41">
        <v>1</v>
      </c>
    </row>
    <row r="703" spans="1:3" x14ac:dyDescent="0.25">
      <c r="A703" s="41">
        <v>702</v>
      </c>
      <c r="B703" s="41">
        <v>0</v>
      </c>
      <c r="C703" s="41">
        <v>1</v>
      </c>
    </row>
    <row r="704" spans="1:3" x14ac:dyDescent="0.25">
      <c r="A704" s="41">
        <v>703</v>
      </c>
      <c r="B704" s="41">
        <v>0</v>
      </c>
      <c r="C704" s="41">
        <v>1</v>
      </c>
    </row>
    <row r="705" spans="1:3" x14ac:dyDescent="0.25">
      <c r="A705" s="41">
        <v>704</v>
      </c>
      <c r="B705" s="41">
        <v>0</v>
      </c>
      <c r="C705" s="41">
        <v>1</v>
      </c>
    </row>
    <row r="706" spans="1:3" x14ac:dyDescent="0.25">
      <c r="A706" s="41">
        <v>705</v>
      </c>
      <c r="B706" s="41">
        <v>0</v>
      </c>
      <c r="C706" s="41">
        <v>1</v>
      </c>
    </row>
    <row r="707" spans="1:3" x14ac:dyDescent="0.25">
      <c r="A707" s="41">
        <v>706</v>
      </c>
      <c r="B707" s="41">
        <v>0</v>
      </c>
      <c r="C707" s="41">
        <v>1</v>
      </c>
    </row>
    <row r="708" spans="1:3" x14ac:dyDescent="0.25">
      <c r="A708" s="41">
        <v>707</v>
      </c>
      <c r="B708" s="41">
        <v>0</v>
      </c>
      <c r="C708" s="41">
        <v>1</v>
      </c>
    </row>
    <row r="709" spans="1:3" x14ac:dyDescent="0.25">
      <c r="A709" s="41">
        <v>708</v>
      </c>
      <c r="B709" s="41">
        <v>0</v>
      </c>
      <c r="C709" s="41">
        <v>1</v>
      </c>
    </row>
    <row r="710" spans="1:3" x14ac:dyDescent="0.25">
      <c r="A710" s="41">
        <v>709</v>
      </c>
      <c r="B710" s="41">
        <v>0</v>
      </c>
      <c r="C710" s="41">
        <v>1</v>
      </c>
    </row>
    <row r="711" spans="1:3" x14ac:dyDescent="0.25">
      <c r="A711" s="41">
        <v>710</v>
      </c>
      <c r="B711" s="41">
        <v>0</v>
      </c>
      <c r="C711" s="41">
        <v>1</v>
      </c>
    </row>
    <row r="712" spans="1:3" x14ac:dyDescent="0.25">
      <c r="A712" s="41">
        <v>711</v>
      </c>
      <c r="B712" s="41">
        <v>0</v>
      </c>
      <c r="C712" s="41">
        <v>1</v>
      </c>
    </row>
    <row r="713" spans="1:3" x14ac:dyDescent="0.25">
      <c r="A713" s="41">
        <v>712</v>
      </c>
      <c r="B713" s="41">
        <v>0</v>
      </c>
      <c r="C713" s="41">
        <v>1</v>
      </c>
    </row>
    <row r="714" spans="1:3" x14ac:dyDescent="0.25">
      <c r="A714" s="41">
        <v>713</v>
      </c>
      <c r="B714" s="41">
        <v>0</v>
      </c>
      <c r="C714" s="41">
        <v>1</v>
      </c>
    </row>
    <row r="715" spans="1:3" x14ac:dyDescent="0.25">
      <c r="A715" s="41">
        <v>714</v>
      </c>
      <c r="B715" s="41">
        <v>0</v>
      </c>
      <c r="C715" s="41">
        <v>1</v>
      </c>
    </row>
    <row r="716" spans="1:3" x14ac:dyDescent="0.25">
      <c r="A716" s="41">
        <v>715</v>
      </c>
      <c r="B716" s="41">
        <v>0</v>
      </c>
      <c r="C716" s="41">
        <v>1</v>
      </c>
    </row>
    <row r="717" spans="1:3" x14ac:dyDescent="0.25">
      <c r="A717" s="41">
        <v>716</v>
      </c>
      <c r="B717" s="41">
        <v>0</v>
      </c>
      <c r="C717" s="41">
        <v>1</v>
      </c>
    </row>
    <row r="718" spans="1:3" x14ac:dyDescent="0.25">
      <c r="A718" s="41">
        <v>717</v>
      </c>
      <c r="B718" s="41">
        <v>0</v>
      </c>
      <c r="C718" s="41">
        <v>1</v>
      </c>
    </row>
    <row r="719" spans="1:3" x14ac:dyDescent="0.25">
      <c r="A719" s="41">
        <v>718</v>
      </c>
      <c r="B719" s="41">
        <v>0</v>
      </c>
      <c r="C719" s="41">
        <v>1</v>
      </c>
    </row>
    <row r="720" spans="1:3" x14ac:dyDescent="0.25">
      <c r="A720" s="41">
        <v>719</v>
      </c>
      <c r="B720" s="41">
        <v>0</v>
      </c>
      <c r="C720" s="41">
        <v>1</v>
      </c>
    </row>
    <row r="721" spans="1:3" x14ac:dyDescent="0.25">
      <c r="A721" s="41">
        <v>720</v>
      </c>
      <c r="B721" s="41">
        <v>0</v>
      </c>
      <c r="C721" s="41">
        <v>1</v>
      </c>
    </row>
    <row r="722" spans="1:3" x14ac:dyDescent="0.25">
      <c r="A722" s="41">
        <v>721</v>
      </c>
      <c r="B722" s="41">
        <v>0</v>
      </c>
      <c r="C722" s="41">
        <v>1</v>
      </c>
    </row>
    <row r="723" spans="1:3" x14ac:dyDescent="0.25">
      <c r="A723" s="41">
        <v>722</v>
      </c>
      <c r="B723" s="41">
        <v>0</v>
      </c>
      <c r="C723" s="41">
        <v>1</v>
      </c>
    </row>
    <row r="724" spans="1:3" x14ac:dyDescent="0.25">
      <c r="A724" s="41">
        <v>723</v>
      </c>
      <c r="B724" s="41">
        <v>0</v>
      </c>
      <c r="C724" s="41">
        <v>1</v>
      </c>
    </row>
    <row r="725" spans="1:3" x14ac:dyDescent="0.25">
      <c r="A725" s="41">
        <v>724</v>
      </c>
      <c r="B725" s="41">
        <v>0</v>
      </c>
      <c r="C725" s="41">
        <v>1</v>
      </c>
    </row>
    <row r="726" spans="1:3" x14ac:dyDescent="0.25">
      <c r="A726" s="41">
        <v>725</v>
      </c>
      <c r="B726" s="41">
        <v>0</v>
      </c>
      <c r="C726" s="41">
        <v>1</v>
      </c>
    </row>
    <row r="727" spans="1:3" x14ac:dyDescent="0.25">
      <c r="A727" s="41">
        <v>726</v>
      </c>
      <c r="B727" s="41">
        <v>0</v>
      </c>
      <c r="C727" s="41">
        <v>1</v>
      </c>
    </row>
    <row r="728" spans="1:3" x14ac:dyDescent="0.25">
      <c r="A728" s="41">
        <v>727</v>
      </c>
      <c r="B728" s="41">
        <v>0</v>
      </c>
      <c r="C728" s="41">
        <v>1</v>
      </c>
    </row>
    <row r="729" spans="1:3" x14ac:dyDescent="0.25">
      <c r="A729" s="41">
        <v>728</v>
      </c>
      <c r="B729" s="41">
        <v>0</v>
      </c>
      <c r="C729" s="41">
        <v>1</v>
      </c>
    </row>
    <row r="730" spans="1:3" x14ac:dyDescent="0.25">
      <c r="A730" s="41">
        <v>729</v>
      </c>
      <c r="B730" s="41">
        <v>0</v>
      </c>
      <c r="C730" s="41">
        <v>1</v>
      </c>
    </row>
    <row r="731" spans="1:3" x14ac:dyDescent="0.25">
      <c r="A731" s="41">
        <v>730</v>
      </c>
      <c r="B731" s="41">
        <v>0</v>
      </c>
      <c r="C731" s="41">
        <v>1</v>
      </c>
    </row>
    <row r="732" spans="1:3" x14ac:dyDescent="0.25">
      <c r="A732" s="41">
        <v>731</v>
      </c>
      <c r="B732" s="41">
        <v>0</v>
      </c>
      <c r="C732" s="41">
        <v>1</v>
      </c>
    </row>
    <row r="733" spans="1:3" x14ac:dyDescent="0.25">
      <c r="A733" s="41">
        <v>732</v>
      </c>
      <c r="B733" s="41">
        <v>0</v>
      </c>
      <c r="C733" s="41">
        <v>1</v>
      </c>
    </row>
    <row r="734" spans="1:3" x14ac:dyDescent="0.25">
      <c r="A734" s="41">
        <v>733</v>
      </c>
      <c r="B734" s="41">
        <v>0</v>
      </c>
      <c r="C734" s="41">
        <v>1</v>
      </c>
    </row>
    <row r="735" spans="1:3" x14ac:dyDescent="0.25">
      <c r="A735" s="41">
        <v>734</v>
      </c>
      <c r="B735" s="41">
        <v>0</v>
      </c>
      <c r="C735" s="41">
        <v>1</v>
      </c>
    </row>
    <row r="736" spans="1:3" x14ac:dyDescent="0.25">
      <c r="A736" s="41">
        <v>735</v>
      </c>
      <c r="B736" s="41">
        <v>0</v>
      </c>
      <c r="C736" s="41">
        <v>1</v>
      </c>
    </row>
    <row r="737" spans="1:3" x14ac:dyDescent="0.25">
      <c r="A737" s="41">
        <v>736</v>
      </c>
      <c r="B737" s="41">
        <v>0</v>
      </c>
      <c r="C737" s="41">
        <v>1</v>
      </c>
    </row>
    <row r="738" spans="1:3" x14ac:dyDescent="0.25">
      <c r="A738" s="41">
        <v>737</v>
      </c>
      <c r="B738" s="41">
        <v>0</v>
      </c>
      <c r="C738" s="41">
        <v>1</v>
      </c>
    </row>
    <row r="739" spans="1:3" x14ac:dyDescent="0.25">
      <c r="A739" s="41">
        <v>738</v>
      </c>
      <c r="B739" s="41">
        <v>0</v>
      </c>
      <c r="C739" s="41">
        <v>1</v>
      </c>
    </row>
    <row r="740" spans="1:3" x14ac:dyDescent="0.25">
      <c r="A740" s="41">
        <v>739</v>
      </c>
      <c r="B740" s="41">
        <v>0</v>
      </c>
      <c r="C740" s="41">
        <v>1</v>
      </c>
    </row>
    <row r="741" spans="1:3" x14ac:dyDescent="0.25">
      <c r="A741" s="41">
        <v>740</v>
      </c>
      <c r="B741" s="41">
        <v>0</v>
      </c>
      <c r="C741" s="41">
        <v>1</v>
      </c>
    </row>
    <row r="742" spans="1:3" x14ac:dyDescent="0.25">
      <c r="A742" s="41">
        <v>741</v>
      </c>
      <c r="B742" s="41">
        <v>0</v>
      </c>
      <c r="C742" s="41">
        <v>1</v>
      </c>
    </row>
    <row r="743" spans="1:3" x14ac:dyDescent="0.25">
      <c r="A743" s="41">
        <v>742</v>
      </c>
      <c r="B743" s="41">
        <v>0</v>
      </c>
      <c r="C743" s="41">
        <v>1</v>
      </c>
    </row>
    <row r="744" spans="1:3" x14ac:dyDescent="0.25">
      <c r="A744" s="41">
        <v>743</v>
      </c>
      <c r="B744" s="41">
        <v>0</v>
      </c>
      <c r="C744" s="41">
        <v>1</v>
      </c>
    </row>
    <row r="745" spans="1:3" x14ac:dyDescent="0.25">
      <c r="A745" s="41">
        <v>744</v>
      </c>
      <c r="B745" s="41">
        <v>0</v>
      </c>
      <c r="C745" s="41">
        <v>1</v>
      </c>
    </row>
    <row r="746" spans="1:3" x14ac:dyDescent="0.25">
      <c r="A746" s="41">
        <v>745</v>
      </c>
      <c r="B746" s="41">
        <v>0</v>
      </c>
      <c r="C746" s="41">
        <v>1</v>
      </c>
    </row>
    <row r="747" spans="1:3" x14ac:dyDescent="0.25">
      <c r="A747" s="41">
        <v>746</v>
      </c>
      <c r="B747" s="41">
        <v>0</v>
      </c>
      <c r="C747" s="41">
        <v>1</v>
      </c>
    </row>
    <row r="748" spans="1:3" x14ac:dyDescent="0.25">
      <c r="A748" s="41">
        <v>747</v>
      </c>
      <c r="B748" s="41">
        <v>0</v>
      </c>
      <c r="C748" s="41">
        <v>1</v>
      </c>
    </row>
    <row r="749" spans="1:3" x14ac:dyDescent="0.25">
      <c r="A749" s="41">
        <v>748</v>
      </c>
      <c r="B749" s="41">
        <v>0</v>
      </c>
      <c r="C749" s="41">
        <v>1</v>
      </c>
    </row>
    <row r="750" spans="1:3" x14ac:dyDescent="0.25">
      <c r="A750" s="41">
        <v>749</v>
      </c>
      <c r="B750" s="41">
        <v>0</v>
      </c>
      <c r="C750" s="41">
        <v>0</v>
      </c>
    </row>
    <row r="751" spans="1:3" x14ac:dyDescent="0.25">
      <c r="A751" s="41">
        <v>750</v>
      </c>
      <c r="B751" s="41">
        <v>0</v>
      </c>
      <c r="C751" s="41">
        <v>1</v>
      </c>
    </row>
    <row r="752" spans="1:3" x14ac:dyDescent="0.25">
      <c r="A752" s="41">
        <v>751</v>
      </c>
      <c r="B752" s="41">
        <v>0</v>
      </c>
      <c r="C752" s="41">
        <v>1</v>
      </c>
    </row>
    <row r="753" spans="1:3" x14ac:dyDescent="0.25">
      <c r="A753" s="41">
        <v>752</v>
      </c>
      <c r="B753" s="41">
        <v>0</v>
      </c>
      <c r="C753" s="41">
        <v>1</v>
      </c>
    </row>
    <row r="754" spans="1:3" x14ac:dyDescent="0.25">
      <c r="A754" s="41">
        <v>753</v>
      </c>
      <c r="B754" s="41">
        <v>0</v>
      </c>
      <c r="C754" s="41">
        <v>1</v>
      </c>
    </row>
    <row r="755" spans="1:3" x14ac:dyDescent="0.25">
      <c r="A755" s="41">
        <v>754</v>
      </c>
      <c r="B755" s="41">
        <v>0</v>
      </c>
      <c r="C755" s="41">
        <v>1</v>
      </c>
    </row>
    <row r="756" spans="1:3" x14ac:dyDescent="0.25">
      <c r="A756" s="41">
        <v>755</v>
      </c>
      <c r="B756" s="41">
        <v>0</v>
      </c>
      <c r="C756" s="41">
        <v>1</v>
      </c>
    </row>
    <row r="757" spans="1:3" x14ac:dyDescent="0.25">
      <c r="A757" s="41">
        <v>756</v>
      </c>
      <c r="B757" s="41">
        <v>0</v>
      </c>
      <c r="C757" s="41">
        <v>1</v>
      </c>
    </row>
    <row r="758" spans="1:3" x14ac:dyDescent="0.25">
      <c r="A758" s="41">
        <v>757</v>
      </c>
      <c r="B758" s="41">
        <v>0</v>
      </c>
      <c r="C758" s="41">
        <v>1</v>
      </c>
    </row>
    <row r="759" spans="1:3" x14ac:dyDescent="0.25">
      <c r="A759" s="41">
        <v>758</v>
      </c>
      <c r="B759" s="41">
        <v>0</v>
      </c>
      <c r="C759" s="41">
        <v>1</v>
      </c>
    </row>
    <row r="760" spans="1:3" x14ac:dyDescent="0.25">
      <c r="A760" s="41">
        <v>759</v>
      </c>
      <c r="B760" s="41">
        <v>0</v>
      </c>
      <c r="C760" s="41">
        <v>1</v>
      </c>
    </row>
    <row r="761" spans="1:3" x14ac:dyDescent="0.25">
      <c r="A761" s="41">
        <v>760</v>
      </c>
      <c r="B761" s="41">
        <v>0</v>
      </c>
      <c r="C761" s="41">
        <v>1</v>
      </c>
    </row>
    <row r="762" spans="1:3" x14ac:dyDescent="0.25">
      <c r="A762" s="41">
        <v>761</v>
      </c>
      <c r="B762" s="41">
        <v>0</v>
      </c>
      <c r="C762" s="41">
        <v>1</v>
      </c>
    </row>
    <row r="763" spans="1:3" x14ac:dyDescent="0.25">
      <c r="A763" s="41">
        <v>762</v>
      </c>
      <c r="B763" s="41">
        <v>0</v>
      </c>
      <c r="C763" s="41">
        <v>1</v>
      </c>
    </row>
    <row r="764" spans="1:3" x14ac:dyDescent="0.25">
      <c r="A764" s="41">
        <v>763</v>
      </c>
      <c r="B764" s="41">
        <v>0</v>
      </c>
      <c r="C764" s="41">
        <v>1</v>
      </c>
    </row>
    <row r="765" spans="1:3" x14ac:dyDescent="0.25">
      <c r="A765" s="41">
        <v>764</v>
      </c>
      <c r="B765" s="41">
        <v>0</v>
      </c>
      <c r="C765" s="41">
        <v>1</v>
      </c>
    </row>
    <row r="766" spans="1:3" x14ac:dyDescent="0.25">
      <c r="A766" s="41">
        <v>765</v>
      </c>
      <c r="B766" s="41">
        <v>0</v>
      </c>
      <c r="C766" s="41">
        <v>1</v>
      </c>
    </row>
    <row r="767" spans="1:3" x14ac:dyDescent="0.25">
      <c r="A767" s="41">
        <v>766</v>
      </c>
      <c r="B767" s="41">
        <v>0</v>
      </c>
      <c r="C767" s="41">
        <v>1</v>
      </c>
    </row>
    <row r="768" spans="1:3" x14ac:dyDescent="0.25">
      <c r="A768" s="41">
        <v>767</v>
      </c>
      <c r="B768" s="41">
        <v>0</v>
      </c>
      <c r="C768" s="41">
        <v>1</v>
      </c>
    </row>
    <row r="769" spans="1:3" x14ac:dyDescent="0.25">
      <c r="A769" s="41">
        <v>768</v>
      </c>
      <c r="B769" s="41">
        <v>0</v>
      </c>
      <c r="C769" s="41">
        <v>1</v>
      </c>
    </row>
    <row r="770" spans="1:3" x14ac:dyDescent="0.25">
      <c r="A770" s="41">
        <v>769</v>
      </c>
      <c r="B770" s="41">
        <v>0</v>
      </c>
      <c r="C770" s="41">
        <v>1</v>
      </c>
    </row>
    <row r="771" spans="1:3" x14ac:dyDescent="0.25">
      <c r="A771" s="41">
        <v>770</v>
      </c>
      <c r="B771" s="41">
        <v>0</v>
      </c>
      <c r="C771" s="41">
        <v>1</v>
      </c>
    </row>
    <row r="772" spans="1:3" x14ac:dyDescent="0.25">
      <c r="A772" s="41">
        <v>771</v>
      </c>
      <c r="B772" s="41">
        <v>0</v>
      </c>
      <c r="C772" s="41">
        <v>1</v>
      </c>
    </row>
    <row r="773" spans="1:3" x14ac:dyDescent="0.25">
      <c r="A773" s="41">
        <v>772</v>
      </c>
      <c r="B773" s="41">
        <v>0</v>
      </c>
      <c r="C773" s="41">
        <v>1</v>
      </c>
    </row>
    <row r="774" spans="1:3" x14ac:dyDescent="0.25">
      <c r="A774" s="41">
        <v>773</v>
      </c>
      <c r="B774" s="41">
        <v>0</v>
      </c>
      <c r="C774" s="41">
        <v>1</v>
      </c>
    </row>
    <row r="775" spans="1:3" x14ac:dyDescent="0.25">
      <c r="A775" s="41">
        <v>774</v>
      </c>
      <c r="B775" s="41">
        <v>0</v>
      </c>
      <c r="C775" s="41">
        <v>1</v>
      </c>
    </row>
    <row r="776" spans="1:3" x14ac:dyDescent="0.25">
      <c r="A776" s="41">
        <v>775</v>
      </c>
      <c r="B776" s="41">
        <v>0</v>
      </c>
      <c r="C776" s="41">
        <v>1</v>
      </c>
    </row>
    <row r="777" spans="1:3" x14ac:dyDescent="0.25">
      <c r="A777" s="41">
        <v>776</v>
      </c>
      <c r="B777" s="41">
        <v>0</v>
      </c>
      <c r="C777" s="41">
        <v>1</v>
      </c>
    </row>
    <row r="778" spans="1:3" x14ac:dyDescent="0.25">
      <c r="A778" s="41">
        <v>777</v>
      </c>
      <c r="B778" s="41">
        <v>0</v>
      </c>
      <c r="C778" s="41">
        <v>1</v>
      </c>
    </row>
    <row r="779" spans="1:3" x14ac:dyDescent="0.25">
      <c r="A779" s="41">
        <v>778</v>
      </c>
      <c r="B779" s="41">
        <v>0</v>
      </c>
      <c r="C779" s="41">
        <v>1</v>
      </c>
    </row>
    <row r="780" spans="1:3" x14ac:dyDescent="0.25">
      <c r="A780" s="41">
        <v>779</v>
      </c>
      <c r="B780" s="41">
        <v>0</v>
      </c>
      <c r="C780" s="41">
        <v>1</v>
      </c>
    </row>
    <row r="781" spans="1:3" x14ac:dyDescent="0.25">
      <c r="A781" s="41">
        <v>780</v>
      </c>
      <c r="B781" s="41">
        <v>0</v>
      </c>
      <c r="C781" s="41">
        <v>1</v>
      </c>
    </row>
    <row r="782" spans="1:3" x14ac:dyDescent="0.25">
      <c r="A782" s="41">
        <v>781</v>
      </c>
      <c r="B782" s="41">
        <v>0</v>
      </c>
      <c r="C782" s="41">
        <v>1</v>
      </c>
    </row>
    <row r="783" spans="1:3" x14ac:dyDescent="0.25">
      <c r="A783" s="41">
        <v>782</v>
      </c>
      <c r="B783" s="41">
        <v>0</v>
      </c>
      <c r="C783" s="41">
        <v>1</v>
      </c>
    </row>
    <row r="784" spans="1:3" x14ac:dyDescent="0.25">
      <c r="A784" s="41">
        <v>783</v>
      </c>
      <c r="B784" s="41">
        <v>0</v>
      </c>
      <c r="C784" s="41">
        <v>1</v>
      </c>
    </row>
    <row r="785" spans="1:3" x14ac:dyDescent="0.25">
      <c r="A785" s="41">
        <v>784</v>
      </c>
      <c r="B785" s="41">
        <v>0</v>
      </c>
      <c r="C785" s="41">
        <v>1</v>
      </c>
    </row>
    <row r="786" spans="1:3" x14ac:dyDescent="0.25">
      <c r="A786" s="41">
        <v>785</v>
      </c>
      <c r="B786" s="41">
        <v>0</v>
      </c>
      <c r="C786" s="41">
        <v>1</v>
      </c>
    </row>
    <row r="787" spans="1:3" x14ac:dyDescent="0.25">
      <c r="A787" s="41">
        <v>786</v>
      </c>
      <c r="B787" s="41">
        <v>0</v>
      </c>
      <c r="C787" s="41">
        <v>1</v>
      </c>
    </row>
    <row r="788" spans="1:3" x14ac:dyDescent="0.25">
      <c r="A788" s="41">
        <v>787</v>
      </c>
      <c r="B788" s="41">
        <v>0</v>
      </c>
      <c r="C788" s="41">
        <v>1</v>
      </c>
    </row>
    <row r="789" spans="1:3" x14ac:dyDescent="0.25">
      <c r="A789" s="41">
        <v>788</v>
      </c>
      <c r="B789" s="41">
        <v>0</v>
      </c>
      <c r="C789" s="41">
        <v>1</v>
      </c>
    </row>
    <row r="790" spans="1:3" x14ac:dyDescent="0.25">
      <c r="A790" s="41">
        <v>789</v>
      </c>
      <c r="B790" s="41">
        <v>0</v>
      </c>
      <c r="C790" s="41">
        <v>1</v>
      </c>
    </row>
    <row r="791" spans="1:3" x14ac:dyDescent="0.25">
      <c r="A791" s="41">
        <v>790</v>
      </c>
      <c r="B791" s="41">
        <v>0</v>
      </c>
      <c r="C791" s="41">
        <v>1</v>
      </c>
    </row>
    <row r="792" spans="1:3" x14ac:dyDescent="0.25">
      <c r="A792" s="41">
        <v>791</v>
      </c>
      <c r="B792" s="41">
        <v>0</v>
      </c>
      <c r="C792" s="41">
        <v>1</v>
      </c>
    </row>
    <row r="793" spans="1:3" x14ac:dyDescent="0.25">
      <c r="A793" s="41">
        <v>792</v>
      </c>
      <c r="B793" s="41">
        <v>0</v>
      </c>
      <c r="C793" s="41">
        <v>1</v>
      </c>
    </row>
    <row r="794" spans="1:3" x14ac:dyDescent="0.25">
      <c r="A794" s="41">
        <v>793</v>
      </c>
      <c r="B794" s="41">
        <v>0</v>
      </c>
      <c r="C794" s="41">
        <v>1</v>
      </c>
    </row>
    <row r="795" spans="1:3" x14ac:dyDescent="0.25">
      <c r="A795" s="41">
        <v>794</v>
      </c>
      <c r="B795" s="41">
        <v>0</v>
      </c>
      <c r="C795" s="41">
        <v>1</v>
      </c>
    </row>
    <row r="796" spans="1:3" x14ac:dyDescent="0.25">
      <c r="A796" s="41">
        <v>795</v>
      </c>
      <c r="B796" s="41">
        <v>0</v>
      </c>
      <c r="C796" s="41">
        <v>1</v>
      </c>
    </row>
    <row r="797" spans="1:3" x14ac:dyDescent="0.25">
      <c r="A797" s="41">
        <v>796</v>
      </c>
      <c r="B797" s="41">
        <v>0</v>
      </c>
      <c r="C797" s="41">
        <v>1</v>
      </c>
    </row>
    <row r="798" spans="1:3" x14ac:dyDescent="0.25">
      <c r="A798" s="41">
        <v>797</v>
      </c>
      <c r="B798" s="41">
        <v>0</v>
      </c>
      <c r="C798" s="41">
        <v>1</v>
      </c>
    </row>
    <row r="799" spans="1:3" x14ac:dyDescent="0.25">
      <c r="A799" s="41">
        <v>798</v>
      </c>
      <c r="B799" s="41">
        <v>0</v>
      </c>
      <c r="C799" s="41">
        <v>1</v>
      </c>
    </row>
    <row r="800" spans="1:3" x14ac:dyDescent="0.25">
      <c r="A800" s="41">
        <v>799</v>
      </c>
      <c r="B800" s="41">
        <v>0</v>
      </c>
      <c r="C800" s="41">
        <v>1</v>
      </c>
    </row>
    <row r="801" spans="1:3" x14ac:dyDescent="0.25">
      <c r="A801" s="41">
        <v>800</v>
      </c>
      <c r="B801" s="41">
        <v>0</v>
      </c>
      <c r="C801" s="41">
        <v>1</v>
      </c>
    </row>
    <row r="802" spans="1:3" x14ac:dyDescent="0.25">
      <c r="A802" s="41">
        <v>801</v>
      </c>
      <c r="B802" s="41">
        <v>0</v>
      </c>
      <c r="C802" s="41">
        <v>1</v>
      </c>
    </row>
    <row r="803" spans="1:3" x14ac:dyDescent="0.25">
      <c r="A803" s="41">
        <v>802</v>
      </c>
      <c r="B803" s="41">
        <v>0</v>
      </c>
      <c r="C803" s="41">
        <v>1</v>
      </c>
    </row>
    <row r="804" spans="1:3" x14ac:dyDescent="0.25">
      <c r="A804" s="41">
        <v>803</v>
      </c>
      <c r="B804" s="41">
        <v>0</v>
      </c>
      <c r="C804" s="41">
        <v>1</v>
      </c>
    </row>
    <row r="805" spans="1:3" x14ac:dyDescent="0.25">
      <c r="A805" s="41">
        <v>804</v>
      </c>
      <c r="B805" s="41">
        <v>0</v>
      </c>
      <c r="C805" s="41">
        <v>1</v>
      </c>
    </row>
    <row r="806" spans="1:3" x14ac:dyDescent="0.25">
      <c r="A806" s="41">
        <v>805</v>
      </c>
      <c r="B806" s="41">
        <v>0</v>
      </c>
      <c r="C806" s="41">
        <v>1</v>
      </c>
    </row>
    <row r="807" spans="1:3" x14ac:dyDescent="0.25">
      <c r="A807" s="41">
        <v>806</v>
      </c>
      <c r="B807" s="41">
        <v>0</v>
      </c>
      <c r="C807" s="41">
        <v>1</v>
      </c>
    </row>
    <row r="808" spans="1:3" x14ac:dyDescent="0.25">
      <c r="A808" s="41">
        <v>807</v>
      </c>
      <c r="B808" s="41">
        <v>0</v>
      </c>
      <c r="C808" s="41">
        <v>1</v>
      </c>
    </row>
    <row r="809" spans="1:3" x14ac:dyDescent="0.25">
      <c r="A809" s="41">
        <v>808</v>
      </c>
      <c r="B809" s="41">
        <v>0</v>
      </c>
      <c r="C809" s="41">
        <v>1</v>
      </c>
    </row>
    <row r="810" spans="1:3" x14ac:dyDescent="0.25">
      <c r="A810" s="41">
        <v>809</v>
      </c>
      <c r="B810" s="41">
        <v>0</v>
      </c>
      <c r="C810" s="41">
        <v>1</v>
      </c>
    </row>
    <row r="811" spans="1:3" x14ac:dyDescent="0.25">
      <c r="A811" s="41">
        <v>810</v>
      </c>
      <c r="B811" s="41">
        <v>0</v>
      </c>
      <c r="C811" s="41">
        <v>1</v>
      </c>
    </row>
    <row r="812" spans="1:3" x14ac:dyDescent="0.25">
      <c r="A812" s="41">
        <v>811</v>
      </c>
      <c r="B812" s="41">
        <v>0</v>
      </c>
      <c r="C812" s="41">
        <v>1</v>
      </c>
    </row>
    <row r="813" spans="1:3" x14ac:dyDescent="0.25">
      <c r="A813" s="41">
        <v>812</v>
      </c>
      <c r="B813" s="41">
        <v>0</v>
      </c>
      <c r="C813" s="41">
        <v>1</v>
      </c>
    </row>
    <row r="814" spans="1:3" x14ac:dyDescent="0.25">
      <c r="A814" s="41">
        <v>813</v>
      </c>
      <c r="B814" s="41">
        <v>0</v>
      </c>
      <c r="C814" s="41">
        <v>1</v>
      </c>
    </row>
    <row r="815" spans="1:3" x14ac:dyDescent="0.25">
      <c r="A815" s="41">
        <v>814</v>
      </c>
      <c r="B815" s="41">
        <v>0</v>
      </c>
      <c r="C815" s="41">
        <v>1</v>
      </c>
    </row>
    <row r="816" spans="1:3" x14ac:dyDescent="0.25">
      <c r="A816" s="41">
        <v>815</v>
      </c>
      <c r="B816" s="41">
        <v>0</v>
      </c>
      <c r="C816" s="41">
        <v>1</v>
      </c>
    </row>
    <row r="817" spans="1:3" x14ac:dyDescent="0.25">
      <c r="A817" s="41">
        <v>816</v>
      </c>
      <c r="B817" s="41">
        <v>0</v>
      </c>
      <c r="C817" s="41">
        <v>1</v>
      </c>
    </row>
    <row r="818" spans="1:3" x14ac:dyDescent="0.25">
      <c r="A818" s="41">
        <v>817</v>
      </c>
      <c r="B818" s="41">
        <v>0</v>
      </c>
      <c r="C818" s="41">
        <v>1</v>
      </c>
    </row>
    <row r="819" spans="1:3" x14ac:dyDescent="0.25">
      <c r="A819" s="41">
        <v>818</v>
      </c>
      <c r="B819" s="41">
        <v>0</v>
      </c>
      <c r="C819" s="41">
        <v>1</v>
      </c>
    </row>
    <row r="820" spans="1:3" x14ac:dyDescent="0.25">
      <c r="A820" s="41">
        <v>819</v>
      </c>
      <c r="B820" s="41">
        <v>0</v>
      </c>
      <c r="C820" s="41">
        <v>1</v>
      </c>
    </row>
    <row r="821" spans="1:3" x14ac:dyDescent="0.25">
      <c r="A821" s="41">
        <v>820</v>
      </c>
      <c r="B821" s="41">
        <v>0</v>
      </c>
      <c r="C821" s="41">
        <v>1</v>
      </c>
    </row>
    <row r="822" spans="1:3" x14ac:dyDescent="0.25">
      <c r="A822" s="41">
        <v>821</v>
      </c>
      <c r="B822" s="41">
        <v>0</v>
      </c>
      <c r="C822" s="41">
        <v>1</v>
      </c>
    </row>
    <row r="823" spans="1:3" x14ac:dyDescent="0.25">
      <c r="A823" s="41">
        <v>822</v>
      </c>
      <c r="B823" s="41">
        <v>0</v>
      </c>
      <c r="C823" s="41">
        <v>1</v>
      </c>
    </row>
    <row r="824" spans="1:3" x14ac:dyDescent="0.25">
      <c r="A824" s="41">
        <v>823</v>
      </c>
      <c r="B824" s="41">
        <v>0</v>
      </c>
      <c r="C824" s="41">
        <v>1</v>
      </c>
    </row>
    <row r="825" spans="1:3" x14ac:dyDescent="0.25">
      <c r="A825" s="41">
        <v>824</v>
      </c>
      <c r="B825" s="41">
        <v>0</v>
      </c>
      <c r="C825" s="41">
        <v>1</v>
      </c>
    </row>
    <row r="826" spans="1:3" x14ac:dyDescent="0.25">
      <c r="A826" s="41">
        <v>825</v>
      </c>
      <c r="B826" s="41">
        <v>0</v>
      </c>
      <c r="C826" s="41">
        <v>1</v>
      </c>
    </row>
    <row r="827" spans="1:3" x14ac:dyDescent="0.25">
      <c r="A827" s="41">
        <v>826</v>
      </c>
      <c r="B827" s="41">
        <v>0</v>
      </c>
      <c r="C827" s="41">
        <v>1</v>
      </c>
    </row>
    <row r="828" spans="1:3" x14ac:dyDescent="0.25">
      <c r="A828" s="41">
        <v>827</v>
      </c>
      <c r="B828" s="41">
        <v>0</v>
      </c>
      <c r="C828" s="41">
        <v>1</v>
      </c>
    </row>
    <row r="829" spans="1:3" x14ac:dyDescent="0.25">
      <c r="A829" s="41">
        <v>828</v>
      </c>
      <c r="B829" s="41">
        <v>0</v>
      </c>
      <c r="C829" s="41">
        <v>1</v>
      </c>
    </row>
    <row r="830" spans="1:3" x14ac:dyDescent="0.25">
      <c r="A830" s="41">
        <v>829</v>
      </c>
      <c r="B830" s="41">
        <v>0</v>
      </c>
      <c r="C830" s="41">
        <v>1</v>
      </c>
    </row>
    <row r="831" spans="1:3" x14ac:dyDescent="0.25">
      <c r="A831" s="41">
        <v>830</v>
      </c>
      <c r="B831" s="41">
        <v>0</v>
      </c>
      <c r="C831" s="41">
        <v>1</v>
      </c>
    </row>
    <row r="832" spans="1:3" x14ac:dyDescent="0.25">
      <c r="A832" s="41">
        <v>831</v>
      </c>
      <c r="B832" s="41">
        <v>0</v>
      </c>
      <c r="C832" s="41">
        <v>1</v>
      </c>
    </row>
    <row r="833" spans="1:3" x14ac:dyDescent="0.25">
      <c r="A833" s="41">
        <v>832</v>
      </c>
      <c r="B833" s="41">
        <v>0</v>
      </c>
      <c r="C833" s="41">
        <v>1</v>
      </c>
    </row>
    <row r="834" spans="1:3" x14ac:dyDescent="0.25">
      <c r="A834" s="41">
        <v>833</v>
      </c>
      <c r="B834" s="41">
        <v>0</v>
      </c>
      <c r="C834" s="41">
        <v>1</v>
      </c>
    </row>
    <row r="835" spans="1:3" x14ac:dyDescent="0.25">
      <c r="A835" s="41">
        <v>834</v>
      </c>
      <c r="B835" s="41">
        <v>0</v>
      </c>
      <c r="C835" s="41">
        <v>1</v>
      </c>
    </row>
    <row r="836" spans="1:3" x14ac:dyDescent="0.25">
      <c r="A836" s="41">
        <v>835</v>
      </c>
      <c r="B836" s="41">
        <v>0</v>
      </c>
      <c r="C836" s="41">
        <v>1</v>
      </c>
    </row>
    <row r="837" spans="1:3" x14ac:dyDescent="0.25">
      <c r="A837" s="41">
        <v>836</v>
      </c>
      <c r="B837" s="41">
        <v>0</v>
      </c>
      <c r="C837" s="41">
        <v>1</v>
      </c>
    </row>
    <row r="838" spans="1:3" x14ac:dyDescent="0.25">
      <c r="A838" s="41">
        <v>837</v>
      </c>
      <c r="B838" s="41">
        <v>0</v>
      </c>
      <c r="C838" s="41">
        <v>1</v>
      </c>
    </row>
    <row r="839" spans="1:3" x14ac:dyDescent="0.25">
      <c r="A839" s="41">
        <v>838</v>
      </c>
      <c r="B839" s="41">
        <v>0</v>
      </c>
      <c r="C839" s="41">
        <v>1</v>
      </c>
    </row>
    <row r="840" spans="1:3" x14ac:dyDescent="0.25">
      <c r="A840" s="41">
        <v>839</v>
      </c>
      <c r="B840" s="41">
        <v>0</v>
      </c>
      <c r="C840" s="41">
        <v>1</v>
      </c>
    </row>
    <row r="841" spans="1:3" x14ac:dyDescent="0.25">
      <c r="A841" s="41">
        <v>840</v>
      </c>
      <c r="B841" s="41">
        <v>0</v>
      </c>
      <c r="C841" s="41">
        <v>1</v>
      </c>
    </row>
    <row r="842" spans="1:3" x14ac:dyDescent="0.25">
      <c r="A842" s="41">
        <v>841</v>
      </c>
      <c r="B842" s="41">
        <v>0</v>
      </c>
      <c r="C842" s="41">
        <v>1</v>
      </c>
    </row>
    <row r="843" spans="1:3" x14ac:dyDescent="0.25">
      <c r="A843" s="41">
        <v>842</v>
      </c>
      <c r="B843" s="41">
        <v>0</v>
      </c>
      <c r="C843" s="41">
        <v>1</v>
      </c>
    </row>
    <row r="844" spans="1:3" x14ac:dyDescent="0.25">
      <c r="A844" s="41">
        <v>843</v>
      </c>
      <c r="B844" s="41">
        <v>0</v>
      </c>
      <c r="C844" s="41">
        <v>1</v>
      </c>
    </row>
    <row r="845" spans="1:3" x14ac:dyDescent="0.25">
      <c r="A845" s="41">
        <v>844</v>
      </c>
      <c r="B845" s="41">
        <v>0</v>
      </c>
      <c r="C845" s="41">
        <v>1</v>
      </c>
    </row>
    <row r="846" spans="1:3" x14ac:dyDescent="0.25">
      <c r="A846" s="41">
        <v>845</v>
      </c>
      <c r="B846" s="41">
        <v>0</v>
      </c>
      <c r="C846" s="41">
        <v>1</v>
      </c>
    </row>
    <row r="847" spans="1:3" x14ac:dyDescent="0.25">
      <c r="A847" s="41">
        <v>846</v>
      </c>
      <c r="B847" s="41">
        <v>0</v>
      </c>
      <c r="C847" s="41">
        <v>1</v>
      </c>
    </row>
    <row r="848" spans="1:3" x14ac:dyDescent="0.25">
      <c r="A848" s="41">
        <v>847</v>
      </c>
      <c r="B848" s="41">
        <v>0</v>
      </c>
      <c r="C848" s="41">
        <v>1</v>
      </c>
    </row>
    <row r="849" spans="1:3" x14ac:dyDescent="0.25">
      <c r="A849" s="41">
        <v>848</v>
      </c>
      <c r="B849" s="41">
        <v>0</v>
      </c>
      <c r="C849" s="41">
        <v>1</v>
      </c>
    </row>
    <row r="850" spans="1:3" x14ac:dyDescent="0.25">
      <c r="A850" s="41">
        <v>849</v>
      </c>
      <c r="B850" s="41">
        <v>0</v>
      </c>
      <c r="C850" s="41">
        <v>1</v>
      </c>
    </row>
    <row r="851" spans="1:3" x14ac:dyDescent="0.25">
      <c r="A851" s="41">
        <v>850</v>
      </c>
      <c r="B851" s="41">
        <v>0</v>
      </c>
      <c r="C851" s="41">
        <v>1</v>
      </c>
    </row>
    <row r="852" spans="1:3" x14ac:dyDescent="0.25">
      <c r="A852" s="41">
        <v>851</v>
      </c>
      <c r="B852" s="41">
        <v>0</v>
      </c>
      <c r="C852" s="41">
        <v>1</v>
      </c>
    </row>
    <row r="853" spans="1:3" x14ac:dyDescent="0.25">
      <c r="A853" s="41">
        <v>852</v>
      </c>
      <c r="B853" s="41">
        <v>0</v>
      </c>
      <c r="C853" s="41">
        <v>1</v>
      </c>
    </row>
    <row r="854" spans="1:3" x14ac:dyDescent="0.25">
      <c r="A854" s="41">
        <v>853</v>
      </c>
      <c r="B854" s="41">
        <v>0</v>
      </c>
      <c r="C854" s="41">
        <v>1</v>
      </c>
    </row>
    <row r="855" spans="1:3" x14ac:dyDescent="0.25">
      <c r="A855" s="41">
        <v>854</v>
      </c>
      <c r="B855" s="41">
        <v>0</v>
      </c>
      <c r="C855" s="41">
        <v>1</v>
      </c>
    </row>
    <row r="856" spans="1:3" x14ac:dyDescent="0.25">
      <c r="A856" s="41">
        <v>855</v>
      </c>
      <c r="B856" s="41">
        <v>0</v>
      </c>
      <c r="C856" s="41">
        <v>1</v>
      </c>
    </row>
    <row r="857" spans="1:3" x14ac:dyDescent="0.25">
      <c r="A857" s="41">
        <v>856</v>
      </c>
      <c r="B857" s="41">
        <v>0</v>
      </c>
      <c r="C857" s="41">
        <v>1</v>
      </c>
    </row>
    <row r="858" spans="1:3" x14ac:dyDescent="0.25">
      <c r="A858" s="41">
        <v>857</v>
      </c>
      <c r="B858" s="41">
        <v>0</v>
      </c>
      <c r="C858" s="41">
        <v>1</v>
      </c>
    </row>
    <row r="859" spans="1:3" x14ac:dyDescent="0.25">
      <c r="A859" s="41">
        <v>858</v>
      </c>
      <c r="B859" s="41">
        <v>0</v>
      </c>
      <c r="C859" s="41">
        <v>1</v>
      </c>
    </row>
    <row r="860" spans="1:3" x14ac:dyDescent="0.25">
      <c r="A860" s="41">
        <v>859</v>
      </c>
      <c r="B860" s="41">
        <v>0</v>
      </c>
      <c r="C860" s="41">
        <v>1</v>
      </c>
    </row>
    <row r="861" spans="1:3" x14ac:dyDescent="0.25">
      <c r="A861" s="41">
        <v>860</v>
      </c>
      <c r="B861" s="41">
        <v>0</v>
      </c>
      <c r="C861" s="41">
        <v>1</v>
      </c>
    </row>
    <row r="862" spans="1:3" x14ac:dyDescent="0.25">
      <c r="A862" s="41">
        <v>861</v>
      </c>
      <c r="B862" s="41">
        <v>0</v>
      </c>
      <c r="C862" s="41">
        <v>1</v>
      </c>
    </row>
    <row r="863" spans="1:3" x14ac:dyDescent="0.25">
      <c r="A863" s="41">
        <v>862</v>
      </c>
      <c r="B863" s="41">
        <v>0</v>
      </c>
      <c r="C863" s="41">
        <v>1</v>
      </c>
    </row>
    <row r="864" spans="1:3" x14ac:dyDescent="0.25">
      <c r="A864" s="41">
        <v>863</v>
      </c>
      <c r="B864" s="41">
        <v>0</v>
      </c>
      <c r="C864" s="41">
        <v>1</v>
      </c>
    </row>
    <row r="865" spans="1:3" x14ac:dyDescent="0.25">
      <c r="A865" s="41">
        <v>864</v>
      </c>
      <c r="B865" s="41">
        <v>0</v>
      </c>
      <c r="C865" s="41">
        <v>1</v>
      </c>
    </row>
    <row r="866" spans="1:3" x14ac:dyDescent="0.25">
      <c r="A866" s="41">
        <v>865</v>
      </c>
      <c r="B866" s="41">
        <v>0</v>
      </c>
      <c r="C866" s="41">
        <v>1</v>
      </c>
    </row>
    <row r="867" spans="1:3" x14ac:dyDescent="0.25">
      <c r="A867" s="41">
        <v>866</v>
      </c>
      <c r="B867" s="41">
        <v>0</v>
      </c>
      <c r="C867" s="41">
        <v>1</v>
      </c>
    </row>
    <row r="868" spans="1:3" x14ac:dyDescent="0.25">
      <c r="A868" s="41">
        <v>867</v>
      </c>
      <c r="B868" s="41">
        <v>0</v>
      </c>
      <c r="C868" s="41">
        <v>1</v>
      </c>
    </row>
    <row r="869" spans="1:3" x14ac:dyDescent="0.25">
      <c r="A869" s="41">
        <v>868</v>
      </c>
      <c r="B869" s="41">
        <v>0</v>
      </c>
      <c r="C869" s="41">
        <v>1</v>
      </c>
    </row>
    <row r="870" spans="1:3" x14ac:dyDescent="0.25">
      <c r="A870" s="41">
        <v>869</v>
      </c>
      <c r="B870" s="41">
        <v>0</v>
      </c>
      <c r="C870" s="41">
        <v>1</v>
      </c>
    </row>
    <row r="871" spans="1:3" x14ac:dyDescent="0.25">
      <c r="A871" s="41">
        <v>870</v>
      </c>
      <c r="B871" s="41">
        <v>0</v>
      </c>
      <c r="C871" s="41">
        <v>1</v>
      </c>
    </row>
    <row r="872" spans="1:3" x14ac:dyDescent="0.25">
      <c r="A872" s="41">
        <v>871</v>
      </c>
      <c r="B872" s="41">
        <v>0</v>
      </c>
      <c r="C872" s="41">
        <v>1</v>
      </c>
    </row>
    <row r="873" spans="1:3" x14ac:dyDescent="0.25">
      <c r="A873" s="41">
        <v>872</v>
      </c>
      <c r="B873" s="41">
        <v>0</v>
      </c>
      <c r="C873" s="41">
        <v>1</v>
      </c>
    </row>
    <row r="874" spans="1:3" x14ac:dyDescent="0.25">
      <c r="A874" s="41">
        <v>873</v>
      </c>
      <c r="B874" s="41">
        <v>0</v>
      </c>
      <c r="C874" s="41">
        <v>1</v>
      </c>
    </row>
    <row r="875" spans="1:3" x14ac:dyDescent="0.25">
      <c r="A875" s="41">
        <v>874</v>
      </c>
      <c r="B875" s="41">
        <v>0</v>
      </c>
      <c r="C875" s="41">
        <v>1</v>
      </c>
    </row>
    <row r="876" spans="1:3" x14ac:dyDescent="0.25">
      <c r="A876" s="41">
        <v>875</v>
      </c>
      <c r="B876" s="41">
        <v>0</v>
      </c>
      <c r="C876" s="41">
        <v>1</v>
      </c>
    </row>
    <row r="877" spans="1:3" x14ac:dyDescent="0.25">
      <c r="A877" s="41">
        <v>876</v>
      </c>
      <c r="B877" s="41">
        <v>0</v>
      </c>
      <c r="C877" s="41">
        <v>1</v>
      </c>
    </row>
    <row r="878" spans="1:3" x14ac:dyDescent="0.25">
      <c r="A878" s="41">
        <v>877</v>
      </c>
      <c r="B878" s="41">
        <v>0</v>
      </c>
      <c r="C878" s="41">
        <v>1</v>
      </c>
    </row>
    <row r="879" spans="1:3" x14ac:dyDescent="0.25">
      <c r="A879" s="41">
        <v>878</v>
      </c>
      <c r="B879" s="41">
        <v>0</v>
      </c>
      <c r="C879" s="41">
        <v>1</v>
      </c>
    </row>
    <row r="880" spans="1:3" x14ac:dyDescent="0.25">
      <c r="A880" s="41">
        <v>879</v>
      </c>
      <c r="B880" s="41">
        <v>0</v>
      </c>
      <c r="C880" s="41">
        <v>1</v>
      </c>
    </row>
    <row r="881" spans="1:3" x14ac:dyDescent="0.25">
      <c r="A881" s="41">
        <v>880</v>
      </c>
      <c r="B881" s="41">
        <v>0</v>
      </c>
      <c r="C881" s="41">
        <v>1</v>
      </c>
    </row>
    <row r="882" spans="1:3" x14ac:dyDescent="0.25">
      <c r="A882" s="41">
        <v>881</v>
      </c>
      <c r="B882" s="41">
        <v>0</v>
      </c>
      <c r="C882" s="41">
        <v>1</v>
      </c>
    </row>
    <row r="883" spans="1:3" x14ac:dyDescent="0.25">
      <c r="A883" s="41">
        <v>882</v>
      </c>
      <c r="B883" s="41">
        <v>0</v>
      </c>
      <c r="C883" s="41">
        <v>1</v>
      </c>
    </row>
    <row r="884" spans="1:3" x14ac:dyDescent="0.25">
      <c r="A884" s="41">
        <v>883</v>
      </c>
      <c r="B884" s="41">
        <v>0</v>
      </c>
      <c r="C884" s="41">
        <v>1</v>
      </c>
    </row>
    <row r="885" spans="1:3" x14ac:dyDescent="0.25">
      <c r="A885" s="41">
        <v>884</v>
      </c>
      <c r="B885" s="41">
        <v>0</v>
      </c>
      <c r="C885" s="41">
        <v>1</v>
      </c>
    </row>
    <row r="886" spans="1:3" x14ac:dyDescent="0.25">
      <c r="A886" s="41">
        <v>885</v>
      </c>
      <c r="B886" s="41">
        <v>0</v>
      </c>
      <c r="C886" s="41">
        <v>1</v>
      </c>
    </row>
    <row r="887" spans="1:3" x14ac:dyDescent="0.25">
      <c r="A887" s="41">
        <v>886</v>
      </c>
      <c r="B887" s="41">
        <v>0</v>
      </c>
      <c r="C887" s="41">
        <v>1</v>
      </c>
    </row>
    <row r="888" spans="1:3" x14ac:dyDescent="0.25">
      <c r="A888" s="41">
        <v>887</v>
      </c>
      <c r="B888" s="41">
        <v>0</v>
      </c>
      <c r="C888" s="41">
        <v>1</v>
      </c>
    </row>
    <row r="889" spans="1:3" x14ac:dyDescent="0.25">
      <c r="A889" s="41">
        <v>888</v>
      </c>
      <c r="B889" s="41">
        <v>0</v>
      </c>
      <c r="C889" s="41">
        <v>1</v>
      </c>
    </row>
    <row r="890" spans="1:3" x14ac:dyDescent="0.25">
      <c r="A890" s="41">
        <v>889</v>
      </c>
      <c r="B890" s="41">
        <v>0</v>
      </c>
      <c r="C890" s="41">
        <v>1</v>
      </c>
    </row>
    <row r="891" spans="1:3" x14ac:dyDescent="0.25">
      <c r="A891" s="41">
        <v>890</v>
      </c>
      <c r="B891" s="41">
        <v>0</v>
      </c>
      <c r="C891" s="41">
        <v>1</v>
      </c>
    </row>
    <row r="892" spans="1:3" x14ac:dyDescent="0.25">
      <c r="A892" s="41">
        <v>891</v>
      </c>
      <c r="B892" s="41">
        <v>0</v>
      </c>
      <c r="C892" s="41">
        <v>1</v>
      </c>
    </row>
    <row r="893" spans="1:3" x14ac:dyDescent="0.25">
      <c r="A893" s="41">
        <v>892</v>
      </c>
      <c r="B893" s="41">
        <v>0</v>
      </c>
      <c r="C893" s="41">
        <v>1</v>
      </c>
    </row>
    <row r="894" spans="1:3" x14ac:dyDescent="0.25">
      <c r="A894" s="41">
        <v>893</v>
      </c>
      <c r="B894" s="41">
        <v>0</v>
      </c>
      <c r="C894" s="41">
        <v>1</v>
      </c>
    </row>
    <row r="895" spans="1:3" x14ac:dyDescent="0.25">
      <c r="A895" s="41">
        <v>894</v>
      </c>
      <c r="B895" s="41">
        <v>0</v>
      </c>
      <c r="C895" s="41">
        <v>1</v>
      </c>
    </row>
    <row r="896" spans="1:3" x14ac:dyDescent="0.25">
      <c r="A896" s="41">
        <v>895</v>
      </c>
      <c r="B896" s="41">
        <v>0</v>
      </c>
      <c r="C896" s="41">
        <v>1</v>
      </c>
    </row>
    <row r="897" spans="1:3" x14ac:dyDescent="0.25">
      <c r="A897" s="41">
        <v>896</v>
      </c>
      <c r="B897" s="41">
        <v>0</v>
      </c>
      <c r="C897" s="41">
        <v>1</v>
      </c>
    </row>
    <row r="898" spans="1:3" x14ac:dyDescent="0.25">
      <c r="A898" s="41">
        <v>897</v>
      </c>
      <c r="B898" s="41">
        <v>0</v>
      </c>
      <c r="C898" s="41">
        <v>1</v>
      </c>
    </row>
    <row r="899" spans="1:3" x14ac:dyDescent="0.25">
      <c r="A899" s="41">
        <v>898</v>
      </c>
      <c r="B899" s="41">
        <v>0</v>
      </c>
      <c r="C899" s="41">
        <v>1</v>
      </c>
    </row>
    <row r="900" spans="1:3" x14ac:dyDescent="0.25">
      <c r="A900" s="41">
        <v>899</v>
      </c>
      <c r="B900" s="41">
        <v>0</v>
      </c>
      <c r="C900" s="41">
        <v>1</v>
      </c>
    </row>
    <row r="901" spans="1:3" x14ac:dyDescent="0.25">
      <c r="A901" s="41">
        <v>900</v>
      </c>
      <c r="B901" s="41">
        <v>0</v>
      </c>
      <c r="C901" s="41">
        <v>1</v>
      </c>
    </row>
    <row r="902" spans="1:3" x14ac:dyDescent="0.25">
      <c r="A902" s="41">
        <v>901</v>
      </c>
      <c r="B902" s="41">
        <v>0</v>
      </c>
      <c r="C902" s="41">
        <v>1</v>
      </c>
    </row>
    <row r="903" spans="1:3" x14ac:dyDescent="0.25">
      <c r="A903" s="41">
        <v>902</v>
      </c>
      <c r="B903" s="41">
        <v>0</v>
      </c>
      <c r="C903" s="41">
        <v>1</v>
      </c>
    </row>
    <row r="904" spans="1:3" x14ac:dyDescent="0.25">
      <c r="A904" s="41">
        <v>903</v>
      </c>
      <c r="B904" s="41">
        <v>0</v>
      </c>
      <c r="C904" s="41">
        <v>1</v>
      </c>
    </row>
    <row r="905" spans="1:3" x14ac:dyDescent="0.25">
      <c r="A905" s="41">
        <v>904</v>
      </c>
      <c r="B905" s="41">
        <v>0</v>
      </c>
      <c r="C905" s="41">
        <v>1</v>
      </c>
    </row>
    <row r="906" spans="1:3" x14ac:dyDescent="0.25">
      <c r="A906" s="41">
        <v>905</v>
      </c>
      <c r="B906" s="41">
        <v>0</v>
      </c>
      <c r="C906" s="41">
        <v>1</v>
      </c>
    </row>
    <row r="907" spans="1:3" x14ac:dyDescent="0.25">
      <c r="A907" s="41">
        <v>906</v>
      </c>
      <c r="B907" s="41">
        <v>0</v>
      </c>
      <c r="C907" s="41">
        <v>1</v>
      </c>
    </row>
    <row r="908" spans="1:3" x14ac:dyDescent="0.25">
      <c r="A908" s="41">
        <v>907</v>
      </c>
      <c r="B908" s="41">
        <v>0</v>
      </c>
      <c r="C908" s="41">
        <v>1</v>
      </c>
    </row>
    <row r="909" spans="1:3" x14ac:dyDescent="0.25">
      <c r="A909" s="41">
        <v>908</v>
      </c>
      <c r="B909" s="41">
        <v>0</v>
      </c>
      <c r="C909" s="41">
        <v>1</v>
      </c>
    </row>
    <row r="910" spans="1:3" x14ac:dyDescent="0.25">
      <c r="A910" s="41">
        <v>909</v>
      </c>
      <c r="B910" s="41">
        <v>0</v>
      </c>
      <c r="C910" s="41">
        <v>1</v>
      </c>
    </row>
    <row r="911" spans="1:3" x14ac:dyDescent="0.25">
      <c r="A911" s="41">
        <v>910</v>
      </c>
      <c r="B911" s="41">
        <v>0</v>
      </c>
      <c r="C911" s="41">
        <v>1</v>
      </c>
    </row>
    <row r="912" spans="1:3" x14ac:dyDescent="0.25">
      <c r="A912" s="41">
        <v>911</v>
      </c>
      <c r="B912" s="41">
        <v>0</v>
      </c>
      <c r="C912" s="41">
        <v>1</v>
      </c>
    </row>
    <row r="913" spans="1:3" x14ac:dyDescent="0.25">
      <c r="A913" s="41">
        <v>912</v>
      </c>
      <c r="B913" s="41">
        <v>0</v>
      </c>
      <c r="C913" s="41">
        <v>1</v>
      </c>
    </row>
    <row r="914" spans="1:3" x14ac:dyDescent="0.25">
      <c r="A914" s="41">
        <v>913</v>
      </c>
      <c r="B914" s="41">
        <v>0</v>
      </c>
      <c r="C914" s="41">
        <v>1</v>
      </c>
    </row>
    <row r="915" spans="1:3" x14ac:dyDescent="0.25">
      <c r="A915" s="41">
        <v>914</v>
      </c>
      <c r="B915" s="41">
        <v>0</v>
      </c>
      <c r="C915" s="41">
        <v>1</v>
      </c>
    </row>
    <row r="916" spans="1:3" x14ac:dyDescent="0.25">
      <c r="A916" s="41">
        <v>915</v>
      </c>
      <c r="B916" s="41">
        <v>0</v>
      </c>
      <c r="C916" s="41">
        <v>1</v>
      </c>
    </row>
    <row r="917" spans="1:3" x14ac:dyDescent="0.25">
      <c r="A917" s="41">
        <v>916</v>
      </c>
      <c r="B917" s="41">
        <v>0</v>
      </c>
      <c r="C917" s="41">
        <v>1</v>
      </c>
    </row>
    <row r="918" spans="1:3" x14ac:dyDescent="0.25">
      <c r="A918" s="41">
        <v>917</v>
      </c>
      <c r="B918" s="41">
        <v>0</v>
      </c>
      <c r="C918" s="41">
        <v>1</v>
      </c>
    </row>
    <row r="919" spans="1:3" x14ac:dyDescent="0.25">
      <c r="A919" s="41">
        <v>918</v>
      </c>
      <c r="B919" s="41">
        <v>0</v>
      </c>
      <c r="C919" s="41">
        <v>1</v>
      </c>
    </row>
    <row r="920" spans="1:3" x14ac:dyDescent="0.25">
      <c r="A920" s="41">
        <v>919</v>
      </c>
      <c r="B920" s="41">
        <v>0</v>
      </c>
      <c r="C920" s="41">
        <v>1</v>
      </c>
    </row>
    <row r="921" spans="1:3" x14ac:dyDescent="0.25">
      <c r="A921" s="41">
        <v>920</v>
      </c>
      <c r="B921" s="41">
        <v>0</v>
      </c>
      <c r="C921" s="41">
        <v>1</v>
      </c>
    </row>
    <row r="922" spans="1:3" x14ac:dyDescent="0.25">
      <c r="A922" s="41">
        <v>921</v>
      </c>
      <c r="B922" s="41">
        <v>0</v>
      </c>
      <c r="C922" s="41">
        <v>1</v>
      </c>
    </row>
    <row r="923" spans="1:3" x14ac:dyDescent="0.25">
      <c r="A923" s="41">
        <v>922</v>
      </c>
      <c r="B923" s="41">
        <v>0</v>
      </c>
      <c r="C923" s="41">
        <v>1</v>
      </c>
    </row>
    <row r="924" spans="1:3" x14ac:dyDescent="0.25">
      <c r="A924" s="41">
        <v>923</v>
      </c>
      <c r="B924" s="41">
        <v>0</v>
      </c>
      <c r="C924" s="41">
        <v>1</v>
      </c>
    </row>
    <row r="925" spans="1:3" x14ac:dyDescent="0.25">
      <c r="A925" s="41">
        <v>924</v>
      </c>
      <c r="B925" s="41">
        <v>0</v>
      </c>
      <c r="C925" s="41">
        <v>1</v>
      </c>
    </row>
    <row r="926" spans="1:3" x14ac:dyDescent="0.25">
      <c r="A926" s="41">
        <v>925</v>
      </c>
      <c r="B926" s="41">
        <v>0</v>
      </c>
      <c r="C926" s="41">
        <v>1</v>
      </c>
    </row>
    <row r="927" spans="1:3" x14ac:dyDescent="0.25">
      <c r="A927" s="41">
        <v>926</v>
      </c>
      <c r="B927" s="41">
        <v>0</v>
      </c>
      <c r="C927" s="41">
        <v>1</v>
      </c>
    </row>
    <row r="928" spans="1:3" x14ac:dyDescent="0.25">
      <c r="A928" s="41">
        <v>927</v>
      </c>
      <c r="B928" s="41">
        <v>0</v>
      </c>
      <c r="C928" s="41">
        <v>1</v>
      </c>
    </row>
    <row r="929" spans="1:3" x14ac:dyDescent="0.25">
      <c r="A929" s="41">
        <v>928</v>
      </c>
      <c r="B929" s="41">
        <v>0</v>
      </c>
      <c r="C929" s="41">
        <v>1</v>
      </c>
    </row>
    <row r="930" spans="1:3" x14ac:dyDescent="0.25">
      <c r="A930" s="41">
        <v>929</v>
      </c>
      <c r="B930" s="41">
        <v>0</v>
      </c>
      <c r="C930" s="41">
        <v>1</v>
      </c>
    </row>
    <row r="931" spans="1:3" x14ac:dyDescent="0.25">
      <c r="A931" s="41">
        <v>930</v>
      </c>
      <c r="B931" s="41">
        <v>0</v>
      </c>
      <c r="C931" s="41">
        <v>1</v>
      </c>
    </row>
    <row r="932" spans="1:3" x14ac:dyDescent="0.25">
      <c r="A932" s="41">
        <v>931</v>
      </c>
      <c r="B932" s="41">
        <v>0</v>
      </c>
      <c r="C932" s="41">
        <v>1</v>
      </c>
    </row>
    <row r="933" spans="1:3" x14ac:dyDescent="0.25">
      <c r="A933" s="41">
        <v>932</v>
      </c>
      <c r="B933" s="41">
        <v>0</v>
      </c>
      <c r="C933" s="41">
        <v>1</v>
      </c>
    </row>
    <row r="934" spans="1:3" x14ac:dyDescent="0.25">
      <c r="A934" s="41">
        <v>933</v>
      </c>
      <c r="B934" s="41">
        <v>0</v>
      </c>
      <c r="C934" s="41">
        <v>1</v>
      </c>
    </row>
    <row r="935" spans="1:3" x14ac:dyDescent="0.25">
      <c r="A935" s="41">
        <v>934</v>
      </c>
      <c r="B935" s="41">
        <v>0</v>
      </c>
      <c r="C935" s="41">
        <v>1</v>
      </c>
    </row>
    <row r="936" spans="1:3" x14ac:dyDescent="0.25">
      <c r="A936" s="41">
        <v>935</v>
      </c>
      <c r="B936" s="41">
        <v>0</v>
      </c>
      <c r="C936" s="41">
        <v>1</v>
      </c>
    </row>
    <row r="937" spans="1:3" x14ac:dyDescent="0.25">
      <c r="A937" s="41">
        <v>936</v>
      </c>
      <c r="B937" s="41">
        <v>0</v>
      </c>
      <c r="C937" s="41">
        <v>1</v>
      </c>
    </row>
    <row r="938" spans="1:3" x14ac:dyDescent="0.25">
      <c r="A938" s="41">
        <v>937</v>
      </c>
      <c r="B938" s="41">
        <v>0</v>
      </c>
      <c r="C938" s="41">
        <v>1</v>
      </c>
    </row>
    <row r="939" spans="1:3" x14ac:dyDescent="0.25">
      <c r="A939" s="41">
        <v>938</v>
      </c>
      <c r="B939" s="41">
        <v>0</v>
      </c>
      <c r="C939" s="41">
        <v>1</v>
      </c>
    </row>
    <row r="940" spans="1:3" x14ac:dyDescent="0.25">
      <c r="A940" s="41">
        <v>939</v>
      </c>
      <c r="B940" s="41">
        <v>0</v>
      </c>
      <c r="C940" s="41">
        <v>1</v>
      </c>
    </row>
    <row r="941" spans="1:3" x14ac:dyDescent="0.25">
      <c r="A941" s="41">
        <v>940</v>
      </c>
      <c r="B941" s="41">
        <v>0</v>
      </c>
      <c r="C941" s="41">
        <v>1</v>
      </c>
    </row>
    <row r="942" spans="1:3" x14ac:dyDescent="0.25">
      <c r="A942" s="41">
        <v>941</v>
      </c>
      <c r="B942" s="41">
        <v>0</v>
      </c>
      <c r="C942" s="41">
        <v>1</v>
      </c>
    </row>
    <row r="943" spans="1:3" x14ac:dyDescent="0.25">
      <c r="A943" s="41">
        <v>942</v>
      </c>
      <c r="B943" s="41">
        <v>0</v>
      </c>
      <c r="C943" s="41">
        <v>1</v>
      </c>
    </row>
    <row r="944" spans="1:3" x14ac:dyDescent="0.25">
      <c r="A944" s="41">
        <v>943</v>
      </c>
      <c r="B944" s="41">
        <v>0</v>
      </c>
      <c r="C944" s="41">
        <v>1</v>
      </c>
    </row>
    <row r="945" spans="1:3" x14ac:dyDescent="0.25">
      <c r="A945" s="41">
        <v>944</v>
      </c>
      <c r="B945" s="41">
        <v>0</v>
      </c>
      <c r="C945" s="41">
        <v>1</v>
      </c>
    </row>
    <row r="946" spans="1:3" x14ac:dyDescent="0.25">
      <c r="A946" s="41">
        <v>945</v>
      </c>
      <c r="B946" s="41">
        <v>0</v>
      </c>
      <c r="C946" s="41">
        <v>1</v>
      </c>
    </row>
    <row r="947" spans="1:3" x14ac:dyDescent="0.25">
      <c r="A947" s="41">
        <v>946</v>
      </c>
      <c r="B947" s="41">
        <v>0</v>
      </c>
      <c r="C947" s="41">
        <v>1</v>
      </c>
    </row>
    <row r="948" spans="1:3" x14ac:dyDescent="0.25">
      <c r="A948" s="41">
        <v>947</v>
      </c>
      <c r="B948" s="41">
        <v>0</v>
      </c>
      <c r="C948" s="41">
        <v>1</v>
      </c>
    </row>
    <row r="949" spans="1:3" x14ac:dyDescent="0.25">
      <c r="A949" s="41">
        <v>948</v>
      </c>
      <c r="B949" s="41">
        <v>0</v>
      </c>
      <c r="C949" s="41">
        <v>1</v>
      </c>
    </row>
    <row r="950" spans="1:3" x14ac:dyDescent="0.25">
      <c r="A950" s="41">
        <v>949</v>
      </c>
      <c r="B950" s="41">
        <v>0</v>
      </c>
      <c r="C950" s="41">
        <v>1</v>
      </c>
    </row>
    <row r="951" spans="1:3" x14ac:dyDescent="0.25">
      <c r="A951" s="41">
        <v>950</v>
      </c>
      <c r="B951" s="41">
        <v>0</v>
      </c>
      <c r="C951" s="41">
        <v>1</v>
      </c>
    </row>
    <row r="952" spans="1:3" x14ac:dyDescent="0.25">
      <c r="A952" s="41">
        <v>951</v>
      </c>
      <c r="B952" s="41">
        <v>0</v>
      </c>
      <c r="C952" s="41">
        <v>1</v>
      </c>
    </row>
    <row r="953" spans="1:3" x14ac:dyDescent="0.25">
      <c r="A953" s="41">
        <v>952</v>
      </c>
      <c r="B953" s="41">
        <v>0</v>
      </c>
      <c r="C953" s="41">
        <v>1</v>
      </c>
    </row>
    <row r="954" spans="1:3" x14ac:dyDescent="0.25">
      <c r="A954" s="41">
        <v>953</v>
      </c>
      <c r="B954" s="41">
        <v>0</v>
      </c>
      <c r="C954" s="41">
        <v>1</v>
      </c>
    </row>
    <row r="955" spans="1:3" x14ac:dyDescent="0.25">
      <c r="A955" s="41">
        <v>954</v>
      </c>
      <c r="B955" s="41">
        <v>0</v>
      </c>
      <c r="C955" s="41">
        <v>1</v>
      </c>
    </row>
    <row r="956" spans="1:3" x14ac:dyDescent="0.25">
      <c r="A956" s="41">
        <v>955</v>
      </c>
      <c r="B956" s="41">
        <v>0</v>
      </c>
      <c r="C956" s="41">
        <v>1</v>
      </c>
    </row>
    <row r="957" spans="1:3" x14ac:dyDescent="0.25">
      <c r="A957" s="41">
        <v>956</v>
      </c>
      <c r="B957" s="41">
        <v>0</v>
      </c>
      <c r="C957" s="41">
        <v>1</v>
      </c>
    </row>
    <row r="958" spans="1:3" x14ac:dyDescent="0.25">
      <c r="A958" s="41">
        <v>957</v>
      </c>
      <c r="B958" s="41">
        <v>0</v>
      </c>
      <c r="C958" s="41">
        <v>1</v>
      </c>
    </row>
    <row r="959" spans="1:3" x14ac:dyDescent="0.25">
      <c r="A959" s="41">
        <v>958</v>
      </c>
      <c r="B959" s="41">
        <v>0</v>
      </c>
      <c r="C959" s="41">
        <v>1</v>
      </c>
    </row>
    <row r="960" spans="1:3" x14ac:dyDescent="0.25">
      <c r="A960" s="41">
        <v>959</v>
      </c>
      <c r="B960" s="41">
        <v>0</v>
      </c>
      <c r="C960" s="41">
        <v>1</v>
      </c>
    </row>
    <row r="961" spans="1:3" x14ac:dyDescent="0.25">
      <c r="A961" s="41">
        <v>960</v>
      </c>
      <c r="B961" s="41">
        <v>0</v>
      </c>
      <c r="C961" s="41">
        <v>1</v>
      </c>
    </row>
    <row r="962" spans="1:3" x14ac:dyDescent="0.25">
      <c r="A962" s="41">
        <v>961</v>
      </c>
      <c r="B962" s="41">
        <v>0</v>
      </c>
      <c r="C962" s="41">
        <v>1</v>
      </c>
    </row>
    <row r="963" spans="1:3" x14ac:dyDescent="0.25">
      <c r="A963" s="41">
        <v>962</v>
      </c>
      <c r="B963" s="41">
        <v>0</v>
      </c>
      <c r="C963" s="41">
        <v>1</v>
      </c>
    </row>
    <row r="964" spans="1:3" x14ac:dyDescent="0.25">
      <c r="A964" s="41">
        <v>963</v>
      </c>
      <c r="B964" s="41">
        <v>0</v>
      </c>
      <c r="C964" s="41">
        <v>1</v>
      </c>
    </row>
    <row r="965" spans="1:3" x14ac:dyDescent="0.25">
      <c r="A965" s="41">
        <v>964</v>
      </c>
      <c r="B965" s="41">
        <v>0</v>
      </c>
      <c r="C965" s="41">
        <v>1</v>
      </c>
    </row>
    <row r="966" spans="1:3" x14ac:dyDescent="0.25">
      <c r="A966" s="41">
        <v>965</v>
      </c>
      <c r="B966" s="41">
        <v>0</v>
      </c>
      <c r="C966" s="41">
        <v>1</v>
      </c>
    </row>
    <row r="967" spans="1:3" x14ac:dyDescent="0.25">
      <c r="A967" s="41">
        <v>966</v>
      </c>
      <c r="B967" s="41">
        <v>0</v>
      </c>
      <c r="C967" s="41">
        <v>1</v>
      </c>
    </row>
    <row r="968" spans="1:3" x14ac:dyDescent="0.25">
      <c r="A968" s="41">
        <v>967</v>
      </c>
      <c r="B968" s="41">
        <v>0</v>
      </c>
      <c r="C968" s="41">
        <v>1</v>
      </c>
    </row>
    <row r="969" spans="1:3" x14ac:dyDescent="0.25">
      <c r="A969" s="41">
        <v>968</v>
      </c>
      <c r="B969" s="41">
        <v>0</v>
      </c>
      <c r="C969" s="41">
        <v>1</v>
      </c>
    </row>
    <row r="970" spans="1:3" x14ac:dyDescent="0.25">
      <c r="A970" s="41">
        <v>969</v>
      </c>
      <c r="B970" s="41">
        <v>0</v>
      </c>
      <c r="C970" s="41">
        <v>1</v>
      </c>
    </row>
    <row r="971" spans="1:3" x14ac:dyDescent="0.25">
      <c r="A971" s="41">
        <v>970</v>
      </c>
      <c r="B971" s="41">
        <v>0</v>
      </c>
      <c r="C971" s="41">
        <v>1</v>
      </c>
    </row>
    <row r="972" spans="1:3" x14ac:dyDescent="0.25">
      <c r="A972" s="41">
        <v>971</v>
      </c>
      <c r="B972" s="41">
        <v>0</v>
      </c>
      <c r="C972" s="41">
        <v>1</v>
      </c>
    </row>
    <row r="973" spans="1:3" x14ac:dyDescent="0.25">
      <c r="A973" s="41">
        <v>972</v>
      </c>
      <c r="B973" s="41">
        <v>0</v>
      </c>
      <c r="C973" s="41">
        <v>1</v>
      </c>
    </row>
    <row r="974" spans="1:3" x14ac:dyDescent="0.25">
      <c r="A974" s="41">
        <v>973</v>
      </c>
      <c r="B974" s="41">
        <v>0</v>
      </c>
      <c r="C974" s="41">
        <v>1</v>
      </c>
    </row>
    <row r="975" spans="1:3" x14ac:dyDescent="0.25">
      <c r="A975" s="41">
        <v>974</v>
      </c>
      <c r="B975" s="41">
        <v>0</v>
      </c>
      <c r="C975" s="41">
        <v>1</v>
      </c>
    </row>
    <row r="976" spans="1:3" x14ac:dyDescent="0.25">
      <c r="A976" s="41">
        <v>975</v>
      </c>
      <c r="B976" s="41">
        <v>0</v>
      </c>
      <c r="C976" s="41">
        <v>1</v>
      </c>
    </row>
    <row r="977" spans="1:3" x14ac:dyDescent="0.25">
      <c r="A977" s="41">
        <v>976</v>
      </c>
      <c r="B977" s="41">
        <v>0</v>
      </c>
      <c r="C977" s="41">
        <v>1</v>
      </c>
    </row>
    <row r="978" spans="1:3" x14ac:dyDescent="0.25">
      <c r="A978" s="41">
        <v>977</v>
      </c>
      <c r="B978" s="41">
        <v>0</v>
      </c>
      <c r="C978" s="41">
        <v>1</v>
      </c>
    </row>
    <row r="979" spans="1:3" x14ac:dyDescent="0.25">
      <c r="A979" s="41">
        <v>978</v>
      </c>
      <c r="B979" s="41">
        <v>0</v>
      </c>
      <c r="C979" s="41">
        <v>1</v>
      </c>
    </row>
    <row r="980" spans="1:3" x14ac:dyDescent="0.25">
      <c r="A980" s="41">
        <v>979</v>
      </c>
      <c r="B980" s="41">
        <v>0</v>
      </c>
      <c r="C980" s="41">
        <v>1</v>
      </c>
    </row>
    <row r="981" spans="1:3" x14ac:dyDescent="0.25">
      <c r="A981" s="41">
        <v>980</v>
      </c>
      <c r="B981" s="41">
        <v>0</v>
      </c>
      <c r="C981" s="41">
        <v>1</v>
      </c>
    </row>
    <row r="982" spans="1:3" x14ac:dyDescent="0.25">
      <c r="A982" s="41">
        <v>981</v>
      </c>
      <c r="B982" s="41">
        <v>0</v>
      </c>
      <c r="C982" s="41">
        <v>1</v>
      </c>
    </row>
    <row r="983" spans="1:3" x14ac:dyDescent="0.25">
      <c r="A983" s="41">
        <v>982</v>
      </c>
      <c r="B983" s="41">
        <v>0</v>
      </c>
      <c r="C983" s="41">
        <v>1</v>
      </c>
    </row>
    <row r="984" spans="1:3" x14ac:dyDescent="0.25">
      <c r="A984" s="41">
        <v>983</v>
      </c>
      <c r="B984" s="41">
        <v>0</v>
      </c>
      <c r="C984" s="41">
        <v>1</v>
      </c>
    </row>
    <row r="985" spans="1:3" x14ac:dyDescent="0.25">
      <c r="A985" s="41">
        <v>984</v>
      </c>
      <c r="B985" s="41">
        <v>0</v>
      </c>
      <c r="C985" s="41">
        <v>1</v>
      </c>
    </row>
    <row r="986" spans="1:3" x14ac:dyDescent="0.25">
      <c r="A986" s="41">
        <v>985</v>
      </c>
      <c r="B986" s="41">
        <v>0</v>
      </c>
      <c r="C986" s="41">
        <v>1</v>
      </c>
    </row>
    <row r="987" spans="1:3" x14ac:dyDescent="0.25">
      <c r="A987" s="41">
        <v>986</v>
      </c>
      <c r="B987" s="41">
        <v>0</v>
      </c>
      <c r="C987" s="41">
        <v>1</v>
      </c>
    </row>
    <row r="988" spans="1:3" x14ac:dyDescent="0.25">
      <c r="A988" s="41">
        <v>987</v>
      </c>
      <c r="B988" s="41">
        <v>0</v>
      </c>
      <c r="C988" s="41">
        <v>1</v>
      </c>
    </row>
    <row r="989" spans="1:3" x14ac:dyDescent="0.25">
      <c r="A989" s="41">
        <v>988</v>
      </c>
      <c r="B989" s="41">
        <v>0</v>
      </c>
      <c r="C989" s="41">
        <v>1</v>
      </c>
    </row>
    <row r="990" spans="1:3" x14ac:dyDescent="0.25">
      <c r="A990" s="41">
        <v>989</v>
      </c>
      <c r="B990" s="41">
        <v>0</v>
      </c>
      <c r="C990" s="41">
        <v>1</v>
      </c>
    </row>
    <row r="991" spans="1:3" x14ac:dyDescent="0.25">
      <c r="A991" s="41">
        <v>990</v>
      </c>
      <c r="B991" s="41">
        <v>0</v>
      </c>
      <c r="C991" s="41">
        <v>1</v>
      </c>
    </row>
    <row r="992" spans="1:3" x14ac:dyDescent="0.25">
      <c r="A992" s="41">
        <v>991</v>
      </c>
      <c r="B992" s="41">
        <v>0</v>
      </c>
      <c r="C992" s="41">
        <v>1</v>
      </c>
    </row>
    <row r="993" spans="1:3" x14ac:dyDescent="0.25">
      <c r="A993" s="41">
        <v>992</v>
      </c>
      <c r="B993" s="41">
        <v>0</v>
      </c>
      <c r="C993" s="41">
        <v>1</v>
      </c>
    </row>
    <row r="994" spans="1:3" x14ac:dyDescent="0.25">
      <c r="A994" s="41">
        <v>993</v>
      </c>
      <c r="B994" s="41">
        <v>0</v>
      </c>
      <c r="C994" s="41">
        <v>1</v>
      </c>
    </row>
    <row r="995" spans="1:3" x14ac:dyDescent="0.25">
      <c r="A995" s="41">
        <v>994</v>
      </c>
      <c r="B995" s="41">
        <v>0</v>
      </c>
      <c r="C995" s="41">
        <v>1</v>
      </c>
    </row>
    <row r="996" spans="1:3" x14ac:dyDescent="0.25">
      <c r="A996" s="41">
        <v>995</v>
      </c>
      <c r="B996" s="41">
        <v>0</v>
      </c>
      <c r="C996" s="41">
        <v>1</v>
      </c>
    </row>
    <row r="997" spans="1:3" x14ac:dyDescent="0.25">
      <c r="A997" s="41">
        <v>996</v>
      </c>
      <c r="B997" s="41">
        <v>0</v>
      </c>
      <c r="C997" s="41">
        <v>1</v>
      </c>
    </row>
    <row r="998" spans="1:3" x14ac:dyDescent="0.25">
      <c r="A998" s="41">
        <v>997</v>
      </c>
      <c r="B998" s="41">
        <v>0</v>
      </c>
      <c r="C998" s="41">
        <v>1</v>
      </c>
    </row>
    <row r="999" spans="1:3" x14ac:dyDescent="0.25">
      <c r="A999" s="41">
        <v>998</v>
      </c>
      <c r="B999" s="41">
        <v>0</v>
      </c>
      <c r="C999" s="41">
        <v>1</v>
      </c>
    </row>
    <row r="1000" spans="1:3" x14ac:dyDescent="0.25">
      <c r="A1000" s="41">
        <v>999</v>
      </c>
      <c r="B1000" s="41">
        <v>0</v>
      </c>
      <c r="C1000" s="41">
        <v>1</v>
      </c>
    </row>
    <row r="1001" spans="1:3" x14ac:dyDescent="0.25">
      <c r="A1001" s="41">
        <v>1000</v>
      </c>
      <c r="B1001" s="41">
        <v>0</v>
      </c>
      <c r="C1001" s="41">
        <v>1</v>
      </c>
    </row>
    <row r="1002" spans="1:3" x14ac:dyDescent="0.25">
      <c r="A1002" s="41">
        <v>1001</v>
      </c>
      <c r="B1002" s="41">
        <v>0</v>
      </c>
      <c r="C1002" s="41">
        <v>1</v>
      </c>
    </row>
    <row r="1003" spans="1:3" x14ac:dyDescent="0.25">
      <c r="A1003" s="41">
        <v>1002</v>
      </c>
      <c r="B1003" s="41">
        <v>0</v>
      </c>
      <c r="C1003" s="41">
        <v>1</v>
      </c>
    </row>
    <row r="1004" spans="1:3" x14ac:dyDescent="0.25">
      <c r="A1004" s="41">
        <v>1003</v>
      </c>
      <c r="B1004" s="41">
        <v>0</v>
      </c>
      <c r="C1004" s="41">
        <v>1</v>
      </c>
    </row>
    <row r="1005" spans="1:3" x14ac:dyDescent="0.25">
      <c r="A1005" s="41">
        <v>1004</v>
      </c>
      <c r="B1005" s="41">
        <v>0</v>
      </c>
      <c r="C1005" s="41">
        <v>1</v>
      </c>
    </row>
    <row r="1006" spans="1:3" x14ac:dyDescent="0.25">
      <c r="A1006" s="41">
        <v>1005</v>
      </c>
      <c r="B1006" s="41">
        <v>0</v>
      </c>
      <c r="C1006" s="41">
        <v>1</v>
      </c>
    </row>
    <row r="1007" spans="1:3" x14ac:dyDescent="0.25">
      <c r="A1007" s="41">
        <v>1006</v>
      </c>
      <c r="B1007" s="41">
        <v>0</v>
      </c>
      <c r="C1007" s="41">
        <v>1</v>
      </c>
    </row>
    <row r="1008" spans="1:3" x14ac:dyDescent="0.25">
      <c r="A1008" s="41">
        <v>1007</v>
      </c>
      <c r="B1008" s="41">
        <v>0</v>
      </c>
      <c r="C1008" s="41">
        <v>1</v>
      </c>
    </row>
    <row r="1009" spans="1:3" x14ac:dyDescent="0.25">
      <c r="A1009" s="41">
        <v>1008</v>
      </c>
      <c r="B1009" s="41">
        <v>0</v>
      </c>
      <c r="C1009" s="41">
        <v>1</v>
      </c>
    </row>
    <row r="1010" spans="1:3" x14ac:dyDescent="0.25">
      <c r="A1010" s="41">
        <v>1009</v>
      </c>
      <c r="B1010" s="41">
        <v>0</v>
      </c>
      <c r="C1010" s="41">
        <v>1</v>
      </c>
    </row>
    <row r="1011" spans="1:3" x14ac:dyDescent="0.25">
      <c r="A1011" s="41">
        <v>1010</v>
      </c>
      <c r="B1011" s="41">
        <v>0</v>
      </c>
      <c r="C1011" s="41">
        <v>1</v>
      </c>
    </row>
    <row r="1012" spans="1:3" x14ac:dyDescent="0.25">
      <c r="A1012" s="41">
        <v>1011</v>
      </c>
      <c r="B1012" s="41">
        <v>0</v>
      </c>
      <c r="C1012" s="41">
        <v>1</v>
      </c>
    </row>
    <row r="1013" spans="1:3" x14ac:dyDescent="0.25">
      <c r="A1013" s="41">
        <v>1012</v>
      </c>
      <c r="B1013" s="41">
        <v>0</v>
      </c>
      <c r="C1013" s="41">
        <v>1</v>
      </c>
    </row>
    <row r="1014" spans="1:3" x14ac:dyDescent="0.25">
      <c r="A1014" s="41">
        <v>1013</v>
      </c>
      <c r="B1014" s="41">
        <v>0</v>
      </c>
      <c r="C1014" s="41">
        <v>1</v>
      </c>
    </row>
    <row r="1015" spans="1:3" x14ac:dyDescent="0.25">
      <c r="A1015" s="41">
        <v>1014</v>
      </c>
      <c r="B1015" s="41">
        <v>0</v>
      </c>
      <c r="C1015" s="41">
        <v>1</v>
      </c>
    </row>
    <row r="1016" spans="1:3" x14ac:dyDescent="0.25">
      <c r="A1016" s="41">
        <v>1015</v>
      </c>
      <c r="B1016" s="41">
        <v>0</v>
      </c>
      <c r="C1016" s="41">
        <v>1</v>
      </c>
    </row>
    <row r="1017" spans="1:3" x14ac:dyDescent="0.25">
      <c r="A1017" s="41">
        <v>1016</v>
      </c>
      <c r="B1017" s="41">
        <v>0</v>
      </c>
      <c r="C1017" s="41">
        <v>1</v>
      </c>
    </row>
    <row r="1018" spans="1:3" x14ac:dyDescent="0.25">
      <c r="A1018" s="41">
        <v>1017</v>
      </c>
      <c r="B1018" s="41">
        <v>0</v>
      </c>
      <c r="C1018" s="41">
        <v>1</v>
      </c>
    </row>
    <row r="1019" spans="1:3" x14ac:dyDescent="0.25">
      <c r="A1019" s="41">
        <v>1018</v>
      </c>
      <c r="B1019" s="41">
        <v>0</v>
      </c>
      <c r="C1019" s="41">
        <v>1</v>
      </c>
    </row>
    <row r="1020" spans="1:3" x14ac:dyDescent="0.25">
      <c r="A1020" s="41">
        <v>1019</v>
      </c>
      <c r="B1020" s="41">
        <v>0</v>
      </c>
      <c r="C1020" s="41">
        <v>1</v>
      </c>
    </row>
    <row r="1021" spans="1:3" x14ac:dyDescent="0.25">
      <c r="A1021" s="41">
        <v>1020</v>
      </c>
      <c r="B1021" s="41">
        <v>0</v>
      </c>
      <c r="C1021" s="41">
        <v>1</v>
      </c>
    </row>
    <row r="1022" spans="1:3" x14ac:dyDescent="0.25">
      <c r="A1022" s="41">
        <v>1021</v>
      </c>
      <c r="B1022" s="41">
        <v>0</v>
      </c>
      <c r="C1022" s="41">
        <v>1</v>
      </c>
    </row>
    <row r="1023" spans="1:3" x14ac:dyDescent="0.25">
      <c r="A1023" s="41">
        <v>1022</v>
      </c>
      <c r="B1023" s="41">
        <v>0</v>
      </c>
      <c r="C1023" s="41">
        <v>1</v>
      </c>
    </row>
    <row r="1024" spans="1:3" x14ac:dyDescent="0.25">
      <c r="A1024" s="41">
        <v>1023</v>
      </c>
      <c r="B1024" s="41">
        <v>0</v>
      </c>
      <c r="C1024" s="41">
        <v>1</v>
      </c>
    </row>
    <row r="1025" spans="1:3" x14ac:dyDescent="0.25">
      <c r="A1025" s="41">
        <v>1024</v>
      </c>
      <c r="B1025" s="41">
        <v>0</v>
      </c>
      <c r="C1025" s="41">
        <v>1</v>
      </c>
    </row>
    <row r="1026" spans="1:3" x14ac:dyDescent="0.25">
      <c r="A1026" s="41">
        <v>1025</v>
      </c>
      <c r="B1026" s="41">
        <v>0</v>
      </c>
      <c r="C1026" s="41">
        <v>1</v>
      </c>
    </row>
    <row r="1027" spans="1:3" x14ac:dyDescent="0.25">
      <c r="A1027" s="41">
        <v>1026</v>
      </c>
      <c r="B1027" s="41">
        <v>0</v>
      </c>
      <c r="C1027" s="41">
        <v>1</v>
      </c>
    </row>
    <row r="1028" spans="1:3" x14ac:dyDescent="0.25">
      <c r="A1028" s="41">
        <v>1027</v>
      </c>
      <c r="B1028" s="41">
        <v>0</v>
      </c>
      <c r="C1028" s="41">
        <v>1</v>
      </c>
    </row>
    <row r="1029" spans="1:3" x14ac:dyDescent="0.25">
      <c r="A1029" s="41">
        <v>1028</v>
      </c>
      <c r="B1029" s="41">
        <v>0</v>
      </c>
      <c r="C1029" s="41">
        <v>1</v>
      </c>
    </row>
    <row r="1030" spans="1:3" x14ac:dyDescent="0.25">
      <c r="A1030" s="41">
        <v>1029</v>
      </c>
      <c r="B1030" s="41">
        <v>0</v>
      </c>
      <c r="C1030" s="41">
        <v>1</v>
      </c>
    </row>
    <row r="1031" spans="1:3" x14ac:dyDescent="0.25">
      <c r="A1031" s="41">
        <v>1030</v>
      </c>
      <c r="B1031" s="41">
        <v>0</v>
      </c>
      <c r="C1031" s="41">
        <v>1</v>
      </c>
    </row>
    <row r="1032" spans="1:3" x14ac:dyDescent="0.25">
      <c r="A1032" s="41">
        <v>1031</v>
      </c>
      <c r="B1032" s="41">
        <v>0</v>
      </c>
      <c r="C1032" s="41">
        <v>1</v>
      </c>
    </row>
    <row r="1033" spans="1:3" x14ac:dyDescent="0.25">
      <c r="A1033" s="41">
        <v>1032</v>
      </c>
      <c r="B1033" s="41">
        <v>0</v>
      </c>
      <c r="C1033" s="41">
        <v>1</v>
      </c>
    </row>
    <row r="1034" spans="1:3" x14ac:dyDescent="0.25">
      <c r="A1034" s="41">
        <v>1033</v>
      </c>
      <c r="B1034" s="41">
        <v>0</v>
      </c>
      <c r="C1034" s="41">
        <v>1</v>
      </c>
    </row>
    <row r="1035" spans="1:3" x14ac:dyDescent="0.25">
      <c r="A1035" s="41">
        <v>1034</v>
      </c>
      <c r="B1035" s="41">
        <v>0</v>
      </c>
      <c r="C1035" s="41">
        <v>1</v>
      </c>
    </row>
    <row r="1036" spans="1:3" x14ac:dyDescent="0.25">
      <c r="A1036" s="41">
        <v>1035</v>
      </c>
      <c r="B1036" s="41">
        <v>0</v>
      </c>
      <c r="C1036" s="41">
        <v>1</v>
      </c>
    </row>
    <row r="1037" spans="1:3" x14ac:dyDescent="0.25">
      <c r="A1037" s="41">
        <v>1036</v>
      </c>
      <c r="B1037" s="41">
        <v>0</v>
      </c>
      <c r="C1037" s="41">
        <v>1</v>
      </c>
    </row>
    <row r="1038" spans="1:3" x14ac:dyDescent="0.25">
      <c r="A1038" s="41">
        <v>1037</v>
      </c>
      <c r="B1038" s="41">
        <v>0</v>
      </c>
      <c r="C1038" s="41">
        <v>1</v>
      </c>
    </row>
    <row r="1039" spans="1:3" x14ac:dyDescent="0.25">
      <c r="A1039" s="41">
        <v>1038</v>
      </c>
      <c r="B1039" s="41">
        <v>0</v>
      </c>
      <c r="C1039" s="41">
        <v>1</v>
      </c>
    </row>
    <row r="1040" spans="1:3" x14ac:dyDescent="0.25">
      <c r="A1040" s="41">
        <v>1039</v>
      </c>
      <c r="B1040" s="41">
        <v>0</v>
      </c>
      <c r="C1040" s="41">
        <v>1</v>
      </c>
    </row>
    <row r="1041" spans="1:3" x14ac:dyDescent="0.25">
      <c r="A1041" s="41">
        <v>1040</v>
      </c>
      <c r="B1041" s="41">
        <v>0</v>
      </c>
      <c r="C1041" s="41">
        <v>1</v>
      </c>
    </row>
    <row r="1042" spans="1:3" x14ac:dyDescent="0.25">
      <c r="A1042" s="41">
        <v>1041</v>
      </c>
      <c r="B1042" s="41">
        <v>0</v>
      </c>
      <c r="C1042" s="41">
        <v>1</v>
      </c>
    </row>
    <row r="1043" spans="1:3" x14ac:dyDescent="0.25">
      <c r="A1043" s="41">
        <v>1042</v>
      </c>
      <c r="B1043" s="41">
        <v>0</v>
      </c>
      <c r="C1043" s="41">
        <v>1</v>
      </c>
    </row>
    <row r="1044" spans="1:3" x14ac:dyDescent="0.25">
      <c r="A1044" s="41">
        <v>1043</v>
      </c>
      <c r="B1044" s="41">
        <v>0</v>
      </c>
      <c r="C1044" s="41">
        <v>1</v>
      </c>
    </row>
    <row r="1045" spans="1:3" x14ac:dyDescent="0.25">
      <c r="A1045" s="41">
        <v>1044</v>
      </c>
      <c r="B1045" s="41">
        <v>0</v>
      </c>
      <c r="C1045" s="41">
        <v>1</v>
      </c>
    </row>
    <row r="1046" spans="1:3" x14ac:dyDescent="0.25">
      <c r="A1046" s="41">
        <v>1045</v>
      </c>
      <c r="B1046" s="41">
        <v>0</v>
      </c>
      <c r="C1046" s="41">
        <v>1</v>
      </c>
    </row>
    <row r="1047" spans="1:3" x14ac:dyDescent="0.25">
      <c r="A1047" s="41">
        <v>1046</v>
      </c>
      <c r="B1047" s="41">
        <v>0</v>
      </c>
      <c r="C1047" s="41">
        <v>1</v>
      </c>
    </row>
    <row r="1048" spans="1:3" x14ac:dyDescent="0.25">
      <c r="A1048" s="41">
        <v>1047</v>
      </c>
      <c r="B1048" s="41">
        <v>0</v>
      </c>
      <c r="C1048" s="41">
        <v>1</v>
      </c>
    </row>
    <row r="1049" spans="1:3" x14ac:dyDescent="0.25">
      <c r="A1049" s="41">
        <v>1048</v>
      </c>
      <c r="B1049" s="41">
        <v>0</v>
      </c>
      <c r="C1049" s="41">
        <v>1</v>
      </c>
    </row>
    <row r="1050" spans="1:3" x14ac:dyDescent="0.25">
      <c r="A1050" s="41">
        <v>1049</v>
      </c>
      <c r="B1050" s="41">
        <v>0</v>
      </c>
      <c r="C1050" s="41">
        <v>1</v>
      </c>
    </row>
    <row r="1051" spans="1:3" x14ac:dyDescent="0.25">
      <c r="A1051" s="41">
        <v>1050</v>
      </c>
      <c r="B1051" s="41">
        <v>0</v>
      </c>
      <c r="C1051" s="41">
        <v>1</v>
      </c>
    </row>
    <row r="1052" spans="1:3" x14ac:dyDescent="0.25">
      <c r="A1052" s="41">
        <v>1051</v>
      </c>
      <c r="B1052" s="41">
        <v>0</v>
      </c>
      <c r="C1052" s="41">
        <v>1</v>
      </c>
    </row>
    <row r="1053" spans="1:3" x14ac:dyDescent="0.25">
      <c r="A1053" s="41">
        <v>1052</v>
      </c>
      <c r="B1053" s="41">
        <v>0</v>
      </c>
      <c r="C1053" s="41">
        <v>1</v>
      </c>
    </row>
    <row r="1054" spans="1:3" x14ac:dyDescent="0.25">
      <c r="A1054" s="41">
        <v>1053</v>
      </c>
      <c r="B1054" s="41">
        <v>0</v>
      </c>
      <c r="C1054" s="41">
        <v>1</v>
      </c>
    </row>
    <row r="1055" spans="1:3" x14ac:dyDescent="0.25">
      <c r="A1055" s="41">
        <v>1054</v>
      </c>
      <c r="B1055" s="41">
        <v>0</v>
      </c>
      <c r="C1055" s="41">
        <v>1</v>
      </c>
    </row>
    <row r="1056" spans="1:3" x14ac:dyDescent="0.25">
      <c r="A1056" s="41">
        <v>1055</v>
      </c>
      <c r="B1056" s="41">
        <v>0</v>
      </c>
      <c r="C1056" s="41">
        <v>1</v>
      </c>
    </row>
    <row r="1057" spans="1:3" x14ac:dyDescent="0.25">
      <c r="A1057" s="41">
        <v>1056</v>
      </c>
      <c r="B1057" s="41">
        <v>0</v>
      </c>
      <c r="C1057" s="41">
        <v>1</v>
      </c>
    </row>
    <row r="1058" spans="1:3" x14ac:dyDescent="0.25">
      <c r="A1058" s="41">
        <v>1057</v>
      </c>
      <c r="B1058" s="41">
        <v>0</v>
      </c>
      <c r="C1058" s="41">
        <v>1</v>
      </c>
    </row>
    <row r="1059" spans="1:3" x14ac:dyDescent="0.25">
      <c r="A1059" s="41">
        <v>1058</v>
      </c>
      <c r="B1059" s="41">
        <v>0</v>
      </c>
      <c r="C1059" s="41">
        <v>1</v>
      </c>
    </row>
    <row r="1060" spans="1:3" x14ac:dyDescent="0.25">
      <c r="A1060" s="41">
        <v>1059</v>
      </c>
      <c r="B1060" s="41">
        <v>0</v>
      </c>
      <c r="C1060" s="41">
        <v>1</v>
      </c>
    </row>
    <row r="1061" spans="1:3" x14ac:dyDescent="0.25">
      <c r="A1061" s="41">
        <v>1060</v>
      </c>
      <c r="B1061" s="41">
        <v>0</v>
      </c>
      <c r="C1061" s="41">
        <v>1</v>
      </c>
    </row>
    <row r="1062" spans="1:3" x14ac:dyDescent="0.25">
      <c r="A1062" s="41">
        <v>1061</v>
      </c>
      <c r="B1062" s="41">
        <v>0</v>
      </c>
      <c r="C1062" s="41">
        <v>1</v>
      </c>
    </row>
    <row r="1063" spans="1:3" x14ac:dyDescent="0.25">
      <c r="A1063" s="41">
        <v>1062</v>
      </c>
      <c r="B1063" s="41">
        <v>0</v>
      </c>
      <c r="C1063" s="41">
        <v>1</v>
      </c>
    </row>
    <row r="1064" spans="1:3" x14ac:dyDescent="0.25">
      <c r="A1064" s="41">
        <v>1063</v>
      </c>
      <c r="B1064" s="41">
        <v>0</v>
      </c>
      <c r="C1064" s="41">
        <v>1</v>
      </c>
    </row>
    <row r="1065" spans="1:3" x14ac:dyDescent="0.25">
      <c r="A1065" s="41">
        <v>1064</v>
      </c>
      <c r="B1065" s="41">
        <v>0</v>
      </c>
      <c r="C1065" s="41">
        <v>1</v>
      </c>
    </row>
    <row r="1066" spans="1:3" x14ac:dyDescent="0.25">
      <c r="A1066" s="41">
        <v>1065</v>
      </c>
      <c r="B1066" s="41">
        <v>0</v>
      </c>
      <c r="C1066" s="41">
        <v>1</v>
      </c>
    </row>
    <row r="1067" spans="1:3" x14ac:dyDescent="0.25">
      <c r="A1067" s="41">
        <v>1066</v>
      </c>
      <c r="B1067" s="41">
        <v>0</v>
      </c>
      <c r="C1067" s="41">
        <v>1</v>
      </c>
    </row>
    <row r="1068" spans="1:3" x14ac:dyDescent="0.25">
      <c r="A1068" s="41">
        <v>1067</v>
      </c>
      <c r="B1068" s="41">
        <v>0</v>
      </c>
      <c r="C1068" s="41">
        <v>1</v>
      </c>
    </row>
    <row r="1069" spans="1:3" x14ac:dyDescent="0.25">
      <c r="A1069" s="41">
        <v>1068</v>
      </c>
      <c r="B1069" s="41">
        <v>0</v>
      </c>
      <c r="C1069" s="41">
        <v>1</v>
      </c>
    </row>
    <row r="1070" spans="1:3" x14ac:dyDescent="0.25">
      <c r="A1070" s="41">
        <v>1069</v>
      </c>
      <c r="B1070" s="41">
        <v>0</v>
      </c>
      <c r="C1070" s="41">
        <v>1</v>
      </c>
    </row>
    <row r="1071" spans="1:3" x14ac:dyDescent="0.25">
      <c r="A1071" s="41">
        <v>1070</v>
      </c>
      <c r="B1071" s="41">
        <v>0</v>
      </c>
      <c r="C1071" s="41">
        <v>1</v>
      </c>
    </row>
    <row r="1072" spans="1:3" x14ac:dyDescent="0.25">
      <c r="A1072" s="41">
        <v>1071</v>
      </c>
      <c r="B1072" s="41">
        <v>0</v>
      </c>
      <c r="C1072" s="41">
        <v>1</v>
      </c>
    </row>
    <row r="1073" spans="1:3" x14ac:dyDescent="0.25">
      <c r="A1073" s="41">
        <v>1072</v>
      </c>
      <c r="B1073" s="41">
        <v>0</v>
      </c>
      <c r="C1073" s="41">
        <v>1</v>
      </c>
    </row>
    <row r="1074" spans="1:3" x14ac:dyDescent="0.25">
      <c r="A1074" s="41">
        <v>1073</v>
      </c>
      <c r="B1074" s="41">
        <v>0</v>
      </c>
      <c r="C1074" s="41">
        <v>1</v>
      </c>
    </row>
    <row r="1075" spans="1:3" x14ac:dyDescent="0.25">
      <c r="A1075" s="41">
        <v>1074</v>
      </c>
      <c r="B1075" s="41">
        <v>0</v>
      </c>
      <c r="C1075" s="41">
        <v>1</v>
      </c>
    </row>
    <row r="1076" spans="1:3" x14ac:dyDescent="0.25">
      <c r="A1076" s="41">
        <v>1075</v>
      </c>
      <c r="B1076" s="41">
        <v>0</v>
      </c>
      <c r="C1076" s="41">
        <v>1</v>
      </c>
    </row>
    <row r="1077" spans="1:3" x14ac:dyDescent="0.25">
      <c r="A1077" s="41">
        <v>1076</v>
      </c>
      <c r="B1077" s="41">
        <v>0</v>
      </c>
      <c r="C1077" s="41">
        <v>1</v>
      </c>
    </row>
    <row r="1078" spans="1:3" x14ac:dyDescent="0.25">
      <c r="A1078" s="41">
        <v>1077</v>
      </c>
      <c r="B1078" s="41">
        <v>0</v>
      </c>
      <c r="C1078" s="41">
        <v>1</v>
      </c>
    </row>
    <row r="1079" spans="1:3" x14ac:dyDescent="0.25">
      <c r="A1079" s="41">
        <v>1078</v>
      </c>
      <c r="B1079" s="41">
        <v>0</v>
      </c>
      <c r="C1079" s="41">
        <v>1</v>
      </c>
    </row>
    <row r="1080" spans="1:3" x14ac:dyDescent="0.25">
      <c r="A1080" s="41">
        <v>1079</v>
      </c>
      <c r="B1080" s="41">
        <v>0</v>
      </c>
      <c r="C1080" s="41">
        <v>1</v>
      </c>
    </row>
    <row r="1081" spans="1:3" x14ac:dyDescent="0.25">
      <c r="A1081" s="41">
        <v>1080</v>
      </c>
      <c r="B1081" s="41">
        <v>0</v>
      </c>
      <c r="C1081" s="41">
        <v>1</v>
      </c>
    </row>
    <row r="1082" spans="1:3" x14ac:dyDescent="0.25">
      <c r="A1082" s="41">
        <v>1081</v>
      </c>
      <c r="B1082" s="41">
        <v>0</v>
      </c>
      <c r="C1082" s="41">
        <v>1</v>
      </c>
    </row>
    <row r="1083" spans="1:3" x14ac:dyDescent="0.25">
      <c r="A1083" s="41">
        <v>1082</v>
      </c>
      <c r="B1083" s="41">
        <v>0</v>
      </c>
      <c r="C1083" s="41">
        <v>1</v>
      </c>
    </row>
    <row r="1084" spans="1:3" x14ac:dyDescent="0.25">
      <c r="A1084" s="41">
        <v>1083</v>
      </c>
      <c r="B1084" s="41">
        <v>0</v>
      </c>
      <c r="C1084" s="41">
        <v>1</v>
      </c>
    </row>
    <row r="1085" spans="1:3" x14ac:dyDescent="0.25">
      <c r="A1085" s="41">
        <v>1084</v>
      </c>
      <c r="B1085" s="41">
        <v>0</v>
      </c>
      <c r="C1085" s="41">
        <v>1</v>
      </c>
    </row>
    <row r="1086" spans="1:3" x14ac:dyDescent="0.25">
      <c r="A1086" s="41">
        <v>1085</v>
      </c>
      <c r="B1086" s="41">
        <v>0</v>
      </c>
      <c r="C1086" s="41">
        <v>1</v>
      </c>
    </row>
    <row r="1087" spans="1:3" x14ac:dyDescent="0.25">
      <c r="A1087" s="41">
        <v>1086</v>
      </c>
      <c r="B1087" s="41">
        <v>0</v>
      </c>
      <c r="C1087" s="41">
        <v>1</v>
      </c>
    </row>
    <row r="1088" spans="1:3" x14ac:dyDescent="0.25">
      <c r="A1088" s="41">
        <v>1087</v>
      </c>
      <c r="B1088" s="41">
        <v>0</v>
      </c>
      <c r="C1088" s="41">
        <v>1</v>
      </c>
    </row>
    <row r="1089" spans="1:3" x14ac:dyDescent="0.25">
      <c r="A1089" s="41">
        <v>1088</v>
      </c>
      <c r="B1089" s="41">
        <v>0</v>
      </c>
      <c r="C1089" s="41">
        <v>1</v>
      </c>
    </row>
    <row r="1090" spans="1:3" x14ac:dyDescent="0.25">
      <c r="A1090" s="41">
        <v>1089</v>
      </c>
      <c r="B1090" s="41">
        <v>0</v>
      </c>
      <c r="C1090" s="41">
        <v>1</v>
      </c>
    </row>
    <row r="1091" spans="1:3" x14ac:dyDescent="0.25">
      <c r="A1091" s="41">
        <v>1090</v>
      </c>
      <c r="B1091" s="41">
        <v>0</v>
      </c>
      <c r="C1091" s="41">
        <v>1</v>
      </c>
    </row>
    <row r="1092" spans="1:3" x14ac:dyDescent="0.25">
      <c r="A1092" s="41">
        <v>1091</v>
      </c>
      <c r="B1092" s="41">
        <v>0</v>
      </c>
      <c r="C1092" s="41">
        <v>1</v>
      </c>
    </row>
    <row r="1093" spans="1:3" x14ac:dyDescent="0.25">
      <c r="A1093" s="41">
        <v>1092</v>
      </c>
      <c r="B1093" s="41">
        <v>0</v>
      </c>
      <c r="C1093" s="41">
        <v>1</v>
      </c>
    </row>
    <row r="1094" spans="1:3" x14ac:dyDescent="0.25">
      <c r="A1094" s="41">
        <v>1093</v>
      </c>
      <c r="B1094" s="41">
        <v>0</v>
      </c>
      <c r="C1094" s="41">
        <v>1</v>
      </c>
    </row>
    <row r="1095" spans="1:3" x14ac:dyDescent="0.25">
      <c r="A1095" s="41">
        <v>1094</v>
      </c>
      <c r="B1095" s="41">
        <v>0</v>
      </c>
      <c r="C1095" s="41">
        <v>1</v>
      </c>
    </row>
    <row r="1096" spans="1:3" x14ac:dyDescent="0.25">
      <c r="A1096" s="41">
        <v>1095</v>
      </c>
      <c r="B1096" s="41">
        <v>0</v>
      </c>
      <c r="C1096" s="41">
        <v>1</v>
      </c>
    </row>
    <row r="1097" spans="1:3" x14ac:dyDescent="0.25">
      <c r="A1097" s="41">
        <v>1096</v>
      </c>
      <c r="B1097" s="41">
        <v>0</v>
      </c>
      <c r="C1097" s="41">
        <v>1</v>
      </c>
    </row>
    <row r="1098" spans="1:3" x14ac:dyDescent="0.25">
      <c r="A1098" s="41">
        <v>1097</v>
      </c>
      <c r="B1098" s="41">
        <v>0</v>
      </c>
      <c r="C1098" s="41">
        <v>1</v>
      </c>
    </row>
    <row r="1099" spans="1:3" x14ac:dyDescent="0.25">
      <c r="A1099" s="41">
        <v>1098</v>
      </c>
      <c r="B1099" s="41">
        <v>0</v>
      </c>
      <c r="C1099" s="41">
        <v>1</v>
      </c>
    </row>
    <row r="1100" spans="1:3" x14ac:dyDescent="0.25">
      <c r="A1100" s="41">
        <v>1099</v>
      </c>
      <c r="B1100" s="41">
        <v>0</v>
      </c>
      <c r="C1100" s="41">
        <v>1</v>
      </c>
    </row>
    <row r="1101" spans="1:3" x14ac:dyDescent="0.25">
      <c r="A1101" s="41">
        <v>1100</v>
      </c>
      <c r="B1101" s="41">
        <v>0</v>
      </c>
      <c r="C1101" s="41">
        <v>1</v>
      </c>
    </row>
    <row r="1102" spans="1:3" x14ac:dyDescent="0.25">
      <c r="A1102" s="41">
        <v>1101</v>
      </c>
      <c r="B1102" s="41">
        <v>0</v>
      </c>
      <c r="C1102" s="41">
        <v>1</v>
      </c>
    </row>
    <row r="1103" spans="1:3" x14ac:dyDescent="0.25">
      <c r="A1103" s="41">
        <v>1102</v>
      </c>
      <c r="B1103" s="41">
        <v>0</v>
      </c>
      <c r="C1103" s="41">
        <v>1</v>
      </c>
    </row>
    <row r="1104" spans="1:3" x14ac:dyDescent="0.25">
      <c r="A1104" s="41">
        <v>1103</v>
      </c>
      <c r="B1104" s="41">
        <v>0</v>
      </c>
      <c r="C1104" s="41">
        <v>1</v>
      </c>
    </row>
    <row r="1105" spans="1:3" x14ac:dyDescent="0.25">
      <c r="A1105" s="41">
        <v>1104</v>
      </c>
      <c r="B1105" s="41">
        <v>0</v>
      </c>
      <c r="C1105" s="41">
        <v>1</v>
      </c>
    </row>
    <row r="1106" spans="1:3" x14ac:dyDescent="0.25">
      <c r="A1106" s="41">
        <v>1105</v>
      </c>
      <c r="B1106" s="41">
        <v>0</v>
      </c>
      <c r="C1106" s="41">
        <v>1</v>
      </c>
    </row>
    <row r="1107" spans="1:3" x14ac:dyDescent="0.25">
      <c r="A1107" s="41">
        <v>1106</v>
      </c>
      <c r="B1107" s="41">
        <v>0</v>
      </c>
      <c r="C1107" s="41">
        <v>1</v>
      </c>
    </row>
    <row r="1108" spans="1:3" x14ac:dyDescent="0.25">
      <c r="A1108" s="41">
        <v>1107</v>
      </c>
      <c r="B1108" s="41">
        <v>0</v>
      </c>
      <c r="C1108" s="41">
        <v>1</v>
      </c>
    </row>
    <row r="1109" spans="1:3" x14ac:dyDescent="0.25">
      <c r="A1109" s="41">
        <v>1108</v>
      </c>
      <c r="B1109" s="41">
        <v>0</v>
      </c>
      <c r="C1109" s="41">
        <v>1</v>
      </c>
    </row>
    <row r="1110" spans="1:3" x14ac:dyDescent="0.25">
      <c r="A1110" s="41">
        <v>1109</v>
      </c>
      <c r="B1110" s="41">
        <v>0</v>
      </c>
      <c r="C1110" s="41">
        <v>1</v>
      </c>
    </row>
    <row r="1111" spans="1:3" x14ac:dyDescent="0.25">
      <c r="A1111" s="41">
        <v>1110</v>
      </c>
      <c r="B1111" s="41">
        <v>0</v>
      </c>
      <c r="C1111" s="41">
        <v>1</v>
      </c>
    </row>
    <row r="1112" spans="1:3" x14ac:dyDescent="0.25">
      <c r="A1112" s="41">
        <v>1111</v>
      </c>
      <c r="B1112" s="41">
        <v>0</v>
      </c>
      <c r="C1112" s="41">
        <v>1</v>
      </c>
    </row>
    <row r="1113" spans="1:3" x14ac:dyDescent="0.25">
      <c r="A1113" s="41">
        <v>1112</v>
      </c>
      <c r="B1113" s="41">
        <v>0</v>
      </c>
      <c r="C1113" s="41">
        <v>1</v>
      </c>
    </row>
    <row r="1114" spans="1:3" x14ac:dyDescent="0.25">
      <c r="A1114" s="41">
        <v>1113</v>
      </c>
      <c r="B1114" s="41">
        <v>0</v>
      </c>
      <c r="C1114" s="41">
        <v>1</v>
      </c>
    </row>
    <row r="1115" spans="1:3" x14ac:dyDescent="0.25">
      <c r="A1115" s="41">
        <v>1114</v>
      </c>
      <c r="B1115" s="41">
        <v>0</v>
      </c>
      <c r="C1115" s="41">
        <v>1</v>
      </c>
    </row>
    <row r="1116" spans="1:3" x14ac:dyDescent="0.25">
      <c r="A1116" s="41">
        <v>1115</v>
      </c>
      <c r="B1116" s="41">
        <v>0</v>
      </c>
      <c r="C1116" s="41">
        <v>1</v>
      </c>
    </row>
    <row r="1117" spans="1:3" x14ac:dyDescent="0.25">
      <c r="A1117" s="41">
        <v>1116</v>
      </c>
      <c r="B1117" s="41">
        <v>0</v>
      </c>
      <c r="C1117" s="41">
        <v>1</v>
      </c>
    </row>
    <row r="1118" spans="1:3" x14ac:dyDescent="0.25">
      <c r="A1118" s="41">
        <v>1117</v>
      </c>
      <c r="B1118" s="41">
        <v>0</v>
      </c>
      <c r="C1118" s="41">
        <v>1</v>
      </c>
    </row>
    <row r="1119" spans="1:3" x14ac:dyDescent="0.25">
      <c r="A1119" s="41">
        <v>1118</v>
      </c>
      <c r="B1119" s="41">
        <v>0</v>
      </c>
      <c r="C1119" s="41">
        <v>1</v>
      </c>
    </row>
    <row r="1120" spans="1:3" x14ac:dyDescent="0.25">
      <c r="A1120" s="41">
        <v>1119</v>
      </c>
      <c r="B1120" s="41">
        <v>0</v>
      </c>
      <c r="C1120" s="41">
        <v>1</v>
      </c>
    </row>
    <row r="1121" spans="1:3" x14ac:dyDescent="0.25">
      <c r="A1121" s="41">
        <v>1120</v>
      </c>
      <c r="B1121" s="41">
        <v>0</v>
      </c>
      <c r="C1121" s="41">
        <v>1</v>
      </c>
    </row>
    <row r="1122" spans="1:3" x14ac:dyDescent="0.25">
      <c r="A1122" s="41">
        <v>1121</v>
      </c>
      <c r="B1122" s="41">
        <v>0</v>
      </c>
      <c r="C1122" s="41">
        <v>1</v>
      </c>
    </row>
    <row r="1123" spans="1:3" x14ac:dyDescent="0.25">
      <c r="A1123" s="41">
        <v>1122</v>
      </c>
      <c r="B1123" s="41">
        <v>0</v>
      </c>
      <c r="C1123" s="41">
        <v>1</v>
      </c>
    </row>
    <row r="1124" spans="1:3" x14ac:dyDescent="0.25">
      <c r="A1124" s="41">
        <v>1123</v>
      </c>
      <c r="B1124" s="41">
        <v>0</v>
      </c>
      <c r="C1124" s="41">
        <v>1</v>
      </c>
    </row>
    <row r="1125" spans="1:3" x14ac:dyDescent="0.25">
      <c r="A1125" s="41">
        <v>1124</v>
      </c>
      <c r="B1125" s="41">
        <v>0</v>
      </c>
      <c r="C1125" s="41">
        <v>1</v>
      </c>
    </row>
    <row r="1126" spans="1:3" x14ac:dyDescent="0.25">
      <c r="A1126" s="41">
        <v>1125</v>
      </c>
      <c r="B1126" s="41">
        <v>0</v>
      </c>
      <c r="C1126" s="41">
        <v>1</v>
      </c>
    </row>
    <row r="1127" spans="1:3" x14ac:dyDescent="0.25">
      <c r="A1127" s="41">
        <v>1126</v>
      </c>
      <c r="B1127" s="41">
        <v>0</v>
      </c>
      <c r="C1127" s="41">
        <v>1</v>
      </c>
    </row>
    <row r="1128" spans="1:3" x14ac:dyDescent="0.25">
      <c r="A1128" s="41">
        <v>1127</v>
      </c>
      <c r="B1128" s="41">
        <v>0</v>
      </c>
      <c r="C1128" s="41">
        <v>1</v>
      </c>
    </row>
    <row r="1129" spans="1:3" x14ac:dyDescent="0.25">
      <c r="A1129" s="41">
        <v>1128</v>
      </c>
      <c r="B1129" s="41">
        <v>0</v>
      </c>
      <c r="C1129" s="41">
        <v>1</v>
      </c>
    </row>
    <row r="1130" spans="1:3" x14ac:dyDescent="0.25">
      <c r="A1130" s="41">
        <v>1129</v>
      </c>
      <c r="B1130" s="41">
        <v>0</v>
      </c>
      <c r="C1130" s="41">
        <v>1</v>
      </c>
    </row>
    <row r="1131" spans="1:3" x14ac:dyDescent="0.25">
      <c r="A1131" s="41">
        <v>1130</v>
      </c>
      <c r="B1131" s="41">
        <v>0</v>
      </c>
      <c r="C1131" s="41">
        <v>1</v>
      </c>
    </row>
    <row r="1132" spans="1:3" x14ac:dyDescent="0.25">
      <c r="A1132" s="41">
        <v>1131</v>
      </c>
      <c r="B1132" s="41">
        <v>0</v>
      </c>
      <c r="C1132" s="41">
        <v>1</v>
      </c>
    </row>
    <row r="1133" spans="1:3" x14ac:dyDescent="0.25">
      <c r="A1133" s="41">
        <v>1132</v>
      </c>
      <c r="B1133" s="41">
        <v>0</v>
      </c>
      <c r="C1133" s="41">
        <v>1</v>
      </c>
    </row>
    <row r="1134" spans="1:3" x14ac:dyDescent="0.25">
      <c r="A1134" s="41">
        <v>1133</v>
      </c>
      <c r="B1134" s="41">
        <v>0</v>
      </c>
      <c r="C1134" s="41">
        <v>1</v>
      </c>
    </row>
    <row r="1135" spans="1:3" x14ac:dyDescent="0.25">
      <c r="A1135" s="41">
        <v>1134</v>
      </c>
      <c r="B1135" s="41">
        <v>0</v>
      </c>
      <c r="C1135" s="41">
        <v>1</v>
      </c>
    </row>
    <row r="1136" spans="1:3" x14ac:dyDescent="0.25">
      <c r="A1136" s="41">
        <v>1135</v>
      </c>
      <c r="B1136" s="41">
        <v>0</v>
      </c>
      <c r="C1136" s="41">
        <v>1</v>
      </c>
    </row>
    <row r="1137" spans="1:3" x14ac:dyDescent="0.25">
      <c r="A1137" s="41">
        <v>1136</v>
      </c>
      <c r="B1137" s="41">
        <v>0</v>
      </c>
      <c r="C1137" s="41">
        <v>1</v>
      </c>
    </row>
    <row r="1138" spans="1:3" x14ac:dyDescent="0.25">
      <c r="A1138" s="41">
        <v>1137</v>
      </c>
      <c r="B1138" s="41">
        <v>0</v>
      </c>
      <c r="C1138" s="41">
        <v>1</v>
      </c>
    </row>
    <row r="1139" spans="1:3" x14ac:dyDescent="0.25">
      <c r="A1139" s="41">
        <v>1138</v>
      </c>
      <c r="B1139" s="41">
        <v>0</v>
      </c>
      <c r="C1139" s="41">
        <v>1</v>
      </c>
    </row>
    <row r="1140" spans="1:3" x14ac:dyDescent="0.25">
      <c r="A1140" s="41">
        <v>1139</v>
      </c>
      <c r="B1140" s="41">
        <v>0</v>
      </c>
      <c r="C1140" s="41">
        <v>1</v>
      </c>
    </row>
    <row r="1141" spans="1:3" x14ac:dyDescent="0.25">
      <c r="A1141" s="41">
        <v>1140</v>
      </c>
      <c r="B1141" s="41">
        <v>0</v>
      </c>
      <c r="C1141" s="41">
        <v>1</v>
      </c>
    </row>
    <row r="1142" spans="1:3" x14ac:dyDescent="0.25">
      <c r="A1142" s="41">
        <v>1141</v>
      </c>
      <c r="B1142" s="41">
        <v>0</v>
      </c>
      <c r="C1142" s="41">
        <v>1</v>
      </c>
    </row>
    <row r="1143" spans="1:3" x14ac:dyDescent="0.25">
      <c r="A1143" s="41">
        <v>1142</v>
      </c>
      <c r="B1143" s="41">
        <v>0</v>
      </c>
      <c r="C1143" s="41">
        <v>1</v>
      </c>
    </row>
    <row r="1144" spans="1:3" x14ac:dyDescent="0.25">
      <c r="A1144" s="41">
        <v>1143</v>
      </c>
      <c r="B1144" s="41">
        <v>0</v>
      </c>
      <c r="C1144" s="41">
        <v>1</v>
      </c>
    </row>
    <row r="1145" spans="1:3" x14ac:dyDescent="0.25">
      <c r="A1145" s="41">
        <v>1144</v>
      </c>
      <c r="B1145" s="41">
        <v>0</v>
      </c>
      <c r="C1145" s="41">
        <v>1</v>
      </c>
    </row>
    <row r="1146" spans="1:3" x14ac:dyDescent="0.25">
      <c r="A1146" s="41">
        <v>1145</v>
      </c>
      <c r="B1146" s="41">
        <v>0</v>
      </c>
      <c r="C1146" s="41">
        <v>1</v>
      </c>
    </row>
    <row r="1147" spans="1:3" x14ac:dyDescent="0.25">
      <c r="A1147" s="41">
        <v>1146</v>
      </c>
      <c r="B1147" s="41">
        <v>0</v>
      </c>
      <c r="C1147" s="41">
        <v>1</v>
      </c>
    </row>
    <row r="1148" spans="1:3" x14ac:dyDescent="0.25">
      <c r="A1148" s="41">
        <v>1147</v>
      </c>
      <c r="B1148" s="41">
        <v>0</v>
      </c>
      <c r="C1148" s="41">
        <v>1</v>
      </c>
    </row>
    <row r="1149" spans="1:3" x14ac:dyDescent="0.25">
      <c r="A1149" s="41">
        <v>1148</v>
      </c>
      <c r="B1149" s="41">
        <v>0</v>
      </c>
      <c r="C1149" s="41">
        <v>1</v>
      </c>
    </row>
    <row r="1150" spans="1:3" x14ac:dyDescent="0.25">
      <c r="A1150" s="41">
        <v>1149</v>
      </c>
      <c r="B1150" s="41">
        <v>0</v>
      </c>
      <c r="C1150" s="41">
        <v>1</v>
      </c>
    </row>
    <row r="1151" spans="1:3" x14ac:dyDescent="0.25">
      <c r="A1151" s="41">
        <v>1150</v>
      </c>
      <c r="B1151" s="41">
        <v>0</v>
      </c>
      <c r="C1151" s="41">
        <v>1</v>
      </c>
    </row>
    <row r="1152" spans="1:3" x14ac:dyDescent="0.25">
      <c r="A1152" s="41">
        <v>1151</v>
      </c>
      <c r="B1152" s="41">
        <v>0</v>
      </c>
      <c r="C1152" s="41">
        <v>1</v>
      </c>
    </row>
    <row r="1153" spans="1:3" x14ac:dyDescent="0.25">
      <c r="A1153" s="41">
        <v>1152</v>
      </c>
      <c r="B1153" s="41">
        <v>0</v>
      </c>
      <c r="C1153" s="41">
        <v>1</v>
      </c>
    </row>
    <row r="1154" spans="1:3" x14ac:dyDescent="0.25">
      <c r="A1154" s="41">
        <v>1153</v>
      </c>
      <c r="B1154" s="41">
        <v>0</v>
      </c>
      <c r="C1154" s="41">
        <v>1</v>
      </c>
    </row>
    <row r="1155" spans="1:3" x14ac:dyDescent="0.25">
      <c r="A1155" s="41">
        <v>1154</v>
      </c>
      <c r="B1155" s="41">
        <v>0</v>
      </c>
      <c r="C1155" s="41">
        <v>1</v>
      </c>
    </row>
    <row r="1156" spans="1:3" x14ac:dyDescent="0.25">
      <c r="A1156" s="41">
        <v>1155</v>
      </c>
      <c r="B1156" s="41">
        <v>0</v>
      </c>
      <c r="C1156" s="41">
        <v>1</v>
      </c>
    </row>
    <row r="1157" spans="1:3" x14ac:dyDescent="0.25">
      <c r="A1157" s="41">
        <v>1156</v>
      </c>
      <c r="B1157" s="41">
        <v>0</v>
      </c>
      <c r="C1157" s="41">
        <v>1</v>
      </c>
    </row>
    <row r="1158" spans="1:3" x14ac:dyDescent="0.25">
      <c r="A1158" s="41">
        <v>1157</v>
      </c>
      <c r="B1158" s="41">
        <v>0</v>
      </c>
      <c r="C1158" s="41">
        <v>1</v>
      </c>
    </row>
    <row r="1159" spans="1:3" x14ac:dyDescent="0.25">
      <c r="A1159" s="41">
        <v>1158</v>
      </c>
      <c r="B1159" s="41">
        <v>0</v>
      </c>
      <c r="C1159" s="41">
        <v>1</v>
      </c>
    </row>
    <row r="1160" spans="1:3" x14ac:dyDescent="0.25">
      <c r="A1160" s="41">
        <v>1159</v>
      </c>
      <c r="B1160" s="41">
        <v>0</v>
      </c>
      <c r="C1160" s="41">
        <v>1</v>
      </c>
    </row>
    <row r="1161" spans="1:3" x14ac:dyDescent="0.25">
      <c r="A1161" s="41">
        <v>1160</v>
      </c>
      <c r="B1161" s="41">
        <v>0</v>
      </c>
      <c r="C1161" s="41">
        <v>1</v>
      </c>
    </row>
    <row r="1162" spans="1:3" x14ac:dyDescent="0.25">
      <c r="A1162" s="41">
        <v>1161</v>
      </c>
      <c r="B1162" s="41">
        <v>0</v>
      </c>
      <c r="C1162" s="41">
        <v>1</v>
      </c>
    </row>
    <row r="1163" spans="1:3" x14ac:dyDescent="0.25">
      <c r="A1163" s="41">
        <v>1162</v>
      </c>
      <c r="B1163" s="41">
        <v>0</v>
      </c>
      <c r="C1163" s="41">
        <v>1</v>
      </c>
    </row>
    <row r="1164" spans="1:3" x14ac:dyDescent="0.25">
      <c r="A1164" s="41">
        <v>1163</v>
      </c>
      <c r="B1164" s="41">
        <v>0</v>
      </c>
      <c r="C1164" s="41">
        <v>1</v>
      </c>
    </row>
    <row r="1165" spans="1:3" x14ac:dyDescent="0.25">
      <c r="A1165" s="41">
        <v>1164</v>
      </c>
      <c r="B1165" s="41">
        <v>0</v>
      </c>
      <c r="C1165" s="41">
        <v>1</v>
      </c>
    </row>
    <row r="1166" spans="1:3" x14ac:dyDescent="0.25">
      <c r="A1166" s="41">
        <v>1165</v>
      </c>
      <c r="B1166" s="41">
        <v>0</v>
      </c>
      <c r="C1166" s="41">
        <v>1</v>
      </c>
    </row>
    <row r="1167" spans="1:3" x14ac:dyDescent="0.25">
      <c r="A1167" s="41">
        <v>1166</v>
      </c>
      <c r="B1167" s="41">
        <v>0</v>
      </c>
      <c r="C1167" s="41">
        <v>1</v>
      </c>
    </row>
    <row r="1168" spans="1:3" x14ac:dyDescent="0.25">
      <c r="A1168" s="41">
        <v>1167</v>
      </c>
      <c r="B1168" s="41">
        <v>0</v>
      </c>
      <c r="C1168" s="41">
        <v>1</v>
      </c>
    </row>
    <row r="1169" spans="1:3" x14ac:dyDescent="0.25">
      <c r="A1169" s="41">
        <v>1168</v>
      </c>
      <c r="B1169" s="41">
        <v>0</v>
      </c>
      <c r="C1169" s="41">
        <v>1</v>
      </c>
    </row>
    <row r="1170" spans="1:3" x14ac:dyDescent="0.25">
      <c r="A1170" s="41">
        <v>1169</v>
      </c>
      <c r="B1170" s="41">
        <v>0</v>
      </c>
      <c r="C1170" s="41">
        <v>1</v>
      </c>
    </row>
    <row r="1171" spans="1:3" x14ac:dyDescent="0.25">
      <c r="A1171" s="41">
        <v>1170</v>
      </c>
      <c r="B1171" s="41">
        <v>0</v>
      </c>
      <c r="C1171" s="41">
        <v>1</v>
      </c>
    </row>
    <row r="1172" spans="1:3" x14ac:dyDescent="0.25">
      <c r="A1172" s="41">
        <v>1171</v>
      </c>
      <c r="B1172" s="41">
        <v>0</v>
      </c>
      <c r="C1172" s="41">
        <v>1</v>
      </c>
    </row>
    <row r="1173" spans="1:3" x14ac:dyDescent="0.25">
      <c r="A1173" s="41">
        <v>1172</v>
      </c>
      <c r="B1173" s="41">
        <v>0</v>
      </c>
      <c r="C1173" s="41">
        <v>1</v>
      </c>
    </row>
    <row r="1174" spans="1:3" x14ac:dyDescent="0.25">
      <c r="A1174" s="41">
        <v>1173</v>
      </c>
      <c r="B1174" s="41">
        <v>0</v>
      </c>
      <c r="C1174" s="41">
        <v>1</v>
      </c>
    </row>
    <row r="1175" spans="1:3" x14ac:dyDescent="0.25">
      <c r="A1175" s="41">
        <v>1174</v>
      </c>
      <c r="B1175" s="41">
        <v>0</v>
      </c>
      <c r="C1175" s="41">
        <v>1</v>
      </c>
    </row>
    <row r="1176" spans="1:3" x14ac:dyDescent="0.25">
      <c r="A1176" s="41">
        <v>1175</v>
      </c>
      <c r="B1176" s="41">
        <v>0</v>
      </c>
      <c r="C1176" s="41">
        <v>1</v>
      </c>
    </row>
    <row r="1177" spans="1:3" x14ac:dyDescent="0.25">
      <c r="A1177" s="41">
        <v>1176</v>
      </c>
      <c r="B1177" s="41">
        <v>0</v>
      </c>
      <c r="C1177" s="41">
        <v>1</v>
      </c>
    </row>
    <row r="1178" spans="1:3" x14ac:dyDescent="0.25">
      <c r="A1178" s="41">
        <v>1177</v>
      </c>
      <c r="B1178" s="41">
        <v>0</v>
      </c>
      <c r="C1178" s="41">
        <v>1</v>
      </c>
    </row>
    <row r="1179" spans="1:3" x14ac:dyDescent="0.25">
      <c r="A1179" s="41">
        <v>1178</v>
      </c>
      <c r="B1179" s="41">
        <v>0</v>
      </c>
      <c r="C1179" s="41">
        <v>1</v>
      </c>
    </row>
    <row r="1180" spans="1:3" x14ac:dyDescent="0.25">
      <c r="A1180" s="41">
        <v>1179</v>
      </c>
      <c r="B1180" s="41">
        <v>0</v>
      </c>
      <c r="C1180" s="41">
        <v>1</v>
      </c>
    </row>
    <row r="1181" spans="1:3" x14ac:dyDescent="0.25">
      <c r="A1181" s="41">
        <v>1180</v>
      </c>
      <c r="B1181" s="41">
        <v>0</v>
      </c>
      <c r="C1181" s="41">
        <v>1</v>
      </c>
    </row>
    <row r="1182" spans="1:3" x14ac:dyDescent="0.25">
      <c r="A1182" s="41">
        <v>1181</v>
      </c>
      <c r="B1182" s="41">
        <v>0</v>
      </c>
      <c r="C1182" s="41">
        <v>1</v>
      </c>
    </row>
    <row r="1183" spans="1:3" x14ac:dyDescent="0.25">
      <c r="A1183" s="41">
        <v>1182</v>
      </c>
      <c r="B1183" s="41">
        <v>0</v>
      </c>
      <c r="C1183" s="41">
        <v>1</v>
      </c>
    </row>
    <row r="1184" spans="1:3" x14ac:dyDescent="0.25">
      <c r="A1184" s="41">
        <v>1183</v>
      </c>
      <c r="B1184" s="41">
        <v>0</v>
      </c>
      <c r="C1184" s="41">
        <v>1</v>
      </c>
    </row>
    <row r="1185" spans="1:3" x14ac:dyDescent="0.25">
      <c r="A1185" s="41">
        <v>1184</v>
      </c>
      <c r="B1185" s="41">
        <v>-50</v>
      </c>
      <c r="C1185" s="41">
        <v>1</v>
      </c>
    </row>
    <row r="1186" spans="1:3" x14ac:dyDescent="0.25">
      <c r="A1186" s="41">
        <v>1185</v>
      </c>
      <c r="B1186" s="41">
        <v>0</v>
      </c>
      <c r="C1186" s="41">
        <v>1</v>
      </c>
    </row>
    <row r="1187" spans="1:3" x14ac:dyDescent="0.25">
      <c r="A1187" s="41">
        <v>1186</v>
      </c>
      <c r="B1187" s="41">
        <v>0</v>
      </c>
      <c r="C1187" s="41">
        <v>1</v>
      </c>
    </row>
    <row r="1188" spans="1:3" x14ac:dyDescent="0.25">
      <c r="A1188" s="41">
        <v>1187</v>
      </c>
      <c r="B1188" s="41">
        <v>0</v>
      </c>
      <c r="C1188" s="41">
        <v>1</v>
      </c>
    </row>
    <row r="1189" spans="1:3" x14ac:dyDescent="0.25">
      <c r="A1189" s="41">
        <v>1188</v>
      </c>
      <c r="B1189" s="41">
        <v>-50</v>
      </c>
      <c r="C1189" s="41">
        <v>1</v>
      </c>
    </row>
    <row r="1190" spans="1:3" x14ac:dyDescent="0.25">
      <c r="A1190" s="41">
        <v>1189</v>
      </c>
      <c r="B1190" s="41">
        <v>-50</v>
      </c>
      <c r="C1190" s="41">
        <v>1</v>
      </c>
    </row>
    <row r="1191" spans="1:3" x14ac:dyDescent="0.25">
      <c r="A1191" s="41">
        <v>1190</v>
      </c>
      <c r="B1191" s="41">
        <v>0</v>
      </c>
      <c r="C1191" s="41">
        <v>1</v>
      </c>
    </row>
    <row r="1192" spans="1:3" x14ac:dyDescent="0.25">
      <c r="A1192" s="41">
        <v>1191</v>
      </c>
      <c r="B1192" s="41">
        <v>0</v>
      </c>
      <c r="C1192" s="41">
        <v>1</v>
      </c>
    </row>
    <row r="1193" spans="1:3" x14ac:dyDescent="0.25">
      <c r="A1193" s="41">
        <v>1192</v>
      </c>
      <c r="B1193" s="41">
        <v>0</v>
      </c>
      <c r="C1193" s="41">
        <v>1</v>
      </c>
    </row>
    <row r="1194" spans="1:3" x14ac:dyDescent="0.25">
      <c r="A1194" s="41">
        <v>1193</v>
      </c>
      <c r="B1194" s="41">
        <v>0</v>
      </c>
      <c r="C1194" s="41">
        <v>1</v>
      </c>
    </row>
    <row r="1195" spans="1:3" x14ac:dyDescent="0.25">
      <c r="A1195" s="41">
        <v>1194</v>
      </c>
      <c r="B1195" s="41">
        <v>0</v>
      </c>
      <c r="C1195" s="41">
        <v>1</v>
      </c>
    </row>
    <row r="1196" spans="1:3" x14ac:dyDescent="0.25">
      <c r="A1196" s="41">
        <v>1195</v>
      </c>
      <c r="B1196" s="41">
        <v>0</v>
      </c>
      <c r="C1196" s="41">
        <v>1</v>
      </c>
    </row>
    <row r="1197" spans="1:3" x14ac:dyDescent="0.25">
      <c r="A1197" s="41">
        <v>1196</v>
      </c>
      <c r="B1197" s="41">
        <v>-50</v>
      </c>
      <c r="C1197" s="41">
        <v>1</v>
      </c>
    </row>
    <row r="1198" spans="1:3" x14ac:dyDescent="0.25">
      <c r="A1198" s="41">
        <v>1197</v>
      </c>
      <c r="B1198" s="41">
        <v>-50</v>
      </c>
      <c r="C1198" s="41">
        <v>1</v>
      </c>
    </row>
    <row r="1199" spans="1:3" x14ac:dyDescent="0.25">
      <c r="A1199" s="41">
        <v>1198</v>
      </c>
      <c r="B1199" s="41">
        <v>-50</v>
      </c>
      <c r="C1199" s="41">
        <v>1</v>
      </c>
    </row>
    <row r="1200" spans="1:3" x14ac:dyDescent="0.25">
      <c r="A1200" s="41">
        <v>1199</v>
      </c>
      <c r="B1200" s="41">
        <v>0</v>
      </c>
      <c r="C1200" s="41">
        <v>1</v>
      </c>
    </row>
    <row r="1201" spans="1:3" x14ac:dyDescent="0.25">
      <c r="A1201" s="41">
        <v>1200</v>
      </c>
      <c r="B1201" s="41">
        <v>0</v>
      </c>
      <c r="C1201" s="41">
        <v>1</v>
      </c>
    </row>
    <row r="1202" spans="1:3" x14ac:dyDescent="0.25">
      <c r="A1202" s="41">
        <v>1201</v>
      </c>
      <c r="B1202" s="41">
        <v>0</v>
      </c>
      <c r="C1202" s="41">
        <v>1</v>
      </c>
    </row>
    <row r="1203" spans="1:3" x14ac:dyDescent="0.25">
      <c r="A1203" s="41">
        <v>1202</v>
      </c>
      <c r="B1203" s="41">
        <v>0</v>
      </c>
      <c r="C1203" s="41">
        <v>1</v>
      </c>
    </row>
    <row r="1204" spans="1:3" x14ac:dyDescent="0.25">
      <c r="A1204" s="41">
        <v>1203</v>
      </c>
      <c r="B1204" s="41">
        <v>0</v>
      </c>
      <c r="C1204" s="41">
        <v>1</v>
      </c>
    </row>
    <row r="1205" spans="1:3" x14ac:dyDescent="0.25">
      <c r="A1205" s="41">
        <v>1204</v>
      </c>
      <c r="B1205" s="41">
        <v>-50</v>
      </c>
      <c r="C1205" s="41">
        <v>1</v>
      </c>
    </row>
    <row r="1206" spans="1:3" x14ac:dyDescent="0.25">
      <c r="A1206" s="41">
        <v>1205</v>
      </c>
      <c r="B1206" s="41">
        <v>-50</v>
      </c>
      <c r="C1206" s="41">
        <v>1</v>
      </c>
    </row>
    <row r="1207" spans="1:3" x14ac:dyDescent="0.25">
      <c r="A1207" s="41">
        <v>1206</v>
      </c>
      <c r="B1207" s="41">
        <v>-50</v>
      </c>
      <c r="C1207" s="41">
        <v>1</v>
      </c>
    </row>
    <row r="1208" spans="1:3" x14ac:dyDescent="0.25">
      <c r="A1208" s="41">
        <v>1207</v>
      </c>
      <c r="B1208" s="41">
        <v>0</v>
      </c>
      <c r="C1208" s="41">
        <v>1</v>
      </c>
    </row>
    <row r="1209" spans="1:3" x14ac:dyDescent="0.25">
      <c r="A1209" s="41">
        <v>1208</v>
      </c>
      <c r="B1209" s="41">
        <v>0</v>
      </c>
      <c r="C1209" s="41">
        <v>1</v>
      </c>
    </row>
    <row r="1210" spans="1:3" x14ac:dyDescent="0.25">
      <c r="A1210" s="41">
        <v>1209</v>
      </c>
      <c r="B1210" s="41">
        <v>0</v>
      </c>
      <c r="C1210" s="41">
        <v>1</v>
      </c>
    </row>
    <row r="1211" spans="1:3" x14ac:dyDescent="0.25">
      <c r="A1211" s="41">
        <v>1210</v>
      </c>
      <c r="B1211" s="41">
        <v>0</v>
      </c>
      <c r="C1211" s="41">
        <v>1</v>
      </c>
    </row>
    <row r="1212" spans="1:3" x14ac:dyDescent="0.25">
      <c r="A1212" s="41">
        <v>1211</v>
      </c>
      <c r="B1212" s="41">
        <v>0</v>
      </c>
      <c r="C1212" s="41">
        <v>1</v>
      </c>
    </row>
    <row r="1213" spans="1:3" x14ac:dyDescent="0.25">
      <c r="A1213" s="41">
        <v>1212</v>
      </c>
      <c r="B1213" s="41">
        <v>-50</v>
      </c>
      <c r="C1213" s="41">
        <v>1</v>
      </c>
    </row>
    <row r="1214" spans="1:3" x14ac:dyDescent="0.25">
      <c r="A1214" s="41">
        <v>1213</v>
      </c>
      <c r="B1214" s="41">
        <v>-50</v>
      </c>
      <c r="C1214" s="41">
        <v>1</v>
      </c>
    </row>
    <row r="1215" spans="1:3" x14ac:dyDescent="0.25">
      <c r="A1215" s="41">
        <v>1214</v>
      </c>
      <c r="B1215" s="41">
        <v>-50</v>
      </c>
      <c r="C1215" s="41">
        <v>1</v>
      </c>
    </row>
    <row r="1216" spans="1:3" x14ac:dyDescent="0.25">
      <c r="A1216" s="41">
        <v>1215</v>
      </c>
      <c r="B1216" s="41">
        <v>0</v>
      </c>
      <c r="C1216" s="41">
        <v>1</v>
      </c>
    </row>
    <row r="1217" spans="1:3" x14ac:dyDescent="0.25">
      <c r="A1217" s="41">
        <v>1216</v>
      </c>
      <c r="B1217" s="41">
        <v>0</v>
      </c>
      <c r="C1217" s="41">
        <v>1</v>
      </c>
    </row>
    <row r="1218" spans="1:3" x14ac:dyDescent="0.25">
      <c r="A1218" s="41">
        <v>1217</v>
      </c>
      <c r="B1218" s="41">
        <v>0</v>
      </c>
      <c r="C1218" s="41">
        <v>1</v>
      </c>
    </row>
    <row r="1219" spans="1:3" x14ac:dyDescent="0.25">
      <c r="A1219" s="41">
        <v>1218</v>
      </c>
      <c r="B1219" s="41">
        <v>0</v>
      </c>
      <c r="C1219" s="41">
        <v>1</v>
      </c>
    </row>
    <row r="1220" spans="1:3" x14ac:dyDescent="0.25">
      <c r="A1220" s="41">
        <v>1219</v>
      </c>
      <c r="B1220" s="41">
        <v>0</v>
      </c>
      <c r="C1220" s="41">
        <v>1</v>
      </c>
    </row>
    <row r="1221" spans="1:3" x14ac:dyDescent="0.25">
      <c r="A1221" s="41">
        <v>1220</v>
      </c>
      <c r="B1221" s="41">
        <v>-50</v>
      </c>
      <c r="C1221" s="41">
        <v>1</v>
      </c>
    </row>
    <row r="1222" spans="1:3" x14ac:dyDescent="0.25">
      <c r="A1222" s="41">
        <v>1221</v>
      </c>
      <c r="B1222" s="41">
        <v>-50</v>
      </c>
      <c r="C1222" s="41">
        <v>1</v>
      </c>
    </row>
    <row r="1223" spans="1:3" x14ac:dyDescent="0.25">
      <c r="A1223" s="41">
        <v>1222</v>
      </c>
      <c r="B1223" s="41">
        <v>-50</v>
      </c>
      <c r="C1223" s="41">
        <v>1</v>
      </c>
    </row>
    <row r="1224" spans="1:3" x14ac:dyDescent="0.25">
      <c r="A1224" s="41">
        <v>1223</v>
      </c>
      <c r="B1224" s="41">
        <v>-50</v>
      </c>
      <c r="C1224" s="41">
        <v>1</v>
      </c>
    </row>
    <row r="1225" spans="1:3" x14ac:dyDescent="0.25">
      <c r="A1225" s="41">
        <v>1224</v>
      </c>
      <c r="B1225" s="41">
        <v>0</v>
      </c>
      <c r="C1225" s="41">
        <v>1</v>
      </c>
    </row>
    <row r="1226" spans="1:3" x14ac:dyDescent="0.25">
      <c r="A1226" s="41">
        <v>1225</v>
      </c>
      <c r="B1226" s="41">
        <v>0</v>
      </c>
      <c r="C1226" s="41">
        <v>1</v>
      </c>
    </row>
    <row r="1227" spans="1:3" x14ac:dyDescent="0.25">
      <c r="A1227" s="41">
        <v>1226</v>
      </c>
      <c r="B1227" s="41">
        <v>0</v>
      </c>
      <c r="C1227" s="41">
        <v>1</v>
      </c>
    </row>
    <row r="1228" spans="1:3" x14ac:dyDescent="0.25">
      <c r="A1228" s="41">
        <v>1227</v>
      </c>
      <c r="B1228" s="41">
        <v>0</v>
      </c>
      <c r="C1228" s="41">
        <v>1</v>
      </c>
    </row>
    <row r="1229" spans="1:3" x14ac:dyDescent="0.25">
      <c r="A1229" s="41">
        <v>1228</v>
      </c>
      <c r="B1229" s="41">
        <v>0</v>
      </c>
      <c r="C1229" s="41">
        <v>1</v>
      </c>
    </row>
    <row r="1230" spans="1:3" x14ac:dyDescent="0.25">
      <c r="A1230" s="41">
        <v>1229</v>
      </c>
      <c r="B1230" s="41">
        <v>-50</v>
      </c>
      <c r="C1230" s="41">
        <v>1</v>
      </c>
    </row>
    <row r="1231" spans="1:3" x14ac:dyDescent="0.25">
      <c r="A1231" s="41">
        <v>1230</v>
      </c>
      <c r="B1231" s="41">
        <v>-50</v>
      </c>
      <c r="C1231" s="41">
        <v>1</v>
      </c>
    </row>
    <row r="1232" spans="1:3" x14ac:dyDescent="0.25">
      <c r="A1232" s="41">
        <v>1231</v>
      </c>
      <c r="B1232" s="41">
        <v>0</v>
      </c>
      <c r="C1232" s="41">
        <v>1</v>
      </c>
    </row>
    <row r="1233" spans="1:3" x14ac:dyDescent="0.25">
      <c r="A1233" s="41">
        <v>1232</v>
      </c>
      <c r="B1233" s="41">
        <v>0</v>
      </c>
      <c r="C1233" s="41">
        <v>1</v>
      </c>
    </row>
    <row r="1234" spans="1:3" x14ac:dyDescent="0.25">
      <c r="A1234" s="41">
        <v>1233</v>
      </c>
      <c r="B1234" s="41">
        <v>0</v>
      </c>
      <c r="C1234" s="41">
        <v>1</v>
      </c>
    </row>
    <row r="1235" spans="1:3" x14ac:dyDescent="0.25">
      <c r="A1235" s="41">
        <v>1234</v>
      </c>
      <c r="B1235" s="41">
        <v>-50</v>
      </c>
      <c r="C1235" s="41">
        <v>1</v>
      </c>
    </row>
    <row r="1236" spans="1:3" x14ac:dyDescent="0.25">
      <c r="A1236" s="41">
        <v>1235</v>
      </c>
      <c r="B1236" s="41">
        <v>-50</v>
      </c>
      <c r="C1236" s="41">
        <v>1</v>
      </c>
    </row>
    <row r="1237" spans="1:3" x14ac:dyDescent="0.25">
      <c r="A1237" s="41">
        <v>1236</v>
      </c>
      <c r="B1237" s="41">
        <v>0</v>
      </c>
      <c r="C1237" s="41">
        <v>1</v>
      </c>
    </row>
    <row r="1238" spans="1:3" x14ac:dyDescent="0.25">
      <c r="A1238" s="41">
        <v>1237</v>
      </c>
      <c r="B1238" s="41">
        <v>0</v>
      </c>
      <c r="C1238" s="41">
        <v>1</v>
      </c>
    </row>
    <row r="1239" spans="1:3" x14ac:dyDescent="0.25">
      <c r="A1239" s="41">
        <v>1238</v>
      </c>
      <c r="B1239" s="41">
        <v>0</v>
      </c>
      <c r="C1239" s="41">
        <v>1</v>
      </c>
    </row>
    <row r="1240" spans="1:3" x14ac:dyDescent="0.25">
      <c r="A1240" s="41">
        <v>1239</v>
      </c>
      <c r="B1240" s="41">
        <v>0</v>
      </c>
      <c r="C1240" s="41">
        <v>1</v>
      </c>
    </row>
    <row r="1241" spans="1:3" x14ac:dyDescent="0.25">
      <c r="A1241" s="41">
        <v>1240</v>
      </c>
      <c r="B1241" s="41">
        <v>-50</v>
      </c>
      <c r="C1241" s="41">
        <v>1</v>
      </c>
    </row>
    <row r="1242" spans="1:3" x14ac:dyDescent="0.25">
      <c r="A1242" s="41">
        <v>1241</v>
      </c>
      <c r="B1242" s="41">
        <v>-50</v>
      </c>
      <c r="C1242" s="41">
        <v>1</v>
      </c>
    </row>
    <row r="1243" spans="1:3" x14ac:dyDescent="0.25">
      <c r="A1243" s="41">
        <v>1242</v>
      </c>
      <c r="B1243" s="41">
        <v>0</v>
      </c>
      <c r="C1243" s="41">
        <v>1</v>
      </c>
    </row>
    <row r="1244" spans="1:3" x14ac:dyDescent="0.25">
      <c r="A1244" s="41">
        <v>1243</v>
      </c>
      <c r="B1244" s="41">
        <v>-50</v>
      </c>
      <c r="C1244" s="41">
        <v>1</v>
      </c>
    </row>
    <row r="1245" spans="1:3" x14ac:dyDescent="0.25">
      <c r="A1245" s="41">
        <v>1244</v>
      </c>
      <c r="B1245" s="41">
        <v>0</v>
      </c>
      <c r="C1245" s="41">
        <v>1</v>
      </c>
    </row>
    <row r="1246" spans="1:3" x14ac:dyDescent="0.25">
      <c r="A1246" s="41">
        <v>1245</v>
      </c>
      <c r="B1246" s="41">
        <v>0</v>
      </c>
      <c r="C1246" s="41">
        <v>1</v>
      </c>
    </row>
    <row r="1247" spans="1:3" x14ac:dyDescent="0.25">
      <c r="A1247" s="41">
        <v>1246</v>
      </c>
      <c r="B1247" s="41">
        <v>0</v>
      </c>
      <c r="C1247" s="41">
        <v>1</v>
      </c>
    </row>
    <row r="1248" spans="1:3" x14ac:dyDescent="0.25">
      <c r="A1248" s="41">
        <v>1247</v>
      </c>
      <c r="B1248" s="41">
        <v>0</v>
      </c>
      <c r="C1248" s="41">
        <v>1</v>
      </c>
    </row>
    <row r="1249" spans="1:3" x14ac:dyDescent="0.25">
      <c r="A1249" s="41">
        <v>1248</v>
      </c>
      <c r="B1249" s="41">
        <v>-50</v>
      </c>
      <c r="C1249" s="41">
        <v>1</v>
      </c>
    </row>
    <row r="1250" spans="1:3" x14ac:dyDescent="0.25">
      <c r="A1250" s="41">
        <v>1249</v>
      </c>
      <c r="B1250" s="41">
        <v>-50</v>
      </c>
      <c r="C1250" s="41">
        <v>1</v>
      </c>
    </row>
    <row r="1251" spans="1:3" x14ac:dyDescent="0.25">
      <c r="A1251" s="41">
        <v>1250</v>
      </c>
      <c r="B1251" s="41">
        <v>-50</v>
      </c>
      <c r="C1251" s="41">
        <v>1</v>
      </c>
    </row>
    <row r="1252" spans="1:3" x14ac:dyDescent="0.25">
      <c r="A1252" s="41">
        <v>1251</v>
      </c>
      <c r="B1252" s="41">
        <v>-50</v>
      </c>
      <c r="C1252" s="41">
        <v>1</v>
      </c>
    </row>
    <row r="1253" spans="1:3" x14ac:dyDescent="0.25">
      <c r="A1253" s="41">
        <v>1252</v>
      </c>
      <c r="B1253" s="41">
        <v>-50</v>
      </c>
      <c r="C1253" s="41">
        <v>1</v>
      </c>
    </row>
    <row r="1254" spans="1:3" x14ac:dyDescent="0.25">
      <c r="A1254" s="41">
        <v>1253</v>
      </c>
      <c r="B1254" s="41">
        <v>-50</v>
      </c>
      <c r="C1254" s="41">
        <v>1</v>
      </c>
    </row>
    <row r="1255" spans="1:3" x14ac:dyDescent="0.25">
      <c r="A1255" s="41">
        <v>1254</v>
      </c>
      <c r="B1255" s="41">
        <v>-50</v>
      </c>
      <c r="C1255" s="41">
        <v>1</v>
      </c>
    </row>
    <row r="1256" spans="1:3" x14ac:dyDescent="0.25">
      <c r="A1256" s="41">
        <v>1255</v>
      </c>
      <c r="B1256" s="41">
        <v>-50</v>
      </c>
      <c r="C1256" s="41">
        <v>1</v>
      </c>
    </row>
    <row r="1257" spans="1:3" x14ac:dyDescent="0.25">
      <c r="A1257" s="41">
        <v>1256</v>
      </c>
      <c r="B1257" s="41">
        <v>-50</v>
      </c>
      <c r="C1257" s="41">
        <v>1</v>
      </c>
    </row>
    <row r="1258" spans="1:3" x14ac:dyDescent="0.25">
      <c r="A1258" s="41">
        <v>1257</v>
      </c>
      <c r="B1258" s="41">
        <v>0</v>
      </c>
      <c r="C1258" s="41">
        <v>1</v>
      </c>
    </row>
    <row r="1259" spans="1:3" x14ac:dyDescent="0.25">
      <c r="A1259" s="41">
        <v>1258</v>
      </c>
      <c r="B1259" s="41">
        <v>0</v>
      </c>
      <c r="C1259" s="41">
        <v>1</v>
      </c>
    </row>
    <row r="1260" spans="1:3" x14ac:dyDescent="0.25">
      <c r="A1260" s="41">
        <v>1259</v>
      </c>
      <c r="B1260" s="41">
        <v>0</v>
      </c>
      <c r="C1260" s="41">
        <v>1</v>
      </c>
    </row>
    <row r="1261" spans="1:3" x14ac:dyDescent="0.25">
      <c r="A1261" s="41">
        <v>1260</v>
      </c>
      <c r="B1261" s="41">
        <v>-0.4166666567325592</v>
      </c>
      <c r="C1261" s="41">
        <v>1</v>
      </c>
    </row>
    <row r="1262" spans="1:3" x14ac:dyDescent="0.25">
      <c r="A1262" s="41">
        <v>1261</v>
      </c>
      <c r="B1262" s="41">
        <v>-0.4166666567325592</v>
      </c>
      <c r="C1262" s="41">
        <v>1</v>
      </c>
    </row>
    <row r="1263" spans="1:3" x14ac:dyDescent="0.25">
      <c r="A1263" s="41">
        <v>1262</v>
      </c>
      <c r="B1263" s="41">
        <v>0</v>
      </c>
      <c r="C1263" s="41">
        <v>1</v>
      </c>
    </row>
    <row r="1264" spans="1:3" x14ac:dyDescent="0.25">
      <c r="A1264" s="41">
        <v>1263</v>
      </c>
      <c r="B1264" s="41">
        <v>0</v>
      </c>
      <c r="C1264" s="41">
        <v>1</v>
      </c>
    </row>
    <row r="1265" spans="1:3" x14ac:dyDescent="0.25">
      <c r="A1265" s="41">
        <v>1264</v>
      </c>
      <c r="B1265" s="41">
        <v>0</v>
      </c>
      <c r="C1265" s="41">
        <v>1</v>
      </c>
    </row>
    <row r="1266" spans="1:3" x14ac:dyDescent="0.25">
      <c r="A1266" s="41">
        <v>1265</v>
      </c>
      <c r="B1266" s="41">
        <v>0</v>
      </c>
      <c r="C1266" s="41">
        <v>1</v>
      </c>
    </row>
    <row r="1267" spans="1:3" x14ac:dyDescent="0.25">
      <c r="A1267" s="41">
        <v>1266</v>
      </c>
      <c r="B1267" s="41">
        <v>0</v>
      </c>
      <c r="C1267" s="41">
        <v>1</v>
      </c>
    </row>
    <row r="1268" spans="1:3" x14ac:dyDescent="0.25">
      <c r="A1268" s="41">
        <v>1267</v>
      </c>
      <c r="B1268" s="41">
        <v>0</v>
      </c>
      <c r="C1268" s="41">
        <v>1</v>
      </c>
    </row>
    <row r="1269" spans="1:3" x14ac:dyDescent="0.25">
      <c r="A1269" s="41">
        <v>1268</v>
      </c>
      <c r="B1269" s="41">
        <v>0</v>
      </c>
      <c r="C1269" s="41">
        <v>1</v>
      </c>
    </row>
    <row r="1270" spans="1:3" x14ac:dyDescent="0.25">
      <c r="A1270" s="41">
        <v>1269</v>
      </c>
      <c r="B1270" s="41">
        <v>0</v>
      </c>
      <c r="C1270" s="41">
        <v>1</v>
      </c>
    </row>
    <row r="1271" spans="1:3" x14ac:dyDescent="0.25">
      <c r="A1271" s="41">
        <v>1270</v>
      </c>
      <c r="B1271" s="41">
        <v>0</v>
      </c>
      <c r="C1271" s="41">
        <v>1</v>
      </c>
    </row>
    <row r="1272" spans="1:3" x14ac:dyDescent="0.25">
      <c r="A1272" s="41">
        <v>1271</v>
      </c>
      <c r="B1272" s="41">
        <v>0</v>
      </c>
      <c r="C1272" s="41">
        <v>1</v>
      </c>
    </row>
    <row r="1273" spans="1:3" x14ac:dyDescent="0.25">
      <c r="A1273" s="41">
        <v>1272</v>
      </c>
      <c r="B1273" s="41">
        <v>0</v>
      </c>
      <c r="C1273" s="41">
        <v>1</v>
      </c>
    </row>
    <row r="1274" spans="1:3" x14ac:dyDescent="0.25">
      <c r="A1274" s="41">
        <v>1273</v>
      </c>
      <c r="B1274" s="41">
        <v>0</v>
      </c>
      <c r="C1274" s="41">
        <v>1</v>
      </c>
    </row>
    <row r="1275" spans="1:3" x14ac:dyDescent="0.25">
      <c r="A1275" s="41">
        <v>1274</v>
      </c>
      <c r="B1275" s="41">
        <v>0</v>
      </c>
      <c r="C1275" s="41">
        <v>1</v>
      </c>
    </row>
    <row r="1276" spans="1:3" x14ac:dyDescent="0.25">
      <c r="A1276" s="41">
        <v>1275</v>
      </c>
      <c r="B1276" s="41">
        <v>0</v>
      </c>
      <c r="C1276" s="41">
        <v>1</v>
      </c>
    </row>
    <row r="1277" spans="1:3" x14ac:dyDescent="0.25">
      <c r="A1277" s="41">
        <v>1276</v>
      </c>
      <c r="B1277" s="41">
        <v>0</v>
      </c>
      <c r="C1277" s="41">
        <v>1</v>
      </c>
    </row>
    <row r="1278" spans="1:3" x14ac:dyDescent="0.25">
      <c r="A1278" s="41">
        <v>1277</v>
      </c>
      <c r="B1278" s="41">
        <v>0</v>
      </c>
      <c r="C1278" s="41">
        <v>1</v>
      </c>
    </row>
    <row r="1279" spans="1:3" x14ac:dyDescent="0.25">
      <c r="A1279" s="41">
        <v>1278</v>
      </c>
      <c r="B1279" s="41">
        <v>0</v>
      </c>
      <c r="C1279" s="41">
        <v>1</v>
      </c>
    </row>
    <row r="1280" spans="1:3" x14ac:dyDescent="0.25">
      <c r="A1280" s="41">
        <v>1279</v>
      </c>
      <c r="B1280" s="41">
        <v>0</v>
      </c>
      <c r="C1280" s="41">
        <v>1</v>
      </c>
    </row>
    <row r="1281" spans="1:3" x14ac:dyDescent="0.25">
      <c r="A1281" s="41">
        <v>1280</v>
      </c>
      <c r="B1281" s="41">
        <v>0</v>
      </c>
      <c r="C1281" s="41">
        <v>1</v>
      </c>
    </row>
    <row r="1282" spans="1:3" x14ac:dyDescent="0.25">
      <c r="A1282" s="41">
        <v>1281</v>
      </c>
      <c r="B1282" s="41">
        <v>0</v>
      </c>
      <c r="C1282" s="41">
        <v>1</v>
      </c>
    </row>
    <row r="1283" spans="1:3" x14ac:dyDescent="0.25">
      <c r="A1283" s="41">
        <v>1282</v>
      </c>
      <c r="B1283" s="41">
        <v>0</v>
      </c>
      <c r="C1283" s="41">
        <v>1</v>
      </c>
    </row>
    <row r="1284" spans="1:3" x14ac:dyDescent="0.25">
      <c r="A1284" s="41">
        <v>1283</v>
      </c>
      <c r="B1284" s="41">
        <v>0</v>
      </c>
      <c r="C1284" s="41">
        <v>1</v>
      </c>
    </row>
    <row r="1285" spans="1:3" x14ac:dyDescent="0.25">
      <c r="A1285" s="41">
        <v>1284</v>
      </c>
      <c r="B1285" s="41">
        <v>0</v>
      </c>
      <c r="C1285" s="41">
        <v>1</v>
      </c>
    </row>
    <row r="1286" spans="1:3" x14ac:dyDescent="0.25">
      <c r="A1286" s="41">
        <v>1285</v>
      </c>
      <c r="B1286" s="41">
        <v>0</v>
      </c>
      <c r="C1286" s="41">
        <v>1</v>
      </c>
    </row>
    <row r="1287" spans="1:3" x14ac:dyDescent="0.25">
      <c r="A1287" s="41">
        <v>1286</v>
      </c>
      <c r="B1287" s="41">
        <v>0</v>
      </c>
      <c r="C1287" s="41">
        <v>1</v>
      </c>
    </row>
    <row r="1288" spans="1:3" x14ac:dyDescent="0.25">
      <c r="A1288" s="41">
        <v>1287</v>
      </c>
      <c r="B1288" s="41">
        <v>0</v>
      </c>
      <c r="C1288" s="41">
        <v>1</v>
      </c>
    </row>
    <row r="1289" spans="1:3" x14ac:dyDescent="0.25">
      <c r="A1289" s="41">
        <v>1288</v>
      </c>
      <c r="B1289" s="41">
        <v>0</v>
      </c>
      <c r="C1289" s="41">
        <v>1</v>
      </c>
    </row>
    <row r="1290" spans="1:3" x14ac:dyDescent="0.25">
      <c r="A1290" s="41">
        <v>1289</v>
      </c>
      <c r="B1290" s="41">
        <v>0</v>
      </c>
      <c r="C1290" s="41">
        <v>1</v>
      </c>
    </row>
    <row r="1291" spans="1:3" x14ac:dyDescent="0.25">
      <c r="A1291" s="41">
        <v>1290</v>
      </c>
      <c r="B1291" s="41">
        <v>0</v>
      </c>
      <c r="C1291" s="41">
        <v>1</v>
      </c>
    </row>
    <row r="1292" spans="1:3" x14ac:dyDescent="0.25">
      <c r="A1292" s="41">
        <v>1291</v>
      </c>
      <c r="B1292" s="41">
        <v>0</v>
      </c>
      <c r="C1292" s="41">
        <v>1</v>
      </c>
    </row>
    <row r="1293" spans="1:3" x14ac:dyDescent="0.25">
      <c r="A1293" s="41">
        <v>1292</v>
      </c>
      <c r="B1293" s="41">
        <v>0</v>
      </c>
      <c r="C1293" s="41">
        <v>1</v>
      </c>
    </row>
    <row r="1294" spans="1:3" x14ac:dyDescent="0.25">
      <c r="A1294" s="41">
        <v>1293</v>
      </c>
      <c r="B1294" s="41">
        <v>0</v>
      </c>
      <c r="C1294" s="41">
        <v>1</v>
      </c>
    </row>
    <row r="1295" spans="1:3" x14ac:dyDescent="0.25">
      <c r="A1295" s="41">
        <v>1294</v>
      </c>
      <c r="B1295" s="41">
        <v>0</v>
      </c>
      <c r="C1295" s="41">
        <v>1</v>
      </c>
    </row>
    <row r="1296" spans="1:3" x14ac:dyDescent="0.25">
      <c r="A1296" s="41">
        <v>1295</v>
      </c>
      <c r="B1296" s="41">
        <v>0</v>
      </c>
      <c r="C1296" s="41">
        <v>1</v>
      </c>
    </row>
    <row r="1297" spans="1:3" x14ac:dyDescent="0.25">
      <c r="A1297" s="41">
        <v>1296</v>
      </c>
      <c r="B1297" s="41">
        <v>0</v>
      </c>
      <c r="C1297" s="41">
        <v>1</v>
      </c>
    </row>
    <row r="1298" spans="1:3" x14ac:dyDescent="0.25">
      <c r="A1298" s="41">
        <v>1297</v>
      </c>
      <c r="B1298" s="41">
        <v>0</v>
      </c>
      <c r="C1298" s="41">
        <v>1</v>
      </c>
    </row>
    <row r="1299" spans="1:3" x14ac:dyDescent="0.25">
      <c r="A1299" s="41">
        <v>1298</v>
      </c>
      <c r="B1299" s="41">
        <v>0</v>
      </c>
      <c r="C1299" s="41">
        <v>1</v>
      </c>
    </row>
    <row r="1300" spans="1:3" x14ac:dyDescent="0.25">
      <c r="A1300" s="41">
        <v>1299</v>
      </c>
      <c r="B1300" s="41">
        <v>0</v>
      </c>
      <c r="C1300" s="41">
        <v>1</v>
      </c>
    </row>
    <row r="1301" spans="1:3" x14ac:dyDescent="0.25">
      <c r="A1301" s="41">
        <v>1300</v>
      </c>
      <c r="B1301" s="41">
        <v>0</v>
      </c>
      <c r="C1301" s="41">
        <v>1</v>
      </c>
    </row>
    <row r="1302" spans="1:3" x14ac:dyDescent="0.25">
      <c r="A1302" s="41">
        <v>1301</v>
      </c>
      <c r="B1302" s="41">
        <v>0</v>
      </c>
      <c r="C1302" s="41">
        <v>1</v>
      </c>
    </row>
    <row r="1303" spans="1:3" x14ac:dyDescent="0.25">
      <c r="A1303" s="41">
        <v>1302</v>
      </c>
      <c r="B1303" s="41">
        <v>0</v>
      </c>
      <c r="C1303" s="41">
        <v>1</v>
      </c>
    </row>
    <row r="1304" spans="1:3" x14ac:dyDescent="0.25">
      <c r="A1304" s="41">
        <v>1303</v>
      </c>
      <c r="B1304" s="41">
        <v>0</v>
      </c>
      <c r="C1304" s="41">
        <v>1</v>
      </c>
    </row>
    <row r="1305" spans="1:3" x14ac:dyDescent="0.25">
      <c r="A1305" s="41">
        <v>1304</v>
      </c>
      <c r="B1305" s="41">
        <v>0</v>
      </c>
      <c r="C1305" s="41">
        <v>1</v>
      </c>
    </row>
    <row r="1306" spans="1:3" x14ac:dyDescent="0.25">
      <c r="A1306" s="41">
        <v>1305</v>
      </c>
      <c r="B1306" s="41">
        <v>0</v>
      </c>
      <c r="C1306" s="41">
        <v>1</v>
      </c>
    </row>
    <row r="1307" spans="1:3" x14ac:dyDescent="0.25">
      <c r="A1307" s="41">
        <v>1306</v>
      </c>
      <c r="B1307" s="41">
        <v>0</v>
      </c>
      <c r="C1307" s="41">
        <v>1</v>
      </c>
    </row>
    <row r="1308" spans="1:3" x14ac:dyDescent="0.25">
      <c r="A1308" s="41">
        <v>1307</v>
      </c>
      <c r="B1308" s="41">
        <v>0</v>
      </c>
      <c r="C1308" s="41">
        <v>1</v>
      </c>
    </row>
    <row r="1309" spans="1:3" x14ac:dyDescent="0.25">
      <c r="A1309" s="41">
        <v>1308</v>
      </c>
      <c r="B1309" s="41">
        <v>0</v>
      </c>
      <c r="C1309" s="41">
        <v>1</v>
      </c>
    </row>
    <row r="1310" spans="1:3" x14ac:dyDescent="0.25">
      <c r="A1310" s="41">
        <v>1309</v>
      </c>
      <c r="B1310" s="41">
        <v>0</v>
      </c>
      <c r="C1310" s="41">
        <v>1</v>
      </c>
    </row>
    <row r="1311" spans="1:3" x14ac:dyDescent="0.25">
      <c r="A1311" s="41">
        <v>1310</v>
      </c>
      <c r="B1311" s="41">
        <v>0</v>
      </c>
      <c r="C1311" s="41">
        <v>1</v>
      </c>
    </row>
    <row r="1312" spans="1:3" x14ac:dyDescent="0.25">
      <c r="A1312" s="41">
        <v>1311</v>
      </c>
      <c r="B1312" s="41">
        <v>0</v>
      </c>
      <c r="C1312" s="41">
        <v>1</v>
      </c>
    </row>
    <row r="1313" spans="1:3" x14ac:dyDescent="0.25">
      <c r="A1313" s="41">
        <v>1312</v>
      </c>
      <c r="B1313" s="41">
        <v>0</v>
      </c>
      <c r="C1313" s="41">
        <v>1</v>
      </c>
    </row>
    <row r="1314" spans="1:3" x14ac:dyDescent="0.25">
      <c r="A1314" s="41">
        <v>1313</v>
      </c>
      <c r="B1314" s="41">
        <v>0</v>
      </c>
      <c r="C1314" s="41">
        <v>1</v>
      </c>
    </row>
    <row r="1315" spans="1:3" x14ac:dyDescent="0.25">
      <c r="A1315" s="41">
        <v>1314</v>
      </c>
      <c r="B1315" s="41">
        <v>0</v>
      </c>
      <c r="C1315" s="41">
        <v>1</v>
      </c>
    </row>
    <row r="1316" spans="1:3" x14ac:dyDescent="0.25">
      <c r="A1316" s="41">
        <v>1315</v>
      </c>
      <c r="B1316" s="41">
        <v>0</v>
      </c>
      <c r="C1316" s="41">
        <v>1</v>
      </c>
    </row>
    <row r="1317" spans="1:3" x14ac:dyDescent="0.25">
      <c r="A1317" s="41">
        <v>1316</v>
      </c>
      <c r="B1317" s="41">
        <v>0</v>
      </c>
      <c r="C1317" s="41">
        <v>1</v>
      </c>
    </row>
    <row r="1318" spans="1:3" x14ac:dyDescent="0.25">
      <c r="A1318" s="41">
        <v>1317</v>
      </c>
      <c r="B1318" s="41">
        <v>0</v>
      </c>
      <c r="C1318" s="41">
        <v>1</v>
      </c>
    </row>
    <row r="1319" spans="1:3" x14ac:dyDescent="0.25">
      <c r="A1319" s="41">
        <v>1318</v>
      </c>
      <c r="B1319" s="41">
        <v>0</v>
      </c>
      <c r="C1319" s="41">
        <v>1</v>
      </c>
    </row>
    <row r="1320" spans="1:3" x14ac:dyDescent="0.25">
      <c r="A1320" s="41">
        <v>1319</v>
      </c>
      <c r="B1320" s="41">
        <v>0</v>
      </c>
      <c r="C1320" s="41">
        <v>1</v>
      </c>
    </row>
    <row r="1321" spans="1:3" x14ac:dyDescent="0.25">
      <c r="A1321" s="41">
        <v>1320</v>
      </c>
      <c r="B1321" s="41">
        <v>0</v>
      </c>
      <c r="C1321" s="41">
        <v>1</v>
      </c>
    </row>
    <row r="1322" spans="1:3" x14ac:dyDescent="0.25">
      <c r="A1322" s="41">
        <v>1321</v>
      </c>
      <c r="B1322" s="41">
        <v>0</v>
      </c>
      <c r="C1322" s="41">
        <v>1</v>
      </c>
    </row>
    <row r="1323" spans="1:3" x14ac:dyDescent="0.25">
      <c r="A1323" s="41">
        <v>1322</v>
      </c>
      <c r="B1323" s="41">
        <v>0</v>
      </c>
      <c r="C1323" s="41">
        <v>1</v>
      </c>
    </row>
    <row r="1324" spans="1:3" x14ac:dyDescent="0.25">
      <c r="A1324" s="41">
        <v>1323</v>
      </c>
      <c r="B1324" s="41">
        <v>0</v>
      </c>
      <c r="C1324" s="41">
        <v>1</v>
      </c>
    </row>
    <row r="1325" spans="1:3" x14ac:dyDescent="0.25">
      <c r="A1325" s="41">
        <v>1324</v>
      </c>
      <c r="B1325" s="41">
        <v>0</v>
      </c>
      <c r="C1325" s="41">
        <v>1</v>
      </c>
    </row>
    <row r="1326" spans="1:3" x14ac:dyDescent="0.25">
      <c r="A1326" s="41">
        <v>1325</v>
      </c>
      <c r="B1326" s="41">
        <v>0</v>
      </c>
      <c r="C1326" s="41">
        <v>1</v>
      </c>
    </row>
    <row r="1327" spans="1:3" x14ac:dyDescent="0.25">
      <c r="A1327" s="41">
        <v>1326</v>
      </c>
      <c r="B1327" s="41">
        <v>0</v>
      </c>
      <c r="C1327" s="41">
        <v>1</v>
      </c>
    </row>
    <row r="1328" spans="1:3" x14ac:dyDescent="0.25">
      <c r="A1328" s="41">
        <v>1327</v>
      </c>
      <c r="B1328" s="41">
        <v>0</v>
      </c>
      <c r="C1328" s="41">
        <v>1</v>
      </c>
    </row>
    <row r="1329" spans="1:3" x14ac:dyDescent="0.25">
      <c r="A1329" s="41">
        <v>1328</v>
      </c>
      <c r="B1329" s="41">
        <v>0</v>
      </c>
      <c r="C1329" s="41">
        <v>1</v>
      </c>
    </row>
    <row r="1330" spans="1:3" x14ac:dyDescent="0.25">
      <c r="A1330" s="41">
        <v>1329</v>
      </c>
      <c r="B1330" s="41">
        <v>0</v>
      </c>
      <c r="C1330" s="41">
        <v>1</v>
      </c>
    </row>
    <row r="1331" spans="1:3" x14ac:dyDescent="0.25">
      <c r="A1331" s="41">
        <v>1330</v>
      </c>
      <c r="B1331" s="41">
        <v>0</v>
      </c>
      <c r="C1331" s="41">
        <v>1</v>
      </c>
    </row>
    <row r="1332" spans="1:3" x14ac:dyDescent="0.25">
      <c r="A1332" s="41">
        <v>1331</v>
      </c>
      <c r="B1332" s="41">
        <v>0</v>
      </c>
      <c r="C1332" s="41">
        <v>1</v>
      </c>
    </row>
    <row r="1333" spans="1:3" x14ac:dyDescent="0.25">
      <c r="A1333" s="41">
        <v>1332</v>
      </c>
      <c r="B1333" s="41">
        <v>0</v>
      </c>
      <c r="C1333" s="41">
        <v>1</v>
      </c>
    </row>
    <row r="1334" spans="1:3" x14ac:dyDescent="0.25">
      <c r="A1334" s="41">
        <v>1333</v>
      </c>
      <c r="B1334" s="41">
        <v>0</v>
      </c>
      <c r="C1334" s="41">
        <v>1</v>
      </c>
    </row>
    <row r="1335" spans="1:3" x14ac:dyDescent="0.25">
      <c r="A1335" s="41">
        <v>1334</v>
      </c>
      <c r="B1335" s="41">
        <v>0</v>
      </c>
      <c r="C1335" s="41">
        <v>1</v>
      </c>
    </row>
    <row r="1336" spans="1:3" x14ac:dyDescent="0.25">
      <c r="A1336" s="41">
        <v>1335</v>
      </c>
      <c r="B1336" s="41">
        <v>0</v>
      </c>
      <c r="C1336" s="41">
        <v>1</v>
      </c>
    </row>
    <row r="1337" spans="1:3" x14ac:dyDescent="0.25">
      <c r="A1337" s="41">
        <v>1336</v>
      </c>
      <c r="B1337" s="41">
        <v>0</v>
      </c>
      <c r="C1337" s="41">
        <v>1</v>
      </c>
    </row>
    <row r="1338" spans="1:3" x14ac:dyDescent="0.25">
      <c r="A1338" s="41">
        <v>1337</v>
      </c>
      <c r="B1338" s="41">
        <v>0</v>
      </c>
      <c r="C1338" s="41">
        <v>1</v>
      </c>
    </row>
    <row r="1339" spans="1:3" x14ac:dyDescent="0.25">
      <c r="A1339" s="41">
        <v>1338</v>
      </c>
      <c r="B1339" s="41">
        <v>0</v>
      </c>
      <c r="C1339" s="41">
        <v>1</v>
      </c>
    </row>
    <row r="1340" spans="1:3" x14ac:dyDescent="0.25">
      <c r="A1340" s="41">
        <v>1339</v>
      </c>
      <c r="B1340" s="41">
        <v>0</v>
      </c>
      <c r="C1340" s="41">
        <v>1</v>
      </c>
    </row>
    <row r="1341" spans="1:3" x14ac:dyDescent="0.25">
      <c r="A1341" s="41">
        <v>1340</v>
      </c>
      <c r="B1341" s="41">
        <v>0</v>
      </c>
      <c r="C1341" s="41">
        <v>1</v>
      </c>
    </row>
    <row r="1342" spans="1:3" x14ac:dyDescent="0.25">
      <c r="A1342" s="41">
        <v>1341</v>
      </c>
      <c r="B1342" s="41">
        <v>0</v>
      </c>
      <c r="C1342" s="41">
        <v>2</v>
      </c>
    </row>
    <row r="1343" spans="1:3" x14ac:dyDescent="0.25">
      <c r="A1343" s="41">
        <v>1342</v>
      </c>
      <c r="B1343" s="41">
        <v>0</v>
      </c>
      <c r="C1343" s="41">
        <v>1</v>
      </c>
    </row>
    <row r="1344" spans="1:3" x14ac:dyDescent="0.25">
      <c r="A1344" s="41">
        <v>1343</v>
      </c>
      <c r="B1344" s="41">
        <v>0</v>
      </c>
      <c r="C1344" s="41">
        <v>1</v>
      </c>
    </row>
    <row r="1345" spans="1:3" x14ac:dyDescent="0.25">
      <c r="A1345" s="41">
        <v>1344</v>
      </c>
      <c r="B1345" s="41">
        <v>0</v>
      </c>
      <c r="C1345" s="41">
        <v>1</v>
      </c>
    </row>
    <row r="1346" spans="1:3" x14ac:dyDescent="0.25">
      <c r="A1346" s="41">
        <v>1345</v>
      </c>
      <c r="B1346" s="41">
        <v>0</v>
      </c>
      <c r="C1346" s="41">
        <v>1</v>
      </c>
    </row>
    <row r="1347" spans="1:3" x14ac:dyDescent="0.25">
      <c r="A1347" s="41">
        <v>1346</v>
      </c>
      <c r="B1347" s="41">
        <v>0</v>
      </c>
      <c r="C1347" s="41">
        <v>1</v>
      </c>
    </row>
    <row r="1348" spans="1:3" x14ac:dyDescent="0.25">
      <c r="A1348" s="41">
        <v>1347</v>
      </c>
      <c r="B1348" s="41">
        <v>0</v>
      </c>
      <c r="C1348" s="41">
        <v>1</v>
      </c>
    </row>
    <row r="1349" spans="1:3" x14ac:dyDescent="0.25">
      <c r="A1349" s="41">
        <v>1348</v>
      </c>
      <c r="B1349" s="41">
        <v>0</v>
      </c>
      <c r="C1349" s="41">
        <v>1</v>
      </c>
    </row>
    <row r="1350" spans="1:3" x14ac:dyDescent="0.25">
      <c r="A1350" s="41">
        <v>1349</v>
      </c>
      <c r="B1350" s="41">
        <v>0</v>
      </c>
      <c r="C1350" s="41">
        <v>1</v>
      </c>
    </row>
    <row r="1351" spans="1:3" x14ac:dyDescent="0.25">
      <c r="A1351" s="41">
        <v>1350</v>
      </c>
      <c r="B1351" s="41">
        <v>0</v>
      </c>
      <c r="C1351" s="41">
        <v>1</v>
      </c>
    </row>
    <row r="1352" spans="1:3" x14ac:dyDescent="0.25">
      <c r="A1352" s="41">
        <v>1351</v>
      </c>
      <c r="B1352" s="41">
        <v>0</v>
      </c>
      <c r="C1352" s="41">
        <v>1</v>
      </c>
    </row>
    <row r="1353" spans="1:3" x14ac:dyDescent="0.25">
      <c r="A1353" s="41">
        <v>1352</v>
      </c>
      <c r="B1353" s="41">
        <v>0</v>
      </c>
      <c r="C1353" s="41">
        <v>1</v>
      </c>
    </row>
    <row r="1354" spans="1:3" x14ac:dyDescent="0.25">
      <c r="A1354" s="41">
        <v>1353</v>
      </c>
      <c r="B1354" s="41">
        <v>0</v>
      </c>
      <c r="C1354" s="41">
        <v>1</v>
      </c>
    </row>
    <row r="1355" spans="1:3" x14ac:dyDescent="0.25">
      <c r="A1355" s="41">
        <v>1354</v>
      </c>
      <c r="B1355" s="41">
        <v>0</v>
      </c>
      <c r="C1355" s="41">
        <v>1</v>
      </c>
    </row>
    <row r="1356" spans="1:3" x14ac:dyDescent="0.25">
      <c r="A1356" s="41">
        <v>1355</v>
      </c>
      <c r="B1356" s="41">
        <v>0</v>
      </c>
      <c r="C1356" s="41">
        <v>1</v>
      </c>
    </row>
    <row r="1357" spans="1:3" x14ac:dyDescent="0.25">
      <c r="A1357" s="41">
        <v>1356</v>
      </c>
      <c r="B1357" s="41">
        <v>0</v>
      </c>
      <c r="C1357" s="41">
        <v>1</v>
      </c>
    </row>
    <row r="1358" spans="1:3" x14ac:dyDescent="0.25">
      <c r="A1358" s="41">
        <v>1357</v>
      </c>
      <c r="B1358" s="41">
        <v>0</v>
      </c>
      <c r="C1358" s="41">
        <v>1</v>
      </c>
    </row>
    <row r="1359" spans="1:3" x14ac:dyDescent="0.25">
      <c r="A1359" s="41">
        <v>1358</v>
      </c>
      <c r="B1359" s="41">
        <v>0</v>
      </c>
      <c r="C1359" s="41">
        <v>1</v>
      </c>
    </row>
    <row r="1360" spans="1:3" x14ac:dyDescent="0.25">
      <c r="A1360" s="41">
        <v>1359</v>
      </c>
      <c r="B1360" s="41">
        <v>0</v>
      </c>
      <c r="C1360" s="41">
        <v>1</v>
      </c>
    </row>
    <row r="1361" spans="1:3" x14ac:dyDescent="0.25">
      <c r="A1361" s="41">
        <v>1360</v>
      </c>
      <c r="B1361" s="41">
        <v>0</v>
      </c>
      <c r="C1361" s="41">
        <v>1</v>
      </c>
    </row>
    <row r="1362" spans="1:3" x14ac:dyDescent="0.25">
      <c r="A1362" s="41">
        <v>1361</v>
      </c>
      <c r="B1362" s="41">
        <v>0</v>
      </c>
      <c r="C1362" s="41">
        <v>1</v>
      </c>
    </row>
    <row r="1363" spans="1:3" x14ac:dyDescent="0.25">
      <c r="A1363" s="41">
        <v>1362</v>
      </c>
      <c r="B1363" s="41">
        <v>0</v>
      </c>
      <c r="C1363" s="41">
        <v>1</v>
      </c>
    </row>
    <row r="1364" spans="1:3" x14ac:dyDescent="0.25">
      <c r="A1364" s="41">
        <v>1363</v>
      </c>
      <c r="B1364" s="41">
        <v>0</v>
      </c>
      <c r="C1364" s="41">
        <v>1</v>
      </c>
    </row>
    <row r="1365" spans="1:3" x14ac:dyDescent="0.25">
      <c r="A1365" s="41">
        <v>1364</v>
      </c>
      <c r="B1365" s="41">
        <v>0</v>
      </c>
      <c r="C1365" s="41">
        <v>1</v>
      </c>
    </row>
    <row r="1366" spans="1:3" x14ac:dyDescent="0.25">
      <c r="A1366" s="41">
        <v>1365</v>
      </c>
      <c r="B1366" s="41">
        <v>0</v>
      </c>
      <c r="C1366" s="41">
        <v>1</v>
      </c>
    </row>
    <row r="1367" spans="1:3" x14ac:dyDescent="0.25">
      <c r="A1367" s="41">
        <v>1366</v>
      </c>
      <c r="B1367" s="41">
        <v>0</v>
      </c>
      <c r="C1367" s="41">
        <v>1</v>
      </c>
    </row>
    <row r="1368" spans="1:3" x14ac:dyDescent="0.25">
      <c r="A1368" s="41">
        <v>1367</v>
      </c>
      <c r="B1368" s="41">
        <v>0</v>
      </c>
      <c r="C1368" s="41">
        <v>1</v>
      </c>
    </row>
    <row r="1369" spans="1:3" x14ac:dyDescent="0.25">
      <c r="A1369" s="41">
        <v>1368</v>
      </c>
      <c r="B1369" s="41">
        <v>0</v>
      </c>
      <c r="C1369" s="41">
        <v>1</v>
      </c>
    </row>
    <row r="1370" spans="1:3" x14ac:dyDescent="0.25">
      <c r="A1370" s="41">
        <v>1369</v>
      </c>
      <c r="B1370" s="41">
        <v>0</v>
      </c>
      <c r="C1370" s="41">
        <v>1</v>
      </c>
    </row>
    <row r="1371" spans="1:3" x14ac:dyDescent="0.25">
      <c r="A1371" s="41">
        <v>1370</v>
      </c>
      <c r="B1371" s="41">
        <v>0</v>
      </c>
      <c r="C1371" s="41">
        <v>1</v>
      </c>
    </row>
    <row r="1372" spans="1:3" x14ac:dyDescent="0.25">
      <c r="A1372" s="41">
        <v>1371</v>
      </c>
      <c r="B1372" s="41">
        <v>0</v>
      </c>
      <c r="C1372" s="41">
        <v>1</v>
      </c>
    </row>
    <row r="1373" spans="1:3" x14ac:dyDescent="0.25">
      <c r="A1373" s="41">
        <v>1372</v>
      </c>
      <c r="B1373" s="41">
        <v>0</v>
      </c>
      <c r="C1373" s="41">
        <v>1</v>
      </c>
    </row>
    <row r="1374" spans="1:3" x14ac:dyDescent="0.25">
      <c r="A1374" s="41">
        <v>1373</v>
      </c>
      <c r="B1374" s="41">
        <v>0</v>
      </c>
      <c r="C1374" s="41">
        <v>1</v>
      </c>
    </row>
    <row r="1375" spans="1:3" x14ac:dyDescent="0.25">
      <c r="A1375" s="41">
        <v>1374</v>
      </c>
      <c r="B1375" s="41">
        <v>0</v>
      </c>
      <c r="C1375" s="41">
        <v>1</v>
      </c>
    </row>
    <row r="1376" spans="1:3" x14ac:dyDescent="0.25">
      <c r="A1376" s="41">
        <v>1375</v>
      </c>
      <c r="B1376" s="41">
        <v>0</v>
      </c>
      <c r="C1376" s="41">
        <v>1</v>
      </c>
    </row>
    <row r="1377" spans="1:3" x14ac:dyDescent="0.25">
      <c r="A1377" s="41">
        <v>1376</v>
      </c>
      <c r="B1377" s="41">
        <v>0</v>
      </c>
      <c r="C1377" s="41">
        <v>1</v>
      </c>
    </row>
    <row r="1378" spans="1:3" x14ac:dyDescent="0.25">
      <c r="A1378" s="41">
        <v>1377</v>
      </c>
      <c r="B1378" s="41">
        <v>0</v>
      </c>
      <c r="C1378" s="41">
        <v>1</v>
      </c>
    </row>
    <row r="1379" spans="1:3" x14ac:dyDescent="0.25">
      <c r="A1379" s="41">
        <v>1378</v>
      </c>
      <c r="B1379" s="41">
        <v>0</v>
      </c>
      <c r="C1379" s="41">
        <v>1</v>
      </c>
    </row>
    <row r="1380" spans="1:3" x14ac:dyDescent="0.25">
      <c r="A1380" s="41">
        <v>1379</v>
      </c>
      <c r="B1380" s="41">
        <v>0</v>
      </c>
      <c r="C1380" s="41">
        <v>1</v>
      </c>
    </row>
    <row r="1381" spans="1:3" x14ac:dyDescent="0.25">
      <c r="A1381" s="41">
        <v>1380</v>
      </c>
      <c r="B1381" s="41">
        <v>0</v>
      </c>
      <c r="C1381" s="41">
        <v>1</v>
      </c>
    </row>
    <row r="1382" spans="1:3" x14ac:dyDescent="0.25">
      <c r="A1382" s="41">
        <v>1381</v>
      </c>
      <c r="B1382" s="41">
        <v>0</v>
      </c>
      <c r="C1382" s="41">
        <v>1</v>
      </c>
    </row>
    <row r="1383" spans="1:3" x14ac:dyDescent="0.25">
      <c r="A1383" s="41">
        <v>1382</v>
      </c>
      <c r="B1383" s="41">
        <v>0</v>
      </c>
      <c r="C1383" s="41">
        <v>1</v>
      </c>
    </row>
    <row r="1384" spans="1:3" x14ac:dyDescent="0.25">
      <c r="A1384" s="41">
        <v>1383</v>
      </c>
      <c r="B1384" s="41">
        <v>0</v>
      </c>
      <c r="C1384" s="41">
        <v>1</v>
      </c>
    </row>
    <row r="1385" spans="1:3" x14ac:dyDescent="0.25">
      <c r="A1385" s="41">
        <v>1384</v>
      </c>
      <c r="B1385" s="41">
        <v>0</v>
      </c>
      <c r="C1385" s="41">
        <v>1</v>
      </c>
    </row>
    <row r="1386" spans="1:3" x14ac:dyDescent="0.25">
      <c r="A1386" s="41">
        <v>1385</v>
      </c>
      <c r="B1386" s="41">
        <v>0</v>
      </c>
      <c r="C1386" s="41">
        <v>1</v>
      </c>
    </row>
    <row r="1387" spans="1:3" x14ac:dyDescent="0.25">
      <c r="A1387" s="41">
        <v>1386</v>
      </c>
      <c r="B1387" s="41">
        <v>0</v>
      </c>
      <c r="C1387" s="41">
        <v>1</v>
      </c>
    </row>
    <row r="1388" spans="1:3" x14ac:dyDescent="0.25">
      <c r="A1388" s="41">
        <v>1387</v>
      </c>
      <c r="B1388" s="41">
        <v>0</v>
      </c>
      <c r="C1388" s="41">
        <v>1</v>
      </c>
    </row>
    <row r="1389" spans="1:3" x14ac:dyDescent="0.25">
      <c r="A1389" s="41">
        <v>1388</v>
      </c>
      <c r="B1389" s="41">
        <v>0</v>
      </c>
      <c r="C1389" s="41">
        <v>1</v>
      </c>
    </row>
    <row r="1390" spans="1:3" x14ac:dyDescent="0.25">
      <c r="A1390" s="41">
        <v>1389</v>
      </c>
      <c r="B1390" s="41">
        <v>0</v>
      </c>
      <c r="C1390" s="41">
        <v>1</v>
      </c>
    </row>
    <row r="1391" spans="1:3" x14ac:dyDescent="0.25">
      <c r="A1391" s="41">
        <v>1390</v>
      </c>
      <c r="B1391" s="41">
        <v>0</v>
      </c>
      <c r="C1391" s="41">
        <v>1</v>
      </c>
    </row>
    <row r="1392" spans="1:3" x14ac:dyDescent="0.25">
      <c r="A1392" s="41">
        <v>1391</v>
      </c>
      <c r="B1392" s="41">
        <v>0</v>
      </c>
      <c r="C1392" s="41">
        <v>1</v>
      </c>
    </row>
    <row r="1393" spans="1:3" x14ac:dyDescent="0.25">
      <c r="A1393" s="41">
        <v>1392</v>
      </c>
      <c r="B1393" s="41">
        <v>0</v>
      </c>
      <c r="C1393" s="41">
        <v>1</v>
      </c>
    </row>
    <row r="1394" spans="1:3" x14ac:dyDescent="0.25">
      <c r="A1394" s="41">
        <v>1393</v>
      </c>
      <c r="B1394" s="41">
        <v>0</v>
      </c>
      <c r="C1394" s="41">
        <v>1</v>
      </c>
    </row>
    <row r="1395" spans="1:3" x14ac:dyDescent="0.25">
      <c r="A1395" s="41">
        <v>1394</v>
      </c>
      <c r="B1395" s="41">
        <v>0</v>
      </c>
      <c r="C1395" s="41">
        <v>1</v>
      </c>
    </row>
    <row r="1396" spans="1:3" x14ac:dyDescent="0.25">
      <c r="A1396" s="41">
        <v>1395</v>
      </c>
      <c r="B1396" s="41">
        <v>0</v>
      </c>
      <c r="C1396" s="41">
        <v>1</v>
      </c>
    </row>
    <row r="1397" spans="1:3" x14ac:dyDescent="0.25">
      <c r="A1397" s="41">
        <v>1396</v>
      </c>
      <c r="B1397" s="41">
        <v>0</v>
      </c>
      <c r="C1397" s="41">
        <v>1</v>
      </c>
    </row>
    <row r="1398" spans="1:3" x14ac:dyDescent="0.25">
      <c r="A1398" s="41">
        <v>1397</v>
      </c>
      <c r="B1398" s="41">
        <v>0</v>
      </c>
      <c r="C1398" s="41">
        <v>1</v>
      </c>
    </row>
    <row r="1399" spans="1:3" x14ac:dyDescent="0.25">
      <c r="A1399" s="41">
        <v>1398</v>
      </c>
      <c r="B1399" s="41">
        <v>0</v>
      </c>
      <c r="C1399" s="41">
        <v>1</v>
      </c>
    </row>
    <row r="1400" spans="1:3" x14ac:dyDescent="0.25">
      <c r="A1400" s="41">
        <v>1399</v>
      </c>
      <c r="B1400" s="41">
        <v>0</v>
      </c>
      <c r="C1400" s="41">
        <v>1</v>
      </c>
    </row>
    <row r="1401" spans="1:3" x14ac:dyDescent="0.25">
      <c r="A1401" s="41">
        <v>1400</v>
      </c>
      <c r="B1401" s="41">
        <v>0</v>
      </c>
      <c r="C1401" s="41">
        <v>1</v>
      </c>
    </row>
    <row r="1402" spans="1:3" x14ac:dyDescent="0.25">
      <c r="A1402" s="41">
        <v>1401</v>
      </c>
      <c r="B1402" s="41">
        <v>0</v>
      </c>
      <c r="C1402" s="41">
        <v>1</v>
      </c>
    </row>
    <row r="1403" spans="1:3" x14ac:dyDescent="0.25">
      <c r="A1403" s="41">
        <v>1402</v>
      </c>
      <c r="B1403" s="41">
        <v>0</v>
      </c>
      <c r="C1403" s="41">
        <v>1</v>
      </c>
    </row>
    <row r="1404" spans="1:3" x14ac:dyDescent="0.25">
      <c r="A1404" s="41">
        <v>1403</v>
      </c>
      <c r="B1404" s="41">
        <v>0</v>
      </c>
      <c r="C1404" s="41">
        <v>1</v>
      </c>
    </row>
    <row r="1405" spans="1:3" x14ac:dyDescent="0.25">
      <c r="A1405" s="41">
        <v>1404</v>
      </c>
      <c r="B1405" s="41">
        <v>0</v>
      </c>
      <c r="C1405" s="41">
        <v>1</v>
      </c>
    </row>
    <row r="1406" spans="1:3" x14ac:dyDescent="0.25">
      <c r="A1406" s="41">
        <v>1405</v>
      </c>
      <c r="B1406" s="41">
        <v>0</v>
      </c>
      <c r="C1406" s="41">
        <v>1</v>
      </c>
    </row>
    <row r="1407" spans="1:3" x14ac:dyDescent="0.25">
      <c r="A1407" s="41">
        <v>1406</v>
      </c>
      <c r="B1407" s="41">
        <v>12.5</v>
      </c>
      <c r="C1407" s="41">
        <v>1</v>
      </c>
    </row>
    <row r="1408" spans="1:3" x14ac:dyDescent="0.25">
      <c r="A1408" s="41">
        <v>1407</v>
      </c>
      <c r="B1408" s="41">
        <v>12.5</v>
      </c>
      <c r="C1408" s="41">
        <v>1</v>
      </c>
    </row>
    <row r="1409" spans="1:3" x14ac:dyDescent="0.25">
      <c r="A1409" s="41">
        <v>1408</v>
      </c>
      <c r="B1409" s="41">
        <v>12.5</v>
      </c>
      <c r="C1409" s="41">
        <v>1</v>
      </c>
    </row>
    <row r="1410" spans="1:3" x14ac:dyDescent="0.25">
      <c r="A1410" s="41">
        <v>1409</v>
      </c>
      <c r="B1410" s="41">
        <v>12.5</v>
      </c>
      <c r="C1410" s="41">
        <v>1</v>
      </c>
    </row>
    <row r="1411" spans="1:3" x14ac:dyDescent="0.25">
      <c r="A1411" s="41">
        <v>1410</v>
      </c>
      <c r="B1411" s="41">
        <v>12.5</v>
      </c>
      <c r="C1411" s="41">
        <v>1</v>
      </c>
    </row>
    <row r="1412" spans="1:3" x14ac:dyDescent="0.25">
      <c r="A1412" s="41">
        <v>1411</v>
      </c>
      <c r="B1412" s="41">
        <v>12.5</v>
      </c>
      <c r="C1412" s="41">
        <v>1</v>
      </c>
    </row>
    <row r="1413" spans="1:3" x14ac:dyDescent="0.25">
      <c r="A1413" s="41">
        <v>1412</v>
      </c>
      <c r="B1413" s="41">
        <v>12.5</v>
      </c>
      <c r="C1413" s="41">
        <v>1</v>
      </c>
    </row>
    <row r="1414" spans="1:3" x14ac:dyDescent="0.25">
      <c r="A1414" s="41">
        <v>1413</v>
      </c>
      <c r="B1414" s="41">
        <v>12.5</v>
      </c>
      <c r="C1414" s="41">
        <v>1</v>
      </c>
    </row>
    <row r="1415" spans="1:3" x14ac:dyDescent="0.25">
      <c r="A1415" s="41">
        <v>1414</v>
      </c>
      <c r="B1415" s="41">
        <v>12.5</v>
      </c>
      <c r="C1415" s="41">
        <v>1</v>
      </c>
    </row>
    <row r="1416" spans="1:3" x14ac:dyDescent="0.25">
      <c r="A1416" s="41">
        <v>1415</v>
      </c>
      <c r="B1416" s="41">
        <v>12.5</v>
      </c>
      <c r="C1416" s="41">
        <v>1</v>
      </c>
    </row>
    <row r="1417" spans="1:3" x14ac:dyDescent="0.25">
      <c r="A1417" s="41">
        <v>1416</v>
      </c>
      <c r="B1417" s="41">
        <v>12.5</v>
      </c>
      <c r="C1417" s="41">
        <v>1</v>
      </c>
    </row>
    <row r="1418" spans="1:3" x14ac:dyDescent="0.25">
      <c r="A1418" s="41">
        <v>1417</v>
      </c>
      <c r="B1418" s="41">
        <v>12.5</v>
      </c>
      <c r="C1418" s="41">
        <v>1</v>
      </c>
    </row>
    <row r="1419" spans="1:3" x14ac:dyDescent="0.25">
      <c r="A1419" s="41">
        <v>1418</v>
      </c>
      <c r="B1419" s="41">
        <v>12.5</v>
      </c>
      <c r="C1419" s="41">
        <v>1</v>
      </c>
    </row>
    <row r="1420" spans="1:3" x14ac:dyDescent="0.25">
      <c r="A1420" s="41">
        <v>1419</v>
      </c>
      <c r="B1420" s="41">
        <v>12.5</v>
      </c>
      <c r="C1420" s="41">
        <v>1</v>
      </c>
    </row>
    <row r="1421" spans="1:3" x14ac:dyDescent="0.25">
      <c r="A1421" s="41">
        <v>1420</v>
      </c>
      <c r="B1421" s="41">
        <v>0</v>
      </c>
      <c r="C1421" s="41">
        <v>1</v>
      </c>
    </row>
    <row r="1422" spans="1:3" x14ac:dyDescent="0.25">
      <c r="A1422" s="41">
        <v>1421</v>
      </c>
      <c r="B1422" s="41">
        <v>0</v>
      </c>
      <c r="C1422" s="41">
        <v>1</v>
      </c>
    </row>
    <row r="1423" spans="1:3" x14ac:dyDescent="0.25">
      <c r="A1423" s="41">
        <v>1422</v>
      </c>
      <c r="B1423" s="41">
        <v>0</v>
      </c>
      <c r="C1423" s="41">
        <v>1</v>
      </c>
    </row>
    <row r="1424" spans="1:3" x14ac:dyDescent="0.25">
      <c r="A1424" s="41">
        <v>1423</v>
      </c>
      <c r="B1424" s="41">
        <v>0</v>
      </c>
      <c r="C1424" s="41">
        <v>1</v>
      </c>
    </row>
    <row r="1425" spans="1:3" x14ac:dyDescent="0.25">
      <c r="A1425" s="41">
        <v>1424</v>
      </c>
      <c r="B1425" s="41">
        <v>0</v>
      </c>
      <c r="C1425" s="41">
        <v>1</v>
      </c>
    </row>
    <row r="1426" spans="1:3" x14ac:dyDescent="0.25">
      <c r="A1426" s="41">
        <v>1425</v>
      </c>
      <c r="B1426" s="41">
        <v>0</v>
      </c>
      <c r="C1426" s="41">
        <v>1</v>
      </c>
    </row>
    <row r="1427" spans="1:3" x14ac:dyDescent="0.25">
      <c r="A1427" s="41">
        <v>1426</v>
      </c>
      <c r="B1427" s="41">
        <v>0</v>
      </c>
      <c r="C1427" s="41">
        <v>1</v>
      </c>
    </row>
    <row r="1428" spans="1:3" x14ac:dyDescent="0.25">
      <c r="A1428" s="41">
        <v>1427</v>
      </c>
      <c r="B1428" s="41">
        <v>0</v>
      </c>
      <c r="C1428" s="41">
        <v>1</v>
      </c>
    </row>
    <row r="1429" spans="1:3" x14ac:dyDescent="0.25">
      <c r="A1429" s="41">
        <v>1428</v>
      </c>
      <c r="B1429" s="41">
        <v>0</v>
      </c>
      <c r="C1429" s="41">
        <v>1</v>
      </c>
    </row>
    <row r="1430" spans="1:3" x14ac:dyDescent="0.25">
      <c r="A1430" s="41">
        <v>1429</v>
      </c>
      <c r="B1430" s="41">
        <v>0</v>
      </c>
      <c r="C1430" s="41">
        <v>1</v>
      </c>
    </row>
    <row r="1431" spans="1:3" x14ac:dyDescent="0.25">
      <c r="A1431" s="41">
        <v>1430</v>
      </c>
      <c r="B1431" s="41">
        <v>0</v>
      </c>
      <c r="C1431" s="41">
        <v>1</v>
      </c>
    </row>
    <row r="1432" spans="1:3" x14ac:dyDescent="0.25">
      <c r="A1432" s="41">
        <v>1431</v>
      </c>
      <c r="B1432" s="41">
        <v>0</v>
      </c>
      <c r="C1432" s="41">
        <v>1</v>
      </c>
    </row>
    <row r="1433" spans="1:3" x14ac:dyDescent="0.25">
      <c r="A1433" s="41">
        <v>1432</v>
      </c>
      <c r="B1433" s="41">
        <v>0</v>
      </c>
      <c r="C1433" s="41">
        <v>1</v>
      </c>
    </row>
    <row r="1434" spans="1:3" x14ac:dyDescent="0.25">
      <c r="A1434" s="41">
        <v>1433</v>
      </c>
      <c r="B1434" s="41">
        <v>0</v>
      </c>
      <c r="C1434" s="41">
        <v>1</v>
      </c>
    </row>
    <row r="1435" spans="1:3" x14ac:dyDescent="0.25">
      <c r="A1435" s="41">
        <v>1434</v>
      </c>
      <c r="B1435" s="41">
        <v>0</v>
      </c>
      <c r="C1435" s="41">
        <v>1</v>
      </c>
    </row>
    <row r="1436" spans="1:3" x14ac:dyDescent="0.25">
      <c r="A1436" s="41">
        <v>1435</v>
      </c>
      <c r="B1436" s="41">
        <v>0</v>
      </c>
      <c r="C1436" s="41">
        <v>1</v>
      </c>
    </row>
    <row r="1437" spans="1:3" x14ac:dyDescent="0.25">
      <c r="A1437" s="41">
        <v>1436</v>
      </c>
      <c r="B1437" s="41">
        <v>0</v>
      </c>
      <c r="C1437" s="41">
        <v>1</v>
      </c>
    </row>
    <row r="1438" spans="1:3" x14ac:dyDescent="0.25">
      <c r="A1438" s="41">
        <v>1437</v>
      </c>
      <c r="B1438" s="41">
        <v>0</v>
      </c>
      <c r="C1438" s="41">
        <v>1</v>
      </c>
    </row>
    <row r="1439" spans="1:3" x14ac:dyDescent="0.25">
      <c r="A1439" s="41">
        <v>1438</v>
      </c>
      <c r="B1439" s="41">
        <v>0</v>
      </c>
      <c r="C1439" s="41">
        <v>1</v>
      </c>
    </row>
    <row r="1440" spans="1:3" x14ac:dyDescent="0.25">
      <c r="A1440" s="41">
        <v>1439</v>
      </c>
      <c r="B1440" s="41">
        <v>0</v>
      </c>
      <c r="C1440" s="41">
        <v>1</v>
      </c>
    </row>
    <row r="1441" spans="1:3" x14ac:dyDescent="0.25">
      <c r="A1441" s="41">
        <v>1440</v>
      </c>
      <c r="B1441" s="41">
        <v>0</v>
      </c>
      <c r="C1441" s="41">
        <v>1</v>
      </c>
    </row>
    <row r="1442" spans="1:3" x14ac:dyDescent="0.25">
      <c r="A1442" s="41">
        <v>1441</v>
      </c>
      <c r="B1442" s="41">
        <v>0</v>
      </c>
      <c r="C1442" s="41">
        <v>1</v>
      </c>
    </row>
    <row r="1443" spans="1:3" x14ac:dyDescent="0.25">
      <c r="A1443" s="41">
        <v>1442</v>
      </c>
      <c r="B1443" s="41">
        <v>0</v>
      </c>
      <c r="C1443" s="41">
        <v>1</v>
      </c>
    </row>
    <row r="1444" spans="1:3" x14ac:dyDescent="0.25">
      <c r="A1444" s="41">
        <v>1443</v>
      </c>
      <c r="B1444" s="41">
        <v>0</v>
      </c>
      <c r="C1444" s="41">
        <v>1</v>
      </c>
    </row>
    <row r="1445" spans="1:3" x14ac:dyDescent="0.25">
      <c r="A1445" s="41">
        <v>1444</v>
      </c>
      <c r="B1445" s="41">
        <v>0</v>
      </c>
      <c r="C1445" s="41">
        <v>1</v>
      </c>
    </row>
    <row r="1446" spans="1:3" x14ac:dyDescent="0.25">
      <c r="A1446" s="41">
        <v>1445</v>
      </c>
      <c r="B1446" s="41">
        <v>0</v>
      </c>
      <c r="C1446" s="41">
        <v>1</v>
      </c>
    </row>
    <row r="1447" spans="1:3" x14ac:dyDescent="0.25">
      <c r="A1447" s="41">
        <v>1446</v>
      </c>
      <c r="B1447" s="41">
        <v>0</v>
      </c>
      <c r="C1447" s="41">
        <v>1</v>
      </c>
    </row>
    <row r="1448" spans="1:3" x14ac:dyDescent="0.25">
      <c r="A1448" s="41">
        <v>1447</v>
      </c>
      <c r="B1448" s="41">
        <v>0</v>
      </c>
      <c r="C1448" s="41">
        <v>1</v>
      </c>
    </row>
    <row r="1449" spans="1:3" x14ac:dyDescent="0.25">
      <c r="A1449" s="41">
        <v>1448</v>
      </c>
      <c r="B1449" s="41">
        <v>0</v>
      </c>
      <c r="C1449" s="41">
        <v>1</v>
      </c>
    </row>
    <row r="1450" spans="1:3" x14ac:dyDescent="0.25">
      <c r="A1450" s="41">
        <v>1449</v>
      </c>
      <c r="B1450" s="41">
        <v>0</v>
      </c>
      <c r="C1450" s="41">
        <v>1</v>
      </c>
    </row>
    <row r="1451" spans="1:3" x14ac:dyDescent="0.25">
      <c r="A1451" s="41">
        <v>1450</v>
      </c>
      <c r="B1451" s="41">
        <v>0</v>
      </c>
      <c r="C1451" s="41">
        <v>1</v>
      </c>
    </row>
    <row r="1452" spans="1:3" x14ac:dyDescent="0.25">
      <c r="A1452" s="41">
        <v>1451</v>
      </c>
      <c r="B1452" s="41">
        <v>0</v>
      </c>
      <c r="C1452" s="41">
        <v>1</v>
      </c>
    </row>
    <row r="1453" spans="1:3" x14ac:dyDescent="0.25">
      <c r="A1453" s="41">
        <v>1452</v>
      </c>
      <c r="B1453" s="41">
        <v>0</v>
      </c>
      <c r="C1453" s="41">
        <v>1</v>
      </c>
    </row>
    <row r="1454" spans="1:3" x14ac:dyDescent="0.25">
      <c r="A1454" s="41">
        <v>1453</v>
      </c>
      <c r="B1454" s="41">
        <v>0</v>
      </c>
      <c r="C1454" s="41">
        <v>1</v>
      </c>
    </row>
    <row r="1455" spans="1:3" x14ac:dyDescent="0.25">
      <c r="A1455" s="41">
        <v>1454</v>
      </c>
      <c r="B1455" s="41">
        <v>0</v>
      </c>
      <c r="C1455" s="41">
        <v>1</v>
      </c>
    </row>
    <row r="1456" spans="1:3" x14ac:dyDescent="0.25">
      <c r="A1456" s="41">
        <v>1455</v>
      </c>
      <c r="B1456" s="41">
        <v>0</v>
      </c>
      <c r="C1456" s="41">
        <v>1</v>
      </c>
    </row>
    <row r="1457" spans="1:3" x14ac:dyDescent="0.25">
      <c r="A1457" s="41">
        <v>1456</v>
      </c>
      <c r="B1457" s="41">
        <v>0</v>
      </c>
      <c r="C1457" s="41">
        <v>1</v>
      </c>
    </row>
    <row r="1458" spans="1:3" x14ac:dyDescent="0.25">
      <c r="A1458" s="41">
        <v>1457</v>
      </c>
      <c r="B1458" s="41">
        <v>0</v>
      </c>
      <c r="C1458" s="41">
        <v>1</v>
      </c>
    </row>
    <row r="1459" spans="1:3" x14ac:dyDescent="0.25">
      <c r="A1459" s="41">
        <v>1458</v>
      </c>
      <c r="B1459" s="41">
        <v>0</v>
      </c>
      <c r="C1459" s="41">
        <v>1</v>
      </c>
    </row>
    <row r="1460" spans="1:3" x14ac:dyDescent="0.25">
      <c r="A1460" s="41">
        <v>1459</v>
      </c>
      <c r="B1460" s="41">
        <v>0</v>
      </c>
      <c r="C1460" s="41">
        <v>1</v>
      </c>
    </row>
    <row r="1461" spans="1:3" x14ac:dyDescent="0.25">
      <c r="A1461" s="41">
        <v>1460</v>
      </c>
      <c r="B1461" s="41">
        <v>0</v>
      </c>
      <c r="C1461" s="41">
        <v>1</v>
      </c>
    </row>
    <row r="1462" spans="1:3" x14ac:dyDescent="0.25">
      <c r="A1462" s="41">
        <v>1461</v>
      </c>
      <c r="B1462" s="41">
        <v>0</v>
      </c>
      <c r="C1462" s="41">
        <v>1</v>
      </c>
    </row>
    <row r="1463" spans="1:3" x14ac:dyDescent="0.25">
      <c r="A1463" s="41">
        <v>1462</v>
      </c>
      <c r="B1463" s="41">
        <v>0</v>
      </c>
      <c r="C1463" s="41">
        <v>1</v>
      </c>
    </row>
    <row r="1464" spans="1:3" x14ac:dyDescent="0.25">
      <c r="A1464" s="41">
        <v>1463</v>
      </c>
      <c r="B1464" s="41">
        <v>0</v>
      </c>
      <c r="C1464" s="41">
        <v>1</v>
      </c>
    </row>
    <row r="1465" spans="1:3" x14ac:dyDescent="0.25">
      <c r="A1465" s="41">
        <v>1464</v>
      </c>
      <c r="B1465" s="41">
        <v>0</v>
      </c>
      <c r="C1465" s="41">
        <v>1</v>
      </c>
    </row>
    <row r="1466" spans="1:3" x14ac:dyDescent="0.25">
      <c r="A1466" s="41">
        <v>1465</v>
      </c>
      <c r="B1466" s="41">
        <v>0</v>
      </c>
      <c r="C1466" s="41">
        <v>1</v>
      </c>
    </row>
    <row r="1467" spans="1:3" x14ac:dyDescent="0.25">
      <c r="A1467" s="41">
        <v>1466</v>
      </c>
      <c r="B1467" s="41">
        <v>0</v>
      </c>
      <c r="C1467" s="41">
        <v>1</v>
      </c>
    </row>
    <row r="1468" spans="1:3" x14ac:dyDescent="0.25">
      <c r="A1468" s="41">
        <v>1467</v>
      </c>
      <c r="B1468" s="41">
        <v>0</v>
      </c>
      <c r="C1468" s="41">
        <v>1</v>
      </c>
    </row>
    <row r="1469" spans="1:3" x14ac:dyDescent="0.25">
      <c r="A1469" s="41">
        <v>1468</v>
      </c>
      <c r="B1469" s="41">
        <v>0</v>
      </c>
      <c r="C1469" s="41">
        <v>1</v>
      </c>
    </row>
    <row r="1470" spans="1:3" x14ac:dyDescent="0.25">
      <c r="A1470" s="41">
        <v>1469</v>
      </c>
      <c r="B1470" s="41">
        <v>0</v>
      </c>
      <c r="C1470" s="41">
        <v>1</v>
      </c>
    </row>
    <row r="1471" spans="1:3" x14ac:dyDescent="0.25">
      <c r="A1471" s="41">
        <v>1470</v>
      </c>
      <c r="B1471" s="41">
        <v>0</v>
      </c>
      <c r="C1471" s="41">
        <v>1</v>
      </c>
    </row>
    <row r="1472" spans="1:3" x14ac:dyDescent="0.25">
      <c r="A1472" s="41">
        <v>1471</v>
      </c>
      <c r="B1472" s="41">
        <v>0</v>
      </c>
      <c r="C1472" s="41">
        <v>1</v>
      </c>
    </row>
    <row r="1473" spans="1:3" x14ac:dyDescent="0.25">
      <c r="A1473" s="41">
        <v>1472</v>
      </c>
      <c r="B1473" s="41">
        <v>0</v>
      </c>
      <c r="C1473" s="41">
        <v>1</v>
      </c>
    </row>
    <row r="1474" spans="1:3" x14ac:dyDescent="0.25">
      <c r="A1474" s="41">
        <v>1473</v>
      </c>
      <c r="B1474" s="41">
        <v>0</v>
      </c>
      <c r="C1474" s="41">
        <v>1</v>
      </c>
    </row>
    <row r="1475" spans="1:3" x14ac:dyDescent="0.25">
      <c r="A1475" s="41">
        <v>1474</v>
      </c>
      <c r="B1475" s="41">
        <v>0</v>
      </c>
      <c r="C1475" s="41">
        <v>1</v>
      </c>
    </row>
    <row r="1476" spans="1:3" x14ac:dyDescent="0.25">
      <c r="A1476" s="41">
        <v>1475</v>
      </c>
      <c r="B1476" s="41">
        <v>0</v>
      </c>
      <c r="C1476" s="41">
        <v>1</v>
      </c>
    </row>
    <row r="1477" spans="1:3" x14ac:dyDescent="0.25">
      <c r="A1477" s="41">
        <v>1476</v>
      </c>
      <c r="B1477" s="41">
        <v>0</v>
      </c>
      <c r="C1477" s="41">
        <v>1</v>
      </c>
    </row>
    <row r="1478" spans="1:3" x14ac:dyDescent="0.25">
      <c r="A1478" s="41">
        <v>1477</v>
      </c>
      <c r="B1478" s="41">
        <v>0</v>
      </c>
      <c r="C1478" s="41">
        <v>1</v>
      </c>
    </row>
    <row r="1479" spans="1:3" x14ac:dyDescent="0.25">
      <c r="A1479" s="41">
        <v>1478</v>
      </c>
      <c r="B1479" s="41">
        <v>0</v>
      </c>
      <c r="C1479" s="41">
        <v>1</v>
      </c>
    </row>
    <row r="1480" spans="1:3" x14ac:dyDescent="0.25">
      <c r="A1480" s="41">
        <v>1479</v>
      </c>
      <c r="B1480" s="41">
        <v>0</v>
      </c>
      <c r="C1480" s="41">
        <v>1</v>
      </c>
    </row>
    <row r="1481" spans="1:3" x14ac:dyDescent="0.25">
      <c r="A1481" s="41">
        <v>1480</v>
      </c>
      <c r="B1481" s="41">
        <v>0</v>
      </c>
      <c r="C1481" s="41">
        <v>1</v>
      </c>
    </row>
    <row r="1482" spans="1:3" x14ac:dyDescent="0.25">
      <c r="A1482" s="41">
        <v>1481</v>
      </c>
      <c r="B1482" s="41">
        <v>0</v>
      </c>
      <c r="C1482" s="41">
        <v>1</v>
      </c>
    </row>
    <row r="1483" spans="1:3" x14ac:dyDescent="0.25">
      <c r="A1483" s="41">
        <v>1482</v>
      </c>
      <c r="B1483" s="41">
        <v>0</v>
      </c>
      <c r="C1483" s="41">
        <v>1</v>
      </c>
    </row>
    <row r="1484" spans="1:3" x14ac:dyDescent="0.25">
      <c r="A1484" s="41">
        <v>1483</v>
      </c>
      <c r="B1484" s="41">
        <v>0</v>
      </c>
      <c r="C1484" s="41">
        <v>1</v>
      </c>
    </row>
    <row r="1485" spans="1:3" x14ac:dyDescent="0.25">
      <c r="A1485" s="41">
        <v>1484</v>
      </c>
      <c r="B1485" s="41">
        <v>0</v>
      </c>
      <c r="C1485" s="41">
        <v>1</v>
      </c>
    </row>
    <row r="1486" spans="1:3" x14ac:dyDescent="0.25">
      <c r="A1486" s="41">
        <v>1485</v>
      </c>
      <c r="B1486" s="41">
        <v>0</v>
      </c>
      <c r="C1486" s="41">
        <v>1</v>
      </c>
    </row>
    <row r="1487" spans="1:3" x14ac:dyDescent="0.25">
      <c r="A1487" s="41">
        <v>1486</v>
      </c>
      <c r="B1487" s="41">
        <v>0</v>
      </c>
      <c r="C1487" s="41">
        <v>1</v>
      </c>
    </row>
    <row r="1488" spans="1:3" x14ac:dyDescent="0.25">
      <c r="A1488" s="41">
        <v>1487</v>
      </c>
      <c r="B1488" s="41">
        <v>0</v>
      </c>
      <c r="C1488" s="41">
        <v>1</v>
      </c>
    </row>
    <row r="1489" spans="1:3" x14ac:dyDescent="0.25">
      <c r="A1489" s="41">
        <v>1488</v>
      </c>
      <c r="B1489" s="41">
        <v>0</v>
      </c>
      <c r="C1489" s="41">
        <v>1</v>
      </c>
    </row>
    <row r="1490" spans="1:3" x14ac:dyDescent="0.25">
      <c r="A1490" s="41">
        <v>1489</v>
      </c>
      <c r="B1490" s="41">
        <v>0</v>
      </c>
      <c r="C1490" s="41">
        <v>1</v>
      </c>
    </row>
    <row r="1491" spans="1:3" x14ac:dyDescent="0.25">
      <c r="A1491" s="41">
        <v>1490</v>
      </c>
      <c r="B1491" s="41">
        <v>0</v>
      </c>
      <c r="C1491" s="41">
        <v>1</v>
      </c>
    </row>
    <row r="1492" spans="1:3" x14ac:dyDescent="0.25">
      <c r="A1492" s="41">
        <v>1491</v>
      </c>
      <c r="B1492" s="41">
        <v>0</v>
      </c>
      <c r="C1492" s="41">
        <v>1</v>
      </c>
    </row>
    <row r="1493" spans="1:3" x14ac:dyDescent="0.25">
      <c r="A1493" s="41">
        <v>1492</v>
      </c>
      <c r="B1493" s="41">
        <v>0</v>
      </c>
      <c r="C1493" s="41">
        <v>1</v>
      </c>
    </row>
    <row r="1494" spans="1:3" x14ac:dyDescent="0.25">
      <c r="A1494" s="41">
        <v>1493</v>
      </c>
      <c r="B1494" s="41">
        <v>0</v>
      </c>
      <c r="C1494" s="41">
        <v>1</v>
      </c>
    </row>
    <row r="1495" spans="1:3" x14ac:dyDescent="0.25">
      <c r="A1495" s="41">
        <v>1494</v>
      </c>
      <c r="B1495" s="41">
        <v>0</v>
      </c>
      <c r="C1495" s="41">
        <v>1</v>
      </c>
    </row>
    <row r="1496" spans="1:3" x14ac:dyDescent="0.25">
      <c r="A1496" s="41">
        <v>1495</v>
      </c>
      <c r="B1496" s="41">
        <v>0</v>
      </c>
      <c r="C1496" s="41">
        <v>1</v>
      </c>
    </row>
    <row r="1497" spans="1:3" x14ac:dyDescent="0.25">
      <c r="A1497" s="41">
        <v>1496</v>
      </c>
      <c r="B1497" s="41">
        <v>0</v>
      </c>
      <c r="C1497" s="41">
        <v>1</v>
      </c>
    </row>
    <row r="1498" spans="1:3" x14ac:dyDescent="0.25">
      <c r="A1498" s="41">
        <v>1497</v>
      </c>
      <c r="B1498" s="41">
        <v>0</v>
      </c>
      <c r="C1498" s="41">
        <v>1</v>
      </c>
    </row>
    <row r="1499" spans="1:3" x14ac:dyDescent="0.25">
      <c r="A1499" s="41">
        <v>1498</v>
      </c>
      <c r="B1499" s="41">
        <v>0</v>
      </c>
      <c r="C1499" s="41">
        <v>1</v>
      </c>
    </row>
    <row r="1500" spans="1:3" x14ac:dyDescent="0.25">
      <c r="A1500" s="41">
        <v>1499</v>
      </c>
      <c r="B1500" s="41">
        <v>0</v>
      </c>
      <c r="C1500" s="41">
        <v>1</v>
      </c>
    </row>
    <row r="1501" spans="1:3" x14ac:dyDescent="0.25">
      <c r="A1501" s="41">
        <v>1500</v>
      </c>
      <c r="B1501" s="41">
        <v>0</v>
      </c>
      <c r="C1501" s="41">
        <v>1</v>
      </c>
    </row>
    <row r="1502" spans="1:3" x14ac:dyDescent="0.25">
      <c r="A1502" s="41">
        <v>1501</v>
      </c>
      <c r="B1502" s="41">
        <v>0</v>
      </c>
      <c r="C1502" s="41">
        <v>1</v>
      </c>
    </row>
    <row r="1503" spans="1:3" x14ac:dyDescent="0.25">
      <c r="A1503" s="41">
        <v>1502</v>
      </c>
      <c r="B1503" s="41">
        <v>0</v>
      </c>
      <c r="C1503" s="41">
        <v>1</v>
      </c>
    </row>
    <row r="1504" spans="1:3" x14ac:dyDescent="0.25">
      <c r="A1504" s="41">
        <v>1503</v>
      </c>
      <c r="B1504" s="41">
        <v>0</v>
      </c>
      <c r="C1504" s="41">
        <v>1</v>
      </c>
    </row>
    <row r="1505" spans="1:3" x14ac:dyDescent="0.25">
      <c r="A1505" s="41">
        <v>1504</v>
      </c>
      <c r="B1505" s="41">
        <v>0</v>
      </c>
      <c r="C1505" s="41">
        <v>1</v>
      </c>
    </row>
    <row r="1506" spans="1:3" x14ac:dyDescent="0.25">
      <c r="A1506" s="41">
        <v>1505</v>
      </c>
      <c r="B1506" s="41">
        <v>0</v>
      </c>
      <c r="C1506" s="41">
        <v>1</v>
      </c>
    </row>
    <row r="1507" spans="1:3" x14ac:dyDescent="0.25">
      <c r="A1507" s="41">
        <v>1506</v>
      </c>
      <c r="B1507" s="41">
        <v>0</v>
      </c>
      <c r="C1507" s="41">
        <v>1</v>
      </c>
    </row>
    <row r="1508" spans="1:3" x14ac:dyDescent="0.25">
      <c r="A1508" s="41">
        <v>1507</v>
      </c>
      <c r="B1508" s="41">
        <v>0</v>
      </c>
      <c r="C1508" s="41">
        <v>1</v>
      </c>
    </row>
    <row r="1509" spans="1:3" x14ac:dyDescent="0.25">
      <c r="A1509" s="41">
        <v>1508</v>
      </c>
      <c r="B1509" s="41">
        <v>0</v>
      </c>
      <c r="C1509" s="41">
        <v>1</v>
      </c>
    </row>
    <row r="1510" spans="1:3" x14ac:dyDescent="0.25">
      <c r="A1510" s="41">
        <v>1509</v>
      </c>
      <c r="B1510" s="41">
        <v>0</v>
      </c>
      <c r="C1510" s="41">
        <v>1</v>
      </c>
    </row>
    <row r="1511" spans="1:3" x14ac:dyDescent="0.25">
      <c r="A1511" s="41">
        <v>1510</v>
      </c>
      <c r="B1511" s="41">
        <v>0</v>
      </c>
      <c r="C1511" s="41">
        <v>1</v>
      </c>
    </row>
    <row r="1512" spans="1:3" x14ac:dyDescent="0.25">
      <c r="A1512" s="41">
        <v>1511</v>
      </c>
      <c r="B1512" s="41">
        <v>0</v>
      </c>
      <c r="C1512" s="41">
        <v>1</v>
      </c>
    </row>
    <row r="1513" spans="1:3" x14ac:dyDescent="0.25">
      <c r="A1513" s="41">
        <v>1512</v>
      </c>
      <c r="B1513" s="41">
        <v>0</v>
      </c>
      <c r="C1513" s="41">
        <v>1</v>
      </c>
    </row>
    <row r="1514" spans="1:3" x14ac:dyDescent="0.25">
      <c r="A1514" s="41">
        <v>1513</v>
      </c>
      <c r="B1514" s="41">
        <v>0</v>
      </c>
      <c r="C1514" s="41">
        <v>1</v>
      </c>
    </row>
    <row r="1515" spans="1:3" x14ac:dyDescent="0.25">
      <c r="A1515" s="41">
        <v>1514</v>
      </c>
      <c r="B1515" s="41">
        <v>0</v>
      </c>
      <c r="C1515" s="41">
        <v>1</v>
      </c>
    </row>
    <row r="1516" spans="1:3" x14ac:dyDescent="0.25">
      <c r="A1516" s="41">
        <v>1515</v>
      </c>
      <c r="B1516" s="41">
        <v>0</v>
      </c>
      <c r="C1516" s="41">
        <v>1</v>
      </c>
    </row>
    <row r="1517" spans="1:3" x14ac:dyDescent="0.25">
      <c r="A1517" s="41">
        <v>1516</v>
      </c>
      <c r="B1517" s="41">
        <v>0</v>
      </c>
      <c r="C1517" s="41">
        <v>1</v>
      </c>
    </row>
    <row r="1518" spans="1:3" x14ac:dyDescent="0.25">
      <c r="A1518" s="41">
        <v>1517</v>
      </c>
      <c r="B1518" s="41">
        <v>0</v>
      </c>
      <c r="C1518" s="41">
        <v>1</v>
      </c>
    </row>
    <row r="1519" spans="1:3" x14ac:dyDescent="0.25">
      <c r="A1519" s="41">
        <v>1518</v>
      </c>
      <c r="B1519" s="41">
        <v>0</v>
      </c>
      <c r="C1519" s="41">
        <v>1</v>
      </c>
    </row>
    <row r="1520" spans="1:3" x14ac:dyDescent="0.25">
      <c r="A1520" s="41">
        <v>1519</v>
      </c>
      <c r="B1520" s="41">
        <v>0</v>
      </c>
      <c r="C1520" s="41">
        <v>1</v>
      </c>
    </row>
    <row r="1521" spans="1:3" x14ac:dyDescent="0.25">
      <c r="A1521" s="41">
        <v>1520</v>
      </c>
      <c r="B1521" s="41">
        <v>0</v>
      </c>
      <c r="C1521" s="41">
        <v>1</v>
      </c>
    </row>
    <row r="1522" spans="1:3" x14ac:dyDescent="0.25">
      <c r="A1522" s="41">
        <v>1521</v>
      </c>
      <c r="B1522" s="41">
        <v>0</v>
      </c>
      <c r="C1522" s="41">
        <v>1</v>
      </c>
    </row>
    <row r="1523" spans="1:3" x14ac:dyDescent="0.25">
      <c r="A1523" s="41">
        <v>1522</v>
      </c>
      <c r="B1523" s="41">
        <v>0</v>
      </c>
      <c r="C1523" s="41">
        <v>1</v>
      </c>
    </row>
    <row r="1524" spans="1:3" x14ac:dyDescent="0.25">
      <c r="A1524" s="41">
        <v>1523</v>
      </c>
      <c r="B1524" s="41">
        <v>0</v>
      </c>
      <c r="C1524" s="41">
        <v>1</v>
      </c>
    </row>
    <row r="1525" spans="1:3" x14ac:dyDescent="0.25">
      <c r="A1525" s="41">
        <v>1524</v>
      </c>
      <c r="B1525" s="41">
        <v>0</v>
      </c>
      <c r="C1525" s="41">
        <v>1</v>
      </c>
    </row>
    <row r="1526" spans="1:3" x14ac:dyDescent="0.25">
      <c r="A1526" s="41">
        <v>1525</v>
      </c>
      <c r="B1526" s="41">
        <v>0</v>
      </c>
      <c r="C1526" s="41">
        <v>1</v>
      </c>
    </row>
    <row r="1527" spans="1:3" x14ac:dyDescent="0.25">
      <c r="A1527" s="41">
        <v>1526</v>
      </c>
      <c r="B1527" s="41">
        <v>0</v>
      </c>
      <c r="C1527" s="41">
        <v>1</v>
      </c>
    </row>
    <row r="1528" spans="1:3" x14ac:dyDescent="0.25">
      <c r="A1528" s="41">
        <v>1527</v>
      </c>
      <c r="B1528" s="41">
        <v>0</v>
      </c>
      <c r="C1528" s="41">
        <v>1</v>
      </c>
    </row>
    <row r="1529" spans="1:3" x14ac:dyDescent="0.25">
      <c r="A1529" s="41">
        <v>1528</v>
      </c>
      <c r="B1529" s="41">
        <v>0</v>
      </c>
      <c r="C1529" s="41">
        <v>1</v>
      </c>
    </row>
    <row r="1530" spans="1:3" x14ac:dyDescent="0.25">
      <c r="A1530" s="41">
        <v>1529</v>
      </c>
      <c r="B1530" s="41">
        <v>0</v>
      </c>
      <c r="C1530" s="41">
        <v>1</v>
      </c>
    </row>
    <row r="1531" spans="1:3" x14ac:dyDescent="0.25">
      <c r="A1531" s="41">
        <v>1530</v>
      </c>
      <c r="B1531" s="41">
        <v>0</v>
      </c>
      <c r="C1531" s="41">
        <v>1</v>
      </c>
    </row>
    <row r="1532" spans="1:3" x14ac:dyDescent="0.25">
      <c r="A1532" s="41">
        <v>1531</v>
      </c>
      <c r="B1532" s="41">
        <v>0</v>
      </c>
      <c r="C1532" s="41">
        <v>1</v>
      </c>
    </row>
    <row r="1533" spans="1:3" x14ac:dyDescent="0.25">
      <c r="A1533" s="41">
        <v>1532</v>
      </c>
      <c r="B1533" s="41">
        <v>0</v>
      </c>
      <c r="C1533" s="41">
        <v>1</v>
      </c>
    </row>
    <row r="1534" spans="1:3" x14ac:dyDescent="0.25">
      <c r="A1534" s="41">
        <v>1533</v>
      </c>
      <c r="B1534" s="41">
        <v>0</v>
      </c>
      <c r="C1534" s="41">
        <v>1</v>
      </c>
    </row>
    <row r="1535" spans="1:3" x14ac:dyDescent="0.25">
      <c r="A1535" s="41">
        <v>1534</v>
      </c>
      <c r="B1535" s="41">
        <v>0</v>
      </c>
      <c r="C1535" s="41">
        <v>1</v>
      </c>
    </row>
    <row r="1536" spans="1:3" x14ac:dyDescent="0.25">
      <c r="A1536" s="41">
        <v>1535</v>
      </c>
      <c r="B1536" s="41">
        <v>0</v>
      </c>
      <c r="C1536" s="41">
        <v>1</v>
      </c>
    </row>
    <row r="1537" spans="1:3" x14ac:dyDescent="0.25">
      <c r="A1537" s="41">
        <v>1536</v>
      </c>
      <c r="B1537" s="41">
        <v>0</v>
      </c>
      <c r="C1537" s="41">
        <v>1</v>
      </c>
    </row>
    <row r="1538" spans="1:3" x14ac:dyDescent="0.25">
      <c r="A1538" s="41">
        <v>1537</v>
      </c>
      <c r="B1538" s="41">
        <v>0</v>
      </c>
      <c r="C1538" s="41">
        <v>1</v>
      </c>
    </row>
    <row r="1539" spans="1:3" x14ac:dyDescent="0.25">
      <c r="A1539" s="41">
        <v>1538</v>
      </c>
      <c r="B1539" s="41">
        <v>0</v>
      </c>
      <c r="C1539" s="41">
        <v>1</v>
      </c>
    </row>
    <row r="1540" spans="1:3" x14ac:dyDescent="0.25">
      <c r="A1540" s="41">
        <v>1539</v>
      </c>
      <c r="B1540" s="41">
        <v>0</v>
      </c>
      <c r="C1540" s="41">
        <v>1</v>
      </c>
    </row>
    <row r="1541" spans="1:3" x14ac:dyDescent="0.25">
      <c r="A1541" s="41">
        <v>1540</v>
      </c>
      <c r="B1541" s="41">
        <v>0</v>
      </c>
      <c r="C1541" s="41">
        <v>1</v>
      </c>
    </row>
    <row r="1542" spans="1:3" x14ac:dyDescent="0.25">
      <c r="A1542" s="41">
        <v>1541</v>
      </c>
      <c r="B1542" s="41">
        <v>0</v>
      </c>
      <c r="C1542" s="41">
        <v>1</v>
      </c>
    </row>
    <row r="1543" spans="1:3" x14ac:dyDescent="0.25">
      <c r="A1543" s="41">
        <v>1542</v>
      </c>
      <c r="B1543" s="41">
        <v>0</v>
      </c>
      <c r="C1543" s="41">
        <v>1</v>
      </c>
    </row>
    <row r="1544" spans="1:3" x14ac:dyDescent="0.25">
      <c r="A1544" s="41">
        <v>1543</v>
      </c>
      <c r="B1544" s="41">
        <v>0</v>
      </c>
      <c r="C1544" s="41">
        <v>1</v>
      </c>
    </row>
    <row r="1545" spans="1:3" x14ac:dyDescent="0.25">
      <c r="A1545" s="41">
        <v>1544</v>
      </c>
      <c r="B1545" s="41">
        <v>0</v>
      </c>
      <c r="C1545" s="41">
        <v>1</v>
      </c>
    </row>
    <row r="1546" spans="1:3" x14ac:dyDescent="0.25">
      <c r="A1546" s="41">
        <v>1545</v>
      </c>
      <c r="B1546" s="41">
        <v>0</v>
      </c>
      <c r="C1546" s="41">
        <v>1</v>
      </c>
    </row>
    <row r="1547" spans="1:3" x14ac:dyDescent="0.25">
      <c r="A1547" s="41">
        <v>1546</v>
      </c>
      <c r="B1547" s="41">
        <v>0</v>
      </c>
      <c r="C1547" s="41">
        <v>1</v>
      </c>
    </row>
    <row r="1548" spans="1:3" x14ac:dyDescent="0.25">
      <c r="A1548" s="41">
        <v>1547</v>
      </c>
      <c r="B1548" s="41">
        <v>0</v>
      </c>
      <c r="C1548" s="41">
        <v>1</v>
      </c>
    </row>
    <row r="1549" spans="1:3" x14ac:dyDescent="0.25">
      <c r="A1549" s="41">
        <v>1548</v>
      </c>
      <c r="B1549" s="41">
        <v>0</v>
      </c>
      <c r="C1549" s="41">
        <v>1</v>
      </c>
    </row>
    <row r="1550" spans="1:3" x14ac:dyDescent="0.25">
      <c r="A1550" s="41">
        <v>1549</v>
      </c>
      <c r="B1550" s="41">
        <v>0</v>
      </c>
      <c r="C1550" s="41">
        <v>1</v>
      </c>
    </row>
    <row r="1551" spans="1:3" x14ac:dyDescent="0.25">
      <c r="A1551" s="41">
        <v>1550</v>
      </c>
      <c r="B1551" s="41">
        <v>0</v>
      </c>
      <c r="C1551" s="41">
        <v>1</v>
      </c>
    </row>
    <row r="1552" spans="1:3" x14ac:dyDescent="0.25">
      <c r="A1552" s="41">
        <v>1551</v>
      </c>
      <c r="B1552" s="41">
        <v>0</v>
      </c>
      <c r="C1552" s="41">
        <v>1</v>
      </c>
    </row>
    <row r="1553" spans="1:3" x14ac:dyDescent="0.25">
      <c r="A1553" s="41">
        <v>1552</v>
      </c>
      <c r="B1553" s="41">
        <v>0</v>
      </c>
      <c r="C1553" s="41">
        <v>1</v>
      </c>
    </row>
    <row r="1554" spans="1:3" x14ac:dyDescent="0.25">
      <c r="A1554" s="41">
        <v>1553</v>
      </c>
      <c r="B1554" s="41">
        <v>0</v>
      </c>
      <c r="C1554" s="41">
        <v>1</v>
      </c>
    </row>
    <row r="1555" spans="1:3" x14ac:dyDescent="0.25">
      <c r="A1555" s="41">
        <v>1554</v>
      </c>
      <c r="B1555" s="41">
        <v>0</v>
      </c>
      <c r="C1555" s="41">
        <v>1</v>
      </c>
    </row>
    <row r="1556" spans="1:3" x14ac:dyDescent="0.25">
      <c r="A1556" s="41">
        <v>1555</v>
      </c>
      <c r="B1556" s="41">
        <v>0</v>
      </c>
      <c r="C1556" s="41">
        <v>1</v>
      </c>
    </row>
    <row r="1557" spans="1:3" x14ac:dyDescent="0.25">
      <c r="A1557" s="41">
        <v>1556</v>
      </c>
      <c r="B1557" s="41">
        <v>0</v>
      </c>
      <c r="C1557" s="41">
        <v>1</v>
      </c>
    </row>
    <row r="1558" spans="1:3" x14ac:dyDescent="0.25">
      <c r="A1558" s="41">
        <v>1557</v>
      </c>
      <c r="B1558" s="41">
        <v>0</v>
      </c>
      <c r="C1558" s="41">
        <v>1</v>
      </c>
    </row>
    <row r="1559" spans="1:3" x14ac:dyDescent="0.25">
      <c r="A1559" s="41">
        <v>1558</v>
      </c>
      <c r="B1559" s="41">
        <v>0</v>
      </c>
      <c r="C1559" s="41">
        <v>1</v>
      </c>
    </row>
    <row r="1560" spans="1:3" x14ac:dyDescent="0.25">
      <c r="A1560" s="41">
        <v>1559</v>
      </c>
      <c r="B1560" s="41">
        <v>0</v>
      </c>
      <c r="C1560" s="41">
        <v>1</v>
      </c>
    </row>
    <row r="1561" spans="1:3" x14ac:dyDescent="0.25">
      <c r="A1561" s="41">
        <v>1560</v>
      </c>
      <c r="B1561" s="41">
        <v>0</v>
      </c>
      <c r="C1561" s="41">
        <v>1</v>
      </c>
    </row>
    <row r="1562" spans="1:3" x14ac:dyDescent="0.25">
      <c r="A1562" s="41">
        <v>1561</v>
      </c>
      <c r="B1562" s="41">
        <v>0</v>
      </c>
      <c r="C1562" s="41">
        <v>1</v>
      </c>
    </row>
    <row r="1563" spans="1:3" x14ac:dyDescent="0.25">
      <c r="A1563" s="41">
        <v>1562</v>
      </c>
      <c r="B1563" s="41">
        <v>0</v>
      </c>
      <c r="C1563" s="41">
        <v>1</v>
      </c>
    </row>
    <row r="1564" spans="1:3" x14ac:dyDescent="0.25">
      <c r="A1564" s="41">
        <v>1563</v>
      </c>
      <c r="B1564" s="41">
        <v>0</v>
      </c>
      <c r="C1564" s="41">
        <v>1</v>
      </c>
    </row>
    <row r="1565" spans="1:3" x14ac:dyDescent="0.25">
      <c r="A1565" s="41">
        <v>1564</v>
      </c>
      <c r="B1565" s="41">
        <v>0</v>
      </c>
      <c r="C1565" s="41">
        <v>1</v>
      </c>
    </row>
    <row r="1566" spans="1:3" x14ac:dyDescent="0.25">
      <c r="A1566" s="41">
        <v>1565</v>
      </c>
      <c r="B1566" s="41">
        <v>0</v>
      </c>
      <c r="C1566" s="41">
        <v>1</v>
      </c>
    </row>
    <row r="1567" spans="1:3" x14ac:dyDescent="0.25">
      <c r="A1567" s="41">
        <v>1566</v>
      </c>
      <c r="B1567" s="41">
        <v>0</v>
      </c>
      <c r="C1567" s="41">
        <v>1</v>
      </c>
    </row>
    <row r="1568" spans="1:3" x14ac:dyDescent="0.25">
      <c r="A1568" s="41">
        <v>1567</v>
      </c>
      <c r="B1568" s="41">
        <v>0</v>
      </c>
      <c r="C1568" s="41">
        <v>1</v>
      </c>
    </row>
    <row r="1569" spans="1:3" x14ac:dyDescent="0.25">
      <c r="A1569" s="41">
        <v>1568</v>
      </c>
      <c r="B1569" s="41">
        <v>0</v>
      </c>
      <c r="C1569" s="41">
        <v>1</v>
      </c>
    </row>
    <row r="1570" spans="1:3" x14ac:dyDescent="0.25">
      <c r="A1570" s="41">
        <v>1569</v>
      </c>
      <c r="B1570" s="41">
        <v>0</v>
      </c>
      <c r="C1570" s="41">
        <v>1</v>
      </c>
    </row>
    <row r="1571" spans="1:3" x14ac:dyDescent="0.25">
      <c r="A1571" s="41">
        <v>1570</v>
      </c>
      <c r="B1571" s="41">
        <v>0</v>
      </c>
      <c r="C1571" s="41">
        <v>1</v>
      </c>
    </row>
    <row r="1572" spans="1:3" x14ac:dyDescent="0.25">
      <c r="A1572" s="41">
        <v>1571</v>
      </c>
      <c r="B1572" s="41">
        <v>0</v>
      </c>
      <c r="C1572" s="41">
        <v>1</v>
      </c>
    </row>
    <row r="1573" spans="1:3" x14ac:dyDescent="0.25">
      <c r="A1573" s="41">
        <v>1572</v>
      </c>
      <c r="B1573" s="41">
        <v>0</v>
      </c>
      <c r="C1573" s="41">
        <v>1</v>
      </c>
    </row>
    <row r="1574" spans="1:3" x14ac:dyDescent="0.25">
      <c r="A1574" s="41">
        <v>1573</v>
      </c>
      <c r="B1574" s="41">
        <v>0</v>
      </c>
      <c r="C1574" s="41">
        <v>1</v>
      </c>
    </row>
    <row r="1575" spans="1:3" x14ac:dyDescent="0.25">
      <c r="A1575" s="41">
        <v>1574</v>
      </c>
      <c r="B1575" s="41">
        <v>0</v>
      </c>
      <c r="C1575" s="41">
        <v>1</v>
      </c>
    </row>
    <row r="1576" spans="1:3" x14ac:dyDescent="0.25">
      <c r="A1576" s="41">
        <v>1575</v>
      </c>
      <c r="B1576" s="41">
        <v>0</v>
      </c>
      <c r="C1576" s="41">
        <v>1</v>
      </c>
    </row>
    <row r="1577" spans="1:3" x14ac:dyDescent="0.25">
      <c r="A1577" s="41">
        <v>1576</v>
      </c>
      <c r="B1577" s="41">
        <v>0</v>
      </c>
      <c r="C1577" s="41">
        <v>1</v>
      </c>
    </row>
    <row r="1578" spans="1:3" x14ac:dyDescent="0.25">
      <c r="A1578" s="41">
        <v>1577</v>
      </c>
      <c r="B1578" s="41">
        <v>0</v>
      </c>
      <c r="C1578" s="41">
        <v>1</v>
      </c>
    </row>
    <row r="1579" spans="1:3" x14ac:dyDescent="0.25">
      <c r="A1579" s="41">
        <v>1578</v>
      </c>
      <c r="B1579" s="41">
        <v>0</v>
      </c>
      <c r="C1579" s="41">
        <v>1</v>
      </c>
    </row>
    <row r="1580" spans="1:3" x14ac:dyDescent="0.25">
      <c r="A1580" s="41">
        <v>1579</v>
      </c>
      <c r="B1580" s="41">
        <v>0</v>
      </c>
      <c r="C1580" s="41">
        <v>1</v>
      </c>
    </row>
    <row r="1581" spans="1:3" x14ac:dyDescent="0.25">
      <c r="A1581" s="41">
        <v>1580</v>
      </c>
      <c r="B1581" s="41">
        <v>0</v>
      </c>
      <c r="C1581" s="41">
        <v>1</v>
      </c>
    </row>
    <row r="1582" spans="1:3" x14ac:dyDescent="0.25">
      <c r="A1582" s="41">
        <v>1581</v>
      </c>
      <c r="B1582" s="41">
        <v>0</v>
      </c>
      <c r="C1582" s="41">
        <v>1</v>
      </c>
    </row>
    <row r="1583" spans="1:3" x14ac:dyDescent="0.25">
      <c r="A1583" s="41">
        <v>1582</v>
      </c>
      <c r="B1583" s="41">
        <v>0</v>
      </c>
      <c r="C1583" s="41">
        <v>1</v>
      </c>
    </row>
    <row r="1584" spans="1:3" x14ac:dyDescent="0.25">
      <c r="A1584" s="41">
        <v>1583</v>
      </c>
      <c r="B1584" s="41">
        <v>0</v>
      </c>
      <c r="C1584" s="41">
        <v>1</v>
      </c>
    </row>
    <row r="1585" spans="1:3" x14ac:dyDescent="0.25">
      <c r="A1585" s="41">
        <v>1584</v>
      </c>
      <c r="B1585" s="41">
        <v>0</v>
      </c>
      <c r="C1585" s="41">
        <v>1</v>
      </c>
    </row>
    <row r="1586" spans="1:3" x14ac:dyDescent="0.25">
      <c r="A1586" s="41">
        <v>1585</v>
      </c>
      <c r="B1586" s="41">
        <v>0</v>
      </c>
      <c r="C1586" s="41">
        <v>1</v>
      </c>
    </row>
    <row r="1587" spans="1:3" x14ac:dyDescent="0.25">
      <c r="A1587" s="41">
        <v>1586</v>
      </c>
      <c r="B1587" s="41">
        <v>0</v>
      </c>
      <c r="C1587" s="41">
        <v>1</v>
      </c>
    </row>
    <row r="1588" spans="1:3" x14ac:dyDescent="0.25">
      <c r="A1588" s="41">
        <v>1587</v>
      </c>
      <c r="B1588" s="41">
        <v>0</v>
      </c>
      <c r="C1588" s="41">
        <v>1</v>
      </c>
    </row>
    <row r="1589" spans="1:3" x14ac:dyDescent="0.25">
      <c r="A1589" s="41">
        <v>1588</v>
      </c>
      <c r="B1589" s="41">
        <v>0</v>
      </c>
      <c r="C1589" s="41">
        <v>1</v>
      </c>
    </row>
    <row r="1590" spans="1:3" x14ac:dyDescent="0.25">
      <c r="A1590" s="41">
        <v>1589</v>
      </c>
      <c r="B1590" s="41">
        <v>0</v>
      </c>
      <c r="C1590" s="41">
        <v>1</v>
      </c>
    </row>
    <row r="1591" spans="1:3" x14ac:dyDescent="0.25">
      <c r="A1591" s="41">
        <v>1590</v>
      </c>
      <c r="B1591" s="41">
        <v>0</v>
      </c>
      <c r="C1591" s="41">
        <v>1</v>
      </c>
    </row>
    <row r="1592" spans="1:3" x14ac:dyDescent="0.25">
      <c r="A1592" s="41">
        <v>1591</v>
      </c>
      <c r="B1592" s="41">
        <v>0</v>
      </c>
      <c r="C1592" s="41">
        <v>1</v>
      </c>
    </row>
    <row r="1593" spans="1:3" x14ac:dyDescent="0.25">
      <c r="A1593" s="41">
        <v>1592</v>
      </c>
      <c r="B1593" s="41">
        <v>0</v>
      </c>
      <c r="C1593" s="41">
        <v>1</v>
      </c>
    </row>
    <row r="1594" spans="1:3" x14ac:dyDescent="0.25">
      <c r="A1594" s="41">
        <v>1593</v>
      </c>
      <c r="B1594" s="41">
        <v>0</v>
      </c>
      <c r="C1594" s="41">
        <v>1</v>
      </c>
    </row>
    <row r="1595" spans="1:3" x14ac:dyDescent="0.25">
      <c r="A1595" s="41">
        <v>1594</v>
      </c>
      <c r="B1595" s="41">
        <v>0</v>
      </c>
      <c r="C1595" s="41">
        <v>1</v>
      </c>
    </row>
    <row r="1596" spans="1:3" x14ac:dyDescent="0.25">
      <c r="A1596" s="41">
        <v>1595</v>
      </c>
      <c r="B1596" s="41">
        <v>0</v>
      </c>
      <c r="C1596" s="41">
        <v>1</v>
      </c>
    </row>
    <row r="1597" spans="1:3" x14ac:dyDescent="0.25">
      <c r="A1597" s="41">
        <v>1596</v>
      </c>
      <c r="B1597" s="41">
        <v>0</v>
      </c>
      <c r="C1597" s="41">
        <v>1</v>
      </c>
    </row>
    <row r="1598" spans="1:3" x14ac:dyDescent="0.25">
      <c r="A1598" s="41">
        <v>1597</v>
      </c>
      <c r="B1598" s="41">
        <v>0</v>
      </c>
      <c r="C1598" s="41">
        <v>1</v>
      </c>
    </row>
    <row r="1599" spans="1:3" x14ac:dyDescent="0.25">
      <c r="A1599" s="41">
        <v>1598</v>
      </c>
      <c r="B1599" s="41">
        <v>0</v>
      </c>
      <c r="C1599" s="41">
        <v>1</v>
      </c>
    </row>
    <row r="1600" spans="1:3" x14ac:dyDescent="0.25">
      <c r="A1600" s="41">
        <v>1599</v>
      </c>
      <c r="B1600" s="41">
        <v>0</v>
      </c>
      <c r="C1600" s="41">
        <v>1</v>
      </c>
    </row>
    <row r="1601" spans="1:3" x14ac:dyDescent="0.25">
      <c r="A1601" s="41">
        <v>1600</v>
      </c>
      <c r="B1601" s="41">
        <v>0</v>
      </c>
      <c r="C1601" s="41">
        <v>1</v>
      </c>
    </row>
    <row r="1602" spans="1:3" x14ac:dyDescent="0.25">
      <c r="A1602" s="41">
        <v>1601</v>
      </c>
      <c r="B1602" s="41">
        <v>0</v>
      </c>
      <c r="C1602" s="41">
        <v>1</v>
      </c>
    </row>
    <row r="1603" spans="1:3" x14ac:dyDescent="0.25">
      <c r="A1603" s="41">
        <v>1602</v>
      </c>
      <c r="B1603" s="41">
        <v>0</v>
      </c>
      <c r="C1603" s="41">
        <v>1</v>
      </c>
    </row>
    <row r="1604" spans="1:3" x14ac:dyDescent="0.25">
      <c r="A1604" s="41">
        <v>1603</v>
      </c>
      <c r="B1604" s="41">
        <v>0</v>
      </c>
      <c r="C1604" s="41">
        <v>1</v>
      </c>
    </row>
    <row r="1605" spans="1:3" x14ac:dyDescent="0.25">
      <c r="A1605" s="41">
        <v>1604</v>
      </c>
      <c r="B1605" s="41">
        <v>0</v>
      </c>
      <c r="C1605" s="41">
        <v>1</v>
      </c>
    </row>
    <row r="1606" spans="1:3" x14ac:dyDescent="0.25">
      <c r="A1606" s="41">
        <v>1605</v>
      </c>
      <c r="B1606" s="41">
        <v>0</v>
      </c>
      <c r="C1606" s="41">
        <v>1</v>
      </c>
    </row>
    <row r="1607" spans="1:3" x14ac:dyDescent="0.25">
      <c r="A1607" s="41">
        <v>1606</v>
      </c>
      <c r="B1607" s="41">
        <v>0</v>
      </c>
      <c r="C1607" s="41">
        <v>1</v>
      </c>
    </row>
    <row r="1608" spans="1:3" x14ac:dyDescent="0.25">
      <c r="A1608" s="41">
        <v>1607</v>
      </c>
      <c r="B1608" s="41">
        <v>0</v>
      </c>
      <c r="C1608" s="41">
        <v>1</v>
      </c>
    </row>
    <row r="1609" spans="1:3" x14ac:dyDescent="0.25">
      <c r="A1609" s="41">
        <v>1608</v>
      </c>
      <c r="B1609" s="41">
        <v>0</v>
      </c>
      <c r="C1609" s="41">
        <v>1</v>
      </c>
    </row>
    <row r="1610" spans="1:3" x14ac:dyDescent="0.25">
      <c r="A1610" s="41">
        <v>1609</v>
      </c>
      <c r="B1610" s="41">
        <v>0</v>
      </c>
      <c r="C1610" s="41">
        <v>1</v>
      </c>
    </row>
    <row r="1611" spans="1:3" x14ac:dyDescent="0.25">
      <c r="A1611" s="41">
        <v>1610</v>
      </c>
      <c r="B1611" s="41">
        <v>0</v>
      </c>
      <c r="C1611" s="41">
        <v>1</v>
      </c>
    </row>
    <row r="1612" spans="1:3" x14ac:dyDescent="0.25">
      <c r="A1612" s="41">
        <v>1611</v>
      </c>
      <c r="B1612" s="41">
        <v>0</v>
      </c>
      <c r="C1612" s="41">
        <v>1</v>
      </c>
    </row>
    <row r="1613" spans="1:3" x14ac:dyDescent="0.25">
      <c r="A1613" s="41">
        <v>1612</v>
      </c>
      <c r="B1613" s="41">
        <v>0</v>
      </c>
      <c r="C1613" s="41">
        <v>1</v>
      </c>
    </row>
    <row r="1614" spans="1:3" x14ac:dyDescent="0.25">
      <c r="A1614" s="41">
        <v>1613</v>
      </c>
      <c r="B1614" s="41">
        <v>0</v>
      </c>
      <c r="C1614" s="41">
        <v>1</v>
      </c>
    </row>
    <row r="1615" spans="1:3" x14ac:dyDescent="0.25">
      <c r="A1615" s="41">
        <v>1614</v>
      </c>
      <c r="B1615" s="41">
        <v>0</v>
      </c>
      <c r="C1615" s="41">
        <v>1</v>
      </c>
    </row>
    <row r="1616" spans="1:3" x14ac:dyDescent="0.25">
      <c r="A1616" s="41">
        <v>1615</v>
      </c>
      <c r="B1616" s="41">
        <v>0</v>
      </c>
      <c r="C1616" s="41">
        <v>1</v>
      </c>
    </row>
    <row r="1617" spans="1:3" x14ac:dyDescent="0.25">
      <c r="A1617" s="41">
        <v>1616</v>
      </c>
      <c r="B1617" s="41">
        <v>0</v>
      </c>
      <c r="C1617" s="41">
        <v>1</v>
      </c>
    </row>
    <row r="1618" spans="1:3" x14ac:dyDescent="0.25">
      <c r="A1618" s="41">
        <v>1617</v>
      </c>
      <c r="B1618" s="41">
        <v>0</v>
      </c>
      <c r="C1618" s="41">
        <v>1</v>
      </c>
    </row>
    <row r="1619" spans="1:3" x14ac:dyDescent="0.25">
      <c r="A1619" s="41">
        <v>1618</v>
      </c>
      <c r="B1619" s="41">
        <v>0</v>
      </c>
      <c r="C1619" s="41">
        <v>1</v>
      </c>
    </row>
    <row r="1620" spans="1:3" x14ac:dyDescent="0.25">
      <c r="A1620" s="41">
        <v>1619</v>
      </c>
      <c r="B1620" s="41">
        <v>0</v>
      </c>
      <c r="C1620" s="41">
        <v>1</v>
      </c>
    </row>
    <row r="1621" spans="1:3" x14ac:dyDescent="0.25">
      <c r="A1621" s="41">
        <v>1620</v>
      </c>
      <c r="B1621" s="41">
        <v>0</v>
      </c>
      <c r="C1621" s="41">
        <v>1</v>
      </c>
    </row>
    <row r="1622" spans="1:3" x14ac:dyDescent="0.25">
      <c r="A1622" s="41">
        <v>1621</v>
      </c>
      <c r="B1622" s="41">
        <v>0</v>
      </c>
      <c r="C1622" s="41">
        <v>1</v>
      </c>
    </row>
    <row r="1623" spans="1:3" x14ac:dyDescent="0.25">
      <c r="A1623" s="41">
        <v>1622</v>
      </c>
      <c r="B1623" s="41">
        <v>0</v>
      </c>
      <c r="C1623" s="41">
        <v>1</v>
      </c>
    </row>
    <row r="1624" spans="1:3" x14ac:dyDescent="0.25">
      <c r="A1624" s="41">
        <v>1623</v>
      </c>
      <c r="B1624" s="41">
        <v>0</v>
      </c>
      <c r="C1624" s="41">
        <v>1</v>
      </c>
    </row>
    <row r="1625" spans="1:3" x14ac:dyDescent="0.25">
      <c r="A1625" s="41">
        <v>1624</v>
      </c>
      <c r="B1625" s="41">
        <v>0</v>
      </c>
      <c r="C1625" s="41">
        <v>1</v>
      </c>
    </row>
    <row r="1626" spans="1:3" x14ac:dyDescent="0.25">
      <c r="A1626" s="41">
        <v>1625</v>
      </c>
      <c r="B1626" s="41">
        <v>0</v>
      </c>
      <c r="C1626" s="41">
        <v>1</v>
      </c>
    </row>
    <row r="1627" spans="1:3" x14ac:dyDescent="0.25">
      <c r="A1627" s="41">
        <v>1626</v>
      </c>
      <c r="B1627" s="41">
        <v>0</v>
      </c>
      <c r="C1627" s="41">
        <v>1</v>
      </c>
    </row>
    <row r="1628" spans="1:3" x14ac:dyDescent="0.25">
      <c r="A1628" s="41">
        <v>1627</v>
      </c>
      <c r="B1628" s="41">
        <v>0</v>
      </c>
      <c r="C1628" s="41">
        <v>1</v>
      </c>
    </row>
    <row r="1629" spans="1:3" x14ac:dyDescent="0.25">
      <c r="A1629" s="41">
        <v>1628</v>
      </c>
      <c r="B1629" s="41">
        <v>0</v>
      </c>
      <c r="C1629" s="41">
        <v>1</v>
      </c>
    </row>
    <row r="1630" spans="1:3" x14ac:dyDescent="0.25">
      <c r="A1630" s="41">
        <v>1629</v>
      </c>
      <c r="B1630" s="41">
        <v>0</v>
      </c>
      <c r="C1630" s="41">
        <v>1</v>
      </c>
    </row>
    <row r="1631" spans="1:3" x14ac:dyDescent="0.25">
      <c r="A1631" s="41">
        <v>1630</v>
      </c>
      <c r="B1631" s="41">
        <v>0</v>
      </c>
      <c r="C1631" s="41">
        <v>1</v>
      </c>
    </row>
    <row r="1632" spans="1:3" x14ac:dyDescent="0.25">
      <c r="A1632" s="41">
        <v>1631</v>
      </c>
      <c r="B1632" s="41">
        <v>0</v>
      </c>
      <c r="C1632" s="41">
        <v>1</v>
      </c>
    </row>
    <row r="1633" spans="1:3" x14ac:dyDescent="0.25">
      <c r="A1633" s="41">
        <v>1632</v>
      </c>
      <c r="B1633" s="41">
        <v>0</v>
      </c>
      <c r="C1633" s="41">
        <v>1</v>
      </c>
    </row>
    <row r="1634" spans="1:3" x14ac:dyDescent="0.25">
      <c r="A1634" s="41">
        <v>1633</v>
      </c>
      <c r="B1634" s="41">
        <v>0</v>
      </c>
      <c r="C1634" s="41">
        <v>1</v>
      </c>
    </row>
    <row r="1635" spans="1:3" x14ac:dyDescent="0.25">
      <c r="A1635" s="41">
        <v>1634</v>
      </c>
      <c r="B1635" s="41">
        <v>0</v>
      </c>
      <c r="C1635" s="41">
        <v>1</v>
      </c>
    </row>
    <row r="1636" spans="1:3" x14ac:dyDescent="0.25">
      <c r="A1636" s="41">
        <v>1635</v>
      </c>
      <c r="B1636" s="41">
        <v>0</v>
      </c>
      <c r="C1636" s="41">
        <v>1</v>
      </c>
    </row>
    <row r="1637" spans="1:3" x14ac:dyDescent="0.25">
      <c r="A1637" s="41">
        <v>1636</v>
      </c>
      <c r="B1637" s="41">
        <v>0</v>
      </c>
      <c r="C1637" s="41">
        <v>1</v>
      </c>
    </row>
    <row r="1638" spans="1:3" x14ac:dyDescent="0.25">
      <c r="A1638" s="41">
        <v>1637</v>
      </c>
      <c r="B1638" s="41">
        <v>0</v>
      </c>
      <c r="C1638" s="41">
        <v>1</v>
      </c>
    </row>
    <row r="1639" spans="1:3" x14ac:dyDescent="0.25">
      <c r="A1639" s="41">
        <v>1638</v>
      </c>
      <c r="B1639" s="41">
        <v>0</v>
      </c>
      <c r="C1639" s="41">
        <v>1</v>
      </c>
    </row>
    <row r="1640" spans="1:3" x14ac:dyDescent="0.25">
      <c r="A1640" s="41">
        <v>1639</v>
      </c>
      <c r="B1640" s="41">
        <v>0</v>
      </c>
      <c r="C1640" s="41">
        <v>1</v>
      </c>
    </row>
    <row r="1641" spans="1:3" x14ac:dyDescent="0.25">
      <c r="A1641" s="41">
        <v>1640</v>
      </c>
      <c r="B1641" s="41">
        <v>0</v>
      </c>
      <c r="C1641" s="41">
        <v>1</v>
      </c>
    </row>
    <row r="1642" spans="1:3" x14ac:dyDescent="0.25">
      <c r="A1642" s="41">
        <v>1641</v>
      </c>
      <c r="B1642" s="41">
        <v>0</v>
      </c>
      <c r="C1642" s="41">
        <v>1</v>
      </c>
    </row>
    <row r="1643" spans="1:3" x14ac:dyDescent="0.25">
      <c r="A1643" s="41">
        <v>1642</v>
      </c>
      <c r="B1643" s="41">
        <v>0</v>
      </c>
      <c r="C1643" s="41">
        <v>1</v>
      </c>
    </row>
    <row r="1644" spans="1:3" x14ac:dyDescent="0.25">
      <c r="A1644" s="41">
        <v>1643</v>
      </c>
      <c r="B1644" s="41">
        <v>0</v>
      </c>
      <c r="C1644" s="41">
        <v>1</v>
      </c>
    </row>
    <row r="1645" spans="1:3" x14ac:dyDescent="0.25">
      <c r="A1645" s="41">
        <v>1644</v>
      </c>
      <c r="B1645" s="41">
        <v>0</v>
      </c>
      <c r="C1645" s="41">
        <v>1</v>
      </c>
    </row>
    <row r="1646" spans="1:3" x14ac:dyDescent="0.25">
      <c r="A1646" s="41">
        <v>1645</v>
      </c>
      <c r="B1646" s="41">
        <v>0</v>
      </c>
      <c r="C1646" s="41">
        <v>1</v>
      </c>
    </row>
    <row r="1647" spans="1:3" x14ac:dyDescent="0.25">
      <c r="A1647" s="41">
        <v>1646</v>
      </c>
      <c r="B1647" s="41">
        <v>0</v>
      </c>
      <c r="C1647" s="41">
        <v>1</v>
      </c>
    </row>
    <row r="1648" spans="1:3" x14ac:dyDescent="0.25">
      <c r="A1648" s="41">
        <v>1647</v>
      </c>
      <c r="B1648" s="41">
        <v>0</v>
      </c>
      <c r="C1648" s="41">
        <v>1</v>
      </c>
    </row>
    <row r="1649" spans="1:3" x14ac:dyDescent="0.25">
      <c r="A1649" s="41">
        <v>1648</v>
      </c>
      <c r="B1649" s="41">
        <v>0</v>
      </c>
      <c r="C1649" s="41">
        <v>1</v>
      </c>
    </row>
    <row r="1650" spans="1:3" x14ac:dyDescent="0.25">
      <c r="A1650" s="41">
        <v>1649</v>
      </c>
      <c r="B1650" s="41">
        <v>0</v>
      </c>
      <c r="C1650" s="41">
        <v>1</v>
      </c>
    </row>
    <row r="1651" spans="1:3" x14ac:dyDescent="0.25">
      <c r="A1651" s="41">
        <v>1650</v>
      </c>
      <c r="B1651" s="41">
        <v>0</v>
      </c>
      <c r="C1651" s="41">
        <v>1</v>
      </c>
    </row>
    <row r="1652" spans="1:3" x14ac:dyDescent="0.25">
      <c r="A1652" s="41">
        <v>1651</v>
      </c>
      <c r="B1652" s="41">
        <v>0</v>
      </c>
      <c r="C1652" s="41">
        <v>1</v>
      </c>
    </row>
    <row r="1653" spans="1:3" x14ac:dyDescent="0.25">
      <c r="A1653" s="41">
        <v>1652</v>
      </c>
      <c r="B1653" s="41">
        <v>0</v>
      </c>
      <c r="C1653" s="41">
        <v>1</v>
      </c>
    </row>
    <row r="1654" spans="1:3" x14ac:dyDescent="0.25">
      <c r="A1654" s="41">
        <v>1653</v>
      </c>
      <c r="B1654" s="41">
        <v>0</v>
      </c>
      <c r="C1654" s="41">
        <v>1</v>
      </c>
    </row>
    <row r="1655" spans="1:3" x14ac:dyDescent="0.25">
      <c r="A1655" s="41">
        <v>1654</v>
      </c>
      <c r="B1655" s="41">
        <v>0</v>
      </c>
      <c r="C1655" s="41">
        <v>1</v>
      </c>
    </row>
    <row r="1656" spans="1:3" x14ac:dyDescent="0.25">
      <c r="A1656" s="41">
        <v>1655</v>
      </c>
      <c r="B1656" s="41">
        <v>0</v>
      </c>
      <c r="C1656" s="41">
        <v>1</v>
      </c>
    </row>
    <row r="1657" spans="1:3" x14ac:dyDescent="0.25">
      <c r="A1657" s="41">
        <v>1656</v>
      </c>
      <c r="B1657" s="41">
        <v>0</v>
      </c>
      <c r="C1657" s="41">
        <v>1</v>
      </c>
    </row>
    <row r="1658" spans="1:3" x14ac:dyDescent="0.25">
      <c r="A1658" s="41">
        <v>1657</v>
      </c>
      <c r="B1658" s="41">
        <v>0</v>
      </c>
      <c r="C1658" s="41">
        <v>1</v>
      </c>
    </row>
    <row r="1659" spans="1:3" x14ac:dyDescent="0.25">
      <c r="A1659" s="41">
        <v>1658</v>
      </c>
      <c r="B1659" s="41">
        <v>0</v>
      </c>
      <c r="C1659" s="41">
        <v>1</v>
      </c>
    </row>
    <row r="1660" spans="1:3" x14ac:dyDescent="0.25">
      <c r="A1660" s="41">
        <v>1659</v>
      </c>
      <c r="B1660" s="41">
        <v>0</v>
      </c>
      <c r="C1660" s="41">
        <v>1</v>
      </c>
    </row>
    <row r="1661" spans="1:3" x14ac:dyDescent="0.25">
      <c r="A1661" s="41">
        <v>1660</v>
      </c>
      <c r="B1661" s="41">
        <v>0</v>
      </c>
      <c r="C1661" s="41">
        <v>1</v>
      </c>
    </row>
    <row r="1662" spans="1:3" x14ac:dyDescent="0.25">
      <c r="A1662" s="41">
        <v>1661</v>
      </c>
      <c r="B1662" s="41">
        <v>0</v>
      </c>
      <c r="C1662" s="41">
        <v>1</v>
      </c>
    </row>
    <row r="1663" spans="1:3" x14ac:dyDescent="0.25">
      <c r="A1663" s="41">
        <v>1662</v>
      </c>
      <c r="B1663" s="41">
        <v>0</v>
      </c>
      <c r="C1663" s="41">
        <v>1</v>
      </c>
    </row>
    <row r="1664" spans="1:3" x14ac:dyDescent="0.25">
      <c r="A1664" s="41">
        <v>1663</v>
      </c>
      <c r="B1664" s="41">
        <v>0</v>
      </c>
      <c r="C1664" s="41">
        <v>1</v>
      </c>
    </row>
    <row r="1665" spans="1:3" x14ac:dyDescent="0.25">
      <c r="A1665" s="41">
        <v>1664</v>
      </c>
      <c r="B1665" s="41">
        <v>0</v>
      </c>
      <c r="C1665" s="41">
        <v>1</v>
      </c>
    </row>
    <row r="1666" spans="1:3" x14ac:dyDescent="0.25">
      <c r="A1666" s="41">
        <v>1665</v>
      </c>
      <c r="B1666" s="41">
        <v>0</v>
      </c>
      <c r="C1666" s="41">
        <v>1</v>
      </c>
    </row>
    <row r="1667" spans="1:3" x14ac:dyDescent="0.25">
      <c r="A1667" s="41">
        <v>1666</v>
      </c>
      <c r="B1667" s="41">
        <v>0</v>
      </c>
      <c r="C1667" s="41">
        <v>1</v>
      </c>
    </row>
    <row r="1668" spans="1:3" x14ac:dyDescent="0.25">
      <c r="A1668" s="41">
        <v>1667</v>
      </c>
      <c r="B1668" s="41">
        <v>0</v>
      </c>
      <c r="C1668" s="41">
        <v>1</v>
      </c>
    </row>
    <row r="1669" spans="1:3" x14ac:dyDescent="0.25">
      <c r="A1669" s="41">
        <v>1668</v>
      </c>
      <c r="B1669" s="41">
        <v>0</v>
      </c>
      <c r="C1669" s="41">
        <v>1</v>
      </c>
    </row>
    <row r="1670" spans="1:3" x14ac:dyDescent="0.25">
      <c r="A1670" s="41">
        <v>1669</v>
      </c>
      <c r="B1670" s="41">
        <v>0</v>
      </c>
      <c r="C1670" s="41">
        <v>1</v>
      </c>
    </row>
    <row r="1671" spans="1:3" x14ac:dyDescent="0.25">
      <c r="A1671" s="41">
        <v>1670</v>
      </c>
      <c r="B1671" s="41">
        <v>0</v>
      </c>
      <c r="C1671" s="41">
        <v>1</v>
      </c>
    </row>
    <row r="1672" spans="1:3" x14ac:dyDescent="0.25">
      <c r="A1672" s="41">
        <v>1671</v>
      </c>
      <c r="B1672" s="41">
        <v>0</v>
      </c>
      <c r="C1672" s="41">
        <v>1</v>
      </c>
    </row>
    <row r="1673" spans="1:3" x14ac:dyDescent="0.25">
      <c r="A1673" s="41">
        <v>1672</v>
      </c>
      <c r="B1673" s="41">
        <v>0</v>
      </c>
      <c r="C1673" s="41">
        <v>1</v>
      </c>
    </row>
    <row r="1674" spans="1:3" x14ac:dyDescent="0.25">
      <c r="A1674" s="41">
        <v>1673</v>
      </c>
      <c r="B1674" s="41">
        <v>0</v>
      </c>
      <c r="C1674" s="41">
        <v>1</v>
      </c>
    </row>
    <row r="1675" spans="1:3" x14ac:dyDescent="0.25">
      <c r="A1675" s="41">
        <v>1674</v>
      </c>
      <c r="B1675" s="41">
        <v>0</v>
      </c>
      <c r="C1675" s="41">
        <v>1</v>
      </c>
    </row>
    <row r="1676" spans="1:3" x14ac:dyDescent="0.25">
      <c r="A1676" s="41">
        <v>1675</v>
      </c>
      <c r="B1676" s="41">
        <v>0</v>
      </c>
      <c r="C1676" s="41">
        <v>1</v>
      </c>
    </row>
    <row r="1677" spans="1:3" x14ac:dyDescent="0.25">
      <c r="A1677" s="41">
        <v>1676</v>
      </c>
      <c r="B1677" s="41">
        <v>0</v>
      </c>
      <c r="C1677" s="41">
        <v>1</v>
      </c>
    </row>
    <row r="1678" spans="1:3" x14ac:dyDescent="0.25">
      <c r="A1678" s="41">
        <v>1677</v>
      </c>
      <c r="B1678" s="41">
        <v>0</v>
      </c>
      <c r="C1678" s="41">
        <v>1</v>
      </c>
    </row>
    <row r="1679" spans="1:3" x14ac:dyDescent="0.25">
      <c r="A1679" s="41">
        <v>1678</v>
      </c>
      <c r="B1679" s="41">
        <v>0</v>
      </c>
      <c r="C1679" s="41">
        <v>1</v>
      </c>
    </row>
    <row r="1680" spans="1:3" x14ac:dyDescent="0.25">
      <c r="A1680" s="41">
        <v>1679</v>
      </c>
      <c r="B1680" s="41">
        <v>0</v>
      </c>
      <c r="C1680" s="41">
        <v>1</v>
      </c>
    </row>
    <row r="1681" spans="1:3" x14ac:dyDescent="0.25">
      <c r="A1681" s="41">
        <v>1680</v>
      </c>
      <c r="B1681" s="41">
        <v>0</v>
      </c>
      <c r="C1681" s="41">
        <v>1</v>
      </c>
    </row>
    <row r="1682" spans="1:3" x14ac:dyDescent="0.25">
      <c r="A1682" s="41">
        <v>1681</v>
      </c>
      <c r="B1682" s="41">
        <v>0</v>
      </c>
      <c r="C1682" s="41">
        <v>1</v>
      </c>
    </row>
    <row r="1683" spans="1:3" x14ac:dyDescent="0.25">
      <c r="A1683" s="41">
        <v>1682</v>
      </c>
      <c r="B1683" s="41">
        <v>0</v>
      </c>
      <c r="C1683" s="41">
        <v>1</v>
      </c>
    </row>
    <row r="1684" spans="1:3" x14ac:dyDescent="0.25">
      <c r="A1684" s="41">
        <v>1683</v>
      </c>
      <c r="B1684" s="41">
        <v>0</v>
      </c>
      <c r="C1684" s="41">
        <v>1</v>
      </c>
    </row>
    <row r="1685" spans="1:3" x14ac:dyDescent="0.25">
      <c r="A1685" s="41">
        <v>1684</v>
      </c>
      <c r="B1685" s="41">
        <v>0</v>
      </c>
      <c r="C1685" s="41">
        <v>1</v>
      </c>
    </row>
    <row r="1686" spans="1:3" x14ac:dyDescent="0.25">
      <c r="A1686" s="41">
        <v>1685</v>
      </c>
      <c r="B1686" s="41">
        <v>0</v>
      </c>
      <c r="C1686" s="41">
        <v>1</v>
      </c>
    </row>
    <row r="1687" spans="1:3" x14ac:dyDescent="0.25">
      <c r="A1687" s="41">
        <v>1686</v>
      </c>
      <c r="B1687" s="41">
        <v>0</v>
      </c>
      <c r="C1687" s="41">
        <v>1</v>
      </c>
    </row>
    <row r="1688" spans="1:3" x14ac:dyDescent="0.25">
      <c r="A1688" s="41">
        <v>1687</v>
      </c>
      <c r="B1688" s="41">
        <v>0</v>
      </c>
      <c r="C1688" s="41">
        <v>1</v>
      </c>
    </row>
    <row r="1689" spans="1:3" x14ac:dyDescent="0.25">
      <c r="A1689" s="41">
        <v>1688</v>
      </c>
      <c r="B1689" s="41">
        <v>0</v>
      </c>
      <c r="C1689" s="41">
        <v>1</v>
      </c>
    </row>
    <row r="1690" spans="1:3" x14ac:dyDescent="0.25">
      <c r="A1690" s="41">
        <v>1689</v>
      </c>
      <c r="B1690" s="41">
        <v>0</v>
      </c>
      <c r="C1690" s="41">
        <v>1</v>
      </c>
    </row>
    <row r="1691" spans="1:3" x14ac:dyDescent="0.25">
      <c r="A1691" s="41">
        <v>1690</v>
      </c>
      <c r="B1691" s="41">
        <v>0</v>
      </c>
      <c r="C1691" s="41">
        <v>1</v>
      </c>
    </row>
    <row r="1692" spans="1:3" x14ac:dyDescent="0.25">
      <c r="A1692" s="41">
        <v>1691</v>
      </c>
      <c r="B1692" s="41">
        <v>0</v>
      </c>
      <c r="C1692" s="41">
        <v>1</v>
      </c>
    </row>
    <row r="1693" spans="1:3" x14ac:dyDescent="0.25">
      <c r="A1693" s="41">
        <v>1692</v>
      </c>
      <c r="B1693" s="41">
        <v>0</v>
      </c>
      <c r="C1693" s="41">
        <v>1</v>
      </c>
    </row>
    <row r="1694" spans="1:3" x14ac:dyDescent="0.25">
      <c r="A1694" s="41">
        <v>1693</v>
      </c>
      <c r="B1694" s="41">
        <v>0</v>
      </c>
      <c r="C1694" s="41">
        <v>1</v>
      </c>
    </row>
    <row r="1695" spans="1:3" x14ac:dyDescent="0.25">
      <c r="A1695" s="41">
        <v>1694</v>
      </c>
      <c r="B1695" s="41">
        <v>0</v>
      </c>
      <c r="C1695" s="41">
        <v>1</v>
      </c>
    </row>
    <row r="1696" spans="1:3" x14ac:dyDescent="0.25">
      <c r="A1696" s="41">
        <v>1695</v>
      </c>
      <c r="B1696" s="41">
        <v>0</v>
      </c>
      <c r="C1696" s="41">
        <v>1</v>
      </c>
    </row>
    <row r="1697" spans="1:3" x14ac:dyDescent="0.25">
      <c r="A1697" s="41">
        <v>1696</v>
      </c>
      <c r="B1697" s="41">
        <v>0</v>
      </c>
      <c r="C1697" s="41">
        <v>1</v>
      </c>
    </row>
    <row r="1698" spans="1:3" x14ac:dyDescent="0.25">
      <c r="A1698" s="41">
        <v>1697</v>
      </c>
      <c r="B1698" s="41">
        <v>0</v>
      </c>
      <c r="C1698" s="41">
        <v>1</v>
      </c>
    </row>
    <row r="1699" spans="1:3" x14ac:dyDescent="0.25">
      <c r="A1699" s="41">
        <v>1698</v>
      </c>
      <c r="B1699" s="41">
        <v>0</v>
      </c>
      <c r="C1699" s="41">
        <v>1</v>
      </c>
    </row>
    <row r="1700" spans="1:3" x14ac:dyDescent="0.25">
      <c r="A1700" s="41">
        <v>1699</v>
      </c>
      <c r="B1700" s="41">
        <v>0</v>
      </c>
      <c r="C1700" s="41">
        <v>1</v>
      </c>
    </row>
    <row r="1701" spans="1:3" x14ac:dyDescent="0.25">
      <c r="A1701" s="41">
        <v>1700</v>
      </c>
      <c r="B1701" s="41">
        <v>0</v>
      </c>
      <c r="C1701" s="41">
        <v>1</v>
      </c>
    </row>
    <row r="1702" spans="1:3" x14ac:dyDescent="0.25">
      <c r="A1702" s="41">
        <v>1701</v>
      </c>
      <c r="B1702" s="41">
        <v>0</v>
      </c>
      <c r="C1702" s="41">
        <v>1</v>
      </c>
    </row>
    <row r="1703" spans="1:3" x14ac:dyDescent="0.25">
      <c r="A1703" s="41">
        <v>1702</v>
      </c>
      <c r="B1703" s="41">
        <v>0</v>
      </c>
      <c r="C1703" s="41">
        <v>1</v>
      </c>
    </row>
    <row r="1704" spans="1:3" x14ac:dyDescent="0.25">
      <c r="A1704" s="41">
        <v>1703</v>
      </c>
      <c r="B1704" s="41">
        <v>0</v>
      </c>
      <c r="C1704" s="41">
        <v>1</v>
      </c>
    </row>
    <row r="1705" spans="1:3" x14ac:dyDescent="0.25">
      <c r="A1705" s="41">
        <v>1704</v>
      </c>
      <c r="B1705" s="41">
        <v>0</v>
      </c>
      <c r="C1705" s="41">
        <v>1</v>
      </c>
    </row>
    <row r="1706" spans="1:3" x14ac:dyDescent="0.25">
      <c r="A1706" s="41">
        <v>1705</v>
      </c>
      <c r="B1706" s="41">
        <v>0</v>
      </c>
      <c r="C1706" s="41">
        <v>1</v>
      </c>
    </row>
    <row r="1707" spans="1:3" x14ac:dyDescent="0.25">
      <c r="A1707" s="41">
        <v>1706</v>
      </c>
      <c r="B1707" s="41">
        <v>0</v>
      </c>
      <c r="C1707" s="41">
        <v>1</v>
      </c>
    </row>
    <row r="1708" spans="1:3" x14ac:dyDescent="0.25">
      <c r="A1708" s="41">
        <v>1707</v>
      </c>
      <c r="B1708" s="41">
        <v>0</v>
      </c>
      <c r="C1708" s="41">
        <v>1</v>
      </c>
    </row>
    <row r="1709" spans="1:3" x14ac:dyDescent="0.25">
      <c r="A1709" s="41">
        <v>1708</v>
      </c>
      <c r="B1709" s="41">
        <v>0</v>
      </c>
      <c r="C1709" s="41">
        <v>1</v>
      </c>
    </row>
    <row r="1710" spans="1:3" x14ac:dyDescent="0.25">
      <c r="A1710" s="41">
        <v>1709</v>
      </c>
      <c r="B1710" s="41">
        <v>0</v>
      </c>
      <c r="C1710" s="41">
        <v>1</v>
      </c>
    </row>
    <row r="1711" spans="1:3" x14ac:dyDescent="0.25">
      <c r="A1711" s="41">
        <v>1710</v>
      </c>
      <c r="B1711" s="41">
        <v>0</v>
      </c>
      <c r="C1711" s="41">
        <v>1</v>
      </c>
    </row>
    <row r="1712" spans="1:3" x14ac:dyDescent="0.25">
      <c r="A1712" s="41">
        <v>1711</v>
      </c>
      <c r="B1712" s="41">
        <v>0</v>
      </c>
      <c r="C1712" s="41">
        <v>1</v>
      </c>
    </row>
    <row r="1713" spans="1:3" x14ac:dyDescent="0.25">
      <c r="A1713" s="41">
        <v>1712</v>
      </c>
      <c r="B1713" s="41">
        <v>0</v>
      </c>
      <c r="C1713" s="41">
        <v>1</v>
      </c>
    </row>
    <row r="1714" spans="1:3" x14ac:dyDescent="0.25">
      <c r="A1714" s="41">
        <v>1713</v>
      </c>
      <c r="B1714" s="41">
        <v>0</v>
      </c>
      <c r="C1714" s="41">
        <v>1</v>
      </c>
    </row>
    <row r="1715" spans="1:3" x14ac:dyDescent="0.25">
      <c r="A1715" s="41">
        <v>1714</v>
      </c>
      <c r="B1715" s="41">
        <v>0</v>
      </c>
      <c r="C1715" s="41">
        <v>1</v>
      </c>
    </row>
    <row r="1716" spans="1:3" x14ac:dyDescent="0.25">
      <c r="A1716" s="41">
        <v>1715</v>
      </c>
      <c r="B1716" s="41">
        <v>0</v>
      </c>
      <c r="C1716" s="41">
        <v>1</v>
      </c>
    </row>
    <row r="1717" spans="1:3" x14ac:dyDescent="0.25">
      <c r="A1717" s="41">
        <v>1716</v>
      </c>
      <c r="B1717" s="41">
        <v>0</v>
      </c>
      <c r="C1717" s="41">
        <v>1</v>
      </c>
    </row>
    <row r="1718" spans="1:3" x14ac:dyDescent="0.25">
      <c r="A1718" s="41">
        <v>1717</v>
      </c>
      <c r="B1718" s="41">
        <v>0</v>
      </c>
      <c r="C1718" s="41">
        <v>1</v>
      </c>
    </row>
    <row r="1719" spans="1:3" x14ac:dyDescent="0.25">
      <c r="A1719" s="41">
        <v>1718</v>
      </c>
      <c r="B1719" s="41">
        <v>0</v>
      </c>
      <c r="C1719" s="41">
        <v>1</v>
      </c>
    </row>
    <row r="1720" spans="1:3" x14ac:dyDescent="0.25">
      <c r="A1720" s="41">
        <v>1719</v>
      </c>
      <c r="B1720" s="41">
        <v>0</v>
      </c>
      <c r="C1720" s="41">
        <v>1</v>
      </c>
    </row>
    <row r="1721" spans="1:3" x14ac:dyDescent="0.25">
      <c r="A1721" s="41">
        <v>1720</v>
      </c>
      <c r="B1721" s="41">
        <v>0</v>
      </c>
      <c r="C1721" s="41">
        <v>1</v>
      </c>
    </row>
    <row r="1722" spans="1:3" x14ac:dyDescent="0.25">
      <c r="A1722" s="41">
        <v>1721</v>
      </c>
      <c r="B1722" s="41">
        <v>0</v>
      </c>
      <c r="C1722" s="41">
        <v>1</v>
      </c>
    </row>
    <row r="1723" spans="1:3" x14ac:dyDescent="0.25">
      <c r="A1723" s="41">
        <v>1722</v>
      </c>
      <c r="B1723" s="41">
        <v>0</v>
      </c>
      <c r="C1723" s="41">
        <v>1</v>
      </c>
    </row>
    <row r="1724" spans="1:3" x14ac:dyDescent="0.25">
      <c r="A1724" s="41">
        <v>1723</v>
      </c>
      <c r="B1724" s="41">
        <v>0</v>
      </c>
      <c r="C1724" s="41">
        <v>1</v>
      </c>
    </row>
    <row r="1725" spans="1:3" x14ac:dyDescent="0.25">
      <c r="A1725" s="41">
        <v>1724</v>
      </c>
      <c r="B1725" s="41">
        <v>0</v>
      </c>
      <c r="C1725" s="41">
        <v>1</v>
      </c>
    </row>
    <row r="1726" spans="1:3" x14ac:dyDescent="0.25">
      <c r="A1726" s="41">
        <v>1725</v>
      </c>
      <c r="B1726" s="41">
        <v>0</v>
      </c>
      <c r="C1726" s="41">
        <v>1</v>
      </c>
    </row>
    <row r="1727" spans="1:3" x14ac:dyDescent="0.25">
      <c r="A1727" s="41">
        <v>1726</v>
      </c>
      <c r="B1727" s="41">
        <v>0</v>
      </c>
      <c r="C1727" s="41">
        <v>1</v>
      </c>
    </row>
    <row r="1728" spans="1:3" x14ac:dyDescent="0.25">
      <c r="A1728" s="41">
        <v>1727</v>
      </c>
      <c r="B1728" s="41">
        <v>0</v>
      </c>
      <c r="C1728" s="41">
        <v>1</v>
      </c>
    </row>
    <row r="1729" spans="1:3" x14ac:dyDescent="0.25">
      <c r="A1729" s="41">
        <v>1728</v>
      </c>
      <c r="B1729" s="41">
        <v>0</v>
      </c>
      <c r="C1729" s="41">
        <v>1</v>
      </c>
    </row>
    <row r="1730" spans="1:3" x14ac:dyDescent="0.25">
      <c r="A1730" s="41">
        <v>1729</v>
      </c>
      <c r="B1730" s="41">
        <v>0</v>
      </c>
      <c r="C1730" s="41">
        <v>1</v>
      </c>
    </row>
    <row r="1731" spans="1:3" x14ac:dyDescent="0.25">
      <c r="A1731" s="41">
        <v>1730</v>
      </c>
      <c r="B1731" s="41">
        <v>0</v>
      </c>
      <c r="C1731" s="41">
        <v>1</v>
      </c>
    </row>
    <row r="1732" spans="1:3" x14ac:dyDescent="0.25">
      <c r="A1732" s="41">
        <v>1731</v>
      </c>
      <c r="B1732" s="41">
        <v>0</v>
      </c>
      <c r="C1732" s="41">
        <v>1</v>
      </c>
    </row>
    <row r="1733" spans="1:3" x14ac:dyDescent="0.25">
      <c r="A1733" s="41">
        <v>1732</v>
      </c>
      <c r="B1733" s="41">
        <v>0</v>
      </c>
      <c r="C1733" s="41">
        <v>1</v>
      </c>
    </row>
    <row r="1734" spans="1:3" x14ac:dyDescent="0.25">
      <c r="A1734" s="41">
        <v>1733</v>
      </c>
      <c r="B1734" s="41">
        <v>0</v>
      </c>
      <c r="C1734" s="41">
        <v>1</v>
      </c>
    </row>
    <row r="1735" spans="1:3" x14ac:dyDescent="0.25">
      <c r="A1735" s="41">
        <v>1734</v>
      </c>
      <c r="B1735" s="41">
        <v>0</v>
      </c>
      <c r="C1735" s="41">
        <v>1</v>
      </c>
    </row>
    <row r="1736" spans="1:3" x14ac:dyDescent="0.25">
      <c r="A1736" s="41">
        <v>1735</v>
      </c>
      <c r="B1736" s="41">
        <v>0</v>
      </c>
      <c r="C1736" s="41">
        <v>1</v>
      </c>
    </row>
    <row r="1737" spans="1:3" x14ac:dyDescent="0.25">
      <c r="A1737" s="41">
        <v>1736</v>
      </c>
      <c r="B1737" s="41">
        <v>0</v>
      </c>
      <c r="C1737" s="41">
        <v>1</v>
      </c>
    </row>
    <row r="1738" spans="1:3" x14ac:dyDescent="0.25">
      <c r="A1738" s="41">
        <v>1737</v>
      </c>
      <c r="B1738" s="41">
        <v>0</v>
      </c>
      <c r="C1738" s="41">
        <v>1</v>
      </c>
    </row>
    <row r="1739" spans="1:3" x14ac:dyDescent="0.25">
      <c r="A1739" s="41">
        <v>1738</v>
      </c>
      <c r="B1739" s="41">
        <v>0</v>
      </c>
      <c r="C1739" s="41">
        <v>1</v>
      </c>
    </row>
    <row r="1740" spans="1:3" x14ac:dyDescent="0.25">
      <c r="A1740" s="41">
        <v>1739</v>
      </c>
      <c r="B1740" s="41">
        <v>0</v>
      </c>
      <c r="C1740" s="41">
        <v>1</v>
      </c>
    </row>
    <row r="1741" spans="1:3" x14ac:dyDescent="0.25">
      <c r="A1741" s="41">
        <v>1740</v>
      </c>
      <c r="B1741" s="41">
        <v>0</v>
      </c>
      <c r="C1741" s="41">
        <v>1</v>
      </c>
    </row>
    <row r="1742" spans="1:3" x14ac:dyDescent="0.25">
      <c r="A1742" s="41">
        <v>1741</v>
      </c>
      <c r="B1742" s="41">
        <v>0</v>
      </c>
      <c r="C1742" s="41">
        <v>1</v>
      </c>
    </row>
    <row r="1743" spans="1:3" x14ac:dyDescent="0.25">
      <c r="A1743" s="41">
        <v>1742</v>
      </c>
      <c r="B1743" s="41">
        <v>0</v>
      </c>
      <c r="C1743" s="41">
        <v>1</v>
      </c>
    </row>
    <row r="1744" spans="1:3" x14ac:dyDescent="0.25">
      <c r="A1744" s="41">
        <v>1743</v>
      </c>
      <c r="B1744" s="41">
        <v>0</v>
      </c>
      <c r="C1744" s="41">
        <v>1</v>
      </c>
    </row>
    <row r="1745" spans="1:3" x14ac:dyDescent="0.25">
      <c r="A1745" s="41">
        <v>1744</v>
      </c>
      <c r="B1745" s="41">
        <v>0</v>
      </c>
      <c r="C1745" s="41">
        <v>1</v>
      </c>
    </row>
    <row r="1746" spans="1:3" x14ac:dyDescent="0.25">
      <c r="A1746" s="41">
        <v>1745</v>
      </c>
      <c r="B1746" s="41">
        <v>0</v>
      </c>
      <c r="C1746" s="41">
        <v>1</v>
      </c>
    </row>
    <row r="1747" spans="1:3" x14ac:dyDescent="0.25">
      <c r="A1747" s="41">
        <v>1746</v>
      </c>
      <c r="B1747" s="41">
        <v>0</v>
      </c>
      <c r="C1747" s="41">
        <v>1</v>
      </c>
    </row>
    <row r="1748" spans="1:3" x14ac:dyDescent="0.25">
      <c r="A1748" s="41">
        <v>1747</v>
      </c>
      <c r="B1748" s="41">
        <v>0</v>
      </c>
      <c r="C1748" s="41">
        <v>1</v>
      </c>
    </row>
    <row r="1749" spans="1:3" x14ac:dyDescent="0.25">
      <c r="A1749" s="41">
        <v>1748</v>
      </c>
      <c r="B1749" s="41">
        <v>0</v>
      </c>
      <c r="C1749" s="41">
        <v>1</v>
      </c>
    </row>
    <row r="1750" spans="1:3" x14ac:dyDescent="0.25">
      <c r="A1750" s="41">
        <v>1749</v>
      </c>
      <c r="B1750" s="41">
        <v>0</v>
      </c>
      <c r="C1750" s="41">
        <v>1</v>
      </c>
    </row>
    <row r="1751" spans="1:3" x14ac:dyDescent="0.25">
      <c r="A1751" s="41">
        <v>1750</v>
      </c>
      <c r="B1751" s="41">
        <v>0</v>
      </c>
      <c r="C1751" s="41">
        <v>1</v>
      </c>
    </row>
    <row r="1752" spans="1:3" x14ac:dyDescent="0.25">
      <c r="A1752" s="41">
        <v>1751</v>
      </c>
      <c r="B1752" s="41">
        <v>0</v>
      </c>
      <c r="C1752" s="41">
        <v>1</v>
      </c>
    </row>
    <row r="1753" spans="1:3" x14ac:dyDescent="0.25">
      <c r="A1753" s="41">
        <v>1752</v>
      </c>
      <c r="B1753" s="41">
        <v>0</v>
      </c>
      <c r="C1753" s="41">
        <v>1</v>
      </c>
    </row>
    <row r="1754" spans="1:3" x14ac:dyDescent="0.25">
      <c r="A1754" s="41">
        <v>1753</v>
      </c>
      <c r="B1754" s="41">
        <v>0</v>
      </c>
      <c r="C1754" s="41">
        <v>1</v>
      </c>
    </row>
    <row r="1755" spans="1:3" x14ac:dyDescent="0.25">
      <c r="A1755" s="41">
        <v>1754</v>
      </c>
      <c r="B1755" s="41">
        <v>0</v>
      </c>
      <c r="C1755" s="41">
        <v>1</v>
      </c>
    </row>
    <row r="1756" spans="1:3" x14ac:dyDescent="0.25">
      <c r="A1756" s="41">
        <v>1755</v>
      </c>
      <c r="B1756" s="41">
        <v>0</v>
      </c>
      <c r="C1756" s="41">
        <v>1</v>
      </c>
    </row>
    <row r="1757" spans="1:3" x14ac:dyDescent="0.25">
      <c r="A1757" s="41">
        <v>1756</v>
      </c>
      <c r="B1757" s="41">
        <v>0</v>
      </c>
      <c r="C1757" s="41">
        <v>1</v>
      </c>
    </row>
    <row r="1758" spans="1:3" x14ac:dyDescent="0.25">
      <c r="A1758" s="41">
        <v>1757</v>
      </c>
      <c r="B1758" s="41">
        <v>0</v>
      </c>
      <c r="C1758" s="41">
        <v>1</v>
      </c>
    </row>
    <row r="1759" spans="1:3" x14ac:dyDescent="0.25">
      <c r="A1759" s="41">
        <v>1758</v>
      </c>
      <c r="B1759" s="41">
        <v>0</v>
      </c>
      <c r="C1759" s="41">
        <v>1</v>
      </c>
    </row>
    <row r="1760" spans="1:3" x14ac:dyDescent="0.25">
      <c r="A1760" s="41">
        <v>1759</v>
      </c>
      <c r="B1760" s="41">
        <v>0</v>
      </c>
      <c r="C1760" s="41">
        <v>1</v>
      </c>
    </row>
    <row r="1761" spans="1:3" x14ac:dyDescent="0.25">
      <c r="A1761" s="41">
        <v>1760</v>
      </c>
      <c r="B1761" s="41">
        <v>0</v>
      </c>
      <c r="C1761" s="41">
        <v>1</v>
      </c>
    </row>
    <row r="1762" spans="1:3" x14ac:dyDescent="0.25">
      <c r="A1762" s="41">
        <v>1761</v>
      </c>
      <c r="B1762" s="41">
        <v>0</v>
      </c>
      <c r="C1762" s="41">
        <v>1</v>
      </c>
    </row>
    <row r="1763" spans="1:3" x14ac:dyDescent="0.25">
      <c r="A1763" s="41">
        <v>1762</v>
      </c>
      <c r="B1763" s="41">
        <v>0</v>
      </c>
      <c r="C1763" s="41">
        <v>1</v>
      </c>
    </row>
    <row r="1764" spans="1:3" x14ac:dyDescent="0.25">
      <c r="A1764" s="41">
        <v>1763</v>
      </c>
      <c r="B1764" s="41">
        <v>0</v>
      </c>
      <c r="C1764" s="41">
        <v>1</v>
      </c>
    </row>
    <row r="1765" spans="1:3" x14ac:dyDescent="0.25">
      <c r="A1765" s="41">
        <v>1764</v>
      </c>
      <c r="B1765" s="41">
        <v>0</v>
      </c>
      <c r="C1765" s="41">
        <v>1</v>
      </c>
    </row>
    <row r="1766" spans="1:3" x14ac:dyDescent="0.25">
      <c r="A1766" s="41">
        <v>1765</v>
      </c>
      <c r="B1766" s="41">
        <v>0</v>
      </c>
      <c r="C1766" s="41">
        <v>1</v>
      </c>
    </row>
    <row r="1767" spans="1:3" x14ac:dyDescent="0.25">
      <c r="A1767" s="41">
        <v>1766</v>
      </c>
      <c r="B1767" s="41">
        <v>0</v>
      </c>
      <c r="C1767" s="41">
        <v>1</v>
      </c>
    </row>
    <row r="1768" spans="1:3" x14ac:dyDescent="0.25">
      <c r="A1768" s="41">
        <v>1767</v>
      </c>
      <c r="B1768" s="41">
        <v>0</v>
      </c>
      <c r="C1768" s="41">
        <v>1</v>
      </c>
    </row>
    <row r="1769" spans="1:3" x14ac:dyDescent="0.25">
      <c r="A1769" s="41">
        <v>1768</v>
      </c>
      <c r="B1769" s="41">
        <v>0</v>
      </c>
      <c r="C1769" s="41">
        <v>1</v>
      </c>
    </row>
    <row r="1770" spans="1:3" x14ac:dyDescent="0.25">
      <c r="A1770" s="41">
        <v>1769</v>
      </c>
      <c r="B1770" s="41">
        <v>0</v>
      </c>
      <c r="C1770" s="41">
        <v>1</v>
      </c>
    </row>
    <row r="1771" spans="1:3" x14ac:dyDescent="0.25">
      <c r="A1771" s="41">
        <v>1770</v>
      </c>
      <c r="B1771" s="41">
        <v>0</v>
      </c>
      <c r="C1771" s="41">
        <v>1</v>
      </c>
    </row>
    <row r="1772" spans="1:3" x14ac:dyDescent="0.25">
      <c r="A1772" s="41">
        <v>1771</v>
      </c>
      <c r="B1772" s="41">
        <v>0</v>
      </c>
      <c r="C1772" s="41">
        <v>1</v>
      </c>
    </row>
    <row r="1773" spans="1:3" x14ac:dyDescent="0.25">
      <c r="A1773" s="41">
        <v>1772</v>
      </c>
      <c r="B1773" s="41">
        <v>0</v>
      </c>
      <c r="C1773" s="41">
        <v>1</v>
      </c>
    </row>
    <row r="1774" spans="1:3" x14ac:dyDescent="0.25">
      <c r="A1774" s="41">
        <v>1773</v>
      </c>
      <c r="B1774" s="41">
        <v>0</v>
      </c>
      <c r="C1774" s="41">
        <v>1</v>
      </c>
    </row>
    <row r="1775" spans="1:3" x14ac:dyDescent="0.25">
      <c r="A1775" s="41">
        <v>1774</v>
      </c>
      <c r="B1775" s="41">
        <v>0</v>
      </c>
      <c r="C1775" s="41">
        <v>1</v>
      </c>
    </row>
    <row r="1776" spans="1:3" x14ac:dyDescent="0.25">
      <c r="A1776" s="41">
        <v>1775</v>
      </c>
      <c r="B1776" s="41">
        <v>0</v>
      </c>
      <c r="C1776" s="41">
        <v>1</v>
      </c>
    </row>
    <row r="1777" spans="1:3" x14ac:dyDescent="0.25">
      <c r="A1777" s="41">
        <v>1776</v>
      </c>
      <c r="B1777" s="41">
        <v>0</v>
      </c>
      <c r="C1777" s="41">
        <v>1</v>
      </c>
    </row>
    <row r="1778" spans="1:3" x14ac:dyDescent="0.25">
      <c r="A1778" s="41">
        <v>1777</v>
      </c>
      <c r="B1778" s="41">
        <v>0</v>
      </c>
      <c r="C1778" s="41">
        <v>1</v>
      </c>
    </row>
    <row r="1779" spans="1:3" x14ac:dyDescent="0.25">
      <c r="A1779" s="41">
        <v>1778</v>
      </c>
      <c r="B1779" s="41">
        <v>0</v>
      </c>
      <c r="C1779" s="41">
        <v>1</v>
      </c>
    </row>
    <row r="1780" spans="1:3" x14ac:dyDescent="0.25">
      <c r="A1780" s="41">
        <v>1779</v>
      </c>
      <c r="B1780" s="41">
        <v>0</v>
      </c>
      <c r="C1780" s="41">
        <v>1</v>
      </c>
    </row>
    <row r="1781" spans="1:3" x14ac:dyDescent="0.25">
      <c r="A1781" s="41">
        <v>1780</v>
      </c>
      <c r="B1781" s="41">
        <v>0</v>
      </c>
      <c r="C1781" s="41">
        <v>1</v>
      </c>
    </row>
    <row r="1782" spans="1:3" x14ac:dyDescent="0.25">
      <c r="A1782" s="41">
        <v>1781</v>
      </c>
      <c r="B1782" s="41">
        <v>0</v>
      </c>
      <c r="C1782" s="41">
        <v>1</v>
      </c>
    </row>
    <row r="1783" spans="1:3" x14ac:dyDescent="0.25">
      <c r="A1783" s="41">
        <v>1782</v>
      </c>
      <c r="B1783" s="41">
        <v>0</v>
      </c>
      <c r="C1783" s="41">
        <v>1</v>
      </c>
    </row>
    <row r="1784" spans="1:3" x14ac:dyDescent="0.25">
      <c r="A1784" s="41">
        <v>1783</v>
      </c>
      <c r="B1784" s="41">
        <v>0</v>
      </c>
      <c r="C1784" s="41">
        <v>1</v>
      </c>
    </row>
    <row r="1785" spans="1:3" x14ac:dyDescent="0.25">
      <c r="A1785" s="41">
        <v>1784</v>
      </c>
      <c r="B1785" s="41">
        <v>0</v>
      </c>
      <c r="C1785" s="41">
        <v>1</v>
      </c>
    </row>
    <row r="1786" spans="1:3" x14ac:dyDescent="0.25">
      <c r="A1786" s="41">
        <v>1785</v>
      </c>
      <c r="B1786" s="41">
        <v>0</v>
      </c>
      <c r="C1786" s="41">
        <v>1</v>
      </c>
    </row>
    <row r="1787" spans="1:3" x14ac:dyDescent="0.25">
      <c r="A1787" s="41">
        <v>1786</v>
      </c>
      <c r="B1787" s="41">
        <v>0</v>
      </c>
      <c r="C1787" s="41">
        <v>1</v>
      </c>
    </row>
    <row r="1788" spans="1:3" x14ac:dyDescent="0.25">
      <c r="A1788" s="41">
        <v>1787</v>
      </c>
      <c r="B1788" s="41">
        <v>0</v>
      </c>
      <c r="C1788" s="41">
        <v>1</v>
      </c>
    </row>
    <row r="1789" spans="1:3" x14ac:dyDescent="0.25">
      <c r="A1789" s="41">
        <v>1788</v>
      </c>
      <c r="B1789" s="41">
        <v>0</v>
      </c>
      <c r="C1789" s="41">
        <v>1</v>
      </c>
    </row>
    <row r="1790" spans="1:3" x14ac:dyDescent="0.25">
      <c r="A1790" s="41">
        <v>1789</v>
      </c>
      <c r="B1790" s="41">
        <v>0</v>
      </c>
      <c r="C1790" s="41">
        <v>1</v>
      </c>
    </row>
    <row r="1791" spans="1:3" x14ac:dyDescent="0.25">
      <c r="A1791" s="41">
        <v>1790</v>
      </c>
      <c r="B1791" s="41">
        <v>0</v>
      </c>
      <c r="C1791" s="41">
        <v>1</v>
      </c>
    </row>
    <row r="1792" spans="1:3" x14ac:dyDescent="0.25">
      <c r="A1792" s="41">
        <v>1791</v>
      </c>
      <c r="B1792" s="41">
        <v>0</v>
      </c>
      <c r="C1792" s="41">
        <v>1</v>
      </c>
    </row>
    <row r="1793" spans="1:3" x14ac:dyDescent="0.25">
      <c r="A1793" s="41">
        <v>1792</v>
      </c>
      <c r="B1793" s="41">
        <v>0</v>
      </c>
      <c r="C1793" s="41">
        <v>1</v>
      </c>
    </row>
    <row r="1794" spans="1:3" x14ac:dyDescent="0.25">
      <c r="A1794" s="41">
        <v>1793</v>
      </c>
      <c r="B1794" s="41">
        <v>0</v>
      </c>
      <c r="C1794" s="41">
        <v>1</v>
      </c>
    </row>
    <row r="1795" spans="1:3" x14ac:dyDescent="0.25">
      <c r="A1795" s="41">
        <v>1794</v>
      </c>
      <c r="B1795" s="41">
        <v>0</v>
      </c>
      <c r="C1795" s="41">
        <v>1</v>
      </c>
    </row>
    <row r="1796" spans="1:3" x14ac:dyDescent="0.25">
      <c r="A1796" s="41">
        <v>1795</v>
      </c>
      <c r="B1796" s="41">
        <v>0</v>
      </c>
      <c r="C1796" s="41">
        <v>1</v>
      </c>
    </row>
    <row r="1797" spans="1:3" x14ac:dyDescent="0.25">
      <c r="A1797" s="41">
        <v>1796</v>
      </c>
      <c r="B1797" s="41">
        <v>0</v>
      </c>
      <c r="C1797" s="41">
        <v>1</v>
      </c>
    </row>
    <row r="1798" spans="1:3" x14ac:dyDescent="0.25">
      <c r="A1798" s="41">
        <v>1797</v>
      </c>
      <c r="B1798" s="41">
        <v>0</v>
      </c>
      <c r="C1798" s="41">
        <v>1</v>
      </c>
    </row>
    <row r="1799" spans="1:3" x14ac:dyDescent="0.25">
      <c r="A1799" s="41">
        <v>1798</v>
      </c>
      <c r="B1799" s="41">
        <v>0</v>
      </c>
      <c r="C1799" s="41">
        <v>1</v>
      </c>
    </row>
    <row r="1800" spans="1:3" x14ac:dyDescent="0.25">
      <c r="A1800" s="41">
        <v>1799</v>
      </c>
      <c r="B1800" s="41">
        <v>0</v>
      </c>
      <c r="C1800" s="41">
        <v>1</v>
      </c>
    </row>
    <row r="1801" spans="1:3" x14ac:dyDescent="0.25">
      <c r="A1801" s="41">
        <v>1800</v>
      </c>
      <c r="B1801" s="41">
        <v>0</v>
      </c>
      <c r="C1801" s="41">
        <v>1</v>
      </c>
    </row>
    <row r="1802" spans="1:3" x14ac:dyDescent="0.25">
      <c r="A1802" s="41">
        <v>1801</v>
      </c>
      <c r="B1802" s="41">
        <v>0</v>
      </c>
      <c r="C1802" s="41">
        <v>1</v>
      </c>
    </row>
    <row r="1803" spans="1:3" x14ac:dyDescent="0.25">
      <c r="A1803" s="41">
        <v>1802</v>
      </c>
      <c r="B1803" s="41">
        <v>0</v>
      </c>
      <c r="C1803" s="41">
        <v>1</v>
      </c>
    </row>
    <row r="1804" spans="1:3" x14ac:dyDescent="0.25">
      <c r="A1804" s="41">
        <v>1803</v>
      </c>
      <c r="B1804" s="41">
        <v>0</v>
      </c>
      <c r="C1804" s="41">
        <v>1</v>
      </c>
    </row>
    <row r="1805" spans="1:3" x14ac:dyDescent="0.25">
      <c r="A1805" s="41">
        <v>1804</v>
      </c>
      <c r="B1805" s="41">
        <v>0</v>
      </c>
      <c r="C1805" s="41">
        <v>1</v>
      </c>
    </row>
    <row r="1806" spans="1:3" x14ac:dyDescent="0.25">
      <c r="A1806" s="41">
        <v>1805</v>
      </c>
      <c r="B1806" s="41">
        <v>0</v>
      </c>
      <c r="C1806" s="41">
        <v>1</v>
      </c>
    </row>
    <row r="1807" spans="1:3" x14ac:dyDescent="0.25">
      <c r="A1807" s="41">
        <v>1806</v>
      </c>
      <c r="B1807" s="41">
        <v>0</v>
      </c>
      <c r="C1807" s="41">
        <v>1</v>
      </c>
    </row>
    <row r="1808" spans="1:3" x14ac:dyDescent="0.25">
      <c r="A1808" s="41">
        <v>1807</v>
      </c>
      <c r="B1808" s="41">
        <v>0</v>
      </c>
      <c r="C1808" s="41">
        <v>1</v>
      </c>
    </row>
    <row r="1809" spans="1:3" x14ac:dyDescent="0.25">
      <c r="A1809" s="41">
        <v>1808</v>
      </c>
      <c r="B1809" s="41">
        <v>0</v>
      </c>
      <c r="C1809" s="41">
        <v>1</v>
      </c>
    </row>
    <row r="1810" spans="1:3" x14ac:dyDescent="0.25">
      <c r="A1810" s="41">
        <v>1809</v>
      </c>
      <c r="B1810" s="41">
        <v>0</v>
      </c>
      <c r="C1810" s="41">
        <v>1</v>
      </c>
    </row>
    <row r="1811" spans="1:3" x14ac:dyDescent="0.25">
      <c r="A1811" s="41">
        <v>1810</v>
      </c>
      <c r="B1811" s="41">
        <v>0</v>
      </c>
      <c r="C1811" s="41">
        <v>1</v>
      </c>
    </row>
    <row r="1812" spans="1:3" x14ac:dyDescent="0.25">
      <c r="A1812" s="41">
        <v>1811</v>
      </c>
      <c r="B1812" s="41">
        <v>0</v>
      </c>
      <c r="C1812" s="41">
        <v>1</v>
      </c>
    </row>
    <row r="1813" spans="1:3" x14ac:dyDescent="0.25">
      <c r="A1813" s="41">
        <v>1812</v>
      </c>
      <c r="B1813" s="41">
        <v>0</v>
      </c>
      <c r="C1813" s="41">
        <v>1</v>
      </c>
    </row>
    <row r="1814" spans="1:3" x14ac:dyDescent="0.25">
      <c r="A1814" s="41">
        <v>1813</v>
      </c>
      <c r="B1814" s="41">
        <v>0</v>
      </c>
      <c r="C1814" s="41">
        <v>1</v>
      </c>
    </row>
    <row r="1815" spans="1:3" x14ac:dyDescent="0.25">
      <c r="A1815" s="41">
        <v>1814</v>
      </c>
      <c r="B1815" s="41">
        <v>0</v>
      </c>
      <c r="C1815" s="41">
        <v>1</v>
      </c>
    </row>
    <row r="1816" spans="1:3" x14ac:dyDescent="0.25">
      <c r="A1816" s="41">
        <v>1815</v>
      </c>
      <c r="B1816" s="41">
        <v>0</v>
      </c>
      <c r="C1816" s="41">
        <v>1</v>
      </c>
    </row>
    <row r="1817" spans="1:3" x14ac:dyDescent="0.25">
      <c r="A1817" s="41">
        <v>1816</v>
      </c>
      <c r="B1817" s="41">
        <v>0</v>
      </c>
      <c r="C1817" s="41">
        <v>1</v>
      </c>
    </row>
    <row r="1818" spans="1:3" x14ac:dyDescent="0.25">
      <c r="A1818" s="41">
        <v>1817</v>
      </c>
      <c r="B1818" s="41">
        <v>0</v>
      </c>
      <c r="C1818" s="41">
        <v>1</v>
      </c>
    </row>
    <row r="1819" spans="1:3" x14ac:dyDescent="0.25">
      <c r="A1819" s="41">
        <v>1818</v>
      </c>
      <c r="B1819" s="41">
        <v>0</v>
      </c>
      <c r="C1819" s="41">
        <v>1</v>
      </c>
    </row>
    <row r="1820" spans="1:3" x14ac:dyDescent="0.25">
      <c r="A1820" s="41">
        <v>1819</v>
      </c>
      <c r="B1820" s="41">
        <v>0</v>
      </c>
      <c r="C1820" s="41">
        <v>1</v>
      </c>
    </row>
    <row r="1821" spans="1:3" x14ac:dyDescent="0.25">
      <c r="A1821" s="41">
        <v>1820</v>
      </c>
      <c r="B1821" s="41">
        <v>0</v>
      </c>
      <c r="C1821" s="41">
        <v>1</v>
      </c>
    </row>
    <row r="1822" spans="1:3" x14ac:dyDescent="0.25">
      <c r="A1822" s="41">
        <v>1821</v>
      </c>
      <c r="B1822" s="41">
        <v>0</v>
      </c>
      <c r="C1822" s="41">
        <v>1</v>
      </c>
    </row>
    <row r="1823" spans="1:3" x14ac:dyDescent="0.25">
      <c r="A1823" s="41">
        <v>1822</v>
      </c>
      <c r="B1823" s="41">
        <v>0</v>
      </c>
      <c r="C1823" s="41">
        <v>1</v>
      </c>
    </row>
    <row r="1824" spans="1:3" x14ac:dyDescent="0.25">
      <c r="A1824" s="41">
        <v>1823</v>
      </c>
      <c r="B1824" s="41">
        <v>0</v>
      </c>
      <c r="C1824" s="41">
        <v>1</v>
      </c>
    </row>
    <row r="1825" spans="1:3" x14ac:dyDescent="0.25">
      <c r="A1825" s="41">
        <v>1824</v>
      </c>
      <c r="B1825" s="41">
        <v>0</v>
      </c>
      <c r="C1825" s="41">
        <v>1</v>
      </c>
    </row>
    <row r="1826" spans="1:3" x14ac:dyDescent="0.25">
      <c r="A1826" s="41">
        <v>1825</v>
      </c>
      <c r="B1826" s="41">
        <v>0</v>
      </c>
      <c r="C1826" s="41">
        <v>1</v>
      </c>
    </row>
    <row r="1827" spans="1:3" x14ac:dyDescent="0.25">
      <c r="A1827" s="41">
        <v>1826</v>
      </c>
      <c r="B1827" s="41">
        <v>0</v>
      </c>
      <c r="C1827" s="41">
        <v>1</v>
      </c>
    </row>
    <row r="1828" spans="1:3" x14ac:dyDescent="0.25">
      <c r="A1828" s="41">
        <v>1827</v>
      </c>
      <c r="B1828" s="41">
        <v>0</v>
      </c>
      <c r="C1828" s="41">
        <v>1</v>
      </c>
    </row>
    <row r="1829" spans="1:3" x14ac:dyDescent="0.25">
      <c r="A1829" s="41">
        <v>1828</v>
      </c>
      <c r="B1829" s="41">
        <v>0</v>
      </c>
      <c r="C1829" s="41">
        <v>1</v>
      </c>
    </row>
    <row r="1830" spans="1:3" x14ac:dyDescent="0.25">
      <c r="A1830" s="41">
        <v>1829</v>
      </c>
      <c r="B1830" s="41">
        <v>0</v>
      </c>
      <c r="C1830" s="41">
        <v>1</v>
      </c>
    </row>
    <row r="1831" spans="1:3" x14ac:dyDescent="0.25">
      <c r="A1831" s="41">
        <v>1830</v>
      </c>
      <c r="B1831" s="41">
        <v>0</v>
      </c>
      <c r="C1831" s="41">
        <v>1</v>
      </c>
    </row>
    <row r="1832" spans="1:3" x14ac:dyDescent="0.25">
      <c r="A1832" s="41">
        <v>1831</v>
      </c>
      <c r="B1832" s="41">
        <v>0</v>
      </c>
      <c r="C1832" s="41">
        <v>1</v>
      </c>
    </row>
    <row r="1833" spans="1:3" x14ac:dyDescent="0.25">
      <c r="A1833" s="41">
        <v>1832</v>
      </c>
      <c r="B1833" s="41">
        <v>0</v>
      </c>
      <c r="C1833" s="41">
        <v>1</v>
      </c>
    </row>
    <row r="1834" spans="1:3" x14ac:dyDescent="0.25">
      <c r="A1834" s="41">
        <v>1833</v>
      </c>
      <c r="B1834" s="41">
        <v>0</v>
      </c>
      <c r="C1834" s="41">
        <v>1</v>
      </c>
    </row>
    <row r="1835" spans="1:3" x14ac:dyDescent="0.25">
      <c r="A1835" s="41">
        <v>1834</v>
      </c>
      <c r="B1835" s="41">
        <v>0</v>
      </c>
      <c r="C1835" s="41">
        <v>1</v>
      </c>
    </row>
    <row r="1836" spans="1:3" x14ac:dyDescent="0.25">
      <c r="A1836" s="41">
        <v>1835</v>
      </c>
      <c r="B1836" s="41">
        <v>0</v>
      </c>
      <c r="C1836" s="41">
        <v>1</v>
      </c>
    </row>
    <row r="1837" spans="1:3" x14ac:dyDescent="0.25">
      <c r="A1837" s="41">
        <v>1836</v>
      </c>
      <c r="B1837" s="41">
        <v>0</v>
      </c>
      <c r="C1837" s="41">
        <v>1</v>
      </c>
    </row>
    <row r="1838" spans="1:3" x14ac:dyDescent="0.25">
      <c r="A1838" s="41">
        <v>1837</v>
      </c>
      <c r="B1838" s="41">
        <v>0</v>
      </c>
      <c r="C1838" s="41">
        <v>1</v>
      </c>
    </row>
    <row r="1839" spans="1:3" x14ac:dyDescent="0.25">
      <c r="A1839" s="41">
        <v>1838</v>
      </c>
      <c r="B1839" s="41">
        <v>0</v>
      </c>
      <c r="C1839" s="41">
        <v>1</v>
      </c>
    </row>
    <row r="1840" spans="1:3" x14ac:dyDescent="0.25">
      <c r="A1840" s="41">
        <v>1839</v>
      </c>
      <c r="B1840" s="41">
        <v>0</v>
      </c>
      <c r="C1840" s="41">
        <v>1</v>
      </c>
    </row>
    <row r="1841" spans="1:3" x14ac:dyDescent="0.25">
      <c r="A1841" s="41">
        <v>1840</v>
      </c>
      <c r="B1841" s="41">
        <v>0</v>
      </c>
      <c r="C1841" s="41">
        <v>1</v>
      </c>
    </row>
    <row r="1842" spans="1:3" x14ac:dyDescent="0.25">
      <c r="A1842" s="41">
        <v>1841</v>
      </c>
      <c r="B1842" s="41">
        <v>0</v>
      </c>
      <c r="C1842" s="41">
        <v>1</v>
      </c>
    </row>
    <row r="1843" spans="1:3" x14ac:dyDescent="0.25">
      <c r="A1843" s="41">
        <v>1842</v>
      </c>
      <c r="B1843" s="41">
        <v>0</v>
      </c>
      <c r="C1843" s="41">
        <v>1</v>
      </c>
    </row>
    <row r="1844" spans="1:3" x14ac:dyDescent="0.25">
      <c r="A1844" s="41">
        <v>1843</v>
      </c>
      <c r="B1844" s="41">
        <v>0</v>
      </c>
      <c r="C1844" s="41">
        <v>1</v>
      </c>
    </row>
    <row r="1845" spans="1:3" x14ac:dyDescent="0.25">
      <c r="A1845" s="41">
        <v>1844</v>
      </c>
      <c r="B1845" s="41">
        <v>0</v>
      </c>
      <c r="C1845" s="41">
        <v>1</v>
      </c>
    </row>
    <row r="1846" spans="1:3" x14ac:dyDescent="0.25">
      <c r="A1846" s="41">
        <v>1845</v>
      </c>
      <c r="B1846" s="41">
        <v>0</v>
      </c>
      <c r="C1846" s="41">
        <v>1</v>
      </c>
    </row>
    <row r="1847" spans="1:3" x14ac:dyDescent="0.25">
      <c r="A1847" s="41">
        <v>1846</v>
      </c>
      <c r="B1847" s="41">
        <v>0</v>
      </c>
      <c r="C1847" s="41">
        <v>1</v>
      </c>
    </row>
    <row r="1848" spans="1:3" x14ac:dyDescent="0.25">
      <c r="A1848" s="41">
        <v>1847</v>
      </c>
      <c r="B1848" s="41">
        <v>0</v>
      </c>
      <c r="C1848" s="41">
        <v>1</v>
      </c>
    </row>
    <row r="1849" spans="1:3" x14ac:dyDescent="0.25">
      <c r="A1849" s="41">
        <v>1848</v>
      </c>
      <c r="B1849" s="41">
        <v>0</v>
      </c>
      <c r="C1849" s="41">
        <v>1</v>
      </c>
    </row>
    <row r="1850" spans="1:3" x14ac:dyDescent="0.25">
      <c r="A1850" s="41">
        <v>1849</v>
      </c>
      <c r="B1850" s="41">
        <v>0</v>
      </c>
      <c r="C1850" s="41">
        <v>1</v>
      </c>
    </row>
    <row r="1851" spans="1:3" x14ac:dyDescent="0.25">
      <c r="A1851" s="41">
        <v>1850</v>
      </c>
      <c r="B1851" s="41">
        <v>0</v>
      </c>
      <c r="C1851" s="41">
        <v>1</v>
      </c>
    </row>
    <row r="1852" spans="1:3" x14ac:dyDescent="0.25">
      <c r="A1852" s="41">
        <v>1851</v>
      </c>
      <c r="B1852" s="41">
        <v>0</v>
      </c>
      <c r="C1852" s="41">
        <v>1</v>
      </c>
    </row>
    <row r="1853" spans="1:3" x14ac:dyDescent="0.25">
      <c r="A1853" s="41">
        <v>1852</v>
      </c>
      <c r="B1853" s="41">
        <v>0</v>
      </c>
      <c r="C1853" s="41">
        <v>1</v>
      </c>
    </row>
    <row r="1854" spans="1:3" x14ac:dyDescent="0.25">
      <c r="A1854" s="41">
        <v>1853</v>
      </c>
      <c r="B1854" s="41">
        <v>0</v>
      </c>
      <c r="C1854" s="41">
        <v>1</v>
      </c>
    </row>
    <row r="1855" spans="1:3" x14ac:dyDescent="0.25">
      <c r="A1855" s="41">
        <v>1854</v>
      </c>
      <c r="B1855" s="41">
        <v>0</v>
      </c>
      <c r="C1855" s="41">
        <v>1</v>
      </c>
    </row>
    <row r="1856" spans="1:3" x14ac:dyDescent="0.25">
      <c r="A1856" s="41">
        <v>1855</v>
      </c>
      <c r="B1856" s="41">
        <v>0</v>
      </c>
      <c r="C1856" s="41">
        <v>1</v>
      </c>
    </row>
    <row r="1857" spans="1:3" x14ac:dyDescent="0.25">
      <c r="A1857" s="41">
        <v>1856</v>
      </c>
      <c r="B1857" s="41">
        <v>0</v>
      </c>
      <c r="C1857" s="41">
        <v>1</v>
      </c>
    </row>
    <row r="1858" spans="1:3" x14ac:dyDescent="0.25">
      <c r="A1858" s="41">
        <v>1857</v>
      </c>
      <c r="B1858" s="41">
        <v>0</v>
      </c>
      <c r="C1858" s="41">
        <v>1</v>
      </c>
    </row>
    <row r="1859" spans="1:3" x14ac:dyDescent="0.25">
      <c r="A1859" s="41">
        <v>1858</v>
      </c>
      <c r="B1859" s="41">
        <v>0</v>
      </c>
      <c r="C1859" s="41">
        <v>1</v>
      </c>
    </row>
    <row r="1860" spans="1:3" x14ac:dyDescent="0.25">
      <c r="A1860" s="41">
        <v>1859</v>
      </c>
      <c r="B1860" s="41">
        <v>0</v>
      </c>
      <c r="C1860" s="41">
        <v>1</v>
      </c>
    </row>
    <row r="1861" spans="1:3" x14ac:dyDescent="0.25">
      <c r="A1861" s="41">
        <v>1860</v>
      </c>
      <c r="B1861" s="41">
        <v>0</v>
      </c>
      <c r="C1861" s="41">
        <v>1</v>
      </c>
    </row>
    <row r="1862" spans="1:3" x14ac:dyDescent="0.25">
      <c r="A1862" s="41">
        <v>1861</v>
      </c>
      <c r="B1862" s="41">
        <v>0</v>
      </c>
      <c r="C1862" s="41">
        <v>1</v>
      </c>
    </row>
    <row r="1863" spans="1:3" x14ac:dyDescent="0.25">
      <c r="A1863" s="41">
        <v>1862</v>
      </c>
      <c r="B1863" s="41">
        <v>0</v>
      </c>
      <c r="C1863" s="41">
        <v>1</v>
      </c>
    </row>
    <row r="1864" spans="1:3" x14ac:dyDescent="0.25">
      <c r="A1864" s="41">
        <v>1863</v>
      </c>
      <c r="B1864" s="41">
        <v>0</v>
      </c>
      <c r="C1864" s="41">
        <v>1</v>
      </c>
    </row>
    <row r="1865" spans="1:3" x14ac:dyDescent="0.25">
      <c r="A1865" s="41">
        <v>1864</v>
      </c>
      <c r="B1865" s="41">
        <v>0</v>
      </c>
      <c r="C1865" s="41">
        <v>1</v>
      </c>
    </row>
    <row r="1866" spans="1:3" x14ac:dyDescent="0.25">
      <c r="A1866" s="41">
        <v>1865</v>
      </c>
      <c r="B1866" s="41">
        <v>0</v>
      </c>
      <c r="C1866" s="41">
        <v>1</v>
      </c>
    </row>
    <row r="1867" spans="1:3" x14ac:dyDescent="0.25">
      <c r="A1867" s="41">
        <v>1866</v>
      </c>
      <c r="B1867" s="41">
        <v>0</v>
      </c>
      <c r="C1867" s="41">
        <v>1</v>
      </c>
    </row>
    <row r="1868" spans="1:3" x14ac:dyDescent="0.25">
      <c r="A1868" s="41">
        <v>1867</v>
      </c>
      <c r="B1868" s="41">
        <v>0</v>
      </c>
      <c r="C1868" s="41">
        <v>1</v>
      </c>
    </row>
    <row r="1869" spans="1:3" x14ac:dyDescent="0.25">
      <c r="A1869" s="41">
        <v>1868</v>
      </c>
      <c r="B1869" s="41">
        <v>0</v>
      </c>
      <c r="C1869" s="41">
        <v>1</v>
      </c>
    </row>
    <row r="1870" spans="1:3" x14ac:dyDescent="0.25">
      <c r="A1870" s="41">
        <v>1869</v>
      </c>
      <c r="B1870" s="41">
        <v>0</v>
      </c>
      <c r="C1870" s="41">
        <v>1</v>
      </c>
    </row>
    <row r="1871" spans="1:3" x14ac:dyDescent="0.25">
      <c r="A1871" s="41">
        <v>1870</v>
      </c>
      <c r="B1871" s="41">
        <v>0</v>
      </c>
      <c r="C1871" s="41">
        <v>1</v>
      </c>
    </row>
    <row r="1872" spans="1:3" x14ac:dyDescent="0.25">
      <c r="A1872" s="41">
        <v>1871</v>
      </c>
      <c r="B1872" s="41">
        <v>0</v>
      </c>
      <c r="C1872" s="41">
        <v>1</v>
      </c>
    </row>
    <row r="1873" spans="1:3" x14ac:dyDescent="0.25">
      <c r="A1873" s="41">
        <v>1872</v>
      </c>
      <c r="B1873" s="41">
        <v>0</v>
      </c>
      <c r="C1873" s="41">
        <v>1</v>
      </c>
    </row>
    <row r="1874" spans="1:3" x14ac:dyDescent="0.25">
      <c r="A1874" s="41">
        <v>1873</v>
      </c>
      <c r="B1874" s="41">
        <v>0</v>
      </c>
      <c r="C1874" s="41">
        <v>1</v>
      </c>
    </row>
    <row r="1875" spans="1:3" x14ac:dyDescent="0.25">
      <c r="A1875" s="41">
        <v>1874</v>
      </c>
      <c r="B1875" s="41">
        <v>0</v>
      </c>
      <c r="C1875" s="41">
        <v>1</v>
      </c>
    </row>
    <row r="1876" spans="1:3" x14ac:dyDescent="0.25">
      <c r="A1876" s="41">
        <v>1875</v>
      </c>
      <c r="B1876" s="41">
        <v>0</v>
      </c>
      <c r="C1876" s="41">
        <v>1</v>
      </c>
    </row>
    <row r="1877" spans="1:3" x14ac:dyDescent="0.25">
      <c r="A1877" s="41">
        <v>1876</v>
      </c>
      <c r="B1877" s="41">
        <v>0</v>
      </c>
      <c r="C1877" s="41">
        <v>1</v>
      </c>
    </row>
    <row r="1878" spans="1:3" x14ac:dyDescent="0.25">
      <c r="A1878" s="41">
        <v>1877</v>
      </c>
      <c r="B1878" s="41">
        <v>0</v>
      </c>
      <c r="C1878" s="41">
        <v>1</v>
      </c>
    </row>
    <row r="1879" spans="1:3" x14ac:dyDescent="0.25">
      <c r="A1879" s="41">
        <v>1878</v>
      </c>
      <c r="B1879" s="41">
        <v>0</v>
      </c>
      <c r="C1879" s="41">
        <v>1</v>
      </c>
    </row>
    <row r="1880" spans="1:3" x14ac:dyDescent="0.25">
      <c r="A1880" s="41">
        <v>1879</v>
      </c>
      <c r="B1880" s="41">
        <v>0</v>
      </c>
      <c r="C1880" s="41">
        <v>1</v>
      </c>
    </row>
    <row r="1881" spans="1:3" x14ac:dyDescent="0.25">
      <c r="A1881" s="41">
        <v>1880</v>
      </c>
      <c r="B1881" s="41">
        <v>0</v>
      </c>
      <c r="C1881" s="41">
        <v>1</v>
      </c>
    </row>
    <row r="1882" spans="1:3" x14ac:dyDescent="0.25">
      <c r="A1882" s="41">
        <v>1881</v>
      </c>
      <c r="B1882" s="41">
        <v>0</v>
      </c>
      <c r="C1882" s="41">
        <v>1</v>
      </c>
    </row>
    <row r="1883" spans="1:3" x14ac:dyDescent="0.25">
      <c r="A1883" s="41">
        <v>1882</v>
      </c>
      <c r="B1883" s="41">
        <v>0</v>
      </c>
      <c r="C1883" s="41">
        <v>1</v>
      </c>
    </row>
    <row r="1884" spans="1:3" x14ac:dyDescent="0.25">
      <c r="A1884" s="41">
        <v>1883</v>
      </c>
      <c r="B1884" s="41">
        <v>0</v>
      </c>
      <c r="C1884" s="41">
        <v>1</v>
      </c>
    </row>
    <row r="1885" spans="1:3" x14ac:dyDescent="0.25">
      <c r="A1885" s="41">
        <v>1884</v>
      </c>
      <c r="B1885" s="41">
        <v>0</v>
      </c>
      <c r="C1885" s="41">
        <v>1</v>
      </c>
    </row>
    <row r="1886" spans="1:3" x14ac:dyDescent="0.25">
      <c r="A1886" s="41">
        <v>1885</v>
      </c>
      <c r="B1886" s="41">
        <v>0</v>
      </c>
      <c r="C1886" s="41">
        <v>1</v>
      </c>
    </row>
    <row r="1887" spans="1:3" x14ac:dyDescent="0.25">
      <c r="A1887" s="41">
        <v>1886</v>
      </c>
      <c r="B1887" s="41">
        <v>0</v>
      </c>
      <c r="C1887" s="41">
        <v>1</v>
      </c>
    </row>
    <row r="1888" spans="1:3" x14ac:dyDescent="0.25">
      <c r="A1888" s="41">
        <v>1887</v>
      </c>
      <c r="B1888" s="41">
        <v>0</v>
      </c>
      <c r="C1888" s="41">
        <v>1</v>
      </c>
    </row>
    <row r="1889" spans="1:3" x14ac:dyDescent="0.25">
      <c r="A1889" s="41">
        <v>1888</v>
      </c>
      <c r="B1889" s="41">
        <v>0</v>
      </c>
      <c r="C1889" s="41">
        <v>1</v>
      </c>
    </row>
    <row r="1890" spans="1:3" x14ac:dyDescent="0.25">
      <c r="A1890" s="41">
        <v>1889</v>
      </c>
      <c r="B1890" s="41">
        <v>0</v>
      </c>
      <c r="C1890" s="41">
        <v>1</v>
      </c>
    </row>
    <row r="1891" spans="1:3" x14ac:dyDescent="0.25">
      <c r="A1891" s="41">
        <v>1890</v>
      </c>
      <c r="B1891" s="41">
        <v>0</v>
      </c>
      <c r="C1891" s="41">
        <v>1</v>
      </c>
    </row>
    <row r="1892" spans="1:3" x14ac:dyDescent="0.25">
      <c r="A1892" s="41">
        <v>1891</v>
      </c>
      <c r="B1892" s="41">
        <v>0</v>
      </c>
      <c r="C1892" s="41">
        <v>1</v>
      </c>
    </row>
    <row r="1893" spans="1:3" x14ac:dyDescent="0.25">
      <c r="A1893" s="41">
        <v>1892</v>
      </c>
      <c r="B1893" s="41">
        <v>0</v>
      </c>
      <c r="C1893" s="41">
        <v>1</v>
      </c>
    </row>
    <row r="1894" spans="1:3" x14ac:dyDescent="0.25">
      <c r="A1894" s="41">
        <v>1893</v>
      </c>
      <c r="B1894" s="41">
        <v>0</v>
      </c>
      <c r="C1894" s="41">
        <v>1</v>
      </c>
    </row>
    <row r="1895" spans="1:3" x14ac:dyDescent="0.25">
      <c r="A1895" s="41">
        <v>1894</v>
      </c>
      <c r="B1895" s="41">
        <v>0</v>
      </c>
      <c r="C1895" s="41">
        <v>1</v>
      </c>
    </row>
    <row r="1896" spans="1:3" x14ac:dyDescent="0.25">
      <c r="A1896" s="41">
        <v>1895</v>
      </c>
      <c r="B1896" s="41">
        <v>0</v>
      </c>
      <c r="C1896" s="41">
        <v>1</v>
      </c>
    </row>
    <row r="1897" spans="1:3" x14ac:dyDescent="0.25">
      <c r="A1897" s="41">
        <v>1896</v>
      </c>
      <c r="B1897" s="41">
        <v>0</v>
      </c>
      <c r="C1897" s="41">
        <v>1</v>
      </c>
    </row>
    <row r="1898" spans="1:3" x14ac:dyDescent="0.25">
      <c r="A1898" s="41">
        <v>1897</v>
      </c>
      <c r="B1898" s="41">
        <v>0</v>
      </c>
      <c r="C1898" s="41">
        <v>1</v>
      </c>
    </row>
    <row r="1899" spans="1:3" x14ac:dyDescent="0.25">
      <c r="A1899" s="41">
        <v>1898</v>
      </c>
      <c r="B1899" s="41">
        <v>0</v>
      </c>
      <c r="C1899" s="41">
        <v>1</v>
      </c>
    </row>
    <row r="1900" spans="1:3" x14ac:dyDescent="0.25">
      <c r="A1900" s="41">
        <v>1899</v>
      </c>
      <c r="B1900" s="41">
        <v>0</v>
      </c>
      <c r="C1900" s="41">
        <v>1</v>
      </c>
    </row>
    <row r="1901" spans="1:3" x14ac:dyDescent="0.25">
      <c r="A1901" s="41">
        <v>1900</v>
      </c>
      <c r="B1901" s="41">
        <v>0</v>
      </c>
      <c r="C1901" s="41">
        <v>0</v>
      </c>
    </row>
    <row r="1902" spans="1:3" x14ac:dyDescent="0.25">
      <c r="A1902" s="41">
        <v>1901</v>
      </c>
      <c r="B1902" s="41">
        <v>0</v>
      </c>
      <c r="C1902" s="41">
        <v>1</v>
      </c>
    </row>
    <row r="1903" spans="1:3" x14ac:dyDescent="0.25">
      <c r="A1903" s="41">
        <v>1902</v>
      </c>
      <c r="B1903" s="41">
        <v>0</v>
      </c>
      <c r="C1903" s="41">
        <v>1</v>
      </c>
    </row>
  </sheetData>
  <conditionalFormatting sqref="V2:V1501">
    <cfRule type="cellIs" dxfId="0" priority="1" operator="notEqual">
      <formula>0</formula>
    </cfRule>
  </conditionalFormatting>
  <pageMargins left="0.7" right="0.7" top="0.78740157499999996" bottom="0.78740157499999996"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3"/>
  <dimension ref="A1:BQ190"/>
  <sheetViews>
    <sheetView zoomScale="60" zoomScaleNormal="60" workbookViewId="0">
      <selection activeCell="B6" sqref="B6"/>
    </sheetView>
  </sheetViews>
  <sheetFormatPr defaultColWidth="11.44140625" defaultRowHeight="13.2" x14ac:dyDescent="0.25"/>
  <cols>
    <col min="1" max="1" width="13.5546875" style="41" customWidth="1"/>
    <col min="2" max="11" width="12.5546875" style="41" customWidth="1"/>
    <col min="12" max="12" width="11.5546875" style="41" customWidth="1"/>
    <col min="13" max="13" width="12.44140625" style="41" customWidth="1"/>
    <col min="14" max="25" width="12.5546875" style="41" customWidth="1"/>
    <col min="26" max="16384" width="11.44140625" style="41"/>
  </cols>
  <sheetData>
    <row r="1" spans="1:36" ht="13.8" thickBot="1" x14ac:dyDescent="0.3">
      <c r="A1" s="720" t="s">
        <v>190</v>
      </c>
      <c r="B1" s="720">
        <v>0.1</v>
      </c>
      <c r="D1" s="721" t="s">
        <v>196</v>
      </c>
      <c r="E1" s="721">
        <f>$B$1*PlotData!$CB$5</f>
        <v>16.970562748477143</v>
      </c>
      <c r="G1" s="670" t="s">
        <v>220</v>
      </c>
      <c r="H1" s="671">
        <v>0.25</v>
      </c>
      <c r="M1" s="722" t="s">
        <v>221</v>
      </c>
      <c r="N1" s="722"/>
      <c r="O1" s="723">
        <f>Knoten!A53</f>
        <v>1</v>
      </c>
      <c r="Q1" s="721" t="s">
        <v>194</v>
      </c>
      <c r="R1" s="721">
        <f>Knoten!AG19</f>
        <v>4.2451320831080164</v>
      </c>
      <c r="T1" s="721" t="s">
        <v>178</v>
      </c>
      <c r="U1" s="721">
        <f>System!$BD$119</f>
        <v>-80</v>
      </c>
      <c r="W1" s="721" t="s">
        <v>222</v>
      </c>
      <c r="X1" s="721">
        <f>System!$BG$119</f>
        <v>40</v>
      </c>
    </row>
    <row r="2" spans="1:36" ht="13.8" thickBot="1" x14ac:dyDescent="0.3"/>
    <row r="3" spans="1:36" s="4" customFormat="1" ht="22.5" customHeight="1" thickBot="1" x14ac:dyDescent="0.35">
      <c r="K3" s="724" t="s">
        <v>223</v>
      </c>
      <c r="L3" s="724"/>
      <c r="M3" s="724"/>
      <c r="N3" s="724"/>
      <c r="AC3" s="725" t="s">
        <v>224</v>
      </c>
      <c r="AD3" s="726">
        <f>Knoten!AG19</f>
        <v>4.2451320831080164</v>
      </c>
    </row>
    <row r="4" spans="1:36" ht="24.75" customHeight="1" thickBot="1" x14ac:dyDescent="0.3">
      <c r="E4" s="41" t="s">
        <v>225</v>
      </c>
      <c r="Q4" s="41" t="s">
        <v>226</v>
      </c>
      <c r="Y4" s="4" t="s">
        <v>227</v>
      </c>
      <c r="Z4" s="4"/>
    </row>
    <row r="5" spans="1:36" ht="21.75" customHeight="1" thickBot="1" x14ac:dyDescent="0.3">
      <c r="A5" s="1340" t="s">
        <v>1221</v>
      </c>
      <c r="B5" s="1342"/>
      <c r="C5" s="1340" t="s">
        <v>16</v>
      </c>
      <c r="D5" s="1341"/>
      <c r="E5" s="1341"/>
      <c r="F5" s="1342"/>
      <c r="G5" s="1340" t="s">
        <v>228</v>
      </c>
      <c r="H5" s="1341"/>
      <c r="I5" s="1341"/>
      <c r="J5" s="1342"/>
      <c r="K5" s="727" t="s">
        <v>229</v>
      </c>
      <c r="N5" s="1340" t="s">
        <v>1222</v>
      </c>
      <c r="O5" s="1342"/>
      <c r="P5" s="1340" t="s">
        <v>16</v>
      </c>
      <c r="Q5" s="1341"/>
      <c r="R5" s="1341"/>
      <c r="S5" s="1342"/>
      <c r="T5" s="1340" t="s">
        <v>228</v>
      </c>
      <c r="U5" s="1341"/>
      <c r="V5" s="1341"/>
      <c r="W5" s="1342"/>
      <c r="Y5" s="728" t="s">
        <v>15</v>
      </c>
      <c r="Z5" s="729"/>
      <c r="AA5" s="729"/>
      <c r="AC5" s="398" t="s">
        <v>16</v>
      </c>
      <c r="AD5" s="402" t="s">
        <v>17</v>
      </c>
      <c r="AE5" s="730" t="s">
        <v>18</v>
      </c>
      <c r="AF5" s="731" t="s">
        <v>19</v>
      </c>
      <c r="AG5" s="398" t="s">
        <v>34</v>
      </c>
      <c r="AH5" s="732" t="s">
        <v>35</v>
      </c>
      <c r="AI5" s="398" t="s">
        <v>230</v>
      </c>
      <c r="AJ5" s="402" t="s">
        <v>231</v>
      </c>
    </row>
    <row r="6" spans="1:36" x14ac:dyDescent="0.25">
      <c r="A6" s="733">
        <v>1</v>
      </c>
      <c r="B6" s="734">
        <f>1-ABS(SIGN(Knoten!F3))</f>
        <v>0</v>
      </c>
      <c r="C6" s="735">
        <f>IF(ISNUMBER(Knoten!C3),Knoten!C3-$U$1,PlotData!$CB$3)</f>
        <v>20</v>
      </c>
      <c r="D6" s="736">
        <f>IF(ISNUMBER(Knoten!C3),C6+($D$26*COS(K6*PI()/180)*B6-$H$26*SIN(K6*PI()/180))*B6,C6)</f>
        <v>20</v>
      </c>
      <c r="E6" s="737">
        <f>IF(ISNUMBER(Knoten!C3),C6+($E$26*COS(K6*PI()/180)*B6-$I$26*SIN(K6*PI()/180))*B6,C6)</f>
        <v>20</v>
      </c>
      <c r="F6" s="738">
        <f t="shared" ref="F6:F22" si="0">C6</f>
        <v>20</v>
      </c>
      <c r="G6" s="735">
        <f>IF(ISNUMBER(Knoten!D3),Knoten!D3-$X$1,PlotData!$CB$4)</f>
        <v>-40</v>
      </c>
      <c r="H6" s="739">
        <f>IF(ISNUMBER(Knoten!D3),G6+$D$26*(SIN(K6*PI()/180))*B6+$H$26*COS(K6*PI()/180)*B6,G6)</f>
        <v>-40</v>
      </c>
      <c r="I6" s="737">
        <f>IF(ISNUMBER(Knoten!D3),G6+$E$26*(SIN(K6*PI()/180))*B6+$I$26*COS(K6*PI()/180)*B6,G6)</f>
        <v>-40</v>
      </c>
      <c r="J6" s="738">
        <f t="shared" ref="J6:J22" si="1">G6</f>
        <v>-40</v>
      </c>
      <c r="K6" s="740">
        <f>-Knoten!W3</f>
        <v>0</v>
      </c>
      <c r="N6" s="733">
        <v>1</v>
      </c>
      <c r="O6" s="741">
        <f>1-ABS(SIGN(Knoten!F3))</f>
        <v>0</v>
      </c>
      <c r="P6" s="742">
        <f>IF(ISNUMBER(Knoten!C3),Z6,PlotData!$CB$3)</f>
        <v>23.626678459402886</v>
      </c>
      <c r="Q6" s="737">
        <f>IF(ISNUMBER(Knoten!C3),P6+($Q$26*COS(K6*PI()/180)*O6-$U$26*SIN(K6*PI()/180))*O6,P6)</f>
        <v>23.626678459402886</v>
      </c>
      <c r="R6" s="737">
        <f>IF(ISNUMBER(Knoten!C3),P6+($R$26*COS(K6*PI()/180)*O6-$V$26*SIN(K6*PI()/180))*O6,P6)</f>
        <v>23.626678459402886</v>
      </c>
      <c r="S6" s="743">
        <f t="shared" ref="S6:S22" si="2">P6</f>
        <v>23.626678459402886</v>
      </c>
      <c r="T6" s="742">
        <f>IF(ISNUMBER(Knoten!D3),AA6,PlotData!$CB$4)</f>
        <v>-46.105451176718191</v>
      </c>
      <c r="U6" s="737">
        <f>IF(ISNUMBER(Knoten!D3),T6+($Q$26*SIN(K6*PI()/180)*O6+$U$26*COS(K6*PI()/180))*O6,T6)</f>
        <v>-46.105451176718191</v>
      </c>
      <c r="V6" s="737">
        <f>IF(ISNUMBER(Knoten!D3),T6+($R$26*SIN(K6*PI()/180)*O6+$V$26*COS(K6*PI()/180))*O6,T6)</f>
        <v>-46.105451176718191</v>
      </c>
      <c r="W6" s="743">
        <f t="shared" ref="W6:W22" si="3">T6</f>
        <v>-46.105451176718191</v>
      </c>
      <c r="Y6" s="744">
        <v>1</v>
      </c>
      <c r="Z6" s="735">
        <f>AC6+AE6+AG6</f>
        <v>23.626678459402886</v>
      </c>
      <c r="AA6" s="735">
        <f>AD6+AF6+AH6</f>
        <v>-46.105451176718191</v>
      </c>
      <c r="AC6" s="745">
        <f>Knoten!C3-$U$1</f>
        <v>20</v>
      </c>
      <c r="AD6" s="632">
        <f>Knoten!D3-$X$1</f>
        <v>-40</v>
      </c>
      <c r="AE6" s="745">
        <f>$AD$3*(Knoten!$K3*$AJ6 + Knoten!$L3*$AI6)</f>
        <v>3.6266784594028842</v>
      </c>
      <c r="AF6" s="632">
        <f>$AD$3*(-Knoten!$K3*$AI6 + Knoten!$L3*$AJ6)</f>
        <v>-6.1054511767181907</v>
      </c>
      <c r="AG6" s="745">
        <f>$AD$3*(Knoten!$AB3*$AJ6 + Knoten!$AC3*$AI6)</f>
        <v>0</v>
      </c>
      <c r="AH6" s="632">
        <f>$AD$3*(-Knoten!$AB3*$AI6 + Knoten!$AC3*$AJ6)</f>
        <v>0</v>
      </c>
      <c r="AI6" s="746">
        <f>SIN(Knoten!$W3*PI()/180)</f>
        <v>0</v>
      </c>
      <c r="AJ6" s="747">
        <f>COS(Knoten!$W3*PI()/180)</f>
        <v>1</v>
      </c>
    </row>
    <row r="7" spans="1:36" x14ac:dyDescent="0.25">
      <c r="A7" s="748">
        <v>2</v>
      </c>
      <c r="B7" s="734">
        <f>1-ABS(SIGN(Knoten!F4))</f>
        <v>1</v>
      </c>
      <c r="C7" s="749">
        <f>IF(ISNUMBER(Knoten!C4),Knoten!C4-$U$1,PlotData!$CB$3)</f>
        <v>100</v>
      </c>
      <c r="D7" s="736">
        <f>IF(ISNUMBER(Knoten!C4),C7+($D$26*COS(K7*PI()/180)*B7-$H$26*SIN(K7*PI()/180))*B7,C7)</f>
        <v>108.48528137423857</v>
      </c>
      <c r="E7" s="737">
        <f>IF(ISNUMBER(Knoten!C4),C7+($E$26*COS(K7*PI()/180)*B7-$I$26*SIN(K7*PI()/180))*B7,C7)</f>
        <v>91.514718625761432</v>
      </c>
      <c r="F7" s="738">
        <f t="shared" si="0"/>
        <v>100</v>
      </c>
      <c r="G7" s="749">
        <f>IF(ISNUMBER(Knoten!D4),Knoten!D4-$X$1,PlotData!$CB$4)</f>
        <v>20</v>
      </c>
      <c r="H7" s="739">
        <f>IF(ISNUMBER(Knoten!D4),G7+$D$26*(SIN(K7*PI()/180))*B7+$H$26*COS(K7*PI()/180)*B7,G7)</f>
        <v>34.696507340181206</v>
      </c>
      <c r="I7" s="737">
        <f>IF(ISNUMBER(Knoten!D4),G7+$E$26*(SIN(K7*PI()/180))*B7+$I$26*COS(K7*PI()/180)*B7,G7)</f>
        <v>34.696507340181206</v>
      </c>
      <c r="J7" s="738">
        <f t="shared" si="1"/>
        <v>20</v>
      </c>
      <c r="K7" s="740">
        <f>-Knoten!W4</f>
        <v>0</v>
      </c>
      <c r="N7" s="748">
        <v>2</v>
      </c>
      <c r="O7" s="734">
        <f>1-ABS(SIGN(Knoten!F4))</f>
        <v>1</v>
      </c>
      <c r="P7" s="742">
        <f>IF(ISNUMBER(Knoten!C4),Z7,PlotData!$CB$3)</f>
        <v>100</v>
      </c>
      <c r="Q7" s="737">
        <f>IF(ISNUMBER(Knoten!C4),P7+($Q$26*COS(K7*PI()/180)*O7-$U$26*SIN(K7*PI()/180))*O7,P7)</f>
        <v>108.48528137423857</v>
      </c>
      <c r="R7" s="737">
        <f>IF(ISNUMBER(Knoten!C4),P7+($R$26*COS(K7*PI()/180)*O7-$V$26*SIN(K7*PI()/180))*O7,P7)</f>
        <v>91.514718625761432</v>
      </c>
      <c r="S7" s="743">
        <f t="shared" si="2"/>
        <v>100</v>
      </c>
      <c r="T7" s="742">
        <f>IF(ISNUMBER(Knoten!D4),AA7,PlotData!$CB$4)</f>
        <v>20</v>
      </c>
      <c r="U7" s="737">
        <f>IF(ISNUMBER(Knoten!D4),T7+($Q$26*SIN(K7*PI()/180)*O7+$U$26*COS(K7*PI()/180))*O7,T7)</f>
        <v>34.696507340181206</v>
      </c>
      <c r="V7" s="737">
        <f>IF(ISNUMBER(Knoten!D4),T7+($R$26*SIN(K7*PI()/180)*O7+$V$26*COS(K7*PI()/180))*O7,T7)</f>
        <v>34.696507340181206</v>
      </c>
      <c r="W7" s="743">
        <f t="shared" si="3"/>
        <v>20</v>
      </c>
      <c r="Y7" s="750">
        <v>2</v>
      </c>
      <c r="Z7" s="749">
        <f>AC7+AE7+AG7</f>
        <v>100</v>
      </c>
      <c r="AA7" s="749">
        <f t="shared" ref="AA7:AA25" si="4">AD7+AF7+AH7</f>
        <v>20</v>
      </c>
      <c r="AC7" s="668">
        <f>Knoten!C4-$U$1</f>
        <v>100</v>
      </c>
      <c r="AD7" s="639">
        <f>Knoten!D4-$X$1</f>
        <v>20</v>
      </c>
      <c r="AE7" s="668">
        <f>$AD$3*(Knoten!$K4*$AJ7 + Knoten!$L4*$AI7)</f>
        <v>0</v>
      </c>
      <c r="AF7" s="639">
        <f>$AD$3*(-Knoten!$K4*$AI7 + Knoten!$L4*$AJ7)</f>
        <v>0</v>
      </c>
      <c r="AG7" s="668">
        <f>$AD$3*(Knoten!$AB4*$AJ7 + Knoten!$AC4*$AI7)</f>
        <v>0</v>
      </c>
      <c r="AH7" s="639">
        <f>$AD$3*(-Knoten!$AB4*$AI7 + Knoten!$AC4*$AJ7)</f>
        <v>0</v>
      </c>
      <c r="AI7" s="668">
        <f>SIN(Knoten!$W4*PI()/180)</f>
        <v>0</v>
      </c>
      <c r="AJ7" s="639">
        <f>COS(Knoten!$W4*PI()/180)</f>
        <v>1</v>
      </c>
    </row>
    <row r="8" spans="1:36" x14ac:dyDescent="0.25">
      <c r="A8" s="748">
        <v>3</v>
      </c>
      <c r="B8" s="734">
        <f>1-ABS(SIGN(Knoten!F5))</f>
        <v>1</v>
      </c>
      <c r="C8" s="749">
        <f>IF(ISNUMBER(Knoten!C5),Knoten!C5-$U$1,PlotData!$CB$3)</f>
        <v>20</v>
      </c>
      <c r="D8" s="736">
        <f>IF(ISNUMBER(Knoten!C5),C8+($D$26*COS(K8*PI()/180)*B8-$H$26*SIN(K8*PI()/180))*B8,C8)</f>
        <v>28.485281374238571</v>
      </c>
      <c r="E8" s="737">
        <f>IF(ISNUMBER(Knoten!C5),C8+($E$26*COS(K8*PI()/180)*B8-$I$26*SIN(K8*PI()/180))*B8,C8)</f>
        <v>11.514718625761429</v>
      </c>
      <c r="F8" s="738">
        <f t="shared" si="0"/>
        <v>20</v>
      </c>
      <c r="G8" s="749">
        <f>IF(ISNUMBER(Knoten!D5),Knoten!D5-$X$1,PlotData!$CB$4)</f>
        <v>20</v>
      </c>
      <c r="H8" s="739">
        <f>IF(ISNUMBER(Knoten!D5),G8+$D$26*(SIN(K8*PI()/180))*B8+$H$26*COS(K8*PI()/180)*B8,G8)</f>
        <v>34.696507340181206</v>
      </c>
      <c r="I8" s="737">
        <f>IF(ISNUMBER(Knoten!D5),G8+$E$26*(SIN(K8*PI()/180))*B8+$I$26*COS(K8*PI()/180)*B8,G8)</f>
        <v>34.696507340181206</v>
      </c>
      <c r="J8" s="738">
        <f t="shared" si="1"/>
        <v>20</v>
      </c>
      <c r="K8" s="740">
        <f>-Knoten!W5</f>
        <v>0</v>
      </c>
      <c r="N8" s="748">
        <v>3</v>
      </c>
      <c r="O8" s="734">
        <f>1-ABS(SIGN(Knoten!F5))</f>
        <v>1</v>
      </c>
      <c r="P8" s="742">
        <f>IF(ISNUMBER(Knoten!C5),Z8,PlotData!$CB$3)</f>
        <v>20</v>
      </c>
      <c r="Q8" s="737">
        <f>IF(ISNUMBER(Knoten!C5),P8+($Q$26*COS(K8*PI()/180)*O8-$U$26*SIN(K8*PI()/180))*O8,P8)</f>
        <v>28.485281374238571</v>
      </c>
      <c r="R8" s="737">
        <f>IF(ISNUMBER(Knoten!C5),P8+($R$26*COS(K8*PI()/180)*O8-$V$26*SIN(K8*PI()/180))*O8,P8)</f>
        <v>11.514718625761429</v>
      </c>
      <c r="S8" s="743">
        <f t="shared" si="2"/>
        <v>20</v>
      </c>
      <c r="T8" s="742">
        <f>IF(ISNUMBER(Knoten!D5),AA8,PlotData!$CB$4)</f>
        <v>20</v>
      </c>
      <c r="U8" s="737">
        <f>IF(ISNUMBER(Knoten!D5),T8+($Q$26*SIN(K8*PI()/180)*O8+$U$26*COS(K8*PI()/180))*O8,T8)</f>
        <v>34.696507340181206</v>
      </c>
      <c r="V8" s="737">
        <f>IF(ISNUMBER(Knoten!D5),T8+($R$26*SIN(K8*PI()/180)*O8+$V$26*COS(K8*PI()/180))*O8,T8)</f>
        <v>34.696507340181206</v>
      </c>
      <c r="W8" s="743">
        <f t="shared" si="3"/>
        <v>20</v>
      </c>
      <c r="Y8" s="750">
        <v>3</v>
      </c>
      <c r="Z8" s="749">
        <f t="shared" ref="Z8:Z25" si="5">AC8+AE8+AG8</f>
        <v>20</v>
      </c>
      <c r="AA8" s="749">
        <f t="shared" si="4"/>
        <v>20</v>
      </c>
      <c r="AC8" s="668">
        <f>Knoten!C5-$U$1</f>
        <v>20</v>
      </c>
      <c r="AD8" s="639">
        <f>Knoten!D5-$X$1</f>
        <v>20</v>
      </c>
      <c r="AE8" s="668">
        <f>$AD$3*(Knoten!$K5*$AJ8 + Knoten!$L5*$AI8)</f>
        <v>0</v>
      </c>
      <c r="AF8" s="639">
        <f>$AD$3*(-Knoten!$K5*$AI8 + Knoten!$L5*$AJ8)</f>
        <v>0</v>
      </c>
      <c r="AG8" s="668">
        <f>$AD$3*(Knoten!$AB5*$AJ8 + Knoten!$AC5*$AI8)</f>
        <v>0</v>
      </c>
      <c r="AH8" s="639">
        <f>$AD$3*(-Knoten!$AB5*$AI8 + Knoten!$AC5*$AJ8)</f>
        <v>0</v>
      </c>
      <c r="AI8" s="668">
        <f>SIN(Knoten!$W5*PI()/180)</f>
        <v>0</v>
      </c>
      <c r="AJ8" s="639">
        <f>COS(Knoten!$W5*PI()/180)</f>
        <v>1</v>
      </c>
    </row>
    <row r="9" spans="1:36" x14ac:dyDescent="0.25">
      <c r="A9" s="748">
        <v>4</v>
      </c>
      <c r="B9" s="734">
        <f>1-ABS(SIGN(Knoten!F6))</f>
        <v>1</v>
      </c>
      <c r="C9" s="749">
        <f>IF(ISNUMBER(Knoten!C6),Knoten!C6-$U$1,PlotData!$CB$3)</f>
        <v>60</v>
      </c>
      <c r="D9" s="736">
        <f>IF(ISNUMBER(Knoten!C6),C9+($D$26*COS(K9*PI()/180)*B9-$H$26*SIN(K9*PI()/180))*B9,C9)</f>
        <v>68.485281374238568</v>
      </c>
      <c r="E9" s="737">
        <f>IF(ISNUMBER(Knoten!C6),C9+($E$26*COS(K9*PI()/180)*B9-$I$26*SIN(K9*PI()/180))*B9,C9)</f>
        <v>51.514718625761432</v>
      </c>
      <c r="F9" s="738">
        <f t="shared" si="0"/>
        <v>60</v>
      </c>
      <c r="G9" s="749">
        <f>IF(ISNUMBER(Knoten!D6),Knoten!D6-$X$1,PlotData!$CB$4)</f>
        <v>-100</v>
      </c>
      <c r="H9" s="739">
        <f>IF(ISNUMBER(Knoten!D6),G9+$D$26*(SIN(K9*PI()/180))*B9+$H$26*COS(K9*PI()/180)*B9,G9)</f>
        <v>-85.303492659818801</v>
      </c>
      <c r="I9" s="737">
        <f>IF(ISNUMBER(Knoten!D6),G9+$E$26*(SIN(K9*PI()/180))*B9+$I$26*COS(K9*PI()/180)*B9,G9)</f>
        <v>-85.303492659818801</v>
      </c>
      <c r="J9" s="738">
        <f t="shared" si="1"/>
        <v>-100</v>
      </c>
      <c r="K9" s="740">
        <f>-Knoten!W6</f>
        <v>0</v>
      </c>
      <c r="N9" s="748">
        <v>4</v>
      </c>
      <c r="O9" s="734">
        <f>1-ABS(SIGN(Knoten!F6))</f>
        <v>1</v>
      </c>
      <c r="P9" s="742">
        <f>IF(ISNUMBER(Knoten!C6),Z9,PlotData!$CB$3)</f>
        <v>60</v>
      </c>
      <c r="Q9" s="737">
        <f>IF(ISNUMBER(Knoten!C6),P9+($Q$26*COS(K9*PI()/180)*O9-$U$26*SIN(K9*PI()/180))*O9,P9)</f>
        <v>68.485281374238568</v>
      </c>
      <c r="R9" s="737">
        <f>IF(ISNUMBER(Knoten!C6),P9+($R$26*COS(K9*PI()/180)*O9-$V$26*SIN(K9*PI()/180))*O9,P9)</f>
        <v>51.514718625761432</v>
      </c>
      <c r="S9" s="743">
        <f t="shared" si="2"/>
        <v>60</v>
      </c>
      <c r="T9" s="742">
        <f>IF(ISNUMBER(Knoten!D6),AA9,PlotData!$CB$4)</f>
        <v>-100</v>
      </c>
      <c r="U9" s="737">
        <f>IF(ISNUMBER(Knoten!D6),T9+($Q$26*SIN(K9*PI()/180)*O9+$U$26*COS(K9*PI()/180))*O9,T9)</f>
        <v>-85.303492659818801</v>
      </c>
      <c r="V9" s="737">
        <f>IF(ISNUMBER(Knoten!D6),T9+($R$26*SIN(K9*PI()/180)*O9+$V$26*COS(K9*PI()/180))*O9,T9)</f>
        <v>-85.303492659818801</v>
      </c>
      <c r="W9" s="743">
        <f t="shared" si="3"/>
        <v>-100</v>
      </c>
      <c r="Y9" s="750">
        <v>4</v>
      </c>
      <c r="Z9" s="749">
        <f t="shared" si="5"/>
        <v>60</v>
      </c>
      <c r="AA9" s="749">
        <f t="shared" si="4"/>
        <v>-100</v>
      </c>
      <c r="AC9" s="668">
        <f>Knoten!C6-$U$1</f>
        <v>60</v>
      </c>
      <c r="AD9" s="639">
        <f>Knoten!D6-$X$1</f>
        <v>-100</v>
      </c>
      <c r="AE9" s="668">
        <f>$AD$3*(Knoten!$K6*$AJ9 + Knoten!$L6*$AI9)</f>
        <v>0</v>
      </c>
      <c r="AF9" s="639">
        <f>$AD$3*(-Knoten!$K6*$AI9 + Knoten!$L6*$AJ9)</f>
        <v>0</v>
      </c>
      <c r="AG9" s="668">
        <f>$AD$3*(Knoten!$AB6*$AJ9 + Knoten!$AC6*$AI9)</f>
        <v>0</v>
      </c>
      <c r="AH9" s="639">
        <f>$AD$3*(-Knoten!$AB6*$AI9 + Knoten!$AC6*$AJ9)</f>
        <v>0</v>
      </c>
      <c r="AI9" s="668">
        <f>SIN(Knoten!$W6*PI()/180)</f>
        <v>0</v>
      </c>
      <c r="AJ9" s="639">
        <f>COS(Knoten!$W6*PI()/180)</f>
        <v>1</v>
      </c>
    </row>
    <row r="10" spans="1:36" x14ac:dyDescent="0.25">
      <c r="A10" s="748">
        <v>5</v>
      </c>
      <c r="B10" s="734">
        <f>1-ABS(SIGN(Knoten!F7))</f>
        <v>1</v>
      </c>
      <c r="C10" s="749">
        <f>IF(ISNUMBER(Knoten!C7),Knoten!C7-$U$1,PlotData!$CB$3)</f>
        <v>-50</v>
      </c>
      <c r="D10" s="736">
        <f>IF(ISNUMBER(Knoten!C7),C10+($D$26*COS(K10*PI()/180)*B10-$H$26*SIN(K10*PI()/180))*B10,C10)</f>
        <v>-41.514718625761432</v>
      </c>
      <c r="E10" s="737">
        <f>IF(ISNUMBER(Knoten!C7),C10+($E$26*COS(K10*PI()/180)*B10-$I$26*SIN(K10*PI()/180))*B10,C10)</f>
        <v>-58.485281374238568</v>
      </c>
      <c r="F10" s="738">
        <f t="shared" si="0"/>
        <v>-50</v>
      </c>
      <c r="G10" s="749">
        <f>IF(ISNUMBER(Knoten!D7),Knoten!D7-$X$1,PlotData!$CB$4)</f>
        <v>-70</v>
      </c>
      <c r="H10" s="739">
        <f>IF(ISNUMBER(Knoten!D7),G10+$D$26*(SIN(K10*PI()/180))*B10+$H$26*COS(K10*PI()/180)*B10,G10)</f>
        <v>-55.303492659818794</v>
      </c>
      <c r="I10" s="737">
        <f>IF(ISNUMBER(Knoten!D7),G10+$E$26*(SIN(K10*PI()/180))*B10+$I$26*COS(K10*PI()/180)*B10,G10)</f>
        <v>-55.303492659818794</v>
      </c>
      <c r="J10" s="738">
        <f t="shared" si="1"/>
        <v>-70</v>
      </c>
      <c r="K10" s="740">
        <f>-Knoten!W7</f>
        <v>0</v>
      </c>
      <c r="N10" s="748">
        <v>5</v>
      </c>
      <c r="O10" s="734">
        <f>1-ABS(SIGN(Knoten!F7))</f>
        <v>1</v>
      </c>
      <c r="P10" s="742">
        <f>IF(ISNUMBER(Knoten!C7),Z10,PlotData!$CB$3)</f>
        <v>-50</v>
      </c>
      <c r="Q10" s="737">
        <f>IF(ISNUMBER(Knoten!C7),P10+($Q$26*COS(K10*PI()/180)*O10-$U$26*SIN(K10*PI()/180))*O10,P10)</f>
        <v>-41.514718625761432</v>
      </c>
      <c r="R10" s="737">
        <f>IF(ISNUMBER(Knoten!C7),P10+($R$26*COS(K10*PI()/180)*O10-$V$26*SIN(K10*PI()/180))*O10,P10)</f>
        <v>-58.485281374238568</v>
      </c>
      <c r="S10" s="743">
        <f t="shared" si="2"/>
        <v>-50</v>
      </c>
      <c r="T10" s="742">
        <f>IF(ISNUMBER(Knoten!D7),AA10,PlotData!$CB$4)</f>
        <v>-70</v>
      </c>
      <c r="U10" s="737">
        <f>IF(ISNUMBER(Knoten!D7),T10+($Q$26*SIN(K10*PI()/180)*O10+$U$26*COS(K10*PI()/180))*O10,T10)</f>
        <v>-55.303492659818794</v>
      </c>
      <c r="V10" s="737">
        <f>IF(ISNUMBER(Knoten!D7),T10+($R$26*SIN(K10*PI()/180)*O10+$V$26*COS(K10*PI()/180))*O10,T10)</f>
        <v>-55.303492659818794</v>
      </c>
      <c r="W10" s="743">
        <f t="shared" si="3"/>
        <v>-70</v>
      </c>
      <c r="Y10" s="750">
        <v>5</v>
      </c>
      <c r="Z10" s="749">
        <f t="shared" si="5"/>
        <v>-50</v>
      </c>
      <c r="AA10" s="749">
        <f t="shared" si="4"/>
        <v>-70</v>
      </c>
      <c r="AC10" s="668">
        <f>Knoten!C7-$U$1</f>
        <v>-50</v>
      </c>
      <c r="AD10" s="639">
        <f>Knoten!D7-$X$1</f>
        <v>-70</v>
      </c>
      <c r="AE10" s="668">
        <f>$AD$3*(Knoten!$K7*$AJ10 + Knoten!$L7*$AI10)</f>
        <v>0</v>
      </c>
      <c r="AF10" s="639">
        <f>$AD$3*(-Knoten!$K7*$AI10 + Knoten!$L7*$AJ10)</f>
        <v>0</v>
      </c>
      <c r="AG10" s="668">
        <f>$AD$3*(Knoten!$AB7*$AJ10 + Knoten!$AC7*$AI10)</f>
        <v>0</v>
      </c>
      <c r="AH10" s="639">
        <f>$AD$3*(-Knoten!$AB7*$AI10 + Knoten!$AC7*$AJ10)</f>
        <v>0</v>
      </c>
      <c r="AI10" s="668">
        <f>SIN(Knoten!$W7*PI()/180)</f>
        <v>0</v>
      </c>
      <c r="AJ10" s="639">
        <f>COS(Knoten!$W7*PI()/180)</f>
        <v>1</v>
      </c>
    </row>
    <row r="11" spans="1:36" x14ac:dyDescent="0.25">
      <c r="A11" s="748">
        <v>6</v>
      </c>
      <c r="B11" s="734">
        <f>1-ABS(SIGN(Knoten!F8))</f>
        <v>1</v>
      </c>
      <c r="C11" s="749">
        <f>IF(ISNUMBER(Knoten!C8),Knoten!C8-$U$1,PlotData!$CB$3)</f>
        <v>-100</v>
      </c>
      <c r="D11" s="736">
        <f>IF(ISNUMBER(Knoten!C8),C11+($D$26*COS(K11*PI()/180)*B11-$H$26*SIN(K11*PI()/180))*B11,C11)</f>
        <v>-91.514718625761432</v>
      </c>
      <c r="E11" s="737">
        <f>IF(ISNUMBER(Knoten!C8),C11+($E$26*COS(K11*PI()/180)*B11-$I$26*SIN(K11*PI()/180))*B11,C11)</f>
        <v>-108.48528137423857</v>
      </c>
      <c r="F11" s="738">
        <f t="shared" si="0"/>
        <v>-100</v>
      </c>
      <c r="G11" s="749">
        <f>IF(ISNUMBER(Knoten!D8),Knoten!D8-$X$1,PlotData!$CB$4)</f>
        <v>100</v>
      </c>
      <c r="H11" s="739">
        <f>IF(ISNUMBER(Knoten!D8),G11+$D$26*(SIN(K11*PI()/180))*B11+$H$26*COS(K11*PI()/180)*B11,G11)</f>
        <v>114.6965073401812</v>
      </c>
      <c r="I11" s="737">
        <f>IF(ISNUMBER(Knoten!D8),G11+$E$26*(SIN(K11*PI()/180))*B11+$I$26*COS(K11*PI()/180)*B11,G11)</f>
        <v>114.6965073401812</v>
      </c>
      <c r="J11" s="738">
        <f t="shared" si="1"/>
        <v>100</v>
      </c>
      <c r="K11" s="740">
        <f>-Knoten!W8</f>
        <v>0</v>
      </c>
      <c r="N11" s="748">
        <v>6</v>
      </c>
      <c r="O11" s="734">
        <f>1-ABS(SIGN(Knoten!F8))</f>
        <v>1</v>
      </c>
      <c r="P11" s="742">
        <f>IF(ISNUMBER(Knoten!C8),Z11,PlotData!$CB$3)</f>
        <v>-100</v>
      </c>
      <c r="Q11" s="737">
        <f>IF(ISNUMBER(Knoten!C8),P11+($Q$26*COS(K11*PI()/180)*O11-$U$26*SIN(K11*PI()/180))*O11,P11)</f>
        <v>-91.514718625761432</v>
      </c>
      <c r="R11" s="737">
        <f>IF(ISNUMBER(Knoten!C8),P11+($R$26*COS(K11*PI()/180)*O11-$V$26*SIN(K11*PI()/180))*O11,P11)</f>
        <v>-108.48528137423857</v>
      </c>
      <c r="S11" s="743">
        <f t="shared" si="2"/>
        <v>-100</v>
      </c>
      <c r="T11" s="742">
        <f>IF(ISNUMBER(Knoten!D8),AA11,PlotData!$CB$4)</f>
        <v>100</v>
      </c>
      <c r="U11" s="737">
        <f>IF(ISNUMBER(Knoten!D8),T11+($Q$26*SIN(K11*PI()/180)*O11+$U$26*COS(K11*PI()/180))*O11,T11)</f>
        <v>114.6965073401812</v>
      </c>
      <c r="V11" s="737">
        <f>IF(ISNUMBER(Knoten!D8),T11+($R$26*SIN(K11*PI()/180)*O11+$V$26*COS(K11*PI()/180))*O11,T11)</f>
        <v>114.6965073401812</v>
      </c>
      <c r="W11" s="743">
        <f t="shared" si="3"/>
        <v>100</v>
      </c>
      <c r="Y11" s="750">
        <v>6</v>
      </c>
      <c r="Z11" s="749">
        <f t="shared" si="5"/>
        <v>-100</v>
      </c>
      <c r="AA11" s="749">
        <f t="shared" si="4"/>
        <v>100</v>
      </c>
      <c r="AC11" s="668">
        <f>Knoten!C8-$U$1</f>
        <v>-100</v>
      </c>
      <c r="AD11" s="639">
        <f>Knoten!D8-$X$1</f>
        <v>100</v>
      </c>
      <c r="AE11" s="668">
        <f>$AD$3*(Knoten!$K8*$AJ11 + Knoten!$L8*$AI11)</f>
        <v>0</v>
      </c>
      <c r="AF11" s="639">
        <f>$AD$3*(-Knoten!$K8*$AI11 + Knoten!$L8*$AJ11)</f>
        <v>0</v>
      </c>
      <c r="AG11" s="668">
        <f>$AD$3*(Knoten!$AB8*$AJ11 + Knoten!$AC8*$AI11)</f>
        <v>0</v>
      </c>
      <c r="AH11" s="639">
        <f>$AD$3*(-Knoten!$AB8*$AI11 + Knoten!$AC8*$AJ11)</f>
        <v>0</v>
      </c>
      <c r="AI11" s="668">
        <f>SIN(Knoten!$W8*PI()/180)</f>
        <v>0</v>
      </c>
      <c r="AJ11" s="639">
        <f>COS(Knoten!$W8*PI()/180)</f>
        <v>1</v>
      </c>
    </row>
    <row r="12" spans="1:36" x14ac:dyDescent="0.25">
      <c r="A12" s="748">
        <v>7</v>
      </c>
      <c r="B12" s="734">
        <f>1-ABS(SIGN(Knoten!F9))</f>
        <v>1</v>
      </c>
      <c r="C12" s="749">
        <f>IF(ISNUMBER(Knoten!C9),Knoten!C9-$U$1,PlotData!$CB$3)</f>
        <v>0</v>
      </c>
      <c r="D12" s="736">
        <f>IF(ISNUMBER(Knoten!C9),C12+($D$26*COS(K12*PI()/180)*B12-$H$26*SIN(K12*PI()/180))*B12,C12)</f>
        <v>0</v>
      </c>
      <c r="E12" s="737">
        <f>IF(ISNUMBER(Knoten!C9),C12+($E$26*COS(K12*PI()/180)*B12-$I$26*SIN(K12*PI()/180))*B12,C12)</f>
        <v>0</v>
      </c>
      <c r="F12" s="738">
        <f t="shared" si="0"/>
        <v>0</v>
      </c>
      <c r="G12" s="749">
        <f>IF(ISNUMBER(Knoten!D9),Knoten!D9-$X$1,PlotData!$CB$4)</f>
        <v>0</v>
      </c>
      <c r="H12" s="739">
        <f>IF(ISNUMBER(Knoten!D9),G12+$D$26*(SIN(K12*PI()/180))*B12+$H$26*COS(K12*PI()/180)*B12,G12)</f>
        <v>0</v>
      </c>
      <c r="I12" s="737">
        <f>IF(ISNUMBER(Knoten!D9),G12+$E$26*(SIN(K12*PI()/180))*B12+$I$26*COS(K12*PI()/180)*B12,G12)</f>
        <v>0</v>
      </c>
      <c r="J12" s="738">
        <f t="shared" si="1"/>
        <v>0</v>
      </c>
      <c r="K12" s="740">
        <f>-Knoten!W9</f>
        <v>0</v>
      </c>
      <c r="N12" s="748">
        <v>7</v>
      </c>
      <c r="O12" s="734">
        <f>1-ABS(SIGN(Knoten!F9))</f>
        <v>1</v>
      </c>
      <c r="P12" s="742">
        <f>IF(ISNUMBER(Knoten!C9),Z12,PlotData!$CB$3)</f>
        <v>0</v>
      </c>
      <c r="Q12" s="737">
        <f>IF(ISNUMBER(Knoten!C9),P12+($Q$26*COS(K12*PI()/180)*O12-$U$26*SIN(K12*PI()/180))*O12,P12)</f>
        <v>0</v>
      </c>
      <c r="R12" s="737">
        <f>IF(ISNUMBER(Knoten!C9),P12+($R$26*COS(K12*PI()/180)*O12-$V$26*SIN(K12*PI()/180))*O12,P12)</f>
        <v>0</v>
      </c>
      <c r="S12" s="743">
        <f t="shared" si="2"/>
        <v>0</v>
      </c>
      <c r="T12" s="742">
        <f>IF(ISNUMBER(Knoten!D9),AA12,PlotData!$CB$4)</f>
        <v>0</v>
      </c>
      <c r="U12" s="737">
        <f>IF(ISNUMBER(Knoten!D9),T12+($Q$26*SIN(K12*PI()/180)*O12+$U$26*COS(K12*PI()/180))*O12,T12)</f>
        <v>0</v>
      </c>
      <c r="V12" s="737">
        <f>IF(ISNUMBER(Knoten!D9),T12+($R$26*SIN(K12*PI()/180)*O12+$V$26*COS(K12*PI()/180))*O12,T12)</f>
        <v>0</v>
      </c>
      <c r="W12" s="743">
        <f t="shared" si="3"/>
        <v>0</v>
      </c>
      <c r="Y12" s="750">
        <v>7</v>
      </c>
      <c r="Z12" s="749">
        <f t="shared" si="5"/>
        <v>80</v>
      </c>
      <c r="AA12" s="749">
        <f t="shared" si="4"/>
        <v>-40</v>
      </c>
      <c r="AC12" s="668">
        <f>Knoten!C9-$U$1</f>
        <v>80</v>
      </c>
      <c r="AD12" s="639">
        <f>Knoten!D9-$X$1</f>
        <v>-40</v>
      </c>
      <c r="AE12" s="668">
        <f>$AD$3*(Knoten!$K9*$AJ12 + Knoten!$L9*$AI12)</f>
        <v>0</v>
      </c>
      <c r="AF12" s="639">
        <f>$AD$3*(-Knoten!$K9*$AI12 + Knoten!$L9*$AJ12)</f>
        <v>0</v>
      </c>
      <c r="AG12" s="668">
        <f>$AD$3*(Knoten!$AB9*$AJ12 + Knoten!$AC9*$AI12)</f>
        <v>0</v>
      </c>
      <c r="AH12" s="639">
        <f>$AD$3*(-Knoten!$AB9*$AI12 + Knoten!$AC9*$AJ12)</f>
        <v>0</v>
      </c>
      <c r="AI12" s="668">
        <f>SIN(Knoten!$W9*PI()/180)</f>
        <v>0</v>
      </c>
      <c r="AJ12" s="639">
        <f>COS(Knoten!$W9*PI()/180)</f>
        <v>1</v>
      </c>
    </row>
    <row r="13" spans="1:36" x14ac:dyDescent="0.25">
      <c r="A13" s="748">
        <v>8</v>
      </c>
      <c r="B13" s="734">
        <f>1-ABS(SIGN(Knoten!F10))</f>
        <v>1</v>
      </c>
      <c r="C13" s="749">
        <f>IF(ISNUMBER(Knoten!C10),Knoten!C10-$U$1,PlotData!$CB$3)</f>
        <v>0</v>
      </c>
      <c r="D13" s="736">
        <f>IF(ISNUMBER(Knoten!C10),C13+($D$26*COS(K13*PI()/180)*B13-$H$26*SIN(K13*PI()/180))*B13,C13)</f>
        <v>0</v>
      </c>
      <c r="E13" s="737">
        <f>IF(ISNUMBER(Knoten!C10),C13+($E$26*COS(K13*PI()/180)*B13-$I$26*SIN(K13*PI()/180))*B13,C13)</f>
        <v>0</v>
      </c>
      <c r="F13" s="738">
        <f t="shared" si="0"/>
        <v>0</v>
      </c>
      <c r="G13" s="749">
        <f>IF(ISNUMBER(Knoten!D10),Knoten!D10-$X$1,PlotData!$CB$4)</f>
        <v>0</v>
      </c>
      <c r="H13" s="739">
        <f>IF(ISNUMBER(Knoten!D10),G13+$D$26*(SIN(K13*PI()/180))*B13+$H$26*COS(K13*PI()/180)*B13,G13)</f>
        <v>0</v>
      </c>
      <c r="I13" s="737">
        <f>IF(ISNUMBER(Knoten!D10),G13+$E$26*(SIN(K13*PI()/180))*B13+$I$26*COS(K13*PI()/180)*B13,G13)</f>
        <v>0</v>
      </c>
      <c r="J13" s="738">
        <f t="shared" si="1"/>
        <v>0</v>
      </c>
      <c r="K13" s="740">
        <f>-Knoten!W10</f>
        <v>0</v>
      </c>
      <c r="N13" s="748">
        <v>8</v>
      </c>
      <c r="O13" s="734">
        <f>1-ABS(SIGN(Knoten!F10))</f>
        <v>1</v>
      </c>
      <c r="P13" s="742">
        <f>IF(ISNUMBER(Knoten!C10),Z13,PlotData!$CB$3)</f>
        <v>0</v>
      </c>
      <c r="Q13" s="737">
        <f>IF(ISNUMBER(Knoten!C10),P13+($Q$26*COS(K13*PI()/180)*O13-$U$26*SIN(K13*PI()/180))*O13,P13)</f>
        <v>0</v>
      </c>
      <c r="R13" s="737">
        <f>IF(ISNUMBER(Knoten!C10),P13+($R$26*COS(K13*PI()/180)*O13-$V$26*SIN(K13*PI()/180))*O13,P13)</f>
        <v>0</v>
      </c>
      <c r="S13" s="743">
        <f t="shared" si="2"/>
        <v>0</v>
      </c>
      <c r="T13" s="742">
        <f>IF(ISNUMBER(Knoten!D10),AA13,PlotData!$CB$4)</f>
        <v>0</v>
      </c>
      <c r="U13" s="737">
        <f>IF(ISNUMBER(Knoten!D10),T13+($Q$26*SIN(K13*PI()/180)*O13+$U$26*COS(K13*PI()/180))*O13,T13)</f>
        <v>0</v>
      </c>
      <c r="V13" s="737">
        <f>IF(ISNUMBER(Knoten!D10),T13+($R$26*SIN(K13*PI()/180)*O13+$V$26*COS(K13*PI()/180))*O13,T13)</f>
        <v>0</v>
      </c>
      <c r="W13" s="743">
        <f t="shared" si="3"/>
        <v>0</v>
      </c>
      <c r="Y13" s="750">
        <v>8</v>
      </c>
      <c r="Z13" s="749">
        <f t="shared" si="5"/>
        <v>80</v>
      </c>
      <c r="AA13" s="749">
        <f t="shared" si="4"/>
        <v>-40</v>
      </c>
      <c r="AC13" s="668">
        <f>Knoten!C10-$U$1</f>
        <v>80</v>
      </c>
      <c r="AD13" s="639">
        <f>Knoten!D10-$X$1</f>
        <v>-40</v>
      </c>
      <c r="AE13" s="668">
        <f>$AD$3*(Knoten!$K10*$AJ13 + Knoten!$L10*$AI13)</f>
        <v>0</v>
      </c>
      <c r="AF13" s="639">
        <f>$AD$3*(-Knoten!$K10*$AI13 + Knoten!$L10*$AJ13)</f>
        <v>0</v>
      </c>
      <c r="AG13" s="668">
        <f>$AD$3*(Knoten!$AB10*$AJ13 + Knoten!$AC10*$AI13)</f>
        <v>0</v>
      </c>
      <c r="AH13" s="639">
        <f>$AD$3*(-Knoten!$AB10*$AI13 + Knoten!$AC10*$AJ13)</f>
        <v>0</v>
      </c>
      <c r="AI13" s="668">
        <f>SIN(Knoten!$W10*PI()/180)</f>
        <v>0</v>
      </c>
      <c r="AJ13" s="639">
        <f>COS(Knoten!$W10*PI()/180)</f>
        <v>1</v>
      </c>
    </row>
    <row r="14" spans="1:36" x14ac:dyDescent="0.25">
      <c r="A14" s="748">
        <v>9</v>
      </c>
      <c r="B14" s="734">
        <f>1-ABS(SIGN(Knoten!F11))</f>
        <v>1</v>
      </c>
      <c r="C14" s="749">
        <f>IF(ISNUMBER(Knoten!C11),Knoten!C11-$U$1,PlotData!$CB$3)</f>
        <v>0</v>
      </c>
      <c r="D14" s="736">
        <f>IF(ISNUMBER(Knoten!C11),C14+($D$26*COS(K14*PI()/180)*B14-$H$26*SIN(K14*PI()/180))*B14,C14)</f>
        <v>0</v>
      </c>
      <c r="E14" s="737">
        <f>IF(ISNUMBER(Knoten!C11),C14+($E$26*COS(K14*PI()/180)*B14-$I$26*SIN(K14*PI()/180))*B14,C14)</f>
        <v>0</v>
      </c>
      <c r="F14" s="738">
        <f t="shared" si="0"/>
        <v>0</v>
      </c>
      <c r="G14" s="749">
        <f>IF(ISNUMBER(Knoten!D11),Knoten!D11-$X$1,PlotData!$CB$4)</f>
        <v>0</v>
      </c>
      <c r="H14" s="739">
        <f>IF(ISNUMBER(Knoten!D11),G14+$D$26*(SIN(K14*PI()/180))*B14+$H$26*COS(K14*PI()/180)*B14,G14)</f>
        <v>0</v>
      </c>
      <c r="I14" s="737">
        <f>IF(ISNUMBER(Knoten!D11),G14+$E$26*(SIN(K14*PI()/180))*B14+$I$26*COS(K14*PI()/180)*B14,G14)</f>
        <v>0</v>
      </c>
      <c r="J14" s="738">
        <f t="shared" si="1"/>
        <v>0</v>
      </c>
      <c r="K14" s="740">
        <f>-Knoten!W11</f>
        <v>0</v>
      </c>
      <c r="N14" s="748">
        <v>9</v>
      </c>
      <c r="O14" s="734">
        <f>1-ABS(SIGN(Knoten!F11))</f>
        <v>1</v>
      </c>
      <c r="P14" s="742">
        <f>IF(ISNUMBER(Knoten!C11),Z14,PlotData!$CB$3)</f>
        <v>0</v>
      </c>
      <c r="Q14" s="737">
        <f>IF(ISNUMBER(Knoten!C11),P14+($Q$26*COS(K14*PI()/180)*O14-$U$26*SIN(K14*PI()/180))*O14,P14)</f>
        <v>0</v>
      </c>
      <c r="R14" s="737">
        <f>IF(ISNUMBER(Knoten!C11),P14+($R$26*COS(K14*PI()/180)*O14-$V$26*SIN(K14*PI()/180))*O14,P14)</f>
        <v>0</v>
      </c>
      <c r="S14" s="743">
        <f t="shared" si="2"/>
        <v>0</v>
      </c>
      <c r="T14" s="742">
        <f>IF(ISNUMBER(Knoten!D11),AA14,PlotData!$CB$4)</f>
        <v>0</v>
      </c>
      <c r="U14" s="737">
        <f>IF(ISNUMBER(Knoten!D11),T14+($Q$26*SIN(K14*PI()/180)*O14+$U$26*COS(K14*PI()/180))*O14,T14)</f>
        <v>0</v>
      </c>
      <c r="V14" s="737">
        <f>IF(ISNUMBER(Knoten!D11),T14+($R$26*SIN(K14*PI()/180)*O14+$V$26*COS(K14*PI()/180))*O14,T14)</f>
        <v>0</v>
      </c>
      <c r="W14" s="743">
        <f t="shared" si="3"/>
        <v>0</v>
      </c>
      <c r="Y14" s="750">
        <v>9</v>
      </c>
      <c r="Z14" s="749">
        <f t="shared" si="5"/>
        <v>80</v>
      </c>
      <c r="AA14" s="749">
        <f t="shared" si="4"/>
        <v>-40</v>
      </c>
      <c r="AC14" s="668">
        <f>Knoten!C11-$U$1</f>
        <v>80</v>
      </c>
      <c r="AD14" s="639">
        <f>Knoten!D11-$X$1</f>
        <v>-40</v>
      </c>
      <c r="AE14" s="668">
        <f>$AD$3*(Knoten!$K11*$AJ14 + Knoten!$L11*$AI14)</f>
        <v>0</v>
      </c>
      <c r="AF14" s="639">
        <f>$AD$3*(-Knoten!$K11*$AI14 + Knoten!$L11*$AJ14)</f>
        <v>0</v>
      </c>
      <c r="AG14" s="668">
        <f>$AD$3*(Knoten!$AB11*$AJ14 + Knoten!$AC11*$AI14)</f>
        <v>0</v>
      </c>
      <c r="AH14" s="639">
        <f>$AD$3*(-Knoten!$AB11*$AI14 + Knoten!$AC11*$AJ14)</f>
        <v>0</v>
      </c>
      <c r="AI14" s="668">
        <f>SIN(Knoten!$W11*PI()/180)</f>
        <v>0</v>
      </c>
      <c r="AJ14" s="639">
        <f>COS(Knoten!$W11*PI()/180)</f>
        <v>1</v>
      </c>
    </row>
    <row r="15" spans="1:36" x14ac:dyDescent="0.25">
      <c r="A15" s="748">
        <v>10</v>
      </c>
      <c r="B15" s="734">
        <f>1-ABS(SIGN(Knoten!F12))</f>
        <v>1</v>
      </c>
      <c r="C15" s="749">
        <f>IF(ISNUMBER(Knoten!C12),Knoten!C12-$U$1,PlotData!$CB$3)</f>
        <v>0</v>
      </c>
      <c r="D15" s="736">
        <f>IF(ISNUMBER(Knoten!C12),C15+($D$26*COS(K15*PI()/180)*B15-$H$26*SIN(K15*PI()/180))*B15,C15)</f>
        <v>0</v>
      </c>
      <c r="E15" s="737">
        <f>IF(ISNUMBER(Knoten!C12),C15+($E$26*COS(K15*PI()/180)*B15-$I$26*SIN(K15*PI()/180))*B15,C15)</f>
        <v>0</v>
      </c>
      <c r="F15" s="738">
        <f t="shared" si="0"/>
        <v>0</v>
      </c>
      <c r="G15" s="749">
        <f>IF(ISNUMBER(Knoten!D12),Knoten!D12-$X$1,PlotData!$CB$4)</f>
        <v>0</v>
      </c>
      <c r="H15" s="739">
        <f>IF(ISNUMBER(Knoten!D12),G15+$D$26*(SIN(K15*PI()/180))*B15+$H$26*COS(K15*PI()/180)*B15,G15)</f>
        <v>0</v>
      </c>
      <c r="I15" s="737">
        <f>IF(ISNUMBER(Knoten!D12),G15+$E$26*(SIN(K15*PI()/180))*B15+$I$26*COS(K15*PI()/180)*B15,G15)</f>
        <v>0</v>
      </c>
      <c r="J15" s="738">
        <f t="shared" si="1"/>
        <v>0</v>
      </c>
      <c r="K15" s="740">
        <f>-Knoten!W12</f>
        <v>0</v>
      </c>
      <c r="N15" s="748">
        <v>10</v>
      </c>
      <c r="O15" s="734">
        <f>1-ABS(SIGN(Knoten!F12))</f>
        <v>1</v>
      </c>
      <c r="P15" s="742">
        <f>IF(ISNUMBER(Knoten!C12),Z15,PlotData!$CB$3)</f>
        <v>0</v>
      </c>
      <c r="Q15" s="737">
        <f>IF(ISNUMBER(Knoten!C12),P15+($Q$26*COS(K15*PI()/180)*O15-$U$26*SIN(K15*PI()/180))*O15,P15)</f>
        <v>0</v>
      </c>
      <c r="R15" s="737">
        <f>IF(ISNUMBER(Knoten!C12),P15+($R$26*COS(K15*PI()/180)*O15-$V$26*SIN(K15*PI()/180))*O15,P15)</f>
        <v>0</v>
      </c>
      <c r="S15" s="743">
        <f t="shared" si="2"/>
        <v>0</v>
      </c>
      <c r="T15" s="742">
        <f>IF(ISNUMBER(Knoten!D12),AA15,PlotData!$CB$4)</f>
        <v>0</v>
      </c>
      <c r="U15" s="737">
        <f>IF(ISNUMBER(Knoten!D12),T15+($Q$26*SIN(K15*PI()/180)*O15+$U$26*COS(K15*PI()/180))*O15,T15)</f>
        <v>0</v>
      </c>
      <c r="V15" s="737">
        <f>IF(ISNUMBER(Knoten!D12),T15+($R$26*SIN(K15*PI()/180)*O15+$V$26*COS(K15*PI()/180))*O15,T15)</f>
        <v>0</v>
      </c>
      <c r="W15" s="743">
        <f t="shared" si="3"/>
        <v>0</v>
      </c>
      <c r="Y15" s="750">
        <v>10</v>
      </c>
      <c r="Z15" s="749">
        <f t="shared" si="5"/>
        <v>80</v>
      </c>
      <c r="AA15" s="749">
        <f t="shared" si="4"/>
        <v>-40</v>
      </c>
      <c r="AC15" s="668">
        <f>Knoten!C12-$U$1</f>
        <v>80</v>
      </c>
      <c r="AD15" s="639">
        <f>Knoten!D12-$X$1</f>
        <v>-40</v>
      </c>
      <c r="AE15" s="668">
        <f>$AD$3*(Knoten!$K12*$AJ15 + Knoten!$L12*$AI15)</f>
        <v>0</v>
      </c>
      <c r="AF15" s="639">
        <f>$AD$3*(-Knoten!$K12*$AI15 + Knoten!$L12*$AJ15)</f>
        <v>0</v>
      </c>
      <c r="AG15" s="668">
        <f>$AD$3*(Knoten!$AB12*$AJ15 + Knoten!$AC12*$AI15)</f>
        <v>0</v>
      </c>
      <c r="AH15" s="639">
        <f>$AD$3*(-Knoten!$AB12*$AI15 + Knoten!$AC12*$AJ15)</f>
        <v>0</v>
      </c>
      <c r="AI15" s="668">
        <f>SIN(Knoten!$W12*PI()/180)</f>
        <v>0</v>
      </c>
      <c r="AJ15" s="639">
        <f>COS(Knoten!$W12*PI()/180)</f>
        <v>1</v>
      </c>
    </row>
    <row r="16" spans="1:36" x14ac:dyDescent="0.25">
      <c r="A16" s="748">
        <v>11</v>
      </c>
      <c r="B16" s="734">
        <f>1-ABS(SIGN(Knoten!F13))</f>
        <v>1</v>
      </c>
      <c r="C16" s="749">
        <f>IF(ISNUMBER(Knoten!C13),Knoten!C13-$U$1,PlotData!$CB$3)</f>
        <v>0</v>
      </c>
      <c r="D16" s="736">
        <f>IF(ISNUMBER(Knoten!C13),C16+($D$26*COS(K16*PI()/180)*B16-$H$26*SIN(K16*PI()/180))*B16,C16)</f>
        <v>0</v>
      </c>
      <c r="E16" s="737">
        <f>IF(ISNUMBER(Knoten!C13),C16+($E$26*COS(K16*PI()/180)*B16-$I$26*SIN(K16*PI()/180))*B16,C16)</f>
        <v>0</v>
      </c>
      <c r="F16" s="738">
        <f t="shared" si="0"/>
        <v>0</v>
      </c>
      <c r="G16" s="749">
        <f>IF(ISNUMBER(Knoten!D13),Knoten!D13-$X$1,PlotData!$CB$4)</f>
        <v>0</v>
      </c>
      <c r="H16" s="739">
        <f>IF(ISNUMBER(Knoten!D13),G16+$D$26*(SIN(K16*PI()/180))*B16+$H$26*COS(K16*PI()/180)*B16,G16)</f>
        <v>0</v>
      </c>
      <c r="I16" s="737">
        <f>IF(ISNUMBER(Knoten!D13),G16+$E$26*(SIN(K16*PI()/180))*B16+$I$26*COS(K16*PI()/180)*B16,G16)</f>
        <v>0</v>
      </c>
      <c r="J16" s="738">
        <f t="shared" si="1"/>
        <v>0</v>
      </c>
      <c r="K16" s="740">
        <f>-Knoten!W13</f>
        <v>0</v>
      </c>
      <c r="N16" s="748">
        <v>11</v>
      </c>
      <c r="O16" s="734">
        <f>1-ABS(SIGN(Knoten!F13))</f>
        <v>1</v>
      </c>
      <c r="P16" s="742">
        <f>IF(ISNUMBER(Knoten!C13),Z16,PlotData!$CB$3)</f>
        <v>0</v>
      </c>
      <c r="Q16" s="737">
        <f>IF(ISNUMBER(Knoten!C13),P16+($Q$26*COS(K16*PI()/180)*O16-$U$26*SIN(K16*PI()/180))*O16,P16)</f>
        <v>0</v>
      </c>
      <c r="R16" s="737">
        <f>IF(ISNUMBER(Knoten!C13),P16+($R$26*COS(K16*PI()/180)*O16-$V$26*SIN(K16*PI()/180))*O16,P16)</f>
        <v>0</v>
      </c>
      <c r="S16" s="743">
        <f t="shared" si="2"/>
        <v>0</v>
      </c>
      <c r="T16" s="742">
        <f>IF(ISNUMBER(Knoten!D13),AA16,PlotData!$CB$4)</f>
        <v>0</v>
      </c>
      <c r="U16" s="737">
        <f>IF(ISNUMBER(Knoten!D13),T16+($Q$26*SIN(K16*PI()/180)*O16+$U$26*COS(K16*PI()/180))*O16,T16)</f>
        <v>0</v>
      </c>
      <c r="V16" s="737">
        <f>IF(ISNUMBER(Knoten!D13),T16+($R$26*SIN(K16*PI()/180)*O16+$V$26*COS(K16*PI()/180))*O16,T16)</f>
        <v>0</v>
      </c>
      <c r="W16" s="743">
        <f t="shared" si="3"/>
        <v>0</v>
      </c>
      <c r="Y16" s="750">
        <v>11</v>
      </c>
      <c r="Z16" s="749">
        <f t="shared" si="5"/>
        <v>80</v>
      </c>
      <c r="AA16" s="749">
        <f t="shared" si="4"/>
        <v>-40</v>
      </c>
      <c r="AC16" s="668">
        <f>Knoten!C13-$U$1</f>
        <v>80</v>
      </c>
      <c r="AD16" s="639">
        <f>Knoten!D13-$X$1</f>
        <v>-40</v>
      </c>
      <c r="AE16" s="668">
        <f>$AD$3*(Knoten!$K13*$AJ16 + Knoten!$L13*$AI16)</f>
        <v>0</v>
      </c>
      <c r="AF16" s="639">
        <f>$AD$3*(-Knoten!$K13*$AI16 + Knoten!$L13*$AJ16)</f>
        <v>0</v>
      </c>
      <c r="AG16" s="668">
        <f>$AD$3*(Knoten!$AB13*$AJ16 + Knoten!$AC13*$AI16)</f>
        <v>0</v>
      </c>
      <c r="AH16" s="639">
        <f>$AD$3*(-Knoten!$AB13*$AI16 + Knoten!$AC13*$AJ16)</f>
        <v>0</v>
      </c>
      <c r="AI16" s="668">
        <f>SIN(Knoten!$W13*PI()/180)</f>
        <v>0</v>
      </c>
      <c r="AJ16" s="639">
        <f>COS(Knoten!$W13*PI()/180)</f>
        <v>1</v>
      </c>
    </row>
    <row r="17" spans="1:36" x14ac:dyDescent="0.25">
      <c r="A17" s="748">
        <v>12</v>
      </c>
      <c r="B17" s="734">
        <f>1-ABS(SIGN(Knoten!F14))</f>
        <v>1</v>
      </c>
      <c r="C17" s="749">
        <f>IF(ISNUMBER(Knoten!C14),Knoten!C14-$U$1,PlotData!$CB$3)</f>
        <v>0</v>
      </c>
      <c r="D17" s="736">
        <f>IF(ISNUMBER(Knoten!C14),C17+($D$26*COS(K17*PI()/180)*B17-$H$26*SIN(K17*PI()/180))*B17,C17)</f>
        <v>0</v>
      </c>
      <c r="E17" s="737">
        <f>IF(ISNUMBER(Knoten!C14),C17+($E$26*COS(K17*PI()/180)*B17-$I$26*SIN(K17*PI()/180))*B17,C17)</f>
        <v>0</v>
      </c>
      <c r="F17" s="738">
        <f t="shared" si="0"/>
        <v>0</v>
      </c>
      <c r="G17" s="749">
        <f>IF(ISNUMBER(Knoten!D14),Knoten!D14-$X$1,PlotData!$CB$4)</f>
        <v>0</v>
      </c>
      <c r="H17" s="739">
        <f>IF(ISNUMBER(Knoten!D14),G17+$D$26*(SIN(K17*PI()/180))*B17+$H$26*COS(K17*PI()/180)*B17,G17)</f>
        <v>0</v>
      </c>
      <c r="I17" s="737">
        <f>IF(ISNUMBER(Knoten!D14),G17+$E$26*(SIN(K17*PI()/180))*B17+$I$26*COS(K17*PI()/180)*B17,G17)</f>
        <v>0</v>
      </c>
      <c r="J17" s="738">
        <f t="shared" si="1"/>
        <v>0</v>
      </c>
      <c r="K17" s="740">
        <f>-Knoten!W14</f>
        <v>0</v>
      </c>
      <c r="N17" s="748">
        <v>12</v>
      </c>
      <c r="O17" s="734">
        <f>1-ABS(SIGN(Knoten!F14))</f>
        <v>1</v>
      </c>
      <c r="P17" s="742">
        <f>IF(ISNUMBER(Knoten!C14),Z17,PlotData!$CB$3)</f>
        <v>0</v>
      </c>
      <c r="Q17" s="737">
        <f>IF(ISNUMBER(Knoten!C14),P17+($Q$26*COS(K17*PI()/180)*O17-$U$26*SIN(K17*PI()/180))*O17,P17)</f>
        <v>0</v>
      </c>
      <c r="R17" s="737">
        <f>IF(ISNUMBER(Knoten!C14),P17+($R$26*COS(K17*PI()/180)*O17-$V$26*SIN(K17*PI()/180))*O17,P17)</f>
        <v>0</v>
      </c>
      <c r="S17" s="743">
        <f t="shared" si="2"/>
        <v>0</v>
      </c>
      <c r="T17" s="742">
        <f>IF(ISNUMBER(Knoten!D14),AA17,PlotData!$CB$4)</f>
        <v>0</v>
      </c>
      <c r="U17" s="737">
        <f>IF(ISNUMBER(Knoten!D14),T17+($Q$26*SIN(K17*PI()/180)*O17+$U$26*COS(K17*PI()/180))*O17,T17)</f>
        <v>0</v>
      </c>
      <c r="V17" s="737">
        <f>IF(ISNUMBER(Knoten!D14),T17+($R$26*SIN(K17*PI()/180)*O17+$V$26*COS(K17*PI()/180))*O17,T17)</f>
        <v>0</v>
      </c>
      <c r="W17" s="743">
        <f t="shared" si="3"/>
        <v>0</v>
      </c>
      <c r="Y17" s="750">
        <v>12</v>
      </c>
      <c r="Z17" s="749">
        <f t="shared" si="5"/>
        <v>80</v>
      </c>
      <c r="AA17" s="749">
        <f t="shared" si="4"/>
        <v>-40</v>
      </c>
      <c r="AC17" s="668">
        <f>Knoten!C14-$U$1</f>
        <v>80</v>
      </c>
      <c r="AD17" s="639">
        <f>Knoten!D14-$X$1</f>
        <v>-40</v>
      </c>
      <c r="AE17" s="668">
        <f>$AD$3*(Knoten!$K14*$AJ17 + Knoten!$L14*$AI17)</f>
        <v>0</v>
      </c>
      <c r="AF17" s="639">
        <f>$AD$3*(-Knoten!$K14*$AI17 + Knoten!$L14*$AJ17)</f>
        <v>0</v>
      </c>
      <c r="AG17" s="668">
        <f>$AD$3*(Knoten!$AB14*$AJ17 + Knoten!$AC14*$AI17)</f>
        <v>0</v>
      </c>
      <c r="AH17" s="639">
        <f>$AD$3*(-Knoten!$AB14*$AI17 + Knoten!$AC14*$AJ17)</f>
        <v>0</v>
      </c>
      <c r="AI17" s="668">
        <f>SIN(Knoten!$W14*PI()/180)</f>
        <v>0</v>
      </c>
      <c r="AJ17" s="639">
        <f>COS(Knoten!$W14*PI()/180)</f>
        <v>1</v>
      </c>
    </row>
    <row r="18" spans="1:36" x14ac:dyDescent="0.25">
      <c r="A18" s="748">
        <v>13</v>
      </c>
      <c r="B18" s="734">
        <f>1-ABS(SIGN(Knoten!F15))</f>
        <v>1</v>
      </c>
      <c r="C18" s="749">
        <f>IF(ISNUMBER(Knoten!C15),Knoten!C15-$U$1,PlotData!$CB$3)</f>
        <v>0</v>
      </c>
      <c r="D18" s="736">
        <f>IF(ISNUMBER(Knoten!C15),C18+($D$26*COS(K18*PI()/180)*B18-$H$26*SIN(K18*PI()/180))*B18,C18)</f>
        <v>0</v>
      </c>
      <c r="E18" s="737">
        <f>IF(ISNUMBER(Knoten!C15),C18+($E$26*COS(K18*PI()/180)*B18-$I$26*SIN(K18*PI()/180))*B18,C18)</f>
        <v>0</v>
      </c>
      <c r="F18" s="738">
        <f t="shared" si="0"/>
        <v>0</v>
      </c>
      <c r="G18" s="749">
        <f>IF(ISNUMBER(Knoten!D15),Knoten!D15-$X$1,PlotData!$CB$4)</f>
        <v>0</v>
      </c>
      <c r="H18" s="739">
        <f>IF(ISNUMBER(Knoten!D15),G18+$D$26*(SIN(K18*PI()/180))*B18+$H$26*COS(K18*PI()/180)*B18,G18)</f>
        <v>0</v>
      </c>
      <c r="I18" s="737">
        <f>IF(ISNUMBER(Knoten!D15),G18+$E$26*(SIN(K18*PI()/180))*B18+$I$26*COS(K18*PI()/180)*B18,G18)</f>
        <v>0</v>
      </c>
      <c r="J18" s="738">
        <f t="shared" si="1"/>
        <v>0</v>
      </c>
      <c r="K18" s="740">
        <f>-Knoten!W15</f>
        <v>0</v>
      </c>
      <c r="N18" s="748">
        <v>13</v>
      </c>
      <c r="O18" s="734">
        <f>1-ABS(SIGN(Knoten!F15))</f>
        <v>1</v>
      </c>
      <c r="P18" s="742">
        <f>IF(ISNUMBER(Knoten!C15),Z18,PlotData!$CB$3)</f>
        <v>0</v>
      </c>
      <c r="Q18" s="737">
        <f>IF(ISNUMBER(Knoten!C15),P18+($Q$26*COS(K18*PI()/180)*O18-$U$26*SIN(K18*PI()/180))*O18,P18)</f>
        <v>0</v>
      </c>
      <c r="R18" s="737">
        <f>IF(ISNUMBER(Knoten!C15),P18+($R$26*COS(K18*PI()/180)*O18-$V$26*SIN(K18*PI()/180))*O18,P18)</f>
        <v>0</v>
      </c>
      <c r="S18" s="743">
        <f t="shared" si="2"/>
        <v>0</v>
      </c>
      <c r="T18" s="742">
        <f>IF(ISNUMBER(Knoten!D15),AA18,PlotData!$CB$4)</f>
        <v>0</v>
      </c>
      <c r="U18" s="737">
        <f>IF(ISNUMBER(Knoten!D15),T18+($Q$26*SIN(K18*PI()/180)*O18+$U$26*COS(K18*PI()/180))*O18,T18)</f>
        <v>0</v>
      </c>
      <c r="V18" s="737">
        <f>IF(ISNUMBER(Knoten!D15),T18+($R$26*SIN(K18*PI()/180)*O18+$V$26*COS(K18*PI()/180))*O18,T18)</f>
        <v>0</v>
      </c>
      <c r="W18" s="743">
        <f t="shared" si="3"/>
        <v>0</v>
      </c>
      <c r="Y18" s="750">
        <v>13</v>
      </c>
      <c r="Z18" s="749">
        <f t="shared" si="5"/>
        <v>80</v>
      </c>
      <c r="AA18" s="749">
        <f t="shared" si="4"/>
        <v>-40</v>
      </c>
      <c r="AC18" s="668">
        <f>Knoten!C15-$U$1</f>
        <v>80</v>
      </c>
      <c r="AD18" s="639">
        <f>Knoten!D15-$X$1</f>
        <v>-40</v>
      </c>
      <c r="AE18" s="668">
        <f>$AD$3*(Knoten!$K15*$AJ18 + Knoten!$L15*$AI18)</f>
        <v>0</v>
      </c>
      <c r="AF18" s="639">
        <f>$AD$3*(-Knoten!$K15*$AI18 + Knoten!$L15*$AJ18)</f>
        <v>0</v>
      </c>
      <c r="AG18" s="668">
        <f>$AD$3*(Knoten!$AB15*$AJ18 + Knoten!$AC15*$AI18)</f>
        <v>0</v>
      </c>
      <c r="AH18" s="639">
        <f>$AD$3*(-Knoten!$AB15*$AI18 + Knoten!$AC15*$AJ18)</f>
        <v>0</v>
      </c>
      <c r="AI18" s="668">
        <f>SIN(Knoten!$W15*PI()/180)</f>
        <v>0</v>
      </c>
      <c r="AJ18" s="639">
        <f>COS(Knoten!$W15*PI()/180)</f>
        <v>1</v>
      </c>
    </row>
    <row r="19" spans="1:36" x14ac:dyDescent="0.25">
      <c r="A19" s="748">
        <v>14</v>
      </c>
      <c r="B19" s="734">
        <f>1-ABS(SIGN(Knoten!F16))</f>
        <v>1</v>
      </c>
      <c r="C19" s="749">
        <f>IF(ISNUMBER(Knoten!C16),Knoten!C16-$U$1,PlotData!$CB$3)</f>
        <v>0</v>
      </c>
      <c r="D19" s="736">
        <f>IF(ISNUMBER(Knoten!C16),C19+($D$26*COS(K19*PI()/180)*B19-$H$26*SIN(K19*PI()/180))*B19,C19)</f>
        <v>0</v>
      </c>
      <c r="E19" s="737">
        <f>IF(ISNUMBER(Knoten!C16),C19+($E$26*COS(K19*PI()/180)*B19-$I$26*SIN(K19*PI()/180))*B19,C19)</f>
        <v>0</v>
      </c>
      <c r="F19" s="738">
        <f t="shared" si="0"/>
        <v>0</v>
      </c>
      <c r="G19" s="749">
        <f>IF(ISNUMBER(Knoten!D16),Knoten!D16-$X$1,PlotData!$CB$4)</f>
        <v>0</v>
      </c>
      <c r="H19" s="739">
        <f>IF(ISNUMBER(Knoten!D16),G19+$D$26*(SIN(K19*PI()/180))*B19+$H$26*COS(K19*PI()/180)*B19,G19)</f>
        <v>0</v>
      </c>
      <c r="I19" s="737">
        <f>IF(ISNUMBER(Knoten!D16),G19+$E$26*(SIN(K19*PI()/180))*B19+$I$26*COS(K19*PI()/180)*B19,G19)</f>
        <v>0</v>
      </c>
      <c r="J19" s="738">
        <f t="shared" si="1"/>
        <v>0</v>
      </c>
      <c r="K19" s="740">
        <f>-Knoten!W16</f>
        <v>0</v>
      </c>
      <c r="N19" s="748">
        <v>14</v>
      </c>
      <c r="O19" s="734">
        <f>1-ABS(SIGN(Knoten!F16))</f>
        <v>1</v>
      </c>
      <c r="P19" s="742">
        <f>IF(ISNUMBER(Knoten!C16),Z19,PlotData!$CB$3)</f>
        <v>0</v>
      </c>
      <c r="Q19" s="737">
        <f>IF(ISNUMBER(Knoten!C16),P19+($Q$26*COS(K19*PI()/180)*O19-$U$26*SIN(K19*PI()/180))*O19,P19)</f>
        <v>0</v>
      </c>
      <c r="R19" s="737">
        <f>IF(ISNUMBER(Knoten!C16),P19+($R$26*COS(K19*PI()/180)*O19-$V$26*SIN(K19*PI()/180))*O19,P19)</f>
        <v>0</v>
      </c>
      <c r="S19" s="743">
        <f t="shared" si="2"/>
        <v>0</v>
      </c>
      <c r="T19" s="742">
        <f>IF(ISNUMBER(Knoten!D16),AA19,PlotData!$CB$4)</f>
        <v>0</v>
      </c>
      <c r="U19" s="737">
        <f>IF(ISNUMBER(Knoten!D16),T19+($Q$26*SIN(K19*PI()/180)*O19+$U$26*COS(K19*PI()/180))*O19,T19)</f>
        <v>0</v>
      </c>
      <c r="V19" s="737">
        <f>IF(ISNUMBER(Knoten!D16),T19+($R$26*SIN(K19*PI()/180)*O19+$V$26*COS(K19*PI()/180))*O19,T19)</f>
        <v>0</v>
      </c>
      <c r="W19" s="743">
        <f t="shared" si="3"/>
        <v>0</v>
      </c>
      <c r="Y19" s="750">
        <v>14</v>
      </c>
      <c r="Z19" s="749">
        <f t="shared" si="5"/>
        <v>80</v>
      </c>
      <c r="AA19" s="749">
        <f t="shared" si="4"/>
        <v>-40</v>
      </c>
      <c r="AC19" s="668">
        <f>Knoten!C16-$U$1</f>
        <v>80</v>
      </c>
      <c r="AD19" s="639">
        <f>Knoten!D16-$X$1</f>
        <v>-40</v>
      </c>
      <c r="AE19" s="668">
        <f>$AD$3*(Knoten!$K16*$AJ19 + Knoten!$L16*$AI19)</f>
        <v>0</v>
      </c>
      <c r="AF19" s="639">
        <f>$AD$3*(-Knoten!$K16*$AI19 + Knoten!$L16*$AJ19)</f>
        <v>0</v>
      </c>
      <c r="AG19" s="668">
        <f>$AD$3*(Knoten!$AB16*$AJ19 + Knoten!$AC16*$AI19)</f>
        <v>0</v>
      </c>
      <c r="AH19" s="639">
        <f>$AD$3*(-Knoten!$AB16*$AI19 + Knoten!$AC16*$AJ19)</f>
        <v>0</v>
      </c>
      <c r="AI19" s="668">
        <f>SIN(Knoten!$W16*PI()/180)</f>
        <v>0</v>
      </c>
      <c r="AJ19" s="639">
        <f>COS(Knoten!$W16*PI()/180)</f>
        <v>1</v>
      </c>
    </row>
    <row r="20" spans="1:36" x14ac:dyDescent="0.25">
      <c r="A20" s="748">
        <v>15</v>
      </c>
      <c r="B20" s="734">
        <f>1-ABS(SIGN(Knoten!F17))</f>
        <v>1</v>
      </c>
      <c r="C20" s="749">
        <f>IF(ISNUMBER(Knoten!C17),Knoten!C17-$U$1,PlotData!$CB$3)</f>
        <v>0</v>
      </c>
      <c r="D20" s="736">
        <f>IF(ISNUMBER(Knoten!C17),C20+($D$26*COS(K20*PI()/180)*B20-$H$26*SIN(K20*PI()/180))*B20,C20)</f>
        <v>0</v>
      </c>
      <c r="E20" s="737">
        <f>IF(ISNUMBER(Knoten!C17),C20+($E$26*COS(K20*PI()/180)*B20-$I$26*SIN(K20*PI()/180))*B20,C20)</f>
        <v>0</v>
      </c>
      <c r="F20" s="738">
        <f t="shared" si="0"/>
        <v>0</v>
      </c>
      <c r="G20" s="749">
        <f>IF(ISNUMBER(Knoten!D17),Knoten!D17-$X$1,PlotData!$CB$4)</f>
        <v>0</v>
      </c>
      <c r="H20" s="739">
        <f>IF(ISNUMBER(Knoten!D17),G20+$D$26*(SIN(K20*PI()/180))*B20+$H$26*COS(K20*PI()/180)*B20,G20)</f>
        <v>0</v>
      </c>
      <c r="I20" s="737">
        <f>IF(ISNUMBER(Knoten!D17),G20+$E$26*(SIN(K20*PI()/180))*B20+$I$26*COS(K20*PI()/180)*B20,G20)</f>
        <v>0</v>
      </c>
      <c r="J20" s="738">
        <f t="shared" si="1"/>
        <v>0</v>
      </c>
      <c r="K20" s="740">
        <f>-Knoten!W17</f>
        <v>0</v>
      </c>
      <c r="N20" s="748">
        <v>15</v>
      </c>
      <c r="O20" s="734">
        <f>1-ABS(SIGN(Knoten!F17))</f>
        <v>1</v>
      </c>
      <c r="P20" s="742">
        <f>IF(ISNUMBER(Knoten!C17),Z20,PlotData!$CB$3)</f>
        <v>0</v>
      </c>
      <c r="Q20" s="737">
        <f>IF(ISNUMBER(Knoten!C17),P20+($Q$26*COS(K20*PI()/180)*O20-$U$26*SIN(K20*PI()/180))*O20,P20)</f>
        <v>0</v>
      </c>
      <c r="R20" s="737">
        <f>IF(ISNUMBER(Knoten!C17),P20+($R$26*COS(K20*PI()/180)*O20-$V$26*SIN(K20*PI()/180))*O20,P20)</f>
        <v>0</v>
      </c>
      <c r="S20" s="743">
        <f t="shared" si="2"/>
        <v>0</v>
      </c>
      <c r="T20" s="742">
        <f>IF(ISNUMBER(Knoten!D17),AA20,PlotData!$CB$4)</f>
        <v>0</v>
      </c>
      <c r="U20" s="737">
        <f>IF(ISNUMBER(Knoten!D17),T20+($Q$26*SIN(K20*PI()/180)*O20+$U$26*COS(K20*PI()/180))*O20,T20)</f>
        <v>0</v>
      </c>
      <c r="V20" s="737">
        <f>IF(ISNUMBER(Knoten!D17),T20+($R$26*SIN(K20*PI()/180)*O20+$V$26*COS(K20*PI()/180))*O20,T20)</f>
        <v>0</v>
      </c>
      <c r="W20" s="743">
        <f t="shared" si="3"/>
        <v>0</v>
      </c>
      <c r="Y20" s="750">
        <v>15</v>
      </c>
      <c r="Z20" s="749">
        <f t="shared" si="5"/>
        <v>80</v>
      </c>
      <c r="AA20" s="749">
        <f t="shared" si="4"/>
        <v>-40</v>
      </c>
      <c r="AC20" s="668">
        <f>Knoten!C17-$U$1</f>
        <v>80</v>
      </c>
      <c r="AD20" s="639">
        <f>Knoten!D17-$X$1</f>
        <v>-40</v>
      </c>
      <c r="AE20" s="668">
        <f>$AD$3*(Knoten!$K17*$AJ20 + Knoten!$L17*$AI20)</f>
        <v>0</v>
      </c>
      <c r="AF20" s="639">
        <f>$AD$3*(-Knoten!$K17*$AI20 + Knoten!$L17*$AJ20)</f>
        <v>0</v>
      </c>
      <c r="AG20" s="668">
        <f>$AD$3*(Knoten!$AB17*$AJ20 + Knoten!$AC17*$AI20)</f>
        <v>0</v>
      </c>
      <c r="AH20" s="639">
        <f>$AD$3*(-Knoten!$AB17*$AI20 + Knoten!$AC17*$AJ20)</f>
        <v>0</v>
      </c>
      <c r="AI20" s="668">
        <f>SIN(Knoten!$W17*PI()/180)</f>
        <v>0</v>
      </c>
      <c r="AJ20" s="639">
        <f>COS(Knoten!$W17*PI()/180)</f>
        <v>1</v>
      </c>
    </row>
    <row r="21" spans="1:36" x14ac:dyDescent="0.25">
      <c r="A21" s="748">
        <v>16</v>
      </c>
      <c r="B21" s="734">
        <f>1-ABS(SIGN(Knoten!F18))</f>
        <v>1</v>
      </c>
      <c r="C21" s="749">
        <f>IF(ISNUMBER(Knoten!C18),Knoten!C18-$U$1,PlotData!$CB$3)</f>
        <v>0</v>
      </c>
      <c r="D21" s="736">
        <f>IF(ISNUMBER(Knoten!C18),C21+($D$26*COS(K21*PI()/180)*B21-$H$26*SIN(K21*PI()/180))*B21,C21)</f>
        <v>0</v>
      </c>
      <c r="E21" s="737">
        <f>IF(ISNUMBER(Knoten!C18),C21+($E$26*COS(K21*PI()/180)*B21-$I$26*SIN(K21*PI()/180))*B21,C21)</f>
        <v>0</v>
      </c>
      <c r="F21" s="738">
        <f t="shared" si="0"/>
        <v>0</v>
      </c>
      <c r="G21" s="749">
        <f>IF(ISNUMBER(Knoten!D18),Knoten!D18-$X$1,PlotData!$CB$4)</f>
        <v>0</v>
      </c>
      <c r="H21" s="739">
        <f>IF(ISNUMBER(Knoten!D18),G21+$D$26*(SIN(K21*PI()/180))*B21+$H$26*COS(K21*PI()/180)*B21,G21)</f>
        <v>0</v>
      </c>
      <c r="I21" s="737">
        <f>IF(ISNUMBER(Knoten!D18),G21+$E$26*(SIN(K21*PI()/180))*B21+$I$26*COS(K21*PI()/180)*B21,G21)</f>
        <v>0</v>
      </c>
      <c r="J21" s="738">
        <f t="shared" si="1"/>
        <v>0</v>
      </c>
      <c r="K21" s="740">
        <f>-Knoten!W18</f>
        <v>0</v>
      </c>
      <c r="N21" s="748">
        <v>16</v>
      </c>
      <c r="O21" s="734">
        <f>1-ABS(SIGN(Knoten!F18))</f>
        <v>1</v>
      </c>
      <c r="P21" s="742">
        <f>IF(ISNUMBER(Knoten!C18),Z21,PlotData!$CB$3)</f>
        <v>0</v>
      </c>
      <c r="Q21" s="737">
        <f>IF(ISNUMBER(Knoten!C18),P21+($Q$26*COS(K21*PI()/180)*O21-$U$26*SIN(K21*PI()/180))*O21,P21)</f>
        <v>0</v>
      </c>
      <c r="R21" s="737">
        <f>IF(ISNUMBER(Knoten!C18),P21+($R$26*COS(K21*PI()/180)*O21-$V$26*SIN(K21*PI()/180))*O21,P21)</f>
        <v>0</v>
      </c>
      <c r="S21" s="743">
        <f t="shared" si="2"/>
        <v>0</v>
      </c>
      <c r="T21" s="742">
        <f>IF(ISNUMBER(Knoten!D18),AA21,PlotData!$CB$4)</f>
        <v>0</v>
      </c>
      <c r="U21" s="737">
        <f>IF(ISNUMBER(Knoten!D18),T21+($Q$26*SIN(K21*PI()/180)*O21+$U$26*COS(K21*PI()/180))*O21,T21)</f>
        <v>0</v>
      </c>
      <c r="V21" s="737">
        <f>IF(ISNUMBER(Knoten!D18),T21+($R$26*SIN(K21*PI()/180)*O21+$V$26*COS(K21*PI()/180))*O21,T21)</f>
        <v>0</v>
      </c>
      <c r="W21" s="743">
        <f t="shared" si="3"/>
        <v>0</v>
      </c>
      <c r="Y21" s="750">
        <v>16</v>
      </c>
      <c r="Z21" s="749">
        <f t="shared" si="5"/>
        <v>80</v>
      </c>
      <c r="AA21" s="749">
        <f t="shared" si="4"/>
        <v>-40</v>
      </c>
      <c r="AC21" s="668">
        <f>Knoten!C18-$U$1</f>
        <v>80</v>
      </c>
      <c r="AD21" s="639">
        <f>Knoten!D18-$X$1</f>
        <v>-40</v>
      </c>
      <c r="AE21" s="668">
        <f>$AD$3*(Knoten!$K18*$AJ21 + Knoten!$L18*$AI21)</f>
        <v>0</v>
      </c>
      <c r="AF21" s="639">
        <f>$AD$3*(-Knoten!$K18*$AI21 + Knoten!$L18*$AJ21)</f>
        <v>0</v>
      </c>
      <c r="AG21" s="668">
        <f>$AD$3*(Knoten!$AB18*$AJ21 + Knoten!$AC18*$AI21)</f>
        <v>0</v>
      </c>
      <c r="AH21" s="639">
        <f>$AD$3*(-Knoten!$AB18*$AI21 + Knoten!$AC18*$AJ21)</f>
        <v>0</v>
      </c>
      <c r="AI21" s="668">
        <f>SIN(Knoten!$W18*PI()/180)</f>
        <v>0</v>
      </c>
      <c r="AJ21" s="639">
        <f>COS(Knoten!$W18*PI()/180)</f>
        <v>1</v>
      </c>
    </row>
    <row r="22" spans="1:36" x14ac:dyDescent="0.25">
      <c r="A22" s="748">
        <v>17</v>
      </c>
      <c r="B22" s="734">
        <f>1-ABS(SIGN(Knoten!F19))</f>
        <v>1</v>
      </c>
      <c r="C22" s="749">
        <f>IF(ISNUMBER(Knoten!C19),Knoten!C19-$U$1,PlotData!$CB$3)</f>
        <v>0</v>
      </c>
      <c r="D22" s="736">
        <f>IF(ISNUMBER(Knoten!C19),C22+($D$26*COS(K22*PI()/180)*B22-$H$26*SIN(K22*PI()/180))*B22,C22)</f>
        <v>0</v>
      </c>
      <c r="E22" s="737">
        <f>IF(ISNUMBER(Knoten!C19),C22+($E$26*COS(K22*PI()/180)*B22-$I$26*SIN(K22*PI()/180))*B22,C22)</f>
        <v>0</v>
      </c>
      <c r="F22" s="738">
        <f t="shared" si="0"/>
        <v>0</v>
      </c>
      <c r="G22" s="749">
        <f>IF(ISNUMBER(Knoten!D19),Knoten!D19-$X$1,PlotData!$CB$4)</f>
        <v>0</v>
      </c>
      <c r="H22" s="739">
        <f>IF(ISNUMBER(Knoten!D19),G22+$D$26*(SIN(K22*PI()/180))*B22+$H$26*COS(K22*PI()/180)*B22,G22)</f>
        <v>0</v>
      </c>
      <c r="I22" s="737">
        <f>IF(ISNUMBER(Knoten!D19),G22+$E$26*(SIN(K22*PI()/180))*B22+$I$26*COS(K22*PI()/180)*B22,G22)</f>
        <v>0</v>
      </c>
      <c r="J22" s="738">
        <f t="shared" si="1"/>
        <v>0</v>
      </c>
      <c r="K22" s="740">
        <f>-Knoten!W19</f>
        <v>0</v>
      </c>
      <c r="N22" s="748">
        <v>17</v>
      </c>
      <c r="O22" s="734">
        <f>1-ABS(SIGN(Knoten!F19))</f>
        <v>1</v>
      </c>
      <c r="P22" s="742">
        <f>IF(ISNUMBER(Knoten!C19),Z22,PlotData!$CB$3)</f>
        <v>0</v>
      </c>
      <c r="Q22" s="737">
        <f>IF(ISNUMBER(Knoten!C19),P22+($Q$26*COS(K22*PI()/180)*O22-$U$26*SIN(K22*PI()/180))*O22,P22)</f>
        <v>0</v>
      </c>
      <c r="R22" s="737">
        <f>IF(ISNUMBER(Knoten!C19),P22+($R$26*COS(K22*PI()/180)*O22-$V$26*SIN(K22*PI()/180))*O22,P22)</f>
        <v>0</v>
      </c>
      <c r="S22" s="743">
        <f t="shared" si="2"/>
        <v>0</v>
      </c>
      <c r="T22" s="742">
        <f>IF(ISNUMBER(Knoten!D19),AA22,PlotData!$CB$4)</f>
        <v>0</v>
      </c>
      <c r="U22" s="737">
        <f>IF(ISNUMBER(Knoten!D19),T22+($Q$26*SIN(K22*PI()/180)*O22+$U$26*COS(K22*PI()/180))*O22,T22)</f>
        <v>0</v>
      </c>
      <c r="V22" s="737">
        <f>IF(ISNUMBER(Knoten!D19),T22+($R$26*SIN(K22*PI()/180)*O22+$V$26*COS(K22*PI()/180))*O22,T22)</f>
        <v>0</v>
      </c>
      <c r="W22" s="743">
        <f t="shared" si="3"/>
        <v>0</v>
      </c>
      <c r="Y22" s="750">
        <v>17</v>
      </c>
      <c r="Z22" s="749">
        <f t="shared" si="5"/>
        <v>80</v>
      </c>
      <c r="AA22" s="749">
        <f t="shared" si="4"/>
        <v>-40</v>
      </c>
      <c r="AC22" s="668">
        <f>Knoten!C19-$U$1</f>
        <v>80</v>
      </c>
      <c r="AD22" s="639">
        <f>Knoten!D19-$X$1</f>
        <v>-40</v>
      </c>
      <c r="AE22" s="668">
        <f>$AD$3*(Knoten!$K19*$AJ22 + Knoten!$L19*$AI22)</f>
        <v>0</v>
      </c>
      <c r="AF22" s="639">
        <f>$AD$3*(-Knoten!$K19*$AI22 + Knoten!$L19*$AJ22)</f>
        <v>0</v>
      </c>
      <c r="AG22" s="668">
        <f>$AD$3*(Knoten!$AB19*$AJ22 + Knoten!$AC19*$AI22)</f>
        <v>0</v>
      </c>
      <c r="AH22" s="639">
        <f>$AD$3*(-Knoten!$AB19*$AI22 + Knoten!$AC19*$AJ22)</f>
        <v>0</v>
      </c>
      <c r="AI22" s="668">
        <f>SIN(Knoten!$W19*PI()/180)</f>
        <v>0</v>
      </c>
      <c r="AJ22" s="639">
        <f>COS(Knoten!$W19*PI()/180)</f>
        <v>1</v>
      </c>
    </row>
    <row r="23" spans="1:36" x14ac:dyDescent="0.25">
      <c r="A23" s="748">
        <v>18</v>
      </c>
      <c r="B23" s="734">
        <f>1-ABS(SIGN(Knoten!F20))</f>
        <v>1</v>
      </c>
      <c r="C23" s="749">
        <f>IF(ISNUMBER(Knoten!C20),Knoten!C20-$U$1,PlotData!$CB$3)</f>
        <v>0</v>
      </c>
      <c r="D23" s="736">
        <f>IF(ISNUMBER(Knoten!C20),C23+($D$26*COS(K23*PI()/180)*B23-$H$26*SIN(K23*PI()/180))*B23,C23)</f>
        <v>0</v>
      </c>
      <c r="E23" s="737">
        <f>IF(ISNUMBER(Knoten!C20),C23+($E$26*COS(K23*PI()/180)*B23-$I$26*SIN(K23*PI()/180))*B23,C23)</f>
        <v>0</v>
      </c>
      <c r="F23" s="738">
        <f>C23</f>
        <v>0</v>
      </c>
      <c r="G23" s="749">
        <f>IF(ISNUMBER(Knoten!D20),Knoten!D20-$X$1,PlotData!$CB$4)</f>
        <v>0</v>
      </c>
      <c r="H23" s="739">
        <f>IF(ISNUMBER(Knoten!D20),G23+$D$26*(SIN(K23*PI()/180))*B23+$H$26*COS(K23*PI()/180)*B23,G23)</f>
        <v>0</v>
      </c>
      <c r="I23" s="737">
        <f>IF(ISNUMBER(Knoten!D20),G23+$E$26*(SIN(K23*PI()/180))*B23+$I$26*COS(K23*PI()/180)*B23,G23)</f>
        <v>0</v>
      </c>
      <c r="J23" s="738">
        <f>G23</f>
        <v>0</v>
      </c>
      <c r="K23" s="740">
        <f>-Knoten!W20</f>
        <v>0</v>
      </c>
      <c r="N23" s="748">
        <v>18</v>
      </c>
      <c r="O23" s="734">
        <f>1-ABS(SIGN(Knoten!F20))</f>
        <v>1</v>
      </c>
      <c r="P23" s="742">
        <f>IF(ISNUMBER(Knoten!C20),Z23,PlotData!$CB$3)</f>
        <v>0</v>
      </c>
      <c r="Q23" s="737">
        <f>IF(ISNUMBER(Knoten!C20),P23+($Q$26*COS(K23*PI()/180)*O23-$U$26*SIN(K23*PI()/180))*O23,P23)</f>
        <v>0</v>
      </c>
      <c r="R23" s="737">
        <f>IF(ISNUMBER(Knoten!C20),P23+($R$26*COS(K23*PI()/180)*O23-$V$26*SIN(K23*PI()/180))*O23,P23)</f>
        <v>0</v>
      </c>
      <c r="S23" s="743">
        <f>P23</f>
        <v>0</v>
      </c>
      <c r="T23" s="742">
        <f>IF(ISNUMBER(Knoten!D20),AA23,PlotData!$CB$4)</f>
        <v>0</v>
      </c>
      <c r="U23" s="737">
        <f>IF(ISNUMBER(Knoten!D20),T23+($Q$26*SIN(K23*PI()/180)*O23+$U$26*COS(K23*PI()/180))*O23,T23)</f>
        <v>0</v>
      </c>
      <c r="V23" s="737">
        <f>IF(ISNUMBER(Knoten!D20),T23+($R$26*SIN(K23*PI()/180)*O23+$V$26*COS(K23*PI()/180))*O23,T23)</f>
        <v>0</v>
      </c>
      <c r="W23" s="743">
        <f>T23</f>
        <v>0</v>
      </c>
      <c r="Y23" s="750">
        <v>18</v>
      </c>
      <c r="Z23" s="749">
        <f t="shared" si="5"/>
        <v>80</v>
      </c>
      <c r="AA23" s="749">
        <f t="shared" si="4"/>
        <v>-40</v>
      </c>
      <c r="AC23" s="668">
        <f>Knoten!C20-$U$1</f>
        <v>80</v>
      </c>
      <c r="AD23" s="639">
        <f>Knoten!D20-$X$1</f>
        <v>-40</v>
      </c>
      <c r="AE23" s="668">
        <f>$AD$3*(Knoten!$K20*$AJ23 + Knoten!$L20*$AI23)</f>
        <v>0</v>
      </c>
      <c r="AF23" s="639">
        <f>$AD$3*(-Knoten!$K20*$AI23 + Knoten!$L20*$AJ23)</f>
        <v>0</v>
      </c>
      <c r="AG23" s="668">
        <f>$AD$3*(Knoten!$AB20*$AJ23 + Knoten!$AC20*$AI23)</f>
        <v>0</v>
      </c>
      <c r="AH23" s="639">
        <f>$AD$3*(-Knoten!$AB20*$AI23 + Knoten!$AC20*$AJ23)</f>
        <v>0</v>
      </c>
      <c r="AI23" s="668">
        <f>SIN(Knoten!$W20*PI()/180)</f>
        <v>0</v>
      </c>
      <c r="AJ23" s="639">
        <f>COS(Knoten!$W20*PI()/180)</f>
        <v>1</v>
      </c>
    </row>
    <row r="24" spans="1:36" x14ac:dyDescent="0.25">
      <c r="A24" s="748">
        <v>19</v>
      </c>
      <c r="B24" s="734">
        <f>1-ABS(SIGN(Knoten!F21))</f>
        <v>1</v>
      </c>
      <c r="C24" s="749">
        <f>IF(ISNUMBER(Knoten!C21),Knoten!C21-$U$1,PlotData!$CB$3)</f>
        <v>0</v>
      </c>
      <c r="D24" s="736">
        <f>IF(ISNUMBER(Knoten!C21),C24+($D$26*COS(K24*PI()/180)*B24-$H$26*SIN(K24*PI()/180))*B24,C24)</f>
        <v>0</v>
      </c>
      <c r="E24" s="737">
        <f>IF(ISNUMBER(Knoten!C21),C24+($E$26*COS(K24*PI()/180)*B24-$I$26*SIN(K24*PI()/180))*B24,C24)</f>
        <v>0</v>
      </c>
      <c r="F24" s="738">
        <f>C24</f>
        <v>0</v>
      </c>
      <c r="G24" s="749">
        <f>IF(ISNUMBER(Knoten!D21),Knoten!D21-$X$1,PlotData!$CB$4)</f>
        <v>0</v>
      </c>
      <c r="H24" s="739">
        <f>IF(ISNUMBER(Knoten!D21),G24+$D$26*(SIN(K24*PI()/180))*B24+$H$26*COS(K24*PI()/180)*B24,G24)</f>
        <v>0</v>
      </c>
      <c r="I24" s="737">
        <f>IF(ISNUMBER(Knoten!D21),G24+$E$26*(SIN(K24*PI()/180))*B24+$I$26*COS(K24*PI()/180)*B24,G24)</f>
        <v>0</v>
      </c>
      <c r="J24" s="738">
        <f>G24</f>
        <v>0</v>
      </c>
      <c r="K24" s="740">
        <f>-Knoten!W21</f>
        <v>0</v>
      </c>
      <c r="N24" s="748">
        <v>19</v>
      </c>
      <c r="O24" s="734">
        <f>1-ABS(SIGN(Knoten!F21))</f>
        <v>1</v>
      </c>
      <c r="P24" s="742">
        <f>IF(ISNUMBER(Knoten!C21),Z24,PlotData!$CB$3)</f>
        <v>0</v>
      </c>
      <c r="Q24" s="737">
        <f>IF(ISNUMBER(Knoten!C21),P24+($Q$26*COS(K24*PI()/180)*O24-$U$26*SIN(K24*PI()/180))*O24,P24)</f>
        <v>0</v>
      </c>
      <c r="R24" s="737">
        <f>IF(ISNUMBER(Knoten!C21),P24+($R$26*COS(K24*PI()/180)*O24-$V$26*SIN(K24*PI()/180))*O24,P24)</f>
        <v>0</v>
      </c>
      <c r="S24" s="743">
        <f>P24</f>
        <v>0</v>
      </c>
      <c r="T24" s="742">
        <f>IF(ISNUMBER(Knoten!D21),AA24,PlotData!$CB$4)</f>
        <v>0</v>
      </c>
      <c r="U24" s="737">
        <f>IF(ISNUMBER(Knoten!D21),T24+($Q$26*SIN(K24*PI()/180)*O24+$U$26*COS(K24*PI()/180))*O24,T24)</f>
        <v>0</v>
      </c>
      <c r="V24" s="737">
        <f>IF(ISNUMBER(Knoten!D21),T24+($R$26*SIN(K24*PI()/180)*O24+$V$26*COS(K24*PI()/180))*O24,T24)</f>
        <v>0</v>
      </c>
      <c r="W24" s="743">
        <f>T24</f>
        <v>0</v>
      </c>
      <c r="Y24" s="750">
        <v>19</v>
      </c>
      <c r="Z24" s="749">
        <f t="shared" si="5"/>
        <v>80</v>
      </c>
      <c r="AA24" s="749">
        <f t="shared" si="4"/>
        <v>-40</v>
      </c>
      <c r="AC24" s="668">
        <f>Knoten!C21-$U$1</f>
        <v>80</v>
      </c>
      <c r="AD24" s="639">
        <f>Knoten!D21-$X$1</f>
        <v>-40</v>
      </c>
      <c r="AE24" s="668">
        <f>$AD$3*(Knoten!$K21*$AJ24 + Knoten!$L21*$AI24)</f>
        <v>0</v>
      </c>
      <c r="AF24" s="639">
        <f>$AD$3*(-Knoten!$K21*$AI24 + Knoten!$L21*$AJ24)</f>
        <v>0</v>
      </c>
      <c r="AG24" s="668">
        <f>$AD$3*(Knoten!$AB21*$AJ24 + Knoten!$AC21*$AI24)</f>
        <v>0</v>
      </c>
      <c r="AH24" s="639">
        <f>$AD$3*(-Knoten!$AB21*$AI24 + Knoten!$AC21*$AJ24)</f>
        <v>0</v>
      </c>
      <c r="AI24" s="668">
        <f>SIN(Knoten!$W21*PI()/180)</f>
        <v>0</v>
      </c>
      <c r="AJ24" s="639">
        <f>COS(Knoten!$W21*PI()/180)</f>
        <v>1</v>
      </c>
    </row>
    <row r="25" spans="1:36" ht="13.8" thickBot="1" x14ac:dyDescent="0.3">
      <c r="A25" s="751">
        <v>20</v>
      </c>
      <c r="B25" s="752">
        <f>1-ABS(SIGN(Knoten!F22))</f>
        <v>1</v>
      </c>
      <c r="C25" s="753">
        <f>IF(ISNUMBER(Knoten!C22),Knoten!C22-$U$1,PlotData!$CB$3)</f>
        <v>0</v>
      </c>
      <c r="D25" s="754">
        <f>IF(ISNUMBER(Knoten!C22),C25+($D$26*COS(K25*PI()/180)*B25-$H$26*SIN(K25*PI()/180))*B25,C25)</f>
        <v>0</v>
      </c>
      <c r="E25" s="755">
        <f>IF(ISNUMBER(Knoten!C22),C25+($E$26*COS(K25*PI()/180)*B25-$I$26*SIN(K25*PI()/180))*B25,C25)</f>
        <v>0</v>
      </c>
      <c r="F25" s="756">
        <f>C25</f>
        <v>0</v>
      </c>
      <c r="G25" s="753">
        <f>IF(ISNUMBER(Knoten!D22),Knoten!D22-$X$1,PlotData!$CB$4)</f>
        <v>0</v>
      </c>
      <c r="H25" s="757">
        <f>IF(ISNUMBER(Knoten!D22),G25+$D$26*(SIN(K25*PI()/180))*B25+$H$26*COS(K25*PI()/180)*B25,G25)</f>
        <v>0</v>
      </c>
      <c r="I25" s="755">
        <f>IF(ISNUMBER(Knoten!D22),G25+$E$26*(SIN(K25*PI()/180))*B25+$I$26*COS(K25*PI()/180)*B25,G25)</f>
        <v>0</v>
      </c>
      <c r="J25" s="756">
        <f>G25</f>
        <v>0</v>
      </c>
      <c r="K25" s="758">
        <f>-Knoten!W22</f>
        <v>0</v>
      </c>
      <c r="N25" s="751">
        <v>20</v>
      </c>
      <c r="O25" s="752">
        <f>1-ABS(SIGN(Knoten!F22))</f>
        <v>1</v>
      </c>
      <c r="P25" s="759">
        <f>IF(ISNUMBER(Knoten!C22),Z25,PlotData!$CB$3)</f>
        <v>0</v>
      </c>
      <c r="Q25" s="755">
        <f>IF(ISNUMBER(Knoten!C22),P25+($Q$26*COS(K25*PI()/180)*O25-$U$26*SIN(K25*PI()/180))*O25,P25)</f>
        <v>0</v>
      </c>
      <c r="R25" s="755">
        <f>IF(ISNUMBER(Knoten!C22),P25+($R$26*COS(K25*PI()/180)*O25-$V$26*SIN(K25*PI()/180))*O25,P25)</f>
        <v>0</v>
      </c>
      <c r="S25" s="760">
        <f>P25</f>
        <v>0</v>
      </c>
      <c r="T25" s="759">
        <f>IF(ISNUMBER(Knoten!D22),AA25,PlotData!$CB$4)</f>
        <v>0</v>
      </c>
      <c r="U25" s="755">
        <f>IF(ISNUMBER(Knoten!D22),T25+($Q$26*SIN(K25*PI()/180)*O25+$U$26*COS(K25*PI()/180))*O25,T25)</f>
        <v>0</v>
      </c>
      <c r="V25" s="755">
        <f>IF(ISNUMBER(Knoten!D22),T25+($R$26*SIN(K25*PI()/180)*O25+$V$26*COS(K25*PI()/180))*O25,T25)</f>
        <v>0</v>
      </c>
      <c r="W25" s="760">
        <f>T25</f>
        <v>0</v>
      </c>
      <c r="Y25" s="761">
        <v>20</v>
      </c>
      <c r="Z25" s="753">
        <f t="shared" si="5"/>
        <v>80</v>
      </c>
      <c r="AA25" s="753">
        <f t="shared" si="4"/>
        <v>-40</v>
      </c>
      <c r="AC25" s="669">
        <f>Knoten!C22-$U$1</f>
        <v>80</v>
      </c>
      <c r="AD25" s="646">
        <f>Knoten!D22-$X$1</f>
        <v>-40</v>
      </c>
      <c r="AE25" s="669">
        <f>$AD$3*(Knoten!$K22*$AJ25 + Knoten!$L22*$AI25)</f>
        <v>0</v>
      </c>
      <c r="AF25" s="646">
        <f>$AD$3*(-Knoten!$K22*$AI25 + Knoten!$L22*$AJ25)</f>
        <v>0</v>
      </c>
      <c r="AG25" s="669">
        <f>$AD$3*(Knoten!$AB22*$AJ25 + Knoten!$AC22*$AI25)</f>
        <v>0</v>
      </c>
      <c r="AH25" s="646">
        <f>$AD$3*(-Knoten!$AB22*$AI25 + Knoten!$AC22*$AJ25)</f>
        <v>0</v>
      </c>
      <c r="AI25" s="669">
        <f>SIN(Knoten!$W22*PI()/180)</f>
        <v>0</v>
      </c>
      <c r="AJ25" s="646">
        <f>COS(Knoten!$W22*PI()/180)</f>
        <v>1</v>
      </c>
    </row>
    <row r="26" spans="1:36" ht="13.8" thickBot="1" x14ac:dyDescent="0.3">
      <c r="C26" s="602" t="s">
        <v>232</v>
      </c>
      <c r="D26" s="762">
        <f>0.5*$E$1</f>
        <v>8.4852813742385713</v>
      </c>
      <c r="E26" s="763">
        <f>-D26</f>
        <v>-8.4852813742385713</v>
      </c>
      <c r="G26" s="602" t="s">
        <v>233</v>
      </c>
      <c r="H26" s="762">
        <f>0.866*$E$1</f>
        <v>14.696507340181205</v>
      </c>
      <c r="I26" s="763">
        <f>H26</f>
        <v>14.696507340181205</v>
      </c>
      <c r="P26" s="602" t="s">
        <v>232</v>
      </c>
      <c r="Q26" s="764">
        <f>D26</f>
        <v>8.4852813742385713</v>
      </c>
      <c r="R26" s="765">
        <f>E26</f>
        <v>-8.4852813742385713</v>
      </c>
      <c r="T26" s="602" t="s">
        <v>233</v>
      </c>
      <c r="U26" s="764">
        <f>H26</f>
        <v>14.696507340181205</v>
      </c>
      <c r="V26" s="765">
        <f>I26</f>
        <v>14.696507340181205</v>
      </c>
    </row>
    <row r="27" spans="1:36" ht="13.8" thickBot="1" x14ac:dyDescent="0.3"/>
    <row r="28" spans="1:36" ht="24.75" customHeight="1" thickBot="1" x14ac:dyDescent="0.3">
      <c r="A28" s="1340" t="s">
        <v>1223</v>
      </c>
      <c r="B28" s="1342"/>
      <c r="C28" s="1340" t="s">
        <v>16</v>
      </c>
      <c r="D28" s="1341"/>
      <c r="E28" s="1341"/>
      <c r="F28" s="1342"/>
      <c r="G28" s="1340" t="s">
        <v>228</v>
      </c>
      <c r="H28" s="1341"/>
      <c r="I28" s="1341"/>
      <c r="J28" s="1342"/>
      <c r="K28" s="727" t="s">
        <v>229</v>
      </c>
      <c r="N28" s="1340" t="s">
        <v>1224</v>
      </c>
      <c r="O28" s="1342"/>
      <c r="P28" s="1337" t="s">
        <v>16</v>
      </c>
      <c r="Q28" s="1338"/>
      <c r="R28" s="1338"/>
      <c r="S28" s="1339"/>
      <c r="T28" s="1337" t="s">
        <v>228</v>
      </c>
      <c r="U28" s="1338"/>
      <c r="V28" s="1338"/>
      <c r="W28" s="1339"/>
    </row>
    <row r="29" spans="1:36" x14ac:dyDescent="0.25">
      <c r="A29" s="733">
        <v>1</v>
      </c>
      <c r="B29" s="741">
        <f>1-ABS(SIGN(Knoten!E3))</f>
        <v>0</v>
      </c>
      <c r="C29" s="735">
        <f>IF(ISNUMBER(Knoten!C3),Knoten!C3-$U$1,PlotData!$CB$3)</f>
        <v>20</v>
      </c>
      <c r="D29" s="736">
        <f>IF(ISNUMBER(Knoten!C3),C29+(D$49*COS($K29*PI()/180)*B29-H$49*SIN($K29*PI()/180))*$B29,C29)</f>
        <v>20</v>
      </c>
      <c r="E29" s="737">
        <f>IF(ISNUMBER(Knoten!C3),C29+(E$49*COS($K29*PI()/180)*B29-I$49*SIN($K29*PI()/180))*$B29,C29)</f>
        <v>20</v>
      </c>
      <c r="F29" s="738">
        <f t="shared" ref="F29:F46" si="6">C29</f>
        <v>20</v>
      </c>
      <c r="G29" s="735">
        <f>IF(ISNUMBER(Knoten!D3),Knoten!D3-$X$1,PlotData!$CB$4)</f>
        <v>-40</v>
      </c>
      <c r="H29" s="739">
        <f>IF(ISNUMBER(Knoten!D3),G29+(D$49*SIN($K29*PI()/180)*B29+H$49*COS($K29*PI()/180))*$B29,G29)</f>
        <v>-40</v>
      </c>
      <c r="I29" s="737">
        <f>IF(ISNUMBER(Knoten!D3),G29+(E$49*SIN($K29*PI()/180)*B29+I$49*COS($K29*PI()/180))*$B29,G29)</f>
        <v>-40</v>
      </c>
      <c r="J29" s="738">
        <f t="shared" ref="J29:J46" si="7">G29</f>
        <v>-40</v>
      </c>
      <c r="K29" s="740">
        <f>-Knoten!W3</f>
        <v>0</v>
      </c>
      <c r="N29" s="733">
        <v>1</v>
      </c>
      <c r="O29" s="766">
        <f>1-ABS(SIGN(Knoten!E3))</f>
        <v>0</v>
      </c>
      <c r="P29" s="767">
        <f>IF(ISNUMBER(Knoten!C3),Z6,PlotData!$CB$3)</f>
        <v>23.626678459402886</v>
      </c>
      <c r="Q29" s="768">
        <f>IF(ISNUMBER(Knoten!C3),P29+($Q$49*COS(K29*PI()/180)*O29-$U$49*SIN(K29*PI()/180))*O29,P29)</f>
        <v>23.626678459402886</v>
      </c>
      <c r="R29" s="768">
        <f>IF(ISNUMBER(Knoten!C3),P29+($R$49*COS(K29*PI()/180)*O29-$V$49*SIN(K29*PI()/180))*O29,P29)</f>
        <v>23.626678459402886</v>
      </c>
      <c r="S29" s="769">
        <f>P29</f>
        <v>23.626678459402886</v>
      </c>
      <c r="T29" s="767">
        <f>IF(ISNUMBER(Knoten!D3),AA6,PlotData!$CB$4)</f>
        <v>-46.105451176718191</v>
      </c>
      <c r="U29" s="768">
        <f>IF(ISNUMBER(Knoten!D3),T29+($Q$49*SIN(K29*PI()/180)*O29+$U$49*COS(K29*PI()/180))*O29,T29)</f>
        <v>-46.105451176718191</v>
      </c>
      <c r="V29" s="768">
        <f>IF(ISNUMBER(Knoten!D3),T29+($R$49*SIN(K29*PI()/180)*O29+$V$49*COS(K29*PI()/180))*O29,T29)</f>
        <v>-46.105451176718191</v>
      </c>
      <c r="W29" s="769">
        <f>T29</f>
        <v>-46.105451176718191</v>
      </c>
    </row>
    <row r="30" spans="1:36" x14ac:dyDescent="0.25">
      <c r="A30" s="748">
        <v>2</v>
      </c>
      <c r="B30" s="734">
        <f>1-ABS(SIGN(Knoten!E4))</f>
        <v>1</v>
      </c>
      <c r="C30" s="749">
        <f>IF(ISNUMBER(Knoten!C4),Knoten!C4-$U$1,PlotData!$CB$3)</f>
        <v>100</v>
      </c>
      <c r="D30" s="736">
        <f>IF(ISNUMBER(Knoten!C4),C30+(D$49*COS($K30*PI()/180)*B30-H$49*SIN($K30*PI()/180))*$B30,C30)</f>
        <v>114.6965073401812</v>
      </c>
      <c r="E30" s="737">
        <f>IF(ISNUMBER(Knoten!C4),C30+(E$49*COS($K30*PI()/180)*B30-I$49*SIN($K30*PI()/180))*$B30,C30)</f>
        <v>114.6965073401812</v>
      </c>
      <c r="F30" s="738">
        <f t="shared" si="6"/>
        <v>100</v>
      </c>
      <c r="G30" s="749">
        <f>IF(ISNUMBER(Knoten!D4),Knoten!D4-$X$1,PlotData!$CB$4)</f>
        <v>20</v>
      </c>
      <c r="H30" s="739">
        <f>IF(ISNUMBER(Knoten!D4),G30+(D$49*SIN($K30*PI()/180)*B30+H$49*COS($K30*PI()/180))*$B30,G30)</f>
        <v>28.485281374238571</v>
      </c>
      <c r="I30" s="737">
        <f>IF(ISNUMBER(Knoten!D4),G30+(E$49*SIN($K30*PI()/180)*B30+I$49*COS($K30*PI()/180))*$B30,G30)</f>
        <v>11.514718625761429</v>
      </c>
      <c r="J30" s="738">
        <f t="shared" si="7"/>
        <v>20</v>
      </c>
      <c r="K30" s="740">
        <f>-Knoten!W4</f>
        <v>0</v>
      </c>
      <c r="N30" s="748">
        <v>2</v>
      </c>
      <c r="O30" s="770">
        <f>1-ABS(SIGN(Knoten!E4))</f>
        <v>1</v>
      </c>
      <c r="P30" s="742">
        <f>IF(ISNUMBER(Knoten!C4),Z7,PlotData!$CB$3)</f>
        <v>100</v>
      </c>
      <c r="Q30" s="737">
        <f>IF(ISNUMBER(Knoten!C4),P30+($Q$49*COS(K30*PI()/180)*O30-$U$49*SIN(K30*PI()/180))*O30,P30)</f>
        <v>114.6965073401812</v>
      </c>
      <c r="R30" s="737">
        <f>IF(ISNUMBER(Knoten!C4),P30+($R$49*COS(K30*PI()/180)*O30-$V$49*SIN(K30*PI()/180))*O30,P30)</f>
        <v>114.6965073401812</v>
      </c>
      <c r="S30" s="743">
        <f t="shared" ref="S30:S48" si="8">P30</f>
        <v>100</v>
      </c>
      <c r="T30" s="742">
        <f>IF(ISNUMBER(Knoten!D4),AA7,PlotData!$CB$4)</f>
        <v>20</v>
      </c>
      <c r="U30" s="737">
        <f>IF(ISNUMBER(Knoten!D4),T30+($Q$49*SIN(K30*PI()/180)*O30+$U$49*COS(K30*PI()/180))*O30,T30)</f>
        <v>28.485281374238571</v>
      </c>
      <c r="V30" s="737">
        <f>IF(ISNUMBER(Knoten!D4),T30+($R$49*SIN(K30*PI()/180)*O30+$V$49*COS(K30*PI()/180))*O30,T30)</f>
        <v>11.514718625761429</v>
      </c>
      <c r="W30" s="743">
        <f t="shared" ref="W30:W48" si="9">T30</f>
        <v>20</v>
      </c>
    </row>
    <row r="31" spans="1:36" x14ac:dyDescent="0.25">
      <c r="A31" s="748">
        <v>3</v>
      </c>
      <c r="B31" s="734">
        <f>1-ABS(SIGN(Knoten!E5))</f>
        <v>1</v>
      </c>
      <c r="C31" s="749">
        <f>IF(ISNUMBER(Knoten!C5),Knoten!C5-$U$1,PlotData!$CB$3)</f>
        <v>20</v>
      </c>
      <c r="D31" s="736">
        <f>IF(ISNUMBER(Knoten!C5),C31+(D$49*COS($K31*PI()/180)*B31-H$49*SIN($K31*PI()/180))*$B31,C31)</f>
        <v>34.696507340181206</v>
      </c>
      <c r="E31" s="737">
        <f>IF(ISNUMBER(Knoten!C5),C31+(E$49*COS($K31*PI()/180)*B31-I$49*SIN($K31*PI()/180))*$B31,C31)</f>
        <v>34.696507340181206</v>
      </c>
      <c r="F31" s="738">
        <f t="shared" si="6"/>
        <v>20</v>
      </c>
      <c r="G31" s="749">
        <f>IF(ISNUMBER(Knoten!D5),Knoten!D5-$X$1,PlotData!$CB$4)</f>
        <v>20</v>
      </c>
      <c r="H31" s="739">
        <f>IF(ISNUMBER(Knoten!D5),G31+(D$49*SIN($K31*PI()/180)*B31+H$49*COS($K31*PI()/180))*$B31,G31)</f>
        <v>28.485281374238571</v>
      </c>
      <c r="I31" s="737">
        <f>IF(ISNUMBER(Knoten!D5),G31+(E$49*SIN($K31*PI()/180)*B31+I$49*COS($K31*PI()/180))*$B31,G31)</f>
        <v>11.514718625761429</v>
      </c>
      <c r="J31" s="738">
        <f t="shared" si="7"/>
        <v>20</v>
      </c>
      <c r="K31" s="740">
        <f>-Knoten!W5</f>
        <v>0</v>
      </c>
      <c r="N31" s="748">
        <v>3</v>
      </c>
      <c r="O31" s="770">
        <f>1-ABS(SIGN(Knoten!E5))</f>
        <v>1</v>
      </c>
      <c r="P31" s="742">
        <f>IF(ISNUMBER(Knoten!C5),Z8,PlotData!$CB$3)</f>
        <v>20</v>
      </c>
      <c r="Q31" s="737">
        <f>IF(ISNUMBER(Knoten!C5),P31+($Q$49*COS(K31*PI()/180)*O31-$U$49*SIN(K31*PI()/180))*O31,P31)</f>
        <v>34.696507340181206</v>
      </c>
      <c r="R31" s="737">
        <f>IF(ISNUMBER(Knoten!C5),P31+($R$49*COS(K31*PI()/180)*O31-$V$49*SIN(K31*PI()/180))*O31,P31)</f>
        <v>34.696507340181206</v>
      </c>
      <c r="S31" s="743">
        <f t="shared" si="8"/>
        <v>20</v>
      </c>
      <c r="T31" s="742">
        <f>IF(ISNUMBER(Knoten!D5),AA8,PlotData!$CB$4)</f>
        <v>20</v>
      </c>
      <c r="U31" s="737">
        <f>IF(ISNUMBER(Knoten!D5),T31+($Q$49*SIN(K31*PI()/180)*O31+$U$49*COS(K31*PI()/180))*O31,T31)</f>
        <v>28.485281374238571</v>
      </c>
      <c r="V31" s="737">
        <f>IF(ISNUMBER(Knoten!D5),T31+($R$49*SIN(K31*PI()/180)*O31+$V$49*COS(K31*PI()/180))*O31,T31)</f>
        <v>11.514718625761429</v>
      </c>
      <c r="W31" s="743">
        <f t="shared" si="9"/>
        <v>20</v>
      </c>
    </row>
    <row r="32" spans="1:36" x14ac:dyDescent="0.25">
      <c r="A32" s="748">
        <v>4</v>
      </c>
      <c r="B32" s="734">
        <f>1-ABS(SIGN(Knoten!E6))</f>
        <v>1</v>
      </c>
      <c r="C32" s="749">
        <f>IF(ISNUMBER(Knoten!C6),Knoten!C6-$U$1,PlotData!$CB$3)</f>
        <v>60</v>
      </c>
      <c r="D32" s="736">
        <f>IF(ISNUMBER(Knoten!C6),C32+(D$49*COS($K32*PI()/180)*B32-H$49*SIN($K32*PI()/180))*$B32,C32)</f>
        <v>74.696507340181199</v>
      </c>
      <c r="E32" s="737">
        <f>IF(ISNUMBER(Knoten!C6),C32+(E$49*COS($K32*PI()/180)*B32-I$49*SIN($K32*PI()/180))*$B32,C32)</f>
        <v>74.696507340181199</v>
      </c>
      <c r="F32" s="738">
        <f t="shared" si="6"/>
        <v>60</v>
      </c>
      <c r="G32" s="749">
        <f>IF(ISNUMBER(Knoten!D6),Knoten!D6-$X$1,PlotData!$CB$4)</f>
        <v>-100</v>
      </c>
      <c r="H32" s="739">
        <f>IF(ISNUMBER(Knoten!D6),G32+(D$49*SIN($K32*PI()/180)*B32+H$49*COS($K32*PI()/180))*$B32,G32)</f>
        <v>-91.514718625761432</v>
      </c>
      <c r="I32" s="737">
        <f>IF(ISNUMBER(Knoten!D6),G32+(E$49*SIN($K32*PI()/180)*B32+I$49*COS($K32*PI()/180))*$B32,G32)</f>
        <v>-108.48528137423857</v>
      </c>
      <c r="J32" s="738">
        <f t="shared" si="7"/>
        <v>-100</v>
      </c>
      <c r="K32" s="740">
        <f>-Knoten!W6</f>
        <v>0</v>
      </c>
      <c r="N32" s="748">
        <v>4</v>
      </c>
      <c r="O32" s="770">
        <f>1-ABS(SIGN(Knoten!E6))</f>
        <v>1</v>
      </c>
      <c r="P32" s="742">
        <f>IF(ISNUMBER(Knoten!C6),Z9,PlotData!$CB$3)</f>
        <v>60</v>
      </c>
      <c r="Q32" s="737">
        <f>IF(ISNUMBER(Knoten!C6),P32+($Q$49*COS(K32*PI()/180)*O32-$U$49*SIN(K32*PI()/180))*O32,P32)</f>
        <v>74.696507340181199</v>
      </c>
      <c r="R32" s="737">
        <f>IF(ISNUMBER(Knoten!C6),P32+($R$49*COS(K32*PI()/180)*O32-$V$49*SIN(K32*PI()/180))*O32,P32)</f>
        <v>74.696507340181199</v>
      </c>
      <c r="S32" s="743">
        <f t="shared" si="8"/>
        <v>60</v>
      </c>
      <c r="T32" s="742">
        <f>IF(ISNUMBER(Knoten!D6),AA9,PlotData!$CB$4)</f>
        <v>-100</v>
      </c>
      <c r="U32" s="737">
        <f>IF(ISNUMBER(Knoten!D6),T32+($Q$49*SIN(K32*PI()/180)*O32+$U$49*COS(K32*PI()/180))*O32,T32)</f>
        <v>-91.514718625761432</v>
      </c>
      <c r="V32" s="737">
        <f>IF(ISNUMBER(Knoten!D6),T32+($R$49*SIN(K32*PI()/180)*O32+$V$49*COS(K32*PI()/180))*O32,T32)</f>
        <v>-108.48528137423857</v>
      </c>
      <c r="W32" s="743">
        <f t="shared" si="9"/>
        <v>-100</v>
      </c>
    </row>
    <row r="33" spans="1:23" x14ac:dyDescent="0.25">
      <c r="A33" s="748">
        <v>5</v>
      </c>
      <c r="B33" s="734">
        <f>1-ABS(SIGN(Knoten!E7))</f>
        <v>1</v>
      </c>
      <c r="C33" s="749">
        <f>IF(ISNUMBER(Knoten!C7),Knoten!C7-$U$1,PlotData!$CB$3)</f>
        <v>-50</v>
      </c>
      <c r="D33" s="736">
        <f>IF(ISNUMBER(Knoten!C7),C33+(D$49*COS($K33*PI()/180)*B33-H$49*SIN($K33*PI()/180))*$B33,C33)</f>
        <v>-35.303492659818794</v>
      </c>
      <c r="E33" s="737">
        <f>IF(ISNUMBER(Knoten!C7),C33+(E$49*COS($K33*PI()/180)*B33-I$49*SIN($K33*PI()/180))*$B33,C33)</f>
        <v>-35.303492659818794</v>
      </c>
      <c r="F33" s="738">
        <f t="shared" si="6"/>
        <v>-50</v>
      </c>
      <c r="G33" s="749">
        <f>IF(ISNUMBER(Knoten!D7),Knoten!D7-$X$1,PlotData!$CB$4)</f>
        <v>-70</v>
      </c>
      <c r="H33" s="739">
        <f>IF(ISNUMBER(Knoten!D7),G33+(D$49*SIN($K33*PI()/180)*B33+H$49*COS($K33*PI()/180))*$B33,G33)</f>
        <v>-61.514718625761432</v>
      </c>
      <c r="I33" s="737">
        <f>IF(ISNUMBER(Knoten!D7),G33+(E$49*SIN($K33*PI()/180)*B33+I$49*COS($K33*PI()/180))*$B33,G33)</f>
        <v>-78.485281374238568</v>
      </c>
      <c r="J33" s="738">
        <f t="shared" si="7"/>
        <v>-70</v>
      </c>
      <c r="K33" s="740">
        <f>-Knoten!W7</f>
        <v>0</v>
      </c>
      <c r="N33" s="748">
        <v>5</v>
      </c>
      <c r="O33" s="770">
        <f>1-ABS(SIGN(Knoten!E7))</f>
        <v>1</v>
      </c>
      <c r="P33" s="742">
        <f>IF(ISNUMBER(Knoten!C7),Z10,PlotData!$CB$3)</f>
        <v>-50</v>
      </c>
      <c r="Q33" s="737">
        <f>IF(ISNUMBER(Knoten!C7),P33+($Q$49*COS(K33*PI()/180)*O33-$U$49*SIN(K33*PI()/180))*O33,P33)</f>
        <v>-35.303492659818794</v>
      </c>
      <c r="R33" s="737">
        <f>IF(ISNUMBER(Knoten!C7),P33+($R$49*COS(K33*PI()/180)*O33-$V$49*SIN(K33*PI()/180))*O33,P33)</f>
        <v>-35.303492659818794</v>
      </c>
      <c r="S33" s="743">
        <f t="shared" si="8"/>
        <v>-50</v>
      </c>
      <c r="T33" s="742">
        <f>IF(ISNUMBER(Knoten!D7),AA10,PlotData!$CB$4)</f>
        <v>-70</v>
      </c>
      <c r="U33" s="737">
        <f>IF(ISNUMBER(Knoten!D7),T33+($Q$49*SIN(K33*PI()/180)*O33+$U$49*COS(K33*PI()/180))*O33,T33)</f>
        <v>-61.514718625761432</v>
      </c>
      <c r="V33" s="737">
        <f>IF(ISNUMBER(Knoten!D7),T33+($R$49*SIN(K33*PI()/180)*O33+$V$49*COS(K33*PI()/180))*O33,T33)</f>
        <v>-78.485281374238568</v>
      </c>
      <c r="W33" s="743">
        <f>T33</f>
        <v>-70</v>
      </c>
    </row>
    <row r="34" spans="1:23" x14ac:dyDescent="0.25">
      <c r="A34" s="748">
        <v>6</v>
      </c>
      <c r="B34" s="734">
        <f>1-ABS(SIGN(Knoten!E8))</f>
        <v>1</v>
      </c>
      <c r="C34" s="749">
        <f>IF(ISNUMBER(Knoten!C8),Knoten!C8-$U$1,PlotData!$CB$3)</f>
        <v>-100</v>
      </c>
      <c r="D34" s="736">
        <f>IF(ISNUMBER(Knoten!C8),C34+(D$49*COS($K34*PI()/180)*B34-H$49*SIN($K34*PI()/180))*$B34,C34)</f>
        <v>-85.303492659818801</v>
      </c>
      <c r="E34" s="737">
        <f>IF(ISNUMBER(Knoten!C8),C34+(E$49*COS($K34*PI()/180)*B34-I$49*SIN($K34*PI()/180))*$B34,C34)</f>
        <v>-85.303492659818801</v>
      </c>
      <c r="F34" s="738">
        <f t="shared" si="6"/>
        <v>-100</v>
      </c>
      <c r="G34" s="749">
        <f>IF(ISNUMBER(Knoten!D8),Knoten!D8-$X$1,PlotData!$CB$4)</f>
        <v>100</v>
      </c>
      <c r="H34" s="739">
        <f>IF(ISNUMBER(Knoten!D8),G34+(D$49*SIN($K34*PI()/180)*B34+H$49*COS($K34*PI()/180))*$B34,G34)</f>
        <v>108.48528137423857</v>
      </c>
      <c r="I34" s="737">
        <f>IF(ISNUMBER(Knoten!D8),G34+(E$49*SIN($K34*PI()/180)*B34+I$49*COS($K34*PI()/180))*$B34,G34)</f>
        <v>91.514718625761432</v>
      </c>
      <c r="J34" s="738">
        <f t="shared" si="7"/>
        <v>100</v>
      </c>
      <c r="K34" s="740">
        <f>-Knoten!W8</f>
        <v>0</v>
      </c>
      <c r="N34" s="748">
        <v>6</v>
      </c>
      <c r="O34" s="770">
        <f>1-ABS(SIGN(Knoten!E8))</f>
        <v>1</v>
      </c>
      <c r="P34" s="742">
        <f>IF(ISNUMBER(Knoten!C8),Z11,PlotData!$CB$3)</f>
        <v>-100</v>
      </c>
      <c r="Q34" s="737">
        <f>IF(ISNUMBER(Knoten!C8),P34+($Q$49*COS(K34*PI()/180)*O34-$U$49*SIN(K34*PI()/180))*O34,P34)</f>
        <v>-85.303492659818801</v>
      </c>
      <c r="R34" s="737">
        <f>IF(ISNUMBER(Knoten!C8),P34+($R$49*COS(K34*PI()/180)*O34-$V$49*SIN(K34*PI()/180))*O34,P34)</f>
        <v>-85.303492659818801</v>
      </c>
      <c r="S34" s="743">
        <f t="shared" si="8"/>
        <v>-100</v>
      </c>
      <c r="T34" s="742">
        <f>IF(ISNUMBER(Knoten!D8),AA11,PlotData!$CB$4)</f>
        <v>100</v>
      </c>
      <c r="U34" s="737">
        <f>IF(ISNUMBER(Knoten!D8),T34+($Q$49*SIN(K34*PI()/180)*O34+$U$49*COS(K34*PI()/180))*O34,T34)</f>
        <v>108.48528137423857</v>
      </c>
      <c r="V34" s="737">
        <f>IF(ISNUMBER(Knoten!D8),T34+($R$49*SIN(K34*PI()/180)*O34+$V$49*COS(K34*PI()/180))*O34,T34)</f>
        <v>91.514718625761432</v>
      </c>
      <c r="W34" s="743">
        <f t="shared" si="9"/>
        <v>100</v>
      </c>
    </row>
    <row r="35" spans="1:23" x14ac:dyDescent="0.25">
      <c r="A35" s="748">
        <v>7</v>
      </c>
      <c r="B35" s="734">
        <f>1-ABS(SIGN(Knoten!E9))</f>
        <v>1</v>
      </c>
      <c r="C35" s="749">
        <f>IF(ISNUMBER(Knoten!C9),Knoten!C9-$U$1,PlotData!$CB$3)</f>
        <v>0</v>
      </c>
      <c r="D35" s="736">
        <f>IF(ISNUMBER(Knoten!C9),C35+(D$49*COS($K35*PI()/180)*B35-H$49*SIN($K35*PI()/180))*$B35,C35)</f>
        <v>0</v>
      </c>
      <c r="E35" s="737">
        <f>IF(ISNUMBER(Knoten!C9),C35+(E$49*COS($K35*PI()/180)*B35-I$49*SIN($K35*PI()/180))*$B35,C35)</f>
        <v>0</v>
      </c>
      <c r="F35" s="738">
        <f t="shared" si="6"/>
        <v>0</v>
      </c>
      <c r="G35" s="749">
        <f>IF(ISNUMBER(Knoten!D9),Knoten!D9-$X$1,PlotData!$CB$4)</f>
        <v>0</v>
      </c>
      <c r="H35" s="739">
        <f>IF(ISNUMBER(Knoten!D9),G35+(D$49*SIN($K35*PI()/180)*B35+H$49*COS($K35*PI()/180))*$B35,G35)</f>
        <v>0</v>
      </c>
      <c r="I35" s="737">
        <f>IF(ISNUMBER(Knoten!D9),G35+(E$49*SIN($K35*PI()/180)*B35+I$49*COS($K35*PI()/180))*$B35,G35)</f>
        <v>0</v>
      </c>
      <c r="J35" s="738">
        <f t="shared" si="7"/>
        <v>0</v>
      </c>
      <c r="K35" s="740">
        <f>-Knoten!W9</f>
        <v>0</v>
      </c>
      <c r="N35" s="748">
        <v>7</v>
      </c>
      <c r="O35" s="770">
        <f>1-ABS(SIGN(Knoten!E9))</f>
        <v>1</v>
      </c>
      <c r="P35" s="742">
        <f>IF(ISNUMBER(Knoten!C9),Z12,PlotData!$CB$3)</f>
        <v>0</v>
      </c>
      <c r="Q35" s="737">
        <f>IF(ISNUMBER(Knoten!C9),P35+($Q$49*COS(K35*PI()/180)*O35-$U$49*SIN(K35*PI()/180))*O35,P35)</f>
        <v>0</v>
      </c>
      <c r="R35" s="737">
        <f>IF(ISNUMBER(Knoten!C9),P35+($R$49*COS(K35*PI()/180)*O35-$V$49*SIN(K35*PI()/180))*O35,P35)</f>
        <v>0</v>
      </c>
      <c r="S35" s="743">
        <f t="shared" si="8"/>
        <v>0</v>
      </c>
      <c r="T35" s="742">
        <f>IF(ISNUMBER(Knoten!D9),AA12,PlotData!$CB$4)</f>
        <v>0</v>
      </c>
      <c r="U35" s="737">
        <f>IF(ISNUMBER(Knoten!D9),T35+($Q$49*SIN(K35*PI()/180)*O35+$U$49*COS(K35*PI()/180))*O35,T35)</f>
        <v>0</v>
      </c>
      <c r="V35" s="737">
        <f>IF(ISNUMBER(Knoten!D9),T35+($R$49*SIN(K35*PI()/180)*O35+$V$49*COS(K35*PI()/180))*O35,T35)</f>
        <v>0</v>
      </c>
      <c r="W35" s="743">
        <f t="shared" si="9"/>
        <v>0</v>
      </c>
    </row>
    <row r="36" spans="1:23" x14ac:dyDescent="0.25">
      <c r="A36" s="748">
        <v>8</v>
      </c>
      <c r="B36" s="734">
        <f>1-ABS(SIGN(Knoten!E10))</f>
        <v>1</v>
      </c>
      <c r="C36" s="749">
        <f>IF(ISNUMBER(Knoten!C10),Knoten!C10-$U$1,PlotData!$CB$3)</f>
        <v>0</v>
      </c>
      <c r="D36" s="736">
        <f>IF(ISNUMBER(Knoten!C10),C36+(D$49*COS($K36*PI()/180)*B36-H$49*SIN($K36*PI()/180))*$B36,C36)</f>
        <v>0</v>
      </c>
      <c r="E36" s="737">
        <f>IF(ISNUMBER(Knoten!C10),C36+(E$49*COS($K36*PI()/180)*B36-I$49*SIN($K36*PI()/180))*$B36,C36)</f>
        <v>0</v>
      </c>
      <c r="F36" s="738">
        <f t="shared" si="6"/>
        <v>0</v>
      </c>
      <c r="G36" s="749">
        <f>IF(ISNUMBER(Knoten!D10),Knoten!D10-$X$1,PlotData!$CB$4)</f>
        <v>0</v>
      </c>
      <c r="H36" s="739">
        <f>IF(ISNUMBER(Knoten!D10),G36+(D$49*SIN($K36*PI()/180)*B36+H$49*COS($K36*PI()/180))*$B36,G36)</f>
        <v>0</v>
      </c>
      <c r="I36" s="737">
        <f>IF(ISNUMBER(Knoten!D10),G36+(E$49*SIN($K36*PI()/180)*B36+I$49*COS($K36*PI()/180))*$B36,G36)</f>
        <v>0</v>
      </c>
      <c r="J36" s="738">
        <f t="shared" si="7"/>
        <v>0</v>
      </c>
      <c r="K36" s="740">
        <f>-Knoten!W10</f>
        <v>0</v>
      </c>
      <c r="N36" s="748">
        <v>8</v>
      </c>
      <c r="O36" s="770">
        <f>1-ABS(SIGN(Knoten!E10))</f>
        <v>1</v>
      </c>
      <c r="P36" s="742">
        <f>IF(ISNUMBER(Knoten!C10),Z13,PlotData!$CB$3)</f>
        <v>0</v>
      </c>
      <c r="Q36" s="737">
        <f>IF(ISNUMBER(Knoten!C10),P36+($Q$49*COS(K36*PI()/180)*O36-$U$49*SIN(K36*PI()/180))*O36,P36)</f>
        <v>0</v>
      </c>
      <c r="R36" s="737">
        <f>IF(ISNUMBER(Knoten!C10),P36+($R$49*COS(K36*PI()/180)*O36-$V$49*SIN(K36*PI()/180))*O36,P36)</f>
        <v>0</v>
      </c>
      <c r="S36" s="743">
        <f t="shared" si="8"/>
        <v>0</v>
      </c>
      <c r="T36" s="742">
        <f>IF(ISNUMBER(Knoten!D10),AA13,PlotData!$CB$4)</f>
        <v>0</v>
      </c>
      <c r="U36" s="737">
        <f>IF(ISNUMBER(Knoten!D10),T36+($Q$49*SIN(K36*PI()/180)*O36+$U$49*COS(K36*PI()/180))*O36,T36)</f>
        <v>0</v>
      </c>
      <c r="V36" s="737">
        <f>IF(ISNUMBER(Knoten!D10),T36+($R$49*SIN(K36*PI()/180)*O36+$V$49*COS(K36*PI()/180))*O36,T36)</f>
        <v>0</v>
      </c>
      <c r="W36" s="743">
        <f t="shared" si="9"/>
        <v>0</v>
      </c>
    </row>
    <row r="37" spans="1:23" x14ac:dyDescent="0.25">
      <c r="A37" s="748">
        <v>9</v>
      </c>
      <c r="B37" s="734">
        <f>1-ABS(SIGN(Knoten!E11))</f>
        <v>1</v>
      </c>
      <c r="C37" s="749">
        <f>IF(ISNUMBER(Knoten!C11),Knoten!C11-$U$1,PlotData!$CB$3)</f>
        <v>0</v>
      </c>
      <c r="D37" s="736">
        <f>IF(ISNUMBER(Knoten!C11),C37+(D$49*COS($K37*PI()/180)*B37-H$49*SIN($K37*PI()/180))*$B37,C37)</f>
        <v>0</v>
      </c>
      <c r="E37" s="737">
        <f>IF(ISNUMBER(Knoten!C11),C37+(E$49*COS($K37*PI()/180)*B37-I$49*SIN($K37*PI()/180))*$B37,C37)</f>
        <v>0</v>
      </c>
      <c r="F37" s="738">
        <f t="shared" si="6"/>
        <v>0</v>
      </c>
      <c r="G37" s="749">
        <f>IF(ISNUMBER(Knoten!D11),Knoten!D11-$X$1,PlotData!$CB$4)</f>
        <v>0</v>
      </c>
      <c r="H37" s="739">
        <f>IF(ISNUMBER(Knoten!D11),G37+(D$49*SIN($K37*PI()/180)*B37+H$49*COS($K37*PI()/180))*$B37,G37)</f>
        <v>0</v>
      </c>
      <c r="I37" s="737">
        <f>IF(ISNUMBER(Knoten!D11),G37+(E$49*SIN($K37*PI()/180)*B37+I$49*COS($K37*PI()/180))*$B37,G37)</f>
        <v>0</v>
      </c>
      <c r="J37" s="738">
        <f t="shared" si="7"/>
        <v>0</v>
      </c>
      <c r="K37" s="740">
        <f>-Knoten!W11</f>
        <v>0</v>
      </c>
      <c r="N37" s="748">
        <v>9</v>
      </c>
      <c r="O37" s="770">
        <f>1-ABS(SIGN(Knoten!E11))</f>
        <v>1</v>
      </c>
      <c r="P37" s="742">
        <f>IF(ISNUMBER(Knoten!C11),Z14,PlotData!$CB$3)</f>
        <v>0</v>
      </c>
      <c r="Q37" s="737">
        <f>IF(ISNUMBER(Knoten!C11),P37+($Q$49*COS(K37*PI()/180)*O37-$U$49*SIN(K37*PI()/180))*O37,P37)</f>
        <v>0</v>
      </c>
      <c r="R37" s="737">
        <f>IF(ISNUMBER(Knoten!C11),P37+($R$49*COS(K37*PI()/180)*O37-$V$49*SIN(K37*PI()/180))*O37,P37)</f>
        <v>0</v>
      </c>
      <c r="S37" s="743">
        <f t="shared" si="8"/>
        <v>0</v>
      </c>
      <c r="T37" s="742">
        <f>IF(ISNUMBER(Knoten!D11),AA14,PlotData!$CB$4)</f>
        <v>0</v>
      </c>
      <c r="U37" s="737">
        <f>IF(ISNUMBER(Knoten!D11),T37+($Q$49*SIN(K37*PI()/180)*O37+$U$49*COS(K37*PI()/180))*O37,T37)</f>
        <v>0</v>
      </c>
      <c r="V37" s="737">
        <f>IF(ISNUMBER(Knoten!D11),T37+($R$49*SIN(K37*PI()/180)*O37+$V$49*COS(K37*PI()/180))*O37,T37)</f>
        <v>0</v>
      </c>
      <c r="W37" s="743">
        <f t="shared" si="9"/>
        <v>0</v>
      </c>
    </row>
    <row r="38" spans="1:23" x14ac:dyDescent="0.25">
      <c r="A38" s="748">
        <v>10</v>
      </c>
      <c r="B38" s="734">
        <f>1-ABS(SIGN(Knoten!E12))</f>
        <v>1</v>
      </c>
      <c r="C38" s="749">
        <f>IF(ISNUMBER(Knoten!C12),Knoten!C12-$U$1,PlotData!$CB$3)</f>
        <v>0</v>
      </c>
      <c r="D38" s="736">
        <f>IF(ISNUMBER(Knoten!C12),C38+(D$49*COS($K38*PI()/180)*B38-H$49*SIN($K38*PI()/180))*$B38,C38)</f>
        <v>0</v>
      </c>
      <c r="E38" s="737">
        <f>IF(ISNUMBER(Knoten!C12),C38+(E$49*COS($K38*PI()/180)*B38-I$49*SIN($K38*PI()/180))*$B38,C38)</f>
        <v>0</v>
      </c>
      <c r="F38" s="738">
        <f t="shared" si="6"/>
        <v>0</v>
      </c>
      <c r="G38" s="749">
        <f>IF(ISNUMBER(Knoten!D12),Knoten!D12-$X$1,PlotData!$CB$4)</f>
        <v>0</v>
      </c>
      <c r="H38" s="739">
        <f>IF(ISNUMBER(Knoten!D12),G38+(D$49*SIN($K38*PI()/180)*B38+H$49*COS($K38*PI()/180))*$B38,G38)</f>
        <v>0</v>
      </c>
      <c r="I38" s="737">
        <f>IF(ISNUMBER(Knoten!D12),G38+(E$49*SIN($K38*PI()/180)*B38+I$49*COS($K38*PI()/180))*$B38,G38)</f>
        <v>0</v>
      </c>
      <c r="J38" s="738">
        <f t="shared" si="7"/>
        <v>0</v>
      </c>
      <c r="K38" s="740">
        <f>-Knoten!W12</f>
        <v>0</v>
      </c>
      <c r="N38" s="748">
        <v>10</v>
      </c>
      <c r="O38" s="770">
        <f>1-ABS(SIGN(Knoten!E12))</f>
        <v>1</v>
      </c>
      <c r="P38" s="742">
        <f>IF(ISNUMBER(Knoten!C12),Z15,PlotData!$CB$3)</f>
        <v>0</v>
      </c>
      <c r="Q38" s="737">
        <f>IF(ISNUMBER(Knoten!C12),P38+($Q$49*COS(K38*PI()/180)*O38-$U$49*SIN(K38*PI()/180))*O38,P38)</f>
        <v>0</v>
      </c>
      <c r="R38" s="737">
        <f>IF(ISNUMBER(Knoten!C12),P38+($R$49*COS(K38*PI()/180)*O38-$V$49*SIN(K38*PI()/180))*O38,P38)</f>
        <v>0</v>
      </c>
      <c r="S38" s="743">
        <f t="shared" si="8"/>
        <v>0</v>
      </c>
      <c r="T38" s="742">
        <f>IF(ISNUMBER(Knoten!D12),AA15,PlotData!$CB$4)</f>
        <v>0</v>
      </c>
      <c r="U38" s="737">
        <f>IF(ISNUMBER(Knoten!D12),T38+($Q$49*SIN(K38*PI()/180)*O38+$U$49*COS(K38*PI()/180))*O38,T38)</f>
        <v>0</v>
      </c>
      <c r="V38" s="737">
        <f>IF(ISNUMBER(Knoten!D12),T38+($R$49*SIN(K38*PI()/180)*O38+$V$49*COS(K38*PI()/180))*O38,T38)</f>
        <v>0</v>
      </c>
      <c r="W38" s="743">
        <f t="shared" si="9"/>
        <v>0</v>
      </c>
    </row>
    <row r="39" spans="1:23" x14ac:dyDescent="0.25">
      <c r="A39" s="748">
        <v>11</v>
      </c>
      <c r="B39" s="734">
        <f>1-ABS(SIGN(Knoten!E13))</f>
        <v>1</v>
      </c>
      <c r="C39" s="749">
        <f>IF(ISNUMBER(Knoten!C13),Knoten!C13-$U$1,PlotData!$CB$3)</f>
        <v>0</v>
      </c>
      <c r="D39" s="736">
        <f>IF(ISNUMBER(Knoten!C13),C39+(D$49*COS($K39*PI()/180)*B39-H$49*SIN($K39*PI()/180))*$B39,C39)</f>
        <v>0</v>
      </c>
      <c r="E39" s="737">
        <f>IF(ISNUMBER(Knoten!C13),C39+(E$49*COS($K39*PI()/180)*B39-I$49*SIN($K39*PI()/180))*$B39,C39)</f>
        <v>0</v>
      </c>
      <c r="F39" s="738">
        <f t="shared" si="6"/>
        <v>0</v>
      </c>
      <c r="G39" s="749">
        <f>IF(ISNUMBER(Knoten!D13),Knoten!D13-$X$1,PlotData!$CB$4)</f>
        <v>0</v>
      </c>
      <c r="H39" s="739">
        <f>IF(ISNUMBER(Knoten!D13),G39+(D$49*SIN($K39*PI()/180)*B39+H$49*COS($K39*PI()/180))*$B39,G39)</f>
        <v>0</v>
      </c>
      <c r="I39" s="737">
        <f>IF(ISNUMBER(Knoten!D13),G39+(E$49*SIN($K39*PI()/180)*B39+I$49*COS($K39*PI()/180))*$B39,G39)</f>
        <v>0</v>
      </c>
      <c r="J39" s="738">
        <f t="shared" si="7"/>
        <v>0</v>
      </c>
      <c r="K39" s="740">
        <f>-Knoten!W13</f>
        <v>0</v>
      </c>
      <c r="N39" s="748">
        <v>11</v>
      </c>
      <c r="O39" s="770">
        <f>1-ABS(SIGN(Knoten!E13))</f>
        <v>1</v>
      </c>
      <c r="P39" s="742">
        <f>IF(ISNUMBER(Knoten!C13),Z16,PlotData!$CB$3)</f>
        <v>0</v>
      </c>
      <c r="Q39" s="737">
        <f>IF(ISNUMBER(Knoten!C13),P39+($Q$49*COS(K39*PI()/180)*O39-$U$49*SIN(K39*PI()/180))*O39,P39)</f>
        <v>0</v>
      </c>
      <c r="R39" s="737">
        <f>IF(ISNUMBER(Knoten!C13),P39+($R$49*COS(K39*PI()/180)*O39-$V$49*SIN(K39*PI()/180))*O39,P39)</f>
        <v>0</v>
      </c>
      <c r="S39" s="743">
        <f t="shared" si="8"/>
        <v>0</v>
      </c>
      <c r="T39" s="742">
        <f>IF(ISNUMBER(Knoten!D13),AA16,PlotData!$CB$4)</f>
        <v>0</v>
      </c>
      <c r="U39" s="737">
        <f>IF(ISNUMBER(Knoten!D13),T39+($Q$49*SIN(K39*PI()/180)*O39+$U$49*COS(K39*PI()/180))*O39,T39)</f>
        <v>0</v>
      </c>
      <c r="V39" s="737">
        <f>IF(ISNUMBER(Knoten!D13),T39+($R$49*SIN(K39*PI()/180)*O39+$V$49*COS(K39*PI()/180))*O39,T39)</f>
        <v>0</v>
      </c>
      <c r="W39" s="743">
        <f t="shared" si="9"/>
        <v>0</v>
      </c>
    </row>
    <row r="40" spans="1:23" x14ac:dyDescent="0.25">
      <c r="A40" s="748">
        <v>12</v>
      </c>
      <c r="B40" s="734">
        <f>1-ABS(SIGN(Knoten!E14))</f>
        <v>1</v>
      </c>
      <c r="C40" s="749">
        <f>IF(ISNUMBER(Knoten!C14),Knoten!C14-$U$1,PlotData!$CB$3)</f>
        <v>0</v>
      </c>
      <c r="D40" s="736">
        <f>IF(ISNUMBER(Knoten!C14),C40+(D$49*COS($K40*PI()/180)*B40-H$49*SIN($K40*PI()/180))*$B40,C40)</f>
        <v>0</v>
      </c>
      <c r="E40" s="737">
        <f>IF(ISNUMBER(Knoten!C14),C40+(E$49*COS($K40*PI()/180)*B40-I$49*SIN($K40*PI()/180))*$B40,C40)</f>
        <v>0</v>
      </c>
      <c r="F40" s="738">
        <f t="shared" si="6"/>
        <v>0</v>
      </c>
      <c r="G40" s="749">
        <f>IF(ISNUMBER(Knoten!D14),Knoten!D14-$X$1,PlotData!$CB$4)</f>
        <v>0</v>
      </c>
      <c r="H40" s="739">
        <f>IF(ISNUMBER(Knoten!D14),G40+(D$49*SIN($K40*PI()/180)*B40+H$49*COS($K40*PI()/180))*$B40,G40)</f>
        <v>0</v>
      </c>
      <c r="I40" s="737">
        <f>IF(ISNUMBER(Knoten!D14),G40+(E$49*SIN($K40*PI()/180)*B40+I$49*COS($K40*PI()/180))*$B40,G40)</f>
        <v>0</v>
      </c>
      <c r="J40" s="738">
        <f t="shared" si="7"/>
        <v>0</v>
      </c>
      <c r="K40" s="740">
        <f>-Knoten!W14</f>
        <v>0</v>
      </c>
      <c r="N40" s="748">
        <v>12</v>
      </c>
      <c r="O40" s="770">
        <f>1-ABS(SIGN(Knoten!E14))</f>
        <v>1</v>
      </c>
      <c r="P40" s="742">
        <f>IF(ISNUMBER(Knoten!C14),Z17,PlotData!$CB$3)</f>
        <v>0</v>
      </c>
      <c r="Q40" s="737">
        <f>IF(ISNUMBER(Knoten!C14),P40+($Q$49*COS(K40*PI()/180)*O40-$U$49*SIN(K40*PI()/180))*O40,P40)</f>
        <v>0</v>
      </c>
      <c r="R40" s="737">
        <f>IF(ISNUMBER(Knoten!C14),P40+($R$49*COS(K40*PI()/180)*O40-$V$49*SIN(K40*PI()/180))*O40,P40)</f>
        <v>0</v>
      </c>
      <c r="S40" s="743">
        <f t="shared" si="8"/>
        <v>0</v>
      </c>
      <c r="T40" s="742">
        <f>IF(ISNUMBER(Knoten!D14),AA17,PlotData!$CB$4)</f>
        <v>0</v>
      </c>
      <c r="U40" s="737">
        <f>IF(ISNUMBER(Knoten!D14),T40+($Q$49*SIN(K40*PI()/180)*O40+$U$49*COS(K40*PI()/180))*O40,T40)</f>
        <v>0</v>
      </c>
      <c r="V40" s="737">
        <f>IF(ISNUMBER(Knoten!D14),T40+($R$49*SIN(K40*PI()/180)*O40+$V$49*COS(K40*PI()/180))*O40,T40)</f>
        <v>0</v>
      </c>
      <c r="W40" s="743">
        <f t="shared" si="9"/>
        <v>0</v>
      </c>
    </row>
    <row r="41" spans="1:23" x14ac:dyDescent="0.25">
      <c r="A41" s="748">
        <v>13</v>
      </c>
      <c r="B41" s="734">
        <f>1-ABS(SIGN(Knoten!E15))</f>
        <v>1</v>
      </c>
      <c r="C41" s="749">
        <f>IF(ISNUMBER(Knoten!C15),Knoten!C15-$U$1,PlotData!$CB$3)</f>
        <v>0</v>
      </c>
      <c r="D41" s="736">
        <f>IF(ISNUMBER(Knoten!C15),C41+(D$49*COS($K41*PI()/180)*B41-H$49*SIN($K41*PI()/180))*$B41,C41)</f>
        <v>0</v>
      </c>
      <c r="E41" s="737">
        <f>IF(ISNUMBER(Knoten!C15),C41+(E$49*COS($K41*PI()/180)*B41-I$49*SIN($K41*PI()/180))*$B41,C41)</f>
        <v>0</v>
      </c>
      <c r="F41" s="738">
        <f t="shared" si="6"/>
        <v>0</v>
      </c>
      <c r="G41" s="749">
        <f>IF(ISNUMBER(Knoten!D15),Knoten!D15-$X$1,PlotData!$CB$4)</f>
        <v>0</v>
      </c>
      <c r="H41" s="739">
        <f>IF(ISNUMBER(Knoten!D15),G41+(D$49*SIN($K41*PI()/180)*B41+H$49*COS($K41*PI()/180))*$B41,G41)</f>
        <v>0</v>
      </c>
      <c r="I41" s="737">
        <f>IF(ISNUMBER(Knoten!D15),G41+(E$49*SIN($K41*PI()/180)*B41+I$49*COS($K41*PI()/180))*$B41,G41)</f>
        <v>0</v>
      </c>
      <c r="J41" s="738">
        <f t="shared" si="7"/>
        <v>0</v>
      </c>
      <c r="K41" s="740">
        <f>-Knoten!W15</f>
        <v>0</v>
      </c>
      <c r="N41" s="748">
        <v>13</v>
      </c>
      <c r="O41" s="770">
        <f>1-ABS(SIGN(Knoten!E15))</f>
        <v>1</v>
      </c>
      <c r="P41" s="742">
        <f>IF(ISNUMBER(Knoten!C15),Z18,PlotData!$CB$3)</f>
        <v>0</v>
      </c>
      <c r="Q41" s="737">
        <f>IF(ISNUMBER(Knoten!C15),P41+($Q$49*COS(K41*PI()/180)*O41-$U$49*SIN(K41*PI()/180))*O41,P41)</f>
        <v>0</v>
      </c>
      <c r="R41" s="737">
        <f>IF(ISNUMBER(Knoten!C15),P41+($R$49*COS(K41*PI()/180)*O41-$V$49*SIN(K41*PI()/180))*O41,P41)</f>
        <v>0</v>
      </c>
      <c r="S41" s="743">
        <f t="shared" si="8"/>
        <v>0</v>
      </c>
      <c r="T41" s="742">
        <f>IF(ISNUMBER(Knoten!D15),AA18,PlotData!$CB$4)</f>
        <v>0</v>
      </c>
      <c r="U41" s="737">
        <f>IF(ISNUMBER(Knoten!D15),T41+($Q$49*SIN(K41*PI()/180)*O41+$U$49*COS(K41*PI()/180))*O41,T41)</f>
        <v>0</v>
      </c>
      <c r="V41" s="737">
        <f>IF(ISNUMBER(Knoten!D15),T41+($R$49*SIN(K41*PI()/180)*O41+$V$49*COS(K41*PI()/180))*O41,T41)</f>
        <v>0</v>
      </c>
      <c r="W41" s="743">
        <f t="shared" si="9"/>
        <v>0</v>
      </c>
    </row>
    <row r="42" spans="1:23" x14ac:dyDescent="0.25">
      <c r="A42" s="748">
        <v>14</v>
      </c>
      <c r="B42" s="734">
        <f>1-ABS(SIGN(Knoten!E16))</f>
        <v>1</v>
      </c>
      <c r="C42" s="749">
        <f>IF(ISNUMBER(Knoten!C16),Knoten!C16-$U$1,PlotData!$CB$3)</f>
        <v>0</v>
      </c>
      <c r="D42" s="736">
        <f>IF(ISNUMBER(Knoten!C16),C42+(D$49*COS($K42*PI()/180)*B42-H$49*SIN($K42*PI()/180))*$B42,C42)</f>
        <v>0</v>
      </c>
      <c r="E42" s="737">
        <f>IF(ISNUMBER(Knoten!C16),C42+(E$49*COS($K42*PI()/180)*B42-I$49*SIN($K42*PI()/180))*$B42,C42)</f>
        <v>0</v>
      </c>
      <c r="F42" s="738">
        <f t="shared" si="6"/>
        <v>0</v>
      </c>
      <c r="G42" s="749">
        <f>IF(ISNUMBER(Knoten!D16),Knoten!D16-$X$1,PlotData!$CB$4)</f>
        <v>0</v>
      </c>
      <c r="H42" s="739">
        <f>IF(ISNUMBER(Knoten!D16),G42+(D$49*SIN($K42*PI()/180)*B42+H$49*COS($K42*PI()/180))*$B42,G42)</f>
        <v>0</v>
      </c>
      <c r="I42" s="737">
        <f>IF(ISNUMBER(Knoten!D16),G42+(E$49*SIN($K42*PI()/180)*B42+I$49*COS($K42*PI()/180))*$B42,G42)</f>
        <v>0</v>
      </c>
      <c r="J42" s="738">
        <f t="shared" si="7"/>
        <v>0</v>
      </c>
      <c r="K42" s="740">
        <f>-Knoten!W16</f>
        <v>0</v>
      </c>
      <c r="N42" s="748">
        <v>14</v>
      </c>
      <c r="O42" s="770">
        <f>1-ABS(SIGN(Knoten!E16))</f>
        <v>1</v>
      </c>
      <c r="P42" s="742">
        <f>IF(ISNUMBER(Knoten!C16),Z19,PlotData!$CB$3)</f>
        <v>0</v>
      </c>
      <c r="Q42" s="737">
        <f>IF(ISNUMBER(Knoten!C16),P42+($Q$49*COS(K42*PI()/180)*O42-$U$49*SIN(K42*PI()/180))*O42,P42)</f>
        <v>0</v>
      </c>
      <c r="R42" s="737">
        <f>IF(ISNUMBER(Knoten!C16),P42+($R$49*COS(K42*PI()/180)*O42-$V$49*SIN(K42*PI()/180))*O42,P42)</f>
        <v>0</v>
      </c>
      <c r="S42" s="743">
        <f t="shared" si="8"/>
        <v>0</v>
      </c>
      <c r="T42" s="742">
        <f>IF(ISNUMBER(Knoten!D16),AA19,PlotData!$CB$4)</f>
        <v>0</v>
      </c>
      <c r="U42" s="737">
        <f>IF(ISNUMBER(Knoten!D16),T42+($Q$49*SIN(K42*PI()/180)*O42+$U$49*COS(K42*PI()/180))*O42,T42)</f>
        <v>0</v>
      </c>
      <c r="V42" s="737">
        <f>IF(ISNUMBER(Knoten!D16),T42+($R$49*SIN(K42*PI()/180)*O42+$V$49*COS(K42*PI()/180))*O42,T42)</f>
        <v>0</v>
      </c>
      <c r="W42" s="743">
        <f t="shared" si="9"/>
        <v>0</v>
      </c>
    </row>
    <row r="43" spans="1:23" x14ac:dyDescent="0.25">
      <c r="A43" s="748">
        <v>15</v>
      </c>
      <c r="B43" s="734">
        <f>1-ABS(SIGN(Knoten!E17))</f>
        <v>1</v>
      </c>
      <c r="C43" s="749">
        <f>IF(ISNUMBER(Knoten!C17),Knoten!C17-$U$1,PlotData!$CB$3)</f>
        <v>0</v>
      </c>
      <c r="D43" s="736">
        <f>IF(ISNUMBER(Knoten!C17),C43+(D$49*COS($K43*PI()/180)*B43-H$49*SIN($K43*PI()/180))*$B43,C43)</f>
        <v>0</v>
      </c>
      <c r="E43" s="737">
        <f>IF(ISNUMBER(Knoten!C17),C43+(E$49*COS($K43*PI()/180)*B43-I$49*SIN($K43*PI()/180))*$B43,C43)</f>
        <v>0</v>
      </c>
      <c r="F43" s="738">
        <f t="shared" si="6"/>
        <v>0</v>
      </c>
      <c r="G43" s="749">
        <f>IF(ISNUMBER(Knoten!D17),Knoten!D17-$X$1,PlotData!$CB$4)</f>
        <v>0</v>
      </c>
      <c r="H43" s="739">
        <f>IF(ISNUMBER(Knoten!D17),G43+(D$49*SIN($K43*PI()/180)*B43+H$49*COS($K43*PI()/180))*$B43,G43)</f>
        <v>0</v>
      </c>
      <c r="I43" s="737">
        <f>IF(ISNUMBER(Knoten!D17),G43+(E$49*SIN($K43*PI()/180)*B43+I$49*COS($K43*PI()/180))*$B43,G43)</f>
        <v>0</v>
      </c>
      <c r="J43" s="738">
        <f t="shared" si="7"/>
        <v>0</v>
      </c>
      <c r="K43" s="740">
        <f>-Knoten!W17</f>
        <v>0</v>
      </c>
      <c r="N43" s="748">
        <v>15</v>
      </c>
      <c r="O43" s="770">
        <f>1-ABS(SIGN(Knoten!E17))</f>
        <v>1</v>
      </c>
      <c r="P43" s="742">
        <f>IF(ISNUMBER(Knoten!C17),Z20,PlotData!$CB$3)</f>
        <v>0</v>
      </c>
      <c r="Q43" s="737">
        <f>IF(ISNUMBER(Knoten!C17),P43+($Q$49*COS(K43*PI()/180)*O43-$U$49*SIN(K43*PI()/180))*O43,P43)</f>
        <v>0</v>
      </c>
      <c r="R43" s="737">
        <f>IF(ISNUMBER(Knoten!C17),P43+($R$49*COS(K43*PI()/180)*O43-$V$49*SIN(K43*PI()/180))*O43,P43)</f>
        <v>0</v>
      </c>
      <c r="S43" s="743">
        <f t="shared" si="8"/>
        <v>0</v>
      </c>
      <c r="T43" s="742">
        <f>IF(ISNUMBER(Knoten!D17),AA20,PlotData!$CB$4)</f>
        <v>0</v>
      </c>
      <c r="U43" s="737">
        <f>IF(ISNUMBER(Knoten!D17),T43+($Q$49*SIN(K43*PI()/180)*O43+$U$49*COS(K43*PI()/180))*O43,T43)</f>
        <v>0</v>
      </c>
      <c r="V43" s="737">
        <f>IF(ISNUMBER(Knoten!D17),T43+($R$49*SIN(K43*PI()/180)*O43+$V$49*COS(K43*PI()/180))*O43,T43)</f>
        <v>0</v>
      </c>
      <c r="W43" s="743">
        <f t="shared" si="9"/>
        <v>0</v>
      </c>
    </row>
    <row r="44" spans="1:23" x14ac:dyDescent="0.25">
      <c r="A44" s="748">
        <v>16</v>
      </c>
      <c r="B44" s="734">
        <f>1-ABS(SIGN(Knoten!E18))</f>
        <v>1</v>
      </c>
      <c r="C44" s="749">
        <f>IF(ISNUMBER(Knoten!C18),Knoten!C18-$U$1,PlotData!$CB$3)</f>
        <v>0</v>
      </c>
      <c r="D44" s="736">
        <f>IF(ISNUMBER(Knoten!C18),C44+(D$49*COS($K44*PI()/180)*B44-H$49*SIN($K44*PI()/180))*$B44,C44)</f>
        <v>0</v>
      </c>
      <c r="E44" s="737">
        <f>IF(ISNUMBER(Knoten!C18),C44+(E$49*COS($K44*PI()/180)*B44-I$49*SIN($K44*PI()/180))*$B44,C44)</f>
        <v>0</v>
      </c>
      <c r="F44" s="738">
        <f t="shared" si="6"/>
        <v>0</v>
      </c>
      <c r="G44" s="749">
        <f>IF(ISNUMBER(Knoten!D18),Knoten!D18-$X$1,PlotData!$CB$4)</f>
        <v>0</v>
      </c>
      <c r="H44" s="739">
        <f>IF(ISNUMBER(Knoten!D18),G44+(D$49*SIN($K44*PI()/180)*B44+H$49*COS($K44*PI()/180))*$B44,G44)</f>
        <v>0</v>
      </c>
      <c r="I44" s="737">
        <f>IF(ISNUMBER(Knoten!D18),G44+(E$49*SIN($K44*PI()/180)*B44+I$49*COS($K44*PI()/180))*$B44,G44)</f>
        <v>0</v>
      </c>
      <c r="J44" s="738">
        <f t="shared" si="7"/>
        <v>0</v>
      </c>
      <c r="K44" s="740">
        <f>-Knoten!W18</f>
        <v>0</v>
      </c>
      <c r="N44" s="748">
        <v>16</v>
      </c>
      <c r="O44" s="770">
        <f>1-ABS(SIGN(Knoten!E18))</f>
        <v>1</v>
      </c>
      <c r="P44" s="742">
        <f>IF(ISNUMBER(Knoten!C18),Z21,PlotData!$CB$3)</f>
        <v>0</v>
      </c>
      <c r="Q44" s="737">
        <f>IF(ISNUMBER(Knoten!C18),P44+($Q$49*COS(K44*PI()/180)*O44-$U$49*SIN(K44*PI()/180))*O44,P44)</f>
        <v>0</v>
      </c>
      <c r="R44" s="737">
        <f>IF(ISNUMBER(Knoten!C18),P44+($R$49*COS(K44*PI()/180)*O44-$V$49*SIN(K44*PI()/180))*O44,P44)</f>
        <v>0</v>
      </c>
      <c r="S44" s="743">
        <f t="shared" si="8"/>
        <v>0</v>
      </c>
      <c r="T44" s="742">
        <f>IF(ISNUMBER(Knoten!D18),AA21,PlotData!$CB$4)</f>
        <v>0</v>
      </c>
      <c r="U44" s="737">
        <f>IF(ISNUMBER(Knoten!D18),T44+($Q$49*SIN(K44*PI()/180)*O44+$U$49*COS(K44*PI()/180))*O44,T44)</f>
        <v>0</v>
      </c>
      <c r="V44" s="737">
        <f>IF(ISNUMBER(Knoten!D18),T44+($R$49*SIN(K44*PI()/180)*O44+$V$49*COS(K44*PI()/180))*O44,T44)</f>
        <v>0</v>
      </c>
      <c r="W44" s="743">
        <f t="shared" si="9"/>
        <v>0</v>
      </c>
    </row>
    <row r="45" spans="1:23" x14ac:dyDescent="0.25">
      <c r="A45" s="748">
        <v>17</v>
      </c>
      <c r="B45" s="734">
        <f>1-ABS(SIGN(Knoten!E19))</f>
        <v>1</v>
      </c>
      <c r="C45" s="749">
        <f>IF(ISNUMBER(Knoten!C19),Knoten!C19-$U$1,PlotData!$CB$3)</f>
        <v>0</v>
      </c>
      <c r="D45" s="736">
        <f>IF(ISNUMBER(Knoten!C19),C45+(D$49*COS($K45*PI()/180)*B45-H$49*SIN($K45*PI()/180))*$B45,C45)</f>
        <v>0</v>
      </c>
      <c r="E45" s="737">
        <f>IF(ISNUMBER(Knoten!C19),C45+(E$49*COS($K45*PI()/180)*B45-I$49*SIN($K45*PI()/180))*$B45,C45)</f>
        <v>0</v>
      </c>
      <c r="F45" s="738">
        <f t="shared" si="6"/>
        <v>0</v>
      </c>
      <c r="G45" s="749">
        <f>IF(ISNUMBER(Knoten!D19),Knoten!D19-$X$1,PlotData!$CB$4)</f>
        <v>0</v>
      </c>
      <c r="H45" s="739">
        <f>IF(ISNUMBER(Knoten!D19),G45+(D$49*SIN($K45*PI()/180)*B45+H$49*COS($K45*PI()/180))*$B45,G45)</f>
        <v>0</v>
      </c>
      <c r="I45" s="737">
        <f>IF(ISNUMBER(Knoten!D19),G45+(E$49*SIN($K45*PI()/180)*B45+I$49*COS($K45*PI()/180))*$B45,G45)</f>
        <v>0</v>
      </c>
      <c r="J45" s="738">
        <f t="shared" si="7"/>
        <v>0</v>
      </c>
      <c r="K45" s="740">
        <f>-Knoten!W19</f>
        <v>0</v>
      </c>
      <c r="N45" s="748">
        <v>17</v>
      </c>
      <c r="O45" s="770">
        <f>1-ABS(SIGN(Knoten!E19))</f>
        <v>1</v>
      </c>
      <c r="P45" s="742">
        <f>IF(ISNUMBER(Knoten!C19),Z22,PlotData!$CB$3)</f>
        <v>0</v>
      </c>
      <c r="Q45" s="737">
        <f>IF(ISNUMBER(Knoten!C19),P45+($Q$49*COS(K45*PI()/180)*O45-$U$49*SIN(K45*PI()/180))*O45,P45)</f>
        <v>0</v>
      </c>
      <c r="R45" s="737">
        <f>IF(ISNUMBER(Knoten!C19),P45+($R$49*COS(K45*PI()/180)*O45-$V$49*SIN(K45*PI()/180))*O45,P45)</f>
        <v>0</v>
      </c>
      <c r="S45" s="743">
        <f t="shared" si="8"/>
        <v>0</v>
      </c>
      <c r="T45" s="742">
        <f>IF(ISNUMBER(Knoten!D19),AA22,PlotData!$CB$4)</f>
        <v>0</v>
      </c>
      <c r="U45" s="737">
        <f>IF(ISNUMBER(Knoten!D19),T45+($Q$49*SIN(K45*PI()/180)*O45+$U$49*COS(K45*PI()/180))*O45,T45)</f>
        <v>0</v>
      </c>
      <c r="V45" s="737">
        <f>IF(ISNUMBER(Knoten!D19),T45+($R$49*SIN(K45*PI()/180)*O45+$V$49*COS(K45*PI()/180))*O45,T45)</f>
        <v>0</v>
      </c>
      <c r="W45" s="743">
        <f t="shared" si="9"/>
        <v>0</v>
      </c>
    </row>
    <row r="46" spans="1:23" x14ac:dyDescent="0.25">
      <c r="A46" s="748">
        <v>18</v>
      </c>
      <c r="B46" s="734">
        <f>1-ABS(SIGN(Knoten!E20))</f>
        <v>1</v>
      </c>
      <c r="C46" s="749">
        <f>IF(ISNUMBER(Knoten!C20),Knoten!C20-$U$1,PlotData!$CB$3)</f>
        <v>0</v>
      </c>
      <c r="D46" s="736">
        <f>IF(ISNUMBER(Knoten!C20),C46+(D$49*COS($K46*PI()/180)*B46-H$49*SIN($K46*PI()/180))*$B46,C46)</f>
        <v>0</v>
      </c>
      <c r="E46" s="737">
        <f>IF(ISNUMBER(Knoten!C20),C46+(E$49*COS($K46*PI()/180)*B46-I$49*SIN($K46*PI()/180))*$B46,C46)</f>
        <v>0</v>
      </c>
      <c r="F46" s="738">
        <f t="shared" si="6"/>
        <v>0</v>
      </c>
      <c r="G46" s="749">
        <f>IF(ISNUMBER(Knoten!D20),Knoten!D20-$X$1,PlotData!$CB$4)</f>
        <v>0</v>
      </c>
      <c r="H46" s="739">
        <f>IF(ISNUMBER(Knoten!D20),G46+(D$49*SIN($K46*PI()/180)*B46+H$49*COS($K46*PI()/180))*$B46,G46)</f>
        <v>0</v>
      </c>
      <c r="I46" s="737">
        <f>IF(ISNUMBER(Knoten!D20),G46+(E$49*SIN($K46*PI()/180)*B46+I$49*COS($K46*PI()/180))*$B46,G46)</f>
        <v>0</v>
      </c>
      <c r="J46" s="738">
        <f t="shared" si="7"/>
        <v>0</v>
      </c>
      <c r="K46" s="740">
        <f>-Knoten!W20</f>
        <v>0</v>
      </c>
      <c r="N46" s="748">
        <v>18</v>
      </c>
      <c r="O46" s="770">
        <f>1-ABS(SIGN(Knoten!E20))</f>
        <v>1</v>
      </c>
      <c r="P46" s="742">
        <f>IF(ISNUMBER(Knoten!C20),Z23,PlotData!$CB$3)</f>
        <v>0</v>
      </c>
      <c r="Q46" s="737">
        <f>IF(ISNUMBER(Knoten!C20),P46+($Q$49*COS(K46*PI()/180)*O46-$U$49*SIN(K46*PI()/180))*O46,P46)</f>
        <v>0</v>
      </c>
      <c r="R46" s="737">
        <f>IF(ISNUMBER(Knoten!C20),P46+($R$49*COS(K46*PI()/180)*O46-$V$49*SIN(K46*PI()/180))*O46,P46)</f>
        <v>0</v>
      </c>
      <c r="S46" s="743">
        <f t="shared" si="8"/>
        <v>0</v>
      </c>
      <c r="T46" s="742">
        <f>IF(ISNUMBER(Knoten!D20),AA23,PlotData!$CB$4)</f>
        <v>0</v>
      </c>
      <c r="U46" s="737">
        <f>IF(ISNUMBER(Knoten!D20),T46+($Q$49*SIN(K46*PI()/180)*O46+$U$49*COS(K46*PI()/180))*O46,T46)</f>
        <v>0</v>
      </c>
      <c r="V46" s="737">
        <f>IF(ISNUMBER(Knoten!D20),T46+($R$49*SIN(K46*PI()/180)*O46+$V$49*COS(K46*PI()/180))*O46,T46)</f>
        <v>0</v>
      </c>
      <c r="W46" s="743">
        <f t="shared" si="9"/>
        <v>0</v>
      </c>
    </row>
    <row r="47" spans="1:23" x14ac:dyDescent="0.25">
      <c r="A47" s="748">
        <v>19</v>
      </c>
      <c r="B47" s="734">
        <f>1-ABS(SIGN(Knoten!E21))</f>
        <v>1</v>
      </c>
      <c r="C47" s="749">
        <f>IF(ISNUMBER(Knoten!C21),Knoten!C21-$U$1,PlotData!$CB$3)</f>
        <v>0</v>
      </c>
      <c r="D47" s="736">
        <f>IF(ISNUMBER(Knoten!C21),C47+(D$49*COS($K47*PI()/180)*B47-H$49*SIN($K47*PI()/180))*$B47,C47)</f>
        <v>0</v>
      </c>
      <c r="E47" s="737">
        <f>IF(ISNUMBER(Knoten!C21),C47+(E$49*COS($K47*PI()/180)*B47-I$49*SIN($K47*PI()/180))*$B47,C47)</f>
        <v>0</v>
      </c>
      <c r="F47" s="738">
        <f>C47</f>
        <v>0</v>
      </c>
      <c r="G47" s="749">
        <f>IF(ISNUMBER(Knoten!D21),Knoten!D21-$X$1,PlotData!$CB$4)</f>
        <v>0</v>
      </c>
      <c r="H47" s="739">
        <f>IF(ISNUMBER(Knoten!D21),G47+(D$49*SIN($K47*PI()/180)*B47+H$49*COS($K47*PI()/180))*$B47,G47)</f>
        <v>0</v>
      </c>
      <c r="I47" s="737">
        <f>IF(ISNUMBER(Knoten!D21),G47+(E$49*SIN($K47*PI()/180)*B47+I$49*COS($K47*PI()/180))*$B47,G47)</f>
        <v>0</v>
      </c>
      <c r="J47" s="738">
        <f>G47</f>
        <v>0</v>
      </c>
      <c r="K47" s="740">
        <f>-Knoten!W21</f>
        <v>0</v>
      </c>
      <c r="N47" s="748">
        <v>19</v>
      </c>
      <c r="O47" s="770">
        <f>1-ABS(SIGN(Knoten!E21))</f>
        <v>1</v>
      </c>
      <c r="P47" s="742">
        <f>IF(ISNUMBER(Knoten!C21),Z24,PlotData!$CB$3)</f>
        <v>0</v>
      </c>
      <c r="Q47" s="737">
        <f>IF(ISNUMBER(Knoten!C21),P47+($Q$49*COS(K47*PI()/180)*O47-$U$49*SIN(K47*PI()/180))*O47,P47)</f>
        <v>0</v>
      </c>
      <c r="R47" s="737">
        <f>IF(ISNUMBER(Knoten!C21),P47+($R$49*COS(K47*PI()/180)*O47-$V$49*SIN(K47*PI()/180))*O47,P47)</f>
        <v>0</v>
      </c>
      <c r="S47" s="743">
        <f t="shared" si="8"/>
        <v>0</v>
      </c>
      <c r="T47" s="742">
        <f>IF(ISNUMBER(Knoten!D21),AA24,PlotData!$CB$4)</f>
        <v>0</v>
      </c>
      <c r="U47" s="737">
        <f>IF(ISNUMBER(Knoten!D21),T47+($Q$49*SIN(K47*PI()/180)*O47+$U$49*COS(K47*PI()/180))*O47,T47)</f>
        <v>0</v>
      </c>
      <c r="V47" s="737">
        <f>IF(ISNUMBER(Knoten!D21),T47+($R$49*SIN(K47*PI()/180)*O47+$V$49*COS(K47*PI()/180))*O47,T47)</f>
        <v>0</v>
      </c>
      <c r="W47" s="743">
        <f t="shared" si="9"/>
        <v>0</v>
      </c>
    </row>
    <row r="48" spans="1:23" ht="13.8" thickBot="1" x14ac:dyDescent="0.3">
      <c r="A48" s="751">
        <v>20</v>
      </c>
      <c r="B48" s="752">
        <f>1-ABS(SIGN(Knoten!E22))</f>
        <v>1</v>
      </c>
      <c r="C48" s="753">
        <f>IF(ISNUMBER(Knoten!C22),Knoten!C22-$U$1,PlotData!$CB$3)</f>
        <v>0</v>
      </c>
      <c r="D48" s="754">
        <f>IF(ISNUMBER(Knoten!C22),C48+(D$49*COS($K48*PI()/180)*B48-H$49*SIN($K48*PI()/180))*$B48,C48)</f>
        <v>0</v>
      </c>
      <c r="E48" s="755">
        <f>IF(ISNUMBER(Knoten!C22),C48+(E$49*COS($K48*PI()/180)*B48-I$49*SIN($K48*PI()/180))*$B48,C48)</f>
        <v>0</v>
      </c>
      <c r="F48" s="756">
        <f>C48</f>
        <v>0</v>
      </c>
      <c r="G48" s="753">
        <f>IF(ISNUMBER(Knoten!D22),Knoten!D22-$X$1,PlotData!$CB$4)</f>
        <v>0</v>
      </c>
      <c r="H48" s="757">
        <f>IF(ISNUMBER(Knoten!D22),G48+(D$49*SIN($K48*PI()/180)*B48+H$49*COS($K48*PI()/180))*$B48,G48)</f>
        <v>0</v>
      </c>
      <c r="I48" s="755">
        <f>IF(ISNUMBER(Knoten!D22),G48+(E$49*SIN($K48*PI()/180)*B48+I$49*COS($K48*PI()/180))*$B48,G48)</f>
        <v>0</v>
      </c>
      <c r="J48" s="756">
        <f>G48</f>
        <v>0</v>
      </c>
      <c r="K48" s="758">
        <f>-Knoten!W22</f>
        <v>0</v>
      </c>
      <c r="N48" s="751">
        <v>20</v>
      </c>
      <c r="O48" s="771">
        <f>1-ABS(SIGN(Knoten!E22))</f>
        <v>1</v>
      </c>
      <c r="P48" s="759">
        <f>IF(ISNUMBER(Knoten!C22),Z25,PlotData!$CB$3)</f>
        <v>0</v>
      </c>
      <c r="Q48" s="755">
        <f>IF(ISNUMBER(Knoten!C22),P48+($Q$49*COS(K48*PI()/180)*O48-$U$49*SIN(K48*PI()/180))*O48,P48)</f>
        <v>0</v>
      </c>
      <c r="R48" s="755">
        <f>IF(ISNUMBER(Knoten!C22),P48+($R$49*COS(K48*PI()/180)*O48-$V$49*SIN(K48*PI()/180))*O48,P48)</f>
        <v>0</v>
      </c>
      <c r="S48" s="760">
        <f t="shared" si="8"/>
        <v>0</v>
      </c>
      <c r="T48" s="759">
        <f>IF(ISNUMBER(Knoten!D22),AA25,PlotData!$CB$4)</f>
        <v>0</v>
      </c>
      <c r="U48" s="755">
        <f>IF(ISNUMBER(Knoten!D22),T48+($Q$49*SIN(K48*PI()/180)*O48+$U$49*COS(K48*PI()/180))*O48,T48)</f>
        <v>0</v>
      </c>
      <c r="V48" s="755">
        <f>IF(ISNUMBER(Knoten!D22),T48+($R$49*SIN(K48*PI()/180)*O48+$V$49*COS(K48*PI()/180))*O48,T48)</f>
        <v>0</v>
      </c>
      <c r="W48" s="760">
        <f t="shared" si="9"/>
        <v>0</v>
      </c>
    </row>
    <row r="49" spans="1:25" ht="13.8" thickBot="1" x14ac:dyDescent="0.3">
      <c r="C49" s="602" t="s">
        <v>233</v>
      </c>
      <c r="D49" s="762">
        <f>0.866*$E$1</f>
        <v>14.696507340181205</v>
      </c>
      <c r="E49" s="763">
        <f>D49</f>
        <v>14.696507340181205</v>
      </c>
      <c r="G49" s="602" t="s">
        <v>232</v>
      </c>
      <c r="H49" s="762">
        <f>0.5*$E$1</f>
        <v>8.4852813742385713</v>
      </c>
      <c r="I49" s="763">
        <f>-H49</f>
        <v>-8.4852813742385713</v>
      </c>
      <c r="P49" s="602" t="s">
        <v>233</v>
      </c>
      <c r="Q49" s="764">
        <f>D49</f>
        <v>14.696507340181205</v>
      </c>
      <c r="R49" s="765">
        <f>E49</f>
        <v>14.696507340181205</v>
      </c>
      <c r="T49" s="602" t="s">
        <v>234</v>
      </c>
      <c r="U49" s="764">
        <f>H49</f>
        <v>8.4852813742385713</v>
      </c>
      <c r="V49" s="765">
        <f>I49</f>
        <v>-8.4852813742385713</v>
      </c>
    </row>
    <row r="50" spans="1:25" ht="13.8" thickBot="1" x14ac:dyDescent="0.3"/>
    <row r="51" spans="1:25" ht="24.75" customHeight="1" thickBot="1" x14ac:dyDescent="0.3">
      <c r="A51" s="1340" t="s">
        <v>1225</v>
      </c>
      <c r="B51" s="1342"/>
      <c r="C51" s="1340" t="s">
        <v>16</v>
      </c>
      <c r="D51" s="1341"/>
      <c r="E51" s="1341"/>
      <c r="F51" s="1341"/>
      <c r="G51" s="1341"/>
      <c r="H51" s="1340" t="s">
        <v>228</v>
      </c>
      <c r="I51" s="1341"/>
      <c r="J51" s="1341"/>
      <c r="K51" s="1341"/>
      <c r="L51" s="1342"/>
      <c r="N51" s="1340" t="s">
        <v>1226</v>
      </c>
      <c r="O51" s="1342"/>
      <c r="P51" s="772" t="s">
        <v>16</v>
      </c>
      <c r="Q51" s="773"/>
      <c r="R51" s="773"/>
      <c r="S51" s="773"/>
      <c r="T51" s="773"/>
      <c r="U51" s="772" t="s">
        <v>228</v>
      </c>
      <c r="V51" s="773"/>
      <c r="W51" s="773"/>
      <c r="X51" s="773"/>
      <c r="Y51" s="774"/>
    </row>
    <row r="52" spans="1:25" x14ac:dyDescent="0.25">
      <c r="A52" s="733">
        <v>1</v>
      </c>
      <c r="B52" s="741">
        <f>1-ABS(SIGN(Knoten!G3))</f>
        <v>0</v>
      </c>
      <c r="C52" s="775">
        <f>IF(ISNUMBER(Knoten!C3),Knoten!C3-$U$1+$H$1*$E$1*B52*COS(-K29*PI()/180)-$H$1*$E$1*B52*SIN(-K29*PI()/180),PlotData!$CB$3)</f>
        <v>20</v>
      </c>
      <c r="D52" s="776">
        <f>IF(ISNUMBER(Knoten!C3),C52-2*$H$1*$E$1*B52*COS(-K29*PI()/180),C52)</f>
        <v>20</v>
      </c>
      <c r="E52" s="776">
        <f>IF(ISNUMBER(Knoten!C3),D52+2*$H$1*$E$1*B52*SIN(-K29*PI()/180),C52)</f>
        <v>20</v>
      </c>
      <c r="F52" s="776">
        <f>IF(ISNUMBER(Knoten!C3),C52+2*$H$1*$E$1*B52*SIN(-K29*PI()/180),C52)</f>
        <v>20</v>
      </c>
      <c r="G52" s="777">
        <f>C52</f>
        <v>20</v>
      </c>
      <c r="H52" s="775">
        <f>IF(ISNUMBER(Knoten!D3),Knoten!D3-$X$1-$H$1*$E$1*B52*COS(-K29*PI()/180)-$H$1*$E$1*B52*SIN(-K29*PI()/180),PlotData!$CB$4)</f>
        <v>-40</v>
      </c>
      <c r="I52" s="776">
        <f>IF(ISNUMBER(Knoten!D3),H52+2*$H$1*$E$1*B52*SIN(-K29*PI()/180),PlotData!$CB$4)</f>
        <v>-40</v>
      </c>
      <c r="J52" s="776">
        <f>IF(ISNUMBER(Knoten!D3),I52+2*$H$1*$E$1*B52*COS(-K29*PI()/180),PlotData!$CB$4)</f>
        <v>-40</v>
      </c>
      <c r="K52" s="776">
        <f>IF(ISNUMBER(Knoten!D3),H52+2*$H$1*$E$1*B52*COS(-K29*PI()/180),PlotData!$CB$4)</f>
        <v>-40</v>
      </c>
      <c r="L52" s="777">
        <f>H52</f>
        <v>-40</v>
      </c>
      <c r="N52" s="733">
        <v>1</v>
      </c>
      <c r="O52" s="741">
        <f>1-ABS(SIGN(Knoten!G3))</f>
        <v>0</v>
      </c>
      <c r="P52" s="778">
        <f>IF(ISNUMBER(Knoten!C3),Z6+$H$1*$E$1*O52*COS(-K29*PI()/180)-$H$1*$E$1*O52*SIN(-K29*PI()/180),PlotData!$CB$3)</f>
        <v>23.626678459402886</v>
      </c>
      <c r="Q52" s="736">
        <f>IF(ISNUMBER(Knoten!C3),P52-2*$H$1*$E$1*O52*COS(-K29*PI()/180),P52)</f>
        <v>23.626678459402886</v>
      </c>
      <c r="R52" s="736">
        <f>IF(ISNUMBER(Knoten!C3),Q52+2*$H$1*$E$1*O52*SIN(-K29*PI()/180),P52)</f>
        <v>23.626678459402886</v>
      </c>
      <c r="S52" s="736">
        <f>IF(ISNUMBER(Knoten!C3),P52+2*$H$1*$E$1*O52*SIN(-K29*PI()/180),P52)</f>
        <v>23.626678459402886</v>
      </c>
      <c r="T52" s="738">
        <f t="shared" ref="T52:T69" si="10">P52</f>
        <v>23.626678459402886</v>
      </c>
      <c r="U52" s="778">
        <f>IF(ISNUMBER(Knoten!D3),AA6-$H$1*$E$1*O52*COS(-K29*PI()/180)-$H$1*$E$1*O52*SIN(-K29*PI()/180),PlotData!$CB$4)</f>
        <v>-46.105451176718191</v>
      </c>
      <c r="V52" s="736">
        <f>IF(ISNUMBER(Knoten!D3),U52+2*$H$1*$E$1*O52*SIN(-K29*PI()/180),PlotData!$CB$4)</f>
        <v>-46.105451176718191</v>
      </c>
      <c r="W52" s="736">
        <f>IF(ISNUMBER(Knoten!D3),V52+2*$H$1*$E$1*O52*COS(-K29*PI()/180),PlotData!$CB$4)</f>
        <v>-46.105451176718191</v>
      </c>
      <c r="X52" s="736">
        <f>IF(ISNUMBER(Knoten!D3),U52+2*$H$1*$E$1*O52*COS(-K29*PI()/180),PlotData!$CB$4)</f>
        <v>-46.105451176718191</v>
      </c>
      <c r="Y52" s="738">
        <f t="shared" ref="Y52:Y69" si="11">U52</f>
        <v>-46.105451176718191</v>
      </c>
    </row>
    <row r="53" spans="1:25" x14ac:dyDescent="0.25">
      <c r="A53" s="748">
        <v>2</v>
      </c>
      <c r="B53" s="734">
        <f>1-ABS(SIGN(Knoten!G4))</f>
        <v>0</v>
      </c>
      <c r="C53" s="778">
        <f>IF(ISNUMBER(Knoten!C4),Knoten!C4-$U$1+$H$1*$E$1*B53*COS(-K30*PI()/180)-$H$1*$E$1*B53*SIN(-K30*PI()/180),PlotData!$CB$3)</f>
        <v>100</v>
      </c>
      <c r="D53" s="736">
        <f>IF(ISNUMBER(Knoten!C4),C53-2*$H$1*$E$1*B53*COS(-K30*PI()/180),C53)</f>
        <v>100</v>
      </c>
      <c r="E53" s="736">
        <f>IF(ISNUMBER(Knoten!C4),D53+2*$H$1*$E$1*B53*SIN(-K30*PI()/180),C53)</f>
        <v>100</v>
      </c>
      <c r="F53" s="736">
        <f>IF(ISNUMBER(Knoten!C4),C53+2*$H$1*$E$1*B53*SIN(-K30*PI()/180),C53)</f>
        <v>100</v>
      </c>
      <c r="G53" s="738">
        <f t="shared" ref="G53:G71" si="12">C53</f>
        <v>100</v>
      </c>
      <c r="H53" s="778">
        <f>IF(ISNUMBER(Knoten!D4),Knoten!D4-$X$1-$H$1*$E$1*B53*COS(-K30*PI()/180)-$H$1*$E$1*B53*SIN(-K30*PI()/180),PlotData!$CB$4)</f>
        <v>20</v>
      </c>
      <c r="I53" s="736">
        <f>IF(ISNUMBER(Knoten!D4),H53+2*$H$1*$E$1*B53*SIN(-K30*PI()/180),PlotData!$CB$4)</f>
        <v>20</v>
      </c>
      <c r="J53" s="736">
        <f>IF(ISNUMBER(Knoten!D4),I53+2*$H$1*$E$1*B53*COS(-K30*PI()/180),PlotData!$CB$4)</f>
        <v>20</v>
      </c>
      <c r="K53" s="736">
        <f>IF(ISNUMBER(Knoten!D4),H53+2*$H$1*$E$1*B53*COS(-K30*PI()/180),PlotData!$CB$4)</f>
        <v>20</v>
      </c>
      <c r="L53" s="738">
        <f t="shared" ref="L53:L71" si="13">H53</f>
        <v>20</v>
      </c>
      <c r="N53" s="748">
        <v>2</v>
      </c>
      <c r="O53" s="734">
        <f>1-ABS(SIGN(Knoten!G4))</f>
        <v>0</v>
      </c>
      <c r="P53" s="778">
        <f>IF(ISNUMBER(Knoten!C4),Z7+$H$1*$E$1*O53*COS(-K30*PI()/180)-$H$1*$E$1*O53*SIN(-K30*PI()/180),PlotData!$CB$3)</f>
        <v>100</v>
      </c>
      <c r="Q53" s="736">
        <f>IF(ISNUMBER(Knoten!C4),P53-2*$H$1*$E$1*O53*COS(-K30*PI()/180),P53)</f>
        <v>100</v>
      </c>
      <c r="R53" s="736">
        <f>IF(ISNUMBER(Knoten!C4),Q53+2*$H$1*$E$1*O53*SIN(-K30*PI()/180),P53)</f>
        <v>100</v>
      </c>
      <c r="S53" s="736">
        <f>IF(ISNUMBER(Knoten!C4),P53+2*$H$1*$E$1*O53*SIN(-K30*PI()/180),P53)</f>
        <v>100</v>
      </c>
      <c r="T53" s="738">
        <f t="shared" si="10"/>
        <v>100</v>
      </c>
      <c r="U53" s="778">
        <f>IF(ISNUMBER(Knoten!D4),AA7-$H$1*$E$1*O53*COS(-K30*PI()/180)-$H$1*$E$1*O53*SIN(-K30*PI()/180),PlotData!$CB$4)</f>
        <v>20</v>
      </c>
      <c r="V53" s="736">
        <f>IF(ISNUMBER(Knoten!D4),U53+2*$H$1*$E$1*O53*SIN(-K30*PI()/180),PlotData!$CB$4)</f>
        <v>20</v>
      </c>
      <c r="W53" s="736">
        <f>IF(ISNUMBER(Knoten!D4),V53+2*$H$1*$E$1*O53*COS(-K30*PI()/180),PlotData!$CB$4)</f>
        <v>20</v>
      </c>
      <c r="X53" s="736">
        <f>IF(ISNUMBER(Knoten!D4),U53+2*$H$1*$E$1*O53*COS(-K30*PI()/180),PlotData!$CB$4)</f>
        <v>20</v>
      </c>
      <c r="Y53" s="738">
        <f t="shared" si="11"/>
        <v>20</v>
      </c>
    </row>
    <row r="54" spans="1:25" x14ac:dyDescent="0.25">
      <c r="A54" s="748">
        <v>3</v>
      </c>
      <c r="B54" s="734">
        <f>1-ABS(SIGN(Knoten!G5))</f>
        <v>0</v>
      </c>
      <c r="C54" s="778">
        <f>IF(ISNUMBER(Knoten!C5),Knoten!C5-$U$1+$H$1*$E$1*B54*COS(-K31*PI()/180)-$H$1*$E$1*B54*SIN(-K31*PI()/180),PlotData!$CB$3)</f>
        <v>20</v>
      </c>
      <c r="D54" s="736">
        <f>IF(ISNUMBER(Knoten!C5),C54-2*$H$1*$E$1*B54*COS(-K31*PI()/180),C54)</f>
        <v>20</v>
      </c>
      <c r="E54" s="736">
        <f>IF(ISNUMBER(Knoten!C5),D54+2*$H$1*$E$1*B54*SIN(-K31*PI()/180),C54)</f>
        <v>20</v>
      </c>
      <c r="F54" s="736">
        <f>IF(ISNUMBER(Knoten!C5),C54+2*$H$1*$E$1*B54*SIN(-K31*PI()/180),C54)</f>
        <v>20</v>
      </c>
      <c r="G54" s="738">
        <f t="shared" si="12"/>
        <v>20</v>
      </c>
      <c r="H54" s="778">
        <f>IF(ISNUMBER(Knoten!D5),Knoten!D5-$X$1-$H$1*$E$1*B54*COS(-K31*PI()/180)-$H$1*$E$1*B54*SIN(-K31*PI()/180),PlotData!$CB$4)</f>
        <v>20</v>
      </c>
      <c r="I54" s="736">
        <f>IF(ISNUMBER(Knoten!D5),H54+2*$H$1*$E$1*B54*SIN(-K31*PI()/180),PlotData!$CB$4)</f>
        <v>20</v>
      </c>
      <c r="J54" s="736">
        <f>IF(ISNUMBER(Knoten!D5),I54+2*$H$1*$E$1*B54*COS(-K31*PI()/180),PlotData!$CB$4)</f>
        <v>20</v>
      </c>
      <c r="K54" s="736">
        <f>IF(ISNUMBER(Knoten!D5),H54+2*$H$1*$E$1*B54*COS(-K31*PI()/180),PlotData!$CB$4)</f>
        <v>20</v>
      </c>
      <c r="L54" s="738">
        <f t="shared" si="13"/>
        <v>20</v>
      </c>
      <c r="N54" s="748">
        <v>3</v>
      </c>
      <c r="O54" s="734">
        <f>1-ABS(SIGN(Knoten!G5))</f>
        <v>0</v>
      </c>
      <c r="P54" s="778">
        <f>IF(ISNUMBER(Knoten!C5),Z8+$H$1*$E$1*O54*COS(-K31*PI()/180)-$H$1*$E$1*O54*SIN(-K31*PI()/180),PlotData!$CB$3)</f>
        <v>20</v>
      </c>
      <c r="Q54" s="736">
        <f>IF(ISNUMBER(Knoten!C5),P54-2*$H$1*$E$1*O54*COS(-K31*PI()/180),P54)</f>
        <v>20</v>
      </c>
      <c r="R54" s="736">
        <f>IF(ISNUMBER(Knoten!C5),Q54+2*$H$1*$E$1*O54*SIN(-K31*PI()/180),P54)</f>
        <v>20</v>
      </c>
      <c r="S54" s="736">
        <f>IF(ISNUMBER(Knoten!C5),P54+2*$H$1*$E$1*O54*SIN(-K31*PI()/180),P54)</f>
        <v>20</v>
      </c>
      <c r="T54" s="738">
        <f t="shared" si="10"/>
        <v>20</v>
      </c>
      <c r="U54" s="778">
        <f>IF(ISNUMBER(Knoten!D5),AA8-$H$1*$E$1*O54*COS(-K31*PI()/180)-$H$1*$E$1*O54*SIN(-K31*PI()/180),PlotData!$CB$4)</f>
        <v>20</v>
      </c>
      <c r="V54" s="736">
        <f>IF(ISNUMBER(Knoten!D5),U54+2*$H$1*$E$1*O54*SIN(-K31*PI()/180),PlotData!$CB$4)</f>
        <v>20</v>
      </c>
      <c r="W54" s="736">
        <f>IF(ISNUMBER(Knoten!D5),V54+2*$H$1*$E$1*O54*COS(-K31*PI()/180),PlotData!$CB$4)</f>
        <v>20</v>
      </c>
      <c r="X54" s="736">
        <f>IF(ISNUMBER(Knoten!D5),U54+2*$H$1*$E$1*O54*COS(-K31*PI()/180),PlotData!$CB$4)</f>
        <v>20</v>
      </c>
      <c r="Y54" s="738">
        <f t="shared" si="11"/>
        <v>20</v>
      </c>
    </row>
    <row r="55" spans="1:25" x14ac:dyDescent="0.25">
      <c r="A55" s="748">
        <v>4</v>
      </c>
      <c r="B55" s="734">
        <f>1-ABS(SIGN(Knoten!G6))</f>
        <v>0</v>
      </c>
      <c r="C55" s="778">
        <f>IF(ISNUMBER(Knoten!C6),Knoten!C6-$U$1+$H$1*$E$1*B55*COS(-K32*PI()/180)-$H$1*$E$1*B55*SIN(-K32*PI()/180),PlotData!$CB$3)</f>
        <v>60</v>
      </c>
      <c r="D55" s="736">
        <f>IF(ISNUMBER(Knoten!C6),C55-2*$H$1*$E$1*B55*COS(-K32*PI()/180),C55)</f>
        <v>60</v>
      </c>
      <c r="E55" s="736">
        <f>IF(ISNUMBER(Knoten!C6),D55+2*$H$1*$E$1*B55*SIN(-K32*PI()/180),C55)</f>
        <v>60</v>
      </c>
      <c r="F55" s="736">
        <f>IF(ISNUMBER(Knoten!C6),C55+2*$H$1*$E$1*B55*SIN(-K32*PI()/180),C55)</f>
        <v>60</v>
      </c>
      <c r="G55" s="738">
        <f t="shared" si="12"/>
        <v>60</v>
      </c>
      <c r="H55" s="778">
        <f>IF(ISNUMBER(Knoten!D6),Knoten!D6-$X$1-$H$1*$E$1*B55*COS(-K32*PI()/180)-$H$1*$E$1*B55*SIN(-K32*PI()/180),PlotData!$CB$4)</f>
        <v>-100</v>
      </c>
      <c r="I55" s="736">
        <f>IF(ISNUMBER(Knoten!D6),H55+2*$H$1*$E$1*B55*SIN(-K32*PI()/180),PlotData!$CB$4)</f>
        <v>-100</v>
      </c>
      <c r="J55" s="736">
        <f>IF(ISNUMBER(Knoten!D6),I55+2*$H$1*$E$1*B55*COS(-K32*PI()/180),PlotData!$CB$4)</f>
        <v>-100</v>
      </c>
      <c r="K55" s="736">
        <f>IF(ISNUMBER(Knoten!D6),H55+2*$H$1*$E$1*B55*COS(-K32*PI()/180),PlotData!$CB$4)</f>
        <v>-100</v>
      </c>
      <c r="L55" s="738">
        <f t="shared" si="13"/>
        <v>-100</v>
      </c>
      <c r="N55" s="748">
        <v>4</v>
      </c>
      <c r="O55" s="734">
        <f>1-ABS(SIGN(Knoten!G6))</f>
        <v>0</v>
      </c>
      <c r="P55" s="778">
        <f>IF(ISNUMBER(Knoten!C6),Z9+$H$1*$E$1*O55*COS(-K32*PI()/180)-$H$1*$E$1*O55*SIN(-K32*PI()/180),PlotData!$CB$3)</f>
        <v>60</v>
      </c>
      <c r="Q55" s="736">
        <f>IF(ISNUMBER(Knoten!C6),P55-2*$H$1*$E$1*O55*COS(-K32*PI()/180),P55)</f>
        <v>60</v>
      </c>
      <c r="R55" s="736">
        <f>IF(ISNUMBER(Knoten!C6),Q55+2*$H$1*$E$1*O55*SIN(-K32*PI()/180),P55)</f>
        <v>60</v>
      </c>
      <c r="S55" s="736">
        <f>IF(ISNUMBER(Knoten!C6),P55+2*$H$1*$E$1*O55*SIN(-K32*PI()/180),P55)</f>
        <v>60</v>
      </c>
      <c r="T55" s="738">
        <f t="shared" si="10"/>
        <v>60</v>
      </c>
      <c r="U55" s="778">
        <f>IF(ISNUMBER(Knoten!D6),AA9-$H$1*$E$1*O55*COS(-K32*PI()/180)-$H$1*$E$1*O55*SIN(-K32*PI()/180),PlotData!$CB$4)</f>
        <v>-100</v>
      </c>
      <c r="V55" s="736">
        <f>IF(ISNUMBER(Knoten!D6),U55+2*$H$1*$E$1*O55*SIN(-K32*PI()/180),PlotData!$CB$4)</f>
        <v>-100</v>
      </c>
      <c r="W55" s="736">
        <f>IF(ISNUMBER(Knoten!D6),V55+2*$H$1*$E$1*O55*COS(-K32*PI()/180),PlotData!$CB$4)</f>
        <v>-100</v>
      </c>
      <c r="X55" s="736">
        <f>IF(ISNUMBER(Knoten!D6),U55+2*$H$1*$E$1*O55*COS(-K32*PI()/180),PlotData!$CB$4)</f>
        <v>-100</v>
      </c>
      <c r="Y55" s="738">
        <f t="shared" si="11"/>
        <v>-100</v>
      </c>
    </row>
    <row r="56" spans="1:25" x14ac:dyDescent="0.25">
      <c r="A56" s="748">
        <v>5</v>
      </c>
      <c r="B56" s="734">
        <f>1-ABS(SIGN(Knoten!G7))</f>
        <v>0</v>
      </c>
      <c r="C56" s="778">
        <f>IF(ISNUMBER(Knoten!C7),Knoten!C7-$U$1+$H$1*$E$1*B56*COS(-K33*PI()/180)-$H$1*$E$1*B56*SIN(-K33*PI()/180),PlotData!$CB$3)</f>
        <v>-50</v>
      </c>
      <c r="D56" s="736">
        <f>IF(ISNUMBER(Knoten!C7),C56-2*$H$1*$E$1*B56*COS(-K33*PI()/180),C56)</f>
        <v>-50</v>
      </c>
      <c r="E56" s="736">
        <f>IF(ISNUMBER(Knoten!C7),D56+2*$H$1*$E$1*B56*SIN(-K33*PI()/180),C56)</f>
        <v>-50</v>
      </c>
      <c r="F56" s="736">
        <f>IF(ISNUMBER(Knoten!C7),C56+2*$H$1*$E$1*B56*SIN(-K33*PI()/180),C56)</f>
        <v>-50</v>
      </c>
      <c r="G56" s="738">
        <f t="shared" si="12"/>
        <v>-50</v>
      </c>
      <c r="H56" s="778">
        <f>IF(ISNUMBER(Knoten!D7),Knoten!D7-$X$1-$H$1*$E$1*B56*COS(-K33*PI()/180)-$H$1*$E$1*B56*SIN(-K33*PI()/180),PlotData!$CB$4)</f>
        <v>-70</v>
      </c>
      <c r="I56" s="736">
        <f>IF(ISNUMBER(Knoten!D7),H56+2*$H$1*$E$1*B56*SIN(-K33*PI()/180),PlotData!$CB$4)</f>
        <v>-70</v>
      </c>
      <c r="J56" s="736">
        <f>IF(ISNUMBER(Knoten!D7),I56+2*$H$1*$E$1*B56*COS(-K33*PI()/180),PlotData!$CB$4)</f>
        <v>-70</v>
      </c>
      <c r="K56" s="736">
        <f>IF(ISNUMBER(Knoten!D7),H56+2*$H$1*$E$1*B56*COS(-K33*PI()/180),PlotData!$CB$4)</f>
        <v>-70</v>
      </c>
      <c r="L56" s="738">
        <f t="shared" si="13"/>
        <v>-70</v>
      </c>
      <c r="N56" s="748">
        <v>5</v>
      </c>
      <c r="O56" s="734">
        <f>1-ABS(SIGN(Knoten!G7))</f>
        <v>0</v>
      </c>
      <c r="P56" s="778">
        <f>IF(ISNUMBER(Knoten!C7),Z10+$H$1*$E$1*O56*COS(-K33*PI()/180)-$H$1*$E$1*O56*SIN(-K33*PI()/180),PlotData!$CB$3)</f>
        <v>-50</v>
      </c>
      <c r="Q56" s="736">
        <f>IF(ISNUMBER(Knoten!C7),P56-2*$H$1*$E$1*O56*COS(-K33*PI()/180),P56)</f>
        <v>-50</v>
      </c>
      <c r="R56" s="736">
        <f>IF(ISNUMBER(Knoten!C7),Q56+2*$H$1*$E$1*O56*SIN(-K33*PI()/180),P56)</f>
        <v>-50</v>
      </c>
      <c r="S56" s="736">
        <f>IF(ISNUMBER(Knoten!C7),P56+2*$H$1*$E$1*O56*SIN(-K33*PI()/180),P56)</f>
        <v>-50</v>
      </c>
      <c r="T56" s="738">
        <f t="shared" si="10"/>
        <v>-50</v>
      </c>
      <c r="U56" s="778">
        <f>IF(ISNUMBER(Knoten!D7),AA10-$H$1*$E$1*O56*COS(-K33*PI()/180)-$H$1*$E$1*O56*SIN(-K33*PI()/180),PlotData!$CB$4)</f>
        <v>-70</v>
      </c>
      <c r="V56" s="736">
        <f>IF(ISNUMBER(Knoten!D7),U56+2*$H$1*$E$1*O56*SIN(-K33*PI()/180),PlotData!$CB$4)</f>
        <v>-70</v>
      </c>
      <c r="W56" s="736">
        <f>IF(ISNUMBER(Knoten!D7),V56+2*$H$1*$E$1*O56*COS(-K33*PI()/180),PlotData!$CB$4)</f>
        <v>-70</v>
      </c>
      <c r="X56" s="736">
        <f>IF(ISNUMBER(Knoten!D7),U56+2*$H$1*$E$1*O56*COS(-K33*PI()/180),PlotData!$CB$4)</f>
        <v>-70</v>
      </c>
      <c r="Y56" s="738">
        <f t="shared" si="11"/>
        <v>-70</v>
      </c>
    </row>
    <row r="57" spans="1:25" x14ac:dyDescent="0.25">
      <c r="A57" s="748">
        <v>6</v>
      </c>
      <c r="B57" s="734">
        <f>1-ABS(SIGN(Knoten!G8))</f>
        <v>0</v>
      </c>
      <c r="C57" s="778">
        <f>IF(ISNUMBER(Knoten!C8),Knoten!C8-$U$1+$H$1*$E$1*B57*COS(-K34*PI()/180)-$H$1*$E$1*B57*SIN(-K34*PI()/180),PlotData!$CB$3)</f>
        <v>-100</v>
      </c>
      <c r="D57" s="736">
        <f>IF(ISNUMBER(Knoten!C8),C57-2*$H$1*$E$1*B57*COS(-K34*PI()/180),C57)</f>
        <v>-100</v>
      </c>
      <c r="E57" s="736">
        <f>IF(ISNUMBER(Knoten!C8),D57+2*$H$1*$E$1*B57*SIN(-K34*PI()/180),C57)</f>
        <v>-100</v>
      </c>
      <c r="F57" s="736">
        <f>IF(ISNUMBER(Knoten!C8),C57+2*$H$1*$E$1*B57*SIN(-K34*PI()/180),C57)</f>
        <v>-100</v>
      </c>
      <c r="G57" s="738">
        <f t="shared" si="12"/>
        <v>-100</v>
      </c>
      <c r="H57" s="778">
        <f>IF(ISNUMBER(Knoten!D8),Knoten!D8-$X$1-$H$1*$E$1*B57*COS(-K34*PI()/180)-$H$1*$E$1*B57*SIN(-K34*PI()/180),PlotData!$CB$4)</f>
        <v>100</v>
      </c>
      <c r="I57" s="736">
        <f>IF(ISNUMBER(Knoten!D8),H57+2*$H$1*$E$1*B57*SIN(-K34*PI()/180),PlotData!$CB$4)</f>
        <v>100</v>
      </c>
      <c r="J57" s="736">
        <f>IF(ISNUMBER(Knoten!D8),I57+2*$H$1*$E$1*B57*COS(-K34*PI()/180),PlotData!$CB$4)</f>
        <v>100</v>
      </c>
      <c r="K57" s="736">
        <f>IF(ISNUMBER(Knoten!D8),H57+2*$H$1*$E$1*B57*COS(-K34*PI()/180),PlotData!$CB$4)</f>
        <v>100</v>
      </c>
      <c r="L57" s="738">
        <f t="shared" si="13"/>
        <v>100</v>
      </c>
      <c r="N57" s="748">
        <v>6</v>
      </c>
      <c r="O57" s="734">
        <f>1-ABS(SIGN(Knoten!G8))</f>
        <v>0</v>
      </c>
      <c r="P57" s="778">
        <f>IF(ISNUMBER(Knoten!C8),Z11+$H$1*$E$1*O57*COS(-K34*PI()/180)-$H$1*$E$1*O57*SIN(-K34*PI()/180),PlotData!$CB$3)</f>
        <v>-100</v>
      </c>
      <c r="Q57" s="736">
        <f>IF(ISNUMBER(Knoten!C8),P57-2*$H$1*$E$1*O57*COS(-K34*PI()/180),P57)</f>
        <v>-100</v>
      </c>
      <c r="R57" s="736">
        <f>IF(ISNUMBER(Knoten!C8),Q57+2*$H$1*$E$1*O57*SIN(-K34*PI()/180),P57)</f>
        <v>-100</v>
      </c>
      <c r="S57" s="736">
        <f>IF(ISNUMBER(Knoten!C8),P57+2*$H$1*$E$1*O57*SIN(-K34*PI()/180),P57)</f>
        <v>-100</v>
      </c>
      <c r="T57" s="738">
        <f t="shared" si="10"/>
        <v>-100</v>
      </c>
      <c r="U57" s="778">
        <f>IF(ISNUMBER(Knoten!D8),AA11-$H$1*$E$1*O57*COS(-K34*PI()/180)-$H$1*$E$1*O57*SIN(-K34*PI()/180),PlotData!$CB$4)</f>
        <v>100</v>
      </c>
      <c r="V57" s="736">
        <f>IF(ISNUMBER(Knoten!D8),U57+2*$H$1*$E$1*O57*SIN(-K34*PI()/180),PlotData!$CB$4)</f>
        <v>100</v>
      </c>
      <c r="W57" s="736">
        <f>IF(ISNUMBER(Knoten!D8),V57+2*$H$1*$E$1*O57*COS(-K34*PI()/180),PlotData!$CB$4)</f>
        <v>100</v>
      </c>
      <c r="X57" s="736">
        <f>IF(ISNUMBER(Knoten!D8),U57+2*$H$1*$E$1*O57*COS(-K34*PI()/180),PlotData!$CB$4)</f>
        <v>100</v>
      </c>
      <c r="Y57" s="738">
        <f t="shared" si="11"/>
        <v>100</v>
      </c>
    </row>
    <row r="58" spans="1:25" x14ac:dyDescent="0.25">
      <c r="A58" s="748">
        <v>7</v>
      </c>
      <c r="B58" s="734">
        <f>1-ABS(SIGN(Knoten!G9))</f>
        <v>1</v>
      </c>
      <c r="C58" s="778">
        <f>IF(ISNUMBER(Knoten!C9),Knoten!C9-$U$1+$H$1*$E$1*B58*COS(-K35*PI()/180)-$H$1*$E$1*B58*SIN(-K35*PI()/180),PlotData!$CB$3)</f>
        <v>0</v>
      </c>
      <c r="D58" s="736">
        <f>IF(ISNUMBER(Knoten!C9),C58-2*$H$1*$E$1*B58*COS(-K35*PI()/180),C58)</f>
        <v>0</v>
      </c>
      <c r="E58" s="736">
        <f>IF(ISNUMBER(Knoten!C9),D58+2*$H$1*$E$1*B58*SIN(-K35*PI()/180),C58)</f>
        <v>0</v>
      </c>
      <c r="F58" s="736">
        <f>IF(ISNUMBER(Knoten!C9),C58+2*$H$1*$E$1*B58*SIN(-K35*PI()/180),C58)</f>
        <v>0</v>
      </c>
      <c r="G58" s="738">
        <f t="shared" si="12"/>
        <v>0</v>
      </c>
      <c r="H58" s="778">
        <f>IF(ISNUMBER(Knoten!D9),Knoten!D9-$X$1-$H$1*$E$1*B58*COS(-K35*PI()/180)-$H$1*$E$1*B58*SIN(-K35*PI()/180),PlotData!$CB$4)</f>
        <v>0</v>
      </c>
      <c r="I58" s="736">
        <f>IF(ISNUMBER(Knoten!D9),H58+2*$H$1*$E$1*B58*SIN(-K35*PI()/180),PlotData!$CB$4)</f>
        <v>0</v>
      </c>
      <c r="J58" s="736">
        <f>IF(ISNUMBER(Knoten!D9),I58+2*$H$1*$E$1*B58*COS(-K35*PI()/180),PlotData!$CB$4)</f>
        <v>0</v>
      </c>
      <c r="K58" s="736">
        <f>IF(ISNUMBER(Knoten!D9),H58+2*$H$1*$E$1*B58*COS(-K35*PI()/180),PlotData!$CB$4)</f>
        <v>0</v>
      </c>
      <c r="L58" s="738">
        <f t="shared" si="13"/>
        <v>0</v>
      </c>
      <c r="N58" s="748">
        <v>7</v>
      </c>
      <c r="O58" s="734">
        <f>1-ABS(SIGN(Knoten!G9))</f>
        <v>1</v>
      </c>
      <c r="P58" s="778">
        <f>IF(ISNUMBER(Knoten!C9),Z12+$H$1*$E$1*O58*COS(-K35*PI()/180)-$H$1*$E$1*O58*SIN(-K35*PI()/180),PlotData!$CB$3)</f>
        <v>0</v>
      </c>
      <c r="Q58" s="736">
        <f>IF(ISNUMBER(Knoten!C9),P58-2*$H$1*$E$1*O58*COS(-K35*PI()/180),P58)</f>
        <v>0</v>
      </c>
      <c r="R58" s="736">
        <f>IF(ISNUMBER(Knoten!C9),Q58+2*$H$1*$E$1*O58*SIN(-K35*PI()/180),P58)</f>
        <v>0</v>
      </c>
      <c r="S58" s="736">
        <f>IF(ISNUMBER(Knoten!C9),P58+2*$H$1*$E$1*O58*SIN(-K35*PI()/180),P58)</f>
        <v>0</v>
      </c>
      <c r="T58" s="738">
        <f t="shared" si="10"/>
        <v>0</v>
      </c>
      <c r="U58" s="778">
        <f>IF(ISNUMBER(Knoten!D9),AA12-$H$1*$E$1*O58*COS(-K35*PI()/180)-$H$1*$E$1*O58*SIN(-K35*PI()/180),PlotData!$CB$4)</f>
        <v>0</v>
      </c>
      <c r="V58" s="736">
        <f>IF(ISNUMBER(Knoten!D9),U58+2*$H$1*$E$1*O58*SIN(-K35*PI()/180),PlotData!$CB$4)</f>
        <v>0</v>
      </c>
      <c r="W58" s="736">
        <f>IF(ISNUMBER(Knoten!D9),V58+2*$H$1*$E$1*O58*COS(-K35*PI()/180),PlotData!$CB$4)</f>
        <v>0</v>
      </c>
      <c r="X58" s="736">
        <f>IF(ISNUMBER(Knoten!D9),U58+2*$H$1*$E$1*O58*COS(-K35*PI()/180),PlotData!$CB$4)</f>
        <v>0</v>
      </c>
      <c r="Y58" s="738">
        <f t="shared" si="11"/>
        <v>0</v>
      </c>
    </row>
    <row r="59" spans="1:25" x14ac:dyDescent="0.25">
      <c r="A59" s="748">
        <v>8</v>
      </c>
      <c r="B59" s="734">
        <f>1-ABS(SIGN(Knoten!G10))</f>
        <v>1</v>
      </c>
      <c r="C59" s="778">
        <f>IF(ISNUMBER(Knoten!C10),Knoten!C10-$U$1+$H$1*$E$1*B59*COS(-K36*PI()/180)-$H$1*$E$1*B59*SIN(-K36*PI()/180),PlotData!$CB$3)</f>
        <v>0</v>
      </c>
      <c r="D59" s="736">
        <f>IF(ISNUMBER(Knoten!C10),C59-2*$H$1*$E$1*B59*COS(-K36*PI()/180),C59)</f>
        <v>0</v>
      </c>
      <c r="E59" s="736">
        <f>IF(ISNUMBER(Knoten!C10),D59+2*$H$1*$E$1*B59*SIN(-K36*PI()/180),C59)</f>
        <v>0</v>
      </c>
      <c r="F59" s="736">
        <f>IF(ISNUMBER(Knoten!C10),C59+2*$H$1*$E$1*B59*SIN(-K36*PI()/180),C59)</f>
        <v>0</v>
      </c>
      <c r="G59" s="738">
        <f t="shared" si="12"/>
        <v>0</v>
      </c>
      <c r="H59" s="778">
        <f>IF(ISNUMBER(Knoten!D10),Knoten!D10-$X$1-$H$1*$E$1*B59*COS(-K36*PI()/180)-$H$1*$E$1*B59*SIN(-K36*PI()/180),PlotData!$CB$4)</f>
        <v>0</v>
      </c>
      <c r="I59" s="736">
        <f>IF(ISNUMBER(Knoten!D10),H59+2*$H$1*$E$1*B59*SIN(-K36*PI()/180),PlotData!$CB$4)</f>
        <v>0</v>
      </c>
      <c r="J59" s="736">
        <f>IF(ISNUMBER(Knoten!D10),I59+2*$H$1*$E$1*B59*COS(-K36*PI()/180),PlotData!$CB$4)</f>
        <v>0</v>
      </c>
      <c r="K59" s="736">
        <f>IF(ISNUMBER(Knoten!D10),H59+2*$H$1*$E$1*B59*COS(-K36*PI()/180),PlotData!$CB$4)</f>
        <v>0</v>
      </c>
      <c r="L59" s="738">
        <f t="shared" si="13"/>
        <v>0</v>
      </c>
      <c r="N59" s="748">
        <v>8</v>
      </c>
      <c r="O59" s="734">
        <f>1-ABS(SIGN(Knoten!G10))</f>
        <v>1</v>
      </c>
      <c r="P59" s="778">
        <f>IF(ISNUMBER(Knoten!C10),Z13+$H$1*$E$1*O59*COS(-K36*PI()/180)-$H$1*$E$1*O59*SIN(-K36*PI()/180),PlotData!$CB$3)</f>
        <v>0</v>
      </c>
      <c r="Q59" s="736">
        <f>IF(ISNUMBER(Knoten!C10),P59-2*$H$1*$E$1*O59*COS(-K36*PI()/180),P59)</f>
        <v>0</v>
      </c>
      <c r="R59" s="736">
        <f>IF(ISNUMBER(Knoten!C10),Q59+2*$H$1*$E$1*O59*SIN(-K36*PI()/180),P59)</f>
        <v>0</v>
      </c>
      <c r="S59" s="736">
        <f>IF(ISNUMBER(Knoten!C10),P59+2*$H$1*$E$1*O59*SIN(-K36*PI()/180),P59)</f>
        <v>0</v>
      </c>
      <c r="T59" s="738">
        <f t="shared" si="10"/>
        <v>0</v>
      </c>
      <c r="U59" s="778">
        <f>IF(ISNUMBER(Knoten!D10),AA13-$H$1*$E$1*O59*COS(-K36*PI()/180)-$H$1*$E$1*O59*SIN(-K36*PI()/180),PlotData!$CB$4)</f>
        <v>0</v>
      </c>
      <c r="V59" s="736">
        <f>IF(ISNUMBER(Knoten!D10),U59+2*$H$1*$E$1*O59*SIN(-K36*PI()/180),PlotData!$CB$4)</f>
        <v>0</v>
      </c>
      <c r="W59" s="736">
        <f>IF(ISNUMBER(Knoten!D10),V59+2*$H$1*$E$1*O59*COS(-K36*PI()/180),PlotData!$CB$4)</f>
        <v>0</v>
      </c>
      <c r="X59" s="736">
        <f>IF(ISNUMBER(Knoten!D10),U59+2*$H$1*$E$1*O59*COS(-K36*PI()/180),PlotData!$CB$4)</f>
        <v>0</v>
      </c>
      <c r="Y59" s="738">
        <f t="shared" si="11"/>
        <v>0</v>
      </c>
    </row>
    <row r="60" spans="1:25" x14ac:dyDescent="0.25">
      <c r="A60" s="748">
        <v>9</v>
      </c>
      <c r="B60" s="734">
        <f>1-ABS(SIGN(Knoten!G11))</f>
        <v>1</v>
      </c>
      <c r="C60" s="778">
        <f>IF(ISNUMBER(Knoten!C11),Knoten!C11-$U$1+$H$1*$E$1*B60*COS(-K37*PI()/180)-$H$1*$E$1*B60*SIN(-K37*PI()/180),PlotData!$CB$3)</f>
        <v>0</v>
      </c>
      <c r="D60" s="736">
        <f>IF(ISNUMBER(Knoten!C11),C60-2*$H$1*$E$1*B60*COS(-K37*PI()/180),C60)</f>
        <v>0</v>
      </c>
      <c r="E60" s="736">
        <f>IF(ISNUMBER(Knoten!C11),D60+2*$H$1*$E$1*B60*SIN(-K37*PI()/180),C60)</f>
        <v>0</v>
      </c>
      <c r="F60" s="736">
        <f>IF(ISNUMBER(Knoten!C11),C60+2*$H$1*$E$1*B60*SIN(-K37*PI()/180),C60)</f>
        <v>0</v>
      </c>
      <c r="G60" s="738">
        <f t="shared" si="12"/>
        <v>0</v>
      </c>
      <c r="H60" s="778">
        <f>IF(ISNUMBER(Knoten!D11),Knoten!D11-$X$1-$H$1*$E$1*B60*COS(-K37*PI()/180)-$H$1*$E$1*B60*SIN(-K37*PI()/180),PlotData!$CB$4)</f>
        <v>0</v>
      </c>
      <c r="I60" s="736">
        <f>IF(ISNUMBER(Knoten!D11),H60+2*$H$1*$E$1*B60*SIN(-K37*PI()/180),PlotData!$CB$4)</f>
        <v>0</v>
      </c>
      <c r="J60" s="736">
        <f>IF(ISNUMBER(Knoten!D11),I60+2*$H$1*$E$1*B60*COS(-K37*PI()/180),PlotData!$CB$4)</f>
        <v>0</v>
      </c>
      <c r="K60" s="736">
        <f>IF(ISNUMBER(Knoten!D11),H60+2*$H$1*$E$1*B60*COS(-K37*PI()/180),PlotData!$CB$4)</f>
        <v>0</v>
      </c>
      <c r="L60" s="738">
        <f t="shared" si="13"/>
        <v>0</v>
      </c>
      <c r="N60" s="748">
        <v>9</v>
      </c>
      <c r="O60" s="734">
        <f>1-ABS(SIGN(Knoten!G11))</f>
        <v>1</v>
      </c>
      <c r="P60" s="778">
        <f>IF(ISNUMBER(Knoten!C11),Z14+$H$1*$E$1*O60*COS(-K37*PI()/180)-$H$1*$E$1*O60*SIN(-K37*PI()/180),PlotData!$CB$3)</f>
        <v>0</v>
      </c>
      <c r="Q60" s="736">
        <f>IF(ISNUMBER(Knoten!C11),P60-2*$H$1*$E$1*O60*COS(-K37*PI()/180),P60)</f>
        <v>0</v>
      </c>
      <c r="R60" s="736">
        <f>IF(ISNUMBER(Knoten!C11),Q60+2*$H$1*$E$1*O60*SIN(-K37*PI()/180),P60)</f>
        <v>0</v>
      </c>
      <c r="S60" s="736">
        <f>IF(ISNUMBER(Knoten!C11),P60+2*$H$1*$E$1*O60*SIN(-K37*PI()/180),P60)</f>
        <v>0</v>
      </c>
      <c r="T60" s="738">
        <f t="shared" si="10"/>
        <v>0</v>
      </c>
      <c r="U60" s="778">
        <f>IF(ISNUMBER(Knoten!D11),AA14-$H$1*$E$1*O60*COS(-K37*PI()/180)-$H$1*$E$1*O60*SIN(-K37*PI()/180),PlotData!$CB$4)</f>
        <v>0</v>
      </c>
      <c r="V60" s="736">
        <f>IF(ISNUMBER(Knoten!D11),U60+2*$H$1*$E$1*O60*SIN(-K37*PI()/180),PlotData!$CB$4)</f>
        <v>0</v>
      </c>
      <c r="W60" s="736">
        <f>IF(ISNUMBER(Knoten!D11),V60+2*$H$1*$E$1*O60*COS(-K37*PI()/180),PlotData!$CB$4)</f>
        <v>0</v>
      </c>
      <c r="X60" s="736">
        <f>IF(ISNUMBER(Knoten!D11),U60+2*$H$1*$E$1*O60*COS(-K37*PI()/180),PlotData!$CB$4)</f>
        <v>0</v>
      </c>
      <c r="Y60" s="738">
        <f t="shared" si="11"/>
        <v>0</v>
      </c>
    </row>
    <row r="61" spans="1:25" x14ac:dyDescent="0.25">
      <c r="A61" s="748">
        <v>10</v>
      </c>
      <c r="B61" s="734">
        <f>1-ABS(SIGN(Knoten!G12))</f>
        <v>1</v>
      </c>
      <c r="C61" s="778">
        <f>IF(ISNUMBER(Knoten!C12),Knoten!C12-$U$1+$H$1*$E$1*B61*COS(-K38*PI()/180)-$H$1*$E$1*B61*SIN(-K38*PI()/180),PlotData!$CB$3)</f>
        <v>0</v>
      </c>
      <c r="D61" s="736">
        <f>IF(ISNUMBER(Knoten!C12),C61-2*$H$1*$E$1*B61*COS(-K38*PI()/180),C61)</f>
        <v>0</v>
      </c>
      <c r="E61" s="736">
        <f>IF(ISNUMBER(Knoten!C12),D61+2*$H$1*$E$1*B61*SIN(-K38*PI()/180),C61)</f>
        <v>0</v>
      </c>
      <c r="F61" s="736">
        <f>IF(ISNUMBER(Knoten!C12),C61+2*$H$1*$E$1*B61*SIN(-K38*PI()/180),C61)</f>
        <v>0</v>
      </c>
      <c r="G61" s="738">
        <f t="shared" si="12"/>
        <v>0</v>
      </c>
      <c r="H61" s="778">
        <f>IF(ISNUMBER(Knoten!D12),Knoten!D12-$X$1-$H$1*$E$1*B61*COS(-K38*PI()/180)-$H$1*$E$1*B61*SIN(-K38*PI()/180),PlotData!$CB$4)</f>
        <v>0</v>
      </c>
      <c r="I61" s="736">
        <f>IF(ISNUMBER(Knoten!D12),H61+2*$H$1*$E$1*B61*SIN(-K38*PI()/180),PlotData!$CB$4)</f>
        <v>0</v>
      </c>
      <c r="J61" s="736">
        <f>IF(ISNUMBER(Knoten!D12),I61+2*$H$1*$E$1*B61*COS(-K38*PI()/180),PlotData!$CB$4)</f>
        <v>0</v>
      </c>
      <c r="K61" s="736">
        <f>IF(ISNUMBER(Knoten!D12),H61+2*$H$1*$E$1*B61*COS(-K38*PI()/180),PlotData!$CB$4)</f>
        <v>0</v>
      </c>
      <c r="L61" s="738">
        <f t="shared" si="13"/>
        <v>0</v>
      </c>
      <c r="N61" s="748">
        <v>10</v>
      </c>
      <c r="O61" s="734">
        <f>1-ABS(SIGN(Knoten!G12))</f>
        <v>1</v>
      </c>
      <c r="P61" s="778">
        <f>IF(ISNUMBER(Knoten!C12),Z15+$H$1*$E$1*O61*COS(-K38*PI()/180)-$H$1*$E$1*O61*SIN(-K38*PI()/180),PlotData!$CB$3)</f>
        <v>0</v>
      </c>
      <c r="Q61" s="736">
        <f>IF(ISNUMBER(Knoten!C12),P61-2*$H$1*$E$1*O61*COS(-K38*PI()/180),P61)</f>
        <v>0</v>
      </c>
      <c r="R61" s="736">
        <f>IF(ISNUMBER(Knoten!C12),Q61+2*$H$1*$E$1*O61*SIN(-K38*PI()/180),P61)</f>
        <v>0</v>
      </c>
      <c r="S61" s="736">
        <f>IF(ISNUMBER(Knoten!C12),P61+2*$H$1*$E$1*O61*SIN(-K38*PI()/180),P61)</f>
        <v>0</v>
      </c>
      <c r="T61" s="738">
        <f t="shared" si="10"/>
        <v>0</v>
      </c>
      <c r="U61" s="778">
        <f>IF(ISNUMBER(Knoten!D12),AA15-$H$1*$E$1*O61*COS(-K38*PI()/180)-$H$1*$E$1*O61*SIN(-K38*PI()/180),PlotData!$CB$4)</f>
        <v>0</v>
      </c>
      <c r="V61" s="736">
        <f>IF(ISNUMBER(Knoten!D12),U61+2*$H$1*$E$1*O61*SIN(-K38*PI()/180),PlotData!$CB$4)</f>
        <v>0</v>
      </c>
      <c r="W61" s="736">
        <f>IF(ISNUMBER(Knoten!D12),V61+2*$H$1*$E$1*O61*COS(-K38*PI()/180),PlotData!$CB$4)</f>
        <v>0</v>
      </c>
      <c r="X61" s="736">
        <f>IF(ISNUMBER(Knoten!D12),U61+2*$H$1*$E$1*O61*COS(-K38*PI()/180),PlotData!$CB$4)</f>
        <v>0</v>
      </c>
      <c r="Y61" s="738">
        <f t="shared" si="11"/>
        <v>0</v>
      </c>
    </row>
    <row r="62" spans="1:25" x14ac:dyDescent="0.25">
      <c r="A62" s="748">
        <v>11</v>
      </c>
      <c r="B62" s="734">
        <f>1-ABS(SIGN(Knoten!G13))</f>
        <v>1</v>
      </c>
      <c r="C62" s="778">
        <f>IF(ISNUMBER(Knoten!C13),Knoten!C13-$U$1+$H$1*$E$1*B62*COS(-K39*PI()/180)-$H$1*$E$1*B62*SIN(-K39*PI()/180),PlotData!$CB$3)</f>
        <v>0</v>
      </c>
      <c r="D62" s="736">
        <f>IF(ISNUMBER(Knoten!C13),C62-2*$H$1*$E$1*B62*COS(-K39*PI()/180),C62)</f>
        <v>0</v>
      </c>
      <c r="E62" s="736">
        <f>IF(ISNUMBER(Knoten!C13),D62+2*$H$1*$E$1*B62*SIN(-K39*PI()/180),C62)</f>
        <v>0</v>
      </c>
      <c r="F62" s="736">
        <f>IF(ISNUMBER(Knoten!C13),C62+2*$H$1*$E$1*B62*SIN(-K39*PI()/180),C62)</f>
        <v>0</v>
      </c>
      <c r="G62" s="738">
        <f t="shared" si="12"/>
        <v>0</v>
      </c>
      <c r="H62" s="778">
        <f>IF(ISNUMBER(Knoten!D13),Knoten!D13-$X$1-$H$1*$E$1*B62*COS(-K39*PI()/180)-$H$1*$E$1*B62*SIN(-K39*PI()/180),PlotData!$CB$4)</f>
        <v>0</v>
      </c>
      <c r="I62" s="736">
        <f>IF(ISNUMBER(Knoten!D13),H62+2*$H$1*$E$1*B62*SIN(-K39*PI()/180),PlotData!$CB$4)</f>
        <v>0</v>
      </c>
      <c r="J62" s="736">
        <f>IF(ISNUMBER(Knoten!D13),I62+2*$H$1*$E$1*B62*COS(-K39*PI()/180),PlotData!$CB$4)</f>
        <v>0</v>
      </c>
      <c r="K62" s="736">
        <f>IF(ISNUMBER(Knoten!D13),H62+2*$H$1*$E$1*B62*COS(-K39*PI()/180),PlotData!$CB$4)</f>
        <v>0</v>
      </c>
      <c r="L62" s="738">
        <f t="shared" si="13"/>
        <v>0</v>
      </c>
      <c r="N62" s="748">
        <v>11</v>
      </c>
      <c r="O62" s="734">
        <f>1-ABS(SIGN(Knoten!G13))</f>
        <v>1</v>
      </c>
      <c r="P62" s="778">
        <f>IF(ISNUMBER(Knoten!C13),Z16+$H$1*$E$1*O62*COS(-K39*PI()/180)-$H$1*$E$1*O62*SIN(-K39*PI()/180),PlotData!$CB$3)</f>
        <v>0</v>
      </c>
      <c r="Q62" s="736">
        <f>IF(ISNUMBER(Knoten!C13),P62-2*$H$1*$E$1*O62*COS(-K39*PI()/180),P62)</f>
        <v>0</v>
      </c>
      <c r="R62" s="736">
        <f>IF(ISNUMBER(Knoten!C13),Q62+2*$H$1*$E$1*O62*SIN(-K39*PI()/180),P62)</f>
        <v>0</v>
      </c>
      <c r="S62" s="736">
        <f>IF(ISNUMBER(Knoten!C13),P62+2*$H$1*$E$1*O62*SIN(-K39*PI()/180),P62)</f>
        <v>0</v>
      </c>
      <c r="T62" s="738">
        <f t="shared" si="10"/>
        <v>0</v>
      </c>
      <c r="U62" s="778">
        <f>IF(ISNUMBER(Knoten!D13),AA16-$H$1*$E$1*O62*COS(-K39*PI()/180)-$H$1*$E$1*O62*SIN(-K39*PI()/180),PlotData!$CB$4)</f>
        <v>0</v>
      </c>
      <c r="V62" s="736">
        <f>IF(ISNUMBER(Knoten!D13),U62+2*$H$1*$E$1*O62*SIN(-K39*PI()/180),PlotData!$CB$4)</f>
        <v>0</v>
      </c>
      <c r="W62" s="736">
        <f>IF(ISNUMBER(Knoten!D13),V62+2*$H$1*$E$1*O62*COS(-K39*PI()/180),PlotData!$CB$4)</f>
        <v>0</v>
      </c>
      <c r="X62" s="736">
        <f>IF(ISNUMBER(Knoten!D13),U62+2*$H$1*$E$1*O62*COS(-K39*PI()/180),PlotData!$CB$4)</f>
        <v>0</v>
      </c>
      <c r="Y62" s="738">
        <f t="shared" si="11"/>
        <v>0</v>
      </c>
    </row>
    <row r="63" spans="1:25" x14ac:dyDescent="0.25">
      <c r="A63" s="748">
        <v>12</v>
      </c>
      <c r="B63" s="734">
        <f>1-ABS(SIGN(Knoten!G14))</f>
        <v>1</v>
      </c>
      <c r="C63" s="778">
        <f>IF(ISNUMBER(Knoten!C14),Knoten!C14-$U$1+$H$1*$E$1*B63*COS(-K40*PI()/180)-$H$1*$E$1*B63*SIN(-K40*PI()/180),PlotData!$CB$3)</f>
        <v>0</v>
      </c>
      <c r="D63" s="736">
        <f>IF(ISNUMBER(Knoten!C14),C63-2*$H$1*$E$1*B63*COS(-K40*PI()/180),C63)</f>
        <v>0</v>
      </c>
      <c r="E63" s="736">
        <f>IF(ISNUMBER(Knoten!C14),D63+2*$H$1*$E$1*B63*SIN(-K40*PI()/180),C63)</f>
        <v>0</v>
      </c>
      <c r="F63" s="736">
        <f>IF(ISNUMBER(Knoten!C14),C63+2*$H$1*$E$1*B63*SIN(-K40*PI()/180),C63)</f>
        <v>0</v>
      </c>
      <c r="G63" s="738">
        <f t="shared" si="12"/>
        <v>0</v>
      </c>
      <c r="H63" s="778">
        <f>IF(ISNUMBER(Knoten!D14),Knoten!D14-$X$1-$H$1*$E$1*B63*COS(-K40*PI()/180)-$H$1*$E$1*B63*SIN(-K40*PI()/180),PlotData!$CB$4)</f>
        <v>0</v>
      </c>
      <c r="I63" s="736">
        <f>IF(ISNUMBER(Knoten!D14),H63+2*$H$1*$E$1*B63*SIN(-K40*PI()/180),PlotData!$CB$4)</f>
        <v>0</v>
      </c>
      <c r="J63" s="736">
        <f>IF(ISNUMBER(Knoten!D14),I63+2*$H$1*$E$1*B63*COS(-K40*PI()/180),PlotData!$CB$4)</f>
        <v>0</v>
      </c>
      <c r="K63" s="736">
        <f>IF(ISNUMBER(Knoten!D14),H63+2*$H$1*$E$1*B63*COS(-K40*PI()/180),PlotData!$CB$4)</f>
        <v>0</v>
      </c>
      <c r="L63" s="738">
        <f t="shared" si="13"/>
        <v>0</v>
      </c>
      <c r="N63" s="748">
        <v>12</v>
      </c>
      <c r="O63" s="734">
        <f>1-ABS(SIGN(Knoten!G14))</f>
        <v>1</v>
      </c>
      <c r="P63" s="778">
        <f>IF(ISNUMBER(Knoten!C14),Z17+$H$1*$E$1*O63*COS(-K40*PI()/180)-$H$1*$E$1*O63*SIN(-K40*PI()/180),PlotData!$CB$3)</f>
        <v>0</v>
      </c>
      <c r="Q63" s="736">
        <f>IF(ISNUMBER(Knoten!C14),P63-2*$H$1*$E$1*O63*COS(-K40*PI()/180),P63)</f>
        <v>0</v>
      </c>
      <c r="R63" s="736">
        <f>IF(ISNUMBER(Knoten!C14),Q63+2*$H$1*$E$1*O63*SIN(-K40*PI()/180),P63)</f>
        <v>0</v>
      </c>
      <c r="S63" s="736">
        <f>IF(ISNUMBER(Knoten!C14),P63+2*$H$1*$E$1*O63*SIN(-K40*PI()/180),P63)</f>
        <v>0</v>
      </c>
      <c r="T63" s="738">
        <f t="shared" si="10"/>
        <v>0</v>
      </c>
      <c r="U63" s="778">
        <f>IF(ISNUMBER(Knoten!D14),AA17-$H$1*$E$1*O63*COS(-K40*PI()/180)-$H$1*$E$1*O63*SIN(-K40*PI()/180),PlotData!$CB$4)</f>
        <v>0</v>
      </c>
      <c r="V63" s="736">
        <f>IF(ISNUMBER(Knoten!D14),U63+2*$H$1*$E$1*O63*SIN(-K40*PI()/180),PlotData!$CB$4)</f>
        <v>0</v>
      </c>
      <c r="W63" s="736">
        <f>IF(ISNUMBER(Knoten!D14),V63+2*$H$1*$E$1*O63*COS(-K40*PI()/180),PlotData!$CB$4)</f>
        <v>0</v>
      </c>
      <c r="X63" s="736">
        <f>IF(ISNUMBER(Knoten!D14),U63+2*$H$1*$E$1*O63*COS(-K40*PI()/180),PlotData!$CB$4)</f>
        <v>0</v>
      </c>
      <c r="Y63" s="738">
        <f t="shared" si="11"/>
        <v>0</v>
      </c>
    </row>
    <row r="64" spans="1:25" x14ac:dyDescent="0.25">
      <c r="A64" s="748">
        <v>13</v>
      </c>
      <c r="B64" s="734">
        <f>1-ABS(SIGN(Knoten!G15))</f>
        <v>1</v>
      </c>
      <c r="C64" s="778">
        <f>IF(ISNUMBER(Knoten!C15),Knoten!C15-$U$1+$H$1*$E$1*B64*COS(-K41*PI()/180)-$H$1*$E$1*B64*SIN(-K41*PI()/180),PlotData!$CB$3)</f>
        <v>0</v>
      </c>
      <c r="D64" s="736">
        <f>IF(ISNUMBER(Knoten!C15),C64-2*$H$1*$E$1*B64*COS(-K41*PI()/180),C64)</f>
        <v>0</v>
      </c>
      <c r="E64" s="736">
        <f>IF(ISNUMBER(Knoten!C15),D64+2*$H$1*$E$1*B64*SIN(-K41*PI()/180),C64)</f>
        <v>0</v>
      </c>
      <c r="F64" s="736">
        <f>IF(ISNUMBER(Knoten!C15),C64+2*$H$1*$E$1*B64*SIN(-K41*PI()/180),C64)</f>
        <v>0</v>
      </c>
      <c r="G64" s="738">
        <f t="shared" si="12"/>
        <v>0</v>
      </c>
      <c r="H64" s="778">
        <f>IF(ISNUMBER(Knoten!D15),Knoten!D15-$X$1-$H$1*$E$1*B64*COS(-K41*PI()/180)-$H$1*$E$1*B64*SIN(-K41*PI()/180),PlotData!$CB$4)</f>
        <v>0</v>
      </c>
      <c r="I64" s="736">
        <f>IF(ISNUMBER(Knoten!D15),H64+2*$H$1*$E$1*B64*SIN(-K41*PI()/180),PlotData!$CB$4)</f>
        <v>0</v>
      </c>
      <c r="J64" s="736">
        <f>IF(ISNUMBER(Knoten!D15),I64+2*$H$1*$E$1*B64*COS(-K41*PI()/180),PlotData!$CB$4)</f>
        <v>0</v>
      </c>
      <c r="K64" s="736">
        <f>IF(ISNUMBER(Knoten!D15),H64+2*$H$1*$E$1*B64*COS(-K41*PI()/180),PlotData!$CB$4)</f>
        <v>0</v>
      </c>
      <c r="L64" s="738">
        <f t="shared" si="13"/>
        <v>0</v>
      </c>
      <c r="N64" s="748">
        <v>13</v>
      </c>
      <c r="O64" s="734">
        <f>1-ABS(SIGN(Knoten!G15))</f>
        <v>1</v>
      </c>
      <c r="P64" s="778">
        <f>IF(ISNUMBER(Knoten!C15),Z18+$H$1*$E$1*O64*COS(-K41*PI()/180)-$H$1*$E$1*O64*SIN(-K41*PI()/180),PlotData!$CB$3)</f>
        <v>0</v>
      </c>
      <c r="Q64" s="736">
        <f>IF(ISNUMBER(Knoten!C15),P64-2*$H$1*$E$1*O64*COS(-K41*PI()/180),P64)</f>
        <v>0</v>
      </c>
      <c r="R64" s="736">
        <f>IF(ISNUMBER(Knoten!C15),Q64+2*$H$1*$E$1*O64*SIN(-K41*PI()/180),P64)</f>
        <v>0</v>
      </c>
      <c r="S64" s="736">
        <f>IF(ISNUMBER(Knoten!C15),P64+2*$H$1*$E$1*O64*SIN(-K41*PI()/180),P64)</f>
        <v>0</v>
      </c>
      <c r="T64" s="738">
        <f t="shared" si="10"/>
        <v>0</v>
      </c>
      <c r="U64" s="778">
        <f>IF(ISNUMBER(Knoten!D15),AA18-$H$1*$E$1*O64*COS(-K41*PI()/180)-$H$1*$E$1*O64*SIN(-K41*PI()/180),PlotData!$CB$4)</f>
        <v>0</v>
      </c>
      <c r="V64" s="736">
        <f>IF(ISNUMBER(Knoten!D15),U64+2*$H$1*$E$1*O64*SIN(-K41*PI()/180),PlotData!$CB$4)</f>
        <v>0</v>
      </c>
      <c r="W64" s="736">
        <f>IF(ISNUMBER(Knoten!D15),V64+2*$H$1*$E$1*O64*COS(-K41*PI()/180),PlotData!$CB$4)</f>
        <v>0</v>
      </c>
      <c r="X64" s="736">
        <f>IF(ISNUMBER(Knoten!D15),U64+2*$H$1*$E$1*O64*COS(-K41*PI()/180),PlotData!$CB$4)</f>
        <v>0</v>
      </c>
      <c r="Y64" s="738">
        <f t="shared" si="11"/>
        <v>0</v>
      </c>
    </row>
    <row r="65" spans="1:25" x14ac:dyDescent="0.25">
      <c r="A65" s="748">
        <v>14</v>
      </c>
      <c r="B65" s="734">
        <f>1-ABS(SIGN(Knoten!G16))</f>
        <v>1</v>
      </c>
      <c r="C65" s="778">
        <f>IF(ISNUMBER(Knoten!C16),Knoten!C16-$U$1+$H$1*$E$1*B65*COS(-K42*PI()/180)-$H$1*$E$1*B65*SIN(-K42*PI()/180),PlotData!$CB$3)</f>
        <v>0</v>
      </c>
      <c r="D65" s="736">
        <f>IF(ISNUMBER(Knoten!C16),C65-2*$H$1*$E$1*B65*COS(-K42*PI()/180),C65)</f>
        <v>0</v>
      </c>
      <c r="E65" s="736">
        <f>IF(ISNUMBER(Knoten!C16),D65+2*$H$1*$E$1*B65*SIN(-K42*PI()/180),C65)</f>
        <v>0</v>
      </c>
      <c r="F65" s="736">
        <f>IF(ISNUMBER(Knoten!C16),C65+2*$H$1*$E$1*B65*SIN(-K42*PI()/180),C65)</f>
        <v>0</v>
      </c>
      <c r="G65" s="738">
        <f t="shared" si="12"/>
        <v>0</v>
      </c>
      <c r="H65" s="778">
        <f>IF(ISNUMBER(Knoten!D16),Knoten!D16-$X$1-$H$1*$E$1*B65*COS(-K42*PI()/180)-$H$1*$E$1*B65*SIN(-K42*PI()/180),PlotData!$CB$4)</f>
        <v>0</v>
      </c>
      <c r="I65" s="736">
        <f>IF(ISNUMBER(Knoten!D16),H65+2*$H$1*$E$1*B65*SIN(-K42*PI()/180),PlotData!$CB$4)</f>
        <v>0</v>
      </c>
      <c r="J65" s="736">
        <f>IF(ISNUMBER(Knoten!D16),I65+2*$H$1*$E$1*B65*COS(-K42*PI()/180),PlotData!$CB$4)</f>
        <v>0</v>
      </c>
      <c r="K65" s="736">
        <f>IF(ISNUMBER(Knoten!D16),H65+2*$H$1*$E$1*B65*COS(-K42*PI()/180),PlotData!$CB$4)</f>
        <v>0</v>
      </c>
      <c r="L65" s="738">
        <f t="shared" si="13"/>
        <v>0</v>
      </c>
      <c r="N65" s="748">
        <v>14</v>
      </c>
      <c r="O65" s="734">
        <f>1-ABS(SIGN(Knoten!G16))</f>
        <v>1</v>
      </c>
      <c r="P65" s="778">
        <f>IF(ISNUMBER(Knoten!C16),Z19+$H$1*$E$1*O65*COS(-K42*PI()/180)-$H$1*$E$1*O65*SIN(-K42*PI()/180),PlotData!$CB$3)</f>
        <v>0</v>
      </c>
      <c r="Q65" s="736">
        <f>IF(ISNUMBER(Knoten!C16),P65-2*$H$1*$E$1*O65*COS(-K42*PI()/180),P65)</f>
        <v>0</v>
      </c>
      <c r="R65" s="736">
        <f>IF(ISNUMBER(Knoten!C16),Q65+2*$H$1*$E$1*O65*SIN(-K42*PI()/180),P65)</f>
        <v>0</v>
      </c>
      <c r="S65" s="736">
        <f>IF(ISNUMBER(Knoten!C16),P65+2*$H$1*$E$1*O65*SIN(-K42*PI()/180),P65)</f>
        <v>0</v>
      </c>
      <c r="T65" s="738">
        <f t="shared" si="10"/>
        <v>0</v>
      </c>
      <c r="U65" s="778">
        <f>IF(ISNUMBER(Knoten!D16),AA19-$H$1*$E$1*O65*COS(-K42*PI()/180)-$H$1*$E$1*O65*SIN(-K42*PI()/180),PlotData!$CB$4)</f>
        <v>0</v>
      </c>
      <c r="V65" s="736">
        <f>IF(ISNUMBER(Knoten!D16),U65+2*$H$1*$E$1*O65*SIN(-K42*PI()/180),PlotData!$CB$4)</f>
        <v>0</v>
      </c>
      <c r="W65" s="736">
        <f>IF(ISNUMBER(Knoten!D16),V65+2*$H$1*$E$1*O65*COS(-K42*PI()/180),PlotData!$CB$4)</f>
        <v>0</v>
      </c>
      <c r="X65" s="736">
        <f>IF(ISNUMBER(Knoten!D16),U65+2*$H$1*$E$1*O65*COS(-K42*PI()/180),PlotData!$CB$4)</f>
        <v>0</v>
      </c>
      <c r="Y65" s="738">
        <f t="shared" si="11"/>
        <v>0</v>
      </c>
    </row>
    <row r="66" spans="1:25" x14ac:dyDescent="0.25">
      <c r="A66" s="748">
        <v>15</v>
      </c>
      <c r="B66" s="734">
        <f>1-ABS(SIGN(Knoten!G17))</f>
        <v>1</v>
      </c>
      <c r="C66" s="778">
        <f>IF(ISNUMBER(Knoten!C17),Knoten!C17-$U$1+$H$1*$E$1*B66*COS(-K43*PI()/180)-$H$1*$E$1*B66*SIN(-K43*PI()/180),PlotData!$CB$3)</f>
        <v>0</v>
      </c>
      <c r="D66" s="736">
        <f>IF(ISNUMBER(Knoten!C17),C66-2*$H$1*$E$1*B66*COS(-K43*PI()/180),C66)</f>
        <v>0</v>
      </c>
      <c r="E66" s="736">
        <f>IF(ISNUMBER(Knoten!C17),D66+2*$H$1*$E$1*B66*SIN(-K43*PI()/180),C66)</f>
        <v>0</v>
      </c>
      <c r="F66" s="736">
        <f>IF(ISNUMBER(Knoten!C17),C66+2*$H$1*$E$1*B66*SIN(-K43*PI()/180),C66)</f>
        <v>0</v>
      </c>
      <c r="G66" s="738">
        <f t="shared" si="12"/>
        <v>0</v>
      </c>
      <c r="H66" s="778">
        <f>IF(ISNUMBER(Knoten!D17),Knoten!D17-$X$1-$H$1*$E$1*B66*COS(-K43*PI()/180)-$H$1*$E$1*B66*SIN(-K43*PI()/180),PlotData!$CB$4)</f>
        <v>0</v>
      </c>
      <c r="I66" s="736">
        <f>IF(ISNUMBER(Knoten!D17),H66+2*$H$1*$E$1*B66*SIN(-K43*PI()/180),PlotData!$CB$4)</f>
        <v>0</v>
      </c>
      <c r="J66" s="736">
        <f>IF(ISNUMBER(Knoten!D17),I66+2*$H$1*$E$1*B66*COS(-K43*PI()/180),PlotData!$CB$4)</f>
        <v>0</v>
      </c>
      <c r="K66" s="736">
        <f>IF(ISNUMBER(Knoten!D17),H66+2*$H$1*$E$1*B66*COS(-K43*PI()/180),PlotData!$CB$4)</f>
        <v>0</v>
      </c>
      <c r="L66" s="738">
        <f t="shared" si="13"/>
        <v>0</v>
      </c>
      <c r="N66" s="748">
        <v>15</v>
      </c>
      <c r="O66" s="734">
        <f>1-ABS(SIGN(Knoten!G17))</f>
        <v>1</v>
      </c>
      <c r="P66" s="778">
        <f>IF(ISNUMBER(Knoten!C17),Z20+$H$1*$E$1*O66*COS(-K43*PI()/180)-$H$1*$E$1*O66*SIN(-K43*PI()/180),PlotData!$CB$3)</f>
        <v>0</v>
      </c>
      <c r="Q66" s="736">
        <f>IF(ISNUMBER(Knoten!C17),P66-2*$H$1*$E$1*O66*COS(-K43*PI()/180),P66)</f>
        <v>0</v>
      </c>
      <c r="R66" s="736">
        <f>IF(ISNUMBER(Knoten!C17),Q66+2*$H$1*$E$1*O66*SIN(-K43*PI()/180),P66)</f>
        <v>0</v>
      </c>
      <c r="S66" s="736">
        <f>IF(ISNUMBER(Knoten!C17),P66+2*$H$1*$E$1*O66*SIN(-K43*PI()/180),P66)</f>
        <v>0</v>
      </c>
      <c r="T66" s="738">
        <f t="shared" si="10"/>
        <v>0</v>
      </c>
      <c r="U66" s="778">
        <f>IF(ISNUMBER(Knoten!D17),AA20-$H$1*$E$1*O66*COS(-K43*PI()/180)-$H$1*$E$1*O66*SIN(-K43*PI()/180),PlotData!$CB$4)</f>
        <v>0</v>
      </c>
      <c r="V66" s="736">
        <f>IF(ISNUMBER(Knoten!D17),U66+2*$H$1*$E$1*O66*SIN(-K43*PI()/180),PlotData!$CB$4)</f>
        <v>0</v>
      </c>
      <c r="W66" s="736">
        <f>IF(ISNUMBER(Knoten!D17),V66+2*$H$1*$E$1*O66*COS(-K43*PI()/180),PlotData!$CB$4)</f>
        <v>0</v>
      </c>
      <c r="X66" s="736">
        <f>IF(ISNUMBER(Knoten!D17),U66+2*$H$1*$E$1*O66*COS(-K43*PI()/180),PlotData!$CB$4)</f>
        <v>0</v>
      </c>
      <c r="Y66" s="738">
        <f t="shared" si="11"/>
        <v>0</v>
      </c>
    </row>
    <row r="67" spans="1:25" x14ac:dyDescent="0.25">
      <c r="A67" s="748">
        <v>16</v>
      </c>
      <c r="B67" s="734">
        <f>1-ABS(SIGN(Knoten!G18))</f>
        <v>1</v>
      </c>
      <c r="C67" s="778">
        <f>IF(ISNUMBER(Knoten!C18),Knoten!C18-$U$1+$H$1*$E$1*B67*COS(-K44*PI()/180)-$H$1*$E$1*B67*SIN(-K44*PI()/180),PlotData!$CB$3)</f>
        <v>0</v>
      </c>
      <c r="D67" s="736">
        <f>IF(ISNUMBER(Knoten!C18),C67-2*$H$1*$E$1*B67*COS(-K44*PI()/180),C67)</f>
        <v>0</v>
      </c>
      <c r="E67" s="736">
        <f>IF(ISNUMBER(Knoten!C18),D67+2*$H$1*$E$1*B67*SIN(-K44*PI()/180),C67)</f>
        <v>0</v>
      </c>
      <c r="F67" s="736">
        <f>IF(ISNUMBER(Knoten!C18),C67+2*$H$1*$E$1*B67*SIN(-K44*PI()/180),C67)</f>
        <v>0</v>
      </c>
      <c r="G67" s="738">
        <f t="shared" si="12"/>
        <v>0</v>
      </c>
      <c r="H67" s="778">
        <f>IF(ISNUMBER(Knoten!D18),Knoten!D18-$X$1-$H$1*$E$1*B67*COS(-K44*PI()/180)-$H$1*$E$1*B67*SIN(-K44*PI()/180),PlotData!$CB$4)</f>
        <v>0</v>
      </c>
      <c r="I67" s="736">
        <f>IF(ISNUMBER(Knoten!D18),H67+2*$H$1*$E$1*B67*SIN(-K44*PI()/180),PlotData!$CB$4)</f>
        <v>0</v>
      </c>
      <c r="J67" s="736">
        <f>IF(ISNUMBER(Knoten!D18),I67+2*$H$1*$E$1*B67*COS(-K44*PI()/180),PlotData!$CB$4)</f>
        <v>0</v>
      </c>
      <c r="K67" s="736">
        <f>IF(ISNUMBER(Knoten!D18),H67+2*$H$1*$E$1*B67*COS(-K44*PI()/180),PlotData!$CB$4)</f>
        <v>0</v>
      </c>
      <c r="L67" s="738">
        <f t="shared" si="13"/>
        <v>0</v>
      </c>
      <c r="N67" s="748">
        <v>16</v>
      </c>
      <c r="O67" s="734">
        <f>1-ABS(SIGN(Knoten!G18))</f>
        <v>1</v>
      </c>
      <c r="P67" s="778">
        <f>IF(ISNUMBER(Knoten!C18),Z21+$H$1*$E$1*O67*COS(-K44*PI()/180)-$H$1*$E$1*O67*SIN(-K44*PI()/180),PlotData!$CB$3)</f>
        <v>0</v>
      </c>
      <c r="Q67" s="736">
        <f>IF(ISNUMBER(Knoten!C18),P67-2*$H$1*$E$1*O67*COS(-K44*PI()/180),P67)</f>
        <v>0</v>
      </c>
      <c r="R67" s="736">
        <f>IF(ISNUMBER(Knoten!C18),Q67+2*$H$1*$E$1*O67*SIN(-K44*PI()/180),P67)</f>
        <v>0</v>
      </c>
      <c r="S67" s="736">
        <f>IF(ISNUMBER(Knoten!C18),P67+2*$H$1*$E$1*O67*SIN(-K44*PI()/180),P67)</f>
        <v>0</v>
      </c>
      <c r="T67" s="738">
        <f t="shared" si="10"/>
        <v>0</v>
      </c>
      <c r="U67" s="778">
        <f>IF(ISNUMBER(Knoten!D18),AA21-$H$1*$E$1*O67*COS(-K44*PI()/180)-$H$1*$E$1*O67*SIN(-K44*PI()/180),PlotData!$CB$4)</f>
        <v>0</v>
      </c>
      <c r="V67" s="736">
        <f>IF(ISNUMBER(Knoten!D18),U67+2*$H$1*$E$1*O67*SIN(-K44*PI()/180),PlotData!$CB$4)</f>
        <v>0</v>
      </c>
      <c r="W67" s="736">
        <f>IF(ISNUMBER(Knoten!D18),V67+2*$H$1*$E$1*O67*COS(-K44*PI()/180),PlotData!$CB$4)</f>
        <v>0</v>
      </c>
      <c r="X67" s="736">
        <f>IF(ISNUMBER(Knoten!D18),U67+2*$H$1*$E$1*O67*COS(-K44*PI()/180),PlotData!$CB$4)</f>
        <v>0</v>
      </c>
      <c r="Y67" s="738">
        <f t="shared" si="11"/>
        <v>0</v>
      </c>
    </row>
    <row r="68" spans="1:25" x14ac:dyDescent="0.25">
      <c r="A68" s="748">
        <v>17</v>
      </c>
      <c r="B68" s="734">
        <f>1-ABS(SIGN(Knoten!G19))</f>
        <v>1</v>
      </c>
      <c r="C68" s="778">
        <f>IF(ISNUMBER(Knoten!C19),Knoten!C19-$U$1+$H$1*$E$1*B68*COS(-K45*PI()/180)-$H$1*$E$1*B68*SIN(-K45*PI()/180),PlotData!$CB$3)</f>
        <v>0</v>
      </c>
      <c r="D68" s="736">
        <f>IF(ISNUMBER(Knoten!C19),C68-2*$H$1*$E$1*B68*COS(-K45*PI()/180),C68)</f>
        <v>0</v>
      </c>
      <c r="E68" s="736">
        <f>IF(ISNUMBER(Knoten!C19),D68+2*$H$1*$E$1*B68*SIN(-K45*PI()/180),C68)</f>
        <v>0</v>
      </c>
      <c r="F68" s="736">
        <f>IF(ISNUMBER(Knoten!C19),C68+2*$H$1*$E$1*B68*SIN(-K45*PI()/180),C68)</f>
        <v>0</v>
      </c>
      <c r="G68" s="738">
        <f t="shared" si="12"/>
        <v>0</v>
      </c>
      <c r="H68" s="778">
        <f>IF(ISNUMBER(Knoten!D19),Knoten!D19-$X$1-$H$1*$E$1*B68*COS(-K45*PI()/180)-$H$1*$E$1*B68*SIN(-K45*PI()/180),PlotData!$CB$4)</f>
        <v>0</v>
      </c>
      <c r="I68" s="736">
        <f>IF(ISNUMBER(Knoten!D19),H68+2*$H$1*$E$1*B68*SIN(-K45*PI()/180),PlotData!$CB$4)</f>
        <v>0</v>
      </c>
      <c r="J68" s="736">
        <f>IF(ISNUMBER(Knoten!D19),I68+2*$H$1*$E$1*B68*COS(-K45*PI()/180),PlotData!$CB$4)</f>
        <v>0</v>
      </c>
      <c r="K68" s="736">
        <f>IF(ISNUMBER(Knoten!D19),H68+2*$H$1*$E$1*B68*COS(-K45*PI()/180),PlotData!$CB$4)</f>
        <v>0</v>
      </c>
      <c r="L68" s="738">
        <f t="shared" si="13"/>
        <v>0</v>
      </c>
      <c r="N68" s="748">
        <v>17</v>
      </c>
      <c r="O68" s="734">
        <f>1-ABS(SIGN(Knoten!G19))</f>
        <v>1</v>
      </c>
      <c r="P68" s="778">
        <f>IF(ISNUMBER(Knoten!C19),Z22+$H$1*$E$1*O68*COS(-K45*PI()/180)-$H$1*$E$1*O68*SIN(-K45*PI()/180),PlotData!$CB$3)</f>
        <v>0</v>
      </c>
      <c r="Q68" s="736">
        <f>IF(ISNUMBER(Knoten!C19),P68-2*$H$1*$E$1*O68*COS(-K45*PI()/180),P68)</f>
        <v>0</v>
      </c>
      <c r="R68" s="736">
        <f>IF(ISNUMBER(Knoten!C19),Q68+2*$H$1*$E$1*O68*SIN(-K45*PI()/180),P68)</f>
        <v>0</v>
      </c>
      <c r="S68" s="736">
        <f>IF(ISNUMBER(Knoten!C19),P68+2*$H$1*$E$1*O68*SIN(-K45*PI()/180),P68)</f>
        <v>0</v>
      </c>
      <c r="T68" s="738">
        <f t="shared" si="10"/>
        <v>0</v>
      </c>
      <c r="U68" s="778">
        <f>IF(ISNUMBER(Knoten!D19),AA22-$H$1*$E$1*O68*COS(-K45*PI()/180)-$H$1*$E$1*O68*SIN(-K45*PI()/180),PlotData!$CB$4)</f>
        <v>0</v>
      </c>
      <c r="V68" s="736">
        <f>IF(ISNUMBER(Knoten!D19),U68+2*$H$1*$E$1*O68*SIN(-K45*PI()/180),PlotData!$CB$4)</f>
        <v>0</v>
      </c>
      <c r="W68" s="736">
        <f>IF(ISNUMBER(Knoten!D19),V68+2*$H$1*$E$1*O68*COS(-K45*PI()/180),PlotData!$CB$4)</f>
        <v>0</v>
      </c>
      <c r="X68" s="736">
        <f>IF(ISNUMBER(Knoten!D19),U68+2*$H$1*$E$1*O68*COS(-K45*PI()/180),PlotData!$CB$4)</f>
        <v>0</v>
      </c>
      <c r="Y68" s="738">
        <f t="shared" si="11"/>
        <v>0</v>
      </c>
    </row>
    <row r="69" spans="1:25" x14ac:dyDescent="0.25">
      <c r="A69" s="748">
        <v>18</v>
      </c>
      <c r="B69" s="734">
        <f>1-ABS(SIGN(Knoten!G20))</f>
        <v>1</v>
      </c>
      <c r="C69" s="778">
        <f>IF(ISNUMBER(Knoten!C20),Knoten!C20-$U$1+$H$1*$E$1*B69*COS(-K46*PI()/180)-$H$1*$E$1*B69*SIN(-K46*PI()/180),PlotData!$CB$3)</f>
        <v>0</v>
      </c>
      <c r="D69" s="736">
        <f>IF(ISNUMBER(Knoten!C20),C69-2*$H$1*$E$1*B69*COS(-K46*PI()/180),C69)</f>
        <v>0</v>
      </c>
      <c r="E69" s="736">
        <f>IF(ISNUMBER(Knoten!C20),D69+2*$H$1*$E$1*B69*SIN(-K46*PI()/180),C69)</f>
        <v>0</v>
      </c>
      <c r="F69" s="736">
        <f>IF(ISNUMBER(Knoten!C20),C69+2*$H$1*$E$1*B69*SIN(-K46*PI()/180),C69)</f>
        <v>0</v>
      </c>
      <c r="G69" s="738">
        <f t="shared" si="12"/>
        <v>0</v>
      </c>
      <c r="H69" s="778">
        <f>IF(ISNUMBER(Knoten!D20),Knoten!D20-$X$1-$H$1*$E$1*B69*COS(-K46*PI()/180)-$H$1*$E$1*B69*SIN(-K46*PI()/180),PlotData!$CB$4)</f>
        <v>0</v>
      </c>
      <c r="I69" s="736">
        <f>IF(ISNUMBER(Knoten!D20),H69+2*$H$1*$E$1*B69*SIN(-K46*PI()/180),PlotData!$CB$4)</f>
        <v>0</v>
      </c>
      <c r="J69" s="736">
        <f>IF(ISNUMBER(Knoten!D20),I69+2*$H$1*$E$1*B69*COS(-K46*PI()/180),PlotData!$CB$4)</f>
        <v>0</v>
      </c>
      <c r="K69" s="736">
        <f>IF(ISNUMBER(Knoten!D20),H69+2*$H$1*$E$1*B69*COS(-K46*PI()/180),PlotData!$CB$4)</f>
        <v>0</v>
      </c>
      <c r="L69" s="738">
        <f t="shared" si="13"/>
        <v>0</v>
      </c>
      <c r="N69" s="748">
        <v>18</v>
      </c>
      <c r="O69" s="734">
        <f>1-ABS(SIGN(Knoten!G20))</f>
        <v>1</v>
      </c>
      <c r="P69" s="778">
        <f>IF(ISNUMBER(Knoten!C20),Z23+$H$1*$E$1*O69*COS(-K46*PI()/180)-$H$1*$E$1*O69*SIN(-K46*PI()/180),PlotData!$CB$3)</f>
        <v>0</v>
      </c>
      <c r="Q69" s="736">
        <f>IF(ISNUMBER(Knoten!C20),P69-2*$H$1*$E$1*O69*COS(-K46*PI()/180),P69)</f>
        <v>0</v>
      </c>
      <c r="R69" s="736">
        <f>IF(ISNUMBER(Knoten!C20),Q69+2*$H$1*$E$1*O69*SIN(-K46*PI()/180),P69)</f>
        <v>0</v>
      </c>
      <c r="S69" s="736">
        <f>IF(ISNUMBER(Knoten!C20),P69+2*$H$1*$E$1*O69*SIN(-K46*PI()/180),P69)</f>
        <v>0</v>
      </c>
      <c r="T69" s="738">
        <f t="shared" si="10"/>
        <v>0</v>
      </c>
      <c r="U69" s="778">
        <f>IF(ISNUMBER(Knoten!D20),AA23-$H$1*$E$1*O69*COS(-K46*PI()/180)-$H$1*$E$1*O69*SIN(-K46*PI()/180),PlotData!$CB$4)</f>
        <v>0</v>
      </c>
      <c r="V69" s="736">
        <f>IF(ISNUMBER(Knoten!D20),U69+2*$H$1*$E$1*O69*SIN(-K46*PI()/180),PlotData!$CB$4)</f>
        <v>0</v>
      </c>
      <c r="W69" s="736">
        <f>IF(ISNUMBER(Knoten!D20),V69+2*$H$1*$E$1*O69*COS(-K46*PI()/180),PlotData!$CB$4)</f>
        <v>0</v>
      </c>
      <c r="X69" s="736">
        <f>IF(ISNUMBER(Knoten!D20),U69+2*$H$1*$E$1*O69*COS(-K46*PI()/180),PlotData!$CB$4)</f>
        <v>0</v>
      </c>
      <c r="Y69" s="738">
        <f t="shared" si="11"/>
        <v>0</v>
      </c>
    </row>
    <row r="70" spans="1:25" x14ac:dyDescent="0.25">
      <c r="A70" s="748">
        <v>19</v>
      </c>
      <c r="B70" s="734">
        <f>1-ABS(SIGN(Knoten!G21))</f>
        <v>1</v>
      </c>
      <c r="C70" s="778">
        <f>IF(ISNUMBER(Knoten!C21),Knoten!C21-$U$1+$H$1*$E$1*B70*COS(-K47*PI()/180)-$H$1*$E$1*B70*SIN(-K47*PI()/180),PlotData!$CB$3)</f>
        <v>0</v>
      </c>
      <c r="D70" s="736">
        <f>IF(ISNUMBER(Knoten!C21),C70-2*$H$1*$E$1*B70*COS(-K47*PI()/180),C70)</f>
        <v>0</v>
      </c>
      <c r="E70" s="736">
        <f>IF(ISNUMBER(Knoten!C21),D70+2*$H$1*$E$1*B70*SIN(-K47*PI()/180),C70)</f>
        <v>0</v>
      </c>
      <c r="F70" s="736">
        <f>IF(ISNUMBER(Knoten!C21),C70+2*$H$1*$E$1*B70*SIN(-K47*PI()/180),C70)</f>
        <v>0</v>
      </c>
      <c r="G70" s="738">
        <f t="shared" si="12"/>
        <v>0</v>
      </c>
      <c r="H70" s="778">
        <f>IF(ISNUMBER(Knoten!D21),Knoten!D21-$X$1-$H$1*$E$1*B70*COS(-K47*PI()/180)-$H$1*$E$1*B70*SIN(-K47*PI()/180),PlotData!$CB$4)</f>
        <v>0</v>
      </c>
      <c r="I70" s="736">
        <f>IF(ISNUMBER(Knoten!D21),H70+2*$H$1*$E$1*B70*SIN(-K47*PI()/180),PlotData!$CB$4)</f>
        <v>0</v>
      </c>
      <c r="J70" s="736">
        <f>IF(ISNUMBER(Knoten!D21),I70+2*$H$1*$E$1*B70*COS(-K47*PI()/180),PlotData!$CB$4)</f>
        <v>0</v>
      </c>
      <c r="K70" s="736">
        <f>IF(ISNUMBER(Knoten!D21),H70+2*$H$1*$E$1*B70*COS(-K47*PI()/180),PlotData!$CB$4)</f>
        <v>0</v>
      </c>
      <c r="L70" s="738">
        <f t="shared" si="13"/>
        <v>0</v>
      </c>
      <c r="N70" s="748">
        <v>19</v>
      </c>
      <c r="O70" s="734">
        <f>1-ABS(SIGN(Knoten!G21))</f>
        <v>1</v>
      </c>
      <c r="P70" s="778">
        <f>IF(ISNUMBER(Knoten!C21),Z24+$H$1*$E$1*O70*COS(-K47*PI()/180)-$H$1*$E$1*O70*SIN(-K47*PI()/180),PlotData!$CB$3)</f>
        <v>0</v>
      </c>
      <c r="Q70" s="736">
        <f>IF(ISNUMBER(Knoten!C21),P70-2*$H$1*$E$1*O70*COS(-K47*PI()/180),P70)</f>
        <v>0</v>
      </c>
      <c r="R70" s="736">
        <f>IF(ISNUMBER(Knoten!C21),Q70+2*$H$1*$E$1*O70*SIN(-K47*PI()/180),P70)</f>
        <v>0</v>
      </c>
      <c r="S70" s="736">
        <f>IF(ISNUMBER(Knoten!C21),P70+2*$H$1*$E$1*O70*SIN(-K47*PI()/180),P70)</f>
        <v>0</v>
      </c>
      <c r="T70" s="738">
        <f>P70</f>
        <v>0</v>
      </c>
      <c r="U70" s="778">
        <f>IF(ISNUMBER(Knoten!D21),AA24-$H$1*$E$1*O70*COS(-K47*PI()/180)-$H$1*$E$1*O70*SIN(-K47*PI()/180),PlotData!$CB$4)</f>
        <v>0</v>
      </c>
      <c r="V70" s="736">
        <f>IF(ISNUMBER(Knoten!D21),U70+2*$H$1*$E$1*O70*SIN(-K47*PI()/180),PlotData!$CB$4)</f>
        <v>0</v>
      </c>
      <c r="W70" s="736">
        <f>IF(ISNUMBER(Knoten!D21),V70+2*$H$1*$E$1*O70*COS(-K47*PI()/180),PlotData!$CB$4)</f>
        <v>0</v>
      </c>
      <c r="X70" s="736">
        <f>IF(ISNUMBER(Knoten!D21),U70+2*$H$1*$E$1*O70*COS(-K47*PI()/180),PlotData!$CB$4)</f>
        <v>0</v>
      </c>
      <c r="Y70" s="738">
        <f>U70</f>
        <v>0</v>
      </c>
    </row>
    <row r="71" spans="1:25" ht="13.8" thickBot="1" x14ac:dyDescent="0.3">
      <c r="A71" s="751">
        <v>20</v>
      </c>
      <c r="B71" s="752">
        <f>1-ABS(SIGN(Knoten!G22))</f>
        <v>1</v>
      </c>
      <c r="C71" s="779">
        <f>IF(ISNUMBER(Knoten!C22),Knoten!C22-$U$1+$H$1*$E$1*B71*COS(-K48*PI()/180)-$H$1*$E$1*B71*SIN(-K48*PI()/180),PlotData!$CB$3)</f>
        <v>0</v>
      </c>
      <c r="D71" s="754">
        <f>IF(ISNUMBER(Knoten!C22),C71-2*$H$1*$E$1*B71*COS(-K48*PI()/180),C71)</f>
        <v>0</v>
      </c>
      <c r="E71" s="754">
        <f>IF(ISNUMBER(Knoten!C22),D71+2*$H$1*$E$1*B71*SIN(-K48*PI()/180),C71)</f>
        <v>0</v>
      </c>
      <c r="F71" s="754">
        <f>IF(ISNUMBER(Knoten!C22),C71+2*$H$1*$E$1*B71*SIN(-K48*PI()/180),C71)</f>
        <v>0</v>
      </c>
      <c r="G71" s="756">
        <f t="shared" si="12"/>
        <v>0</v>
      </c>
      <c r="H71" s="779">
        <f>IF(ISNUMBER(Knoten!D22),Knoten!D22-$X$1-$H$1*$E$1*B71*COS(-K48*PI()/180)-$H$1*$E$1*B71*SIN(-K48*PI()/180),PlotData!$CB$4)</f>
        <v>0</v>
      </c>
      <c r="I71" s="754">
        <f>IF(ISNUMBER(Knoten!D22),H71+2*$H$1*$E$1*B71*SIN(-K48*PI()/180),PlotData!$CB$4)</f>
        <v>0</v>
      </c>
      <c r="J71" s="754">
        <f>IF(ISNUMBER(Knoten!D22),I71+2*$H$1*$E$1*B71*COS(-K48*PI()/180),PlotData!$CB$4)</f>
        <v>0</v>
      </c>
      <c r="K71" s="754">
        <f>IF(ISNUMBER(Knoten!D22),H71+2*$H$1*$E$1*B71*COS(-K48*PI()/180),PlotData!$CB$4)</f>
        <v>0</v>
      </c>
      <c r="L71" s="756">
        <f t="shared" si="13"/>
        <v>0</v>
      </c>
      <c r="N71" s="751">
        <v>20</v>
      </c>
      <c r="O71" s="752">
        <f>1-ABS(SIGN(Knoten!G22))</f>
        <v>1</v>
      </c>
      <c r="P71" s="779">
        <f>IF(ISNUMBER(Knoten!C22),Z25+$H$1*$E$1*O71*COS(-K48*PI()/180)-$H$1*$E$1*O71*SIN(-K48*PI()/180),PlotData!$CB$3)</f>
        <v>0</v>
      </c>
      <c r="Q71" s="754">
        <f>IF(ISNUMBER(Knoten!C22),P71-2*$H$1*$E$1*O71*COS(-K48*PI()/180),P71)</f>
        <v>0</v>
      </c>
      <c r="R71" s="754">
        <f>IF(ISNUMBER(Knoten!C22),Q71+2*$H$1*$E$1*O71*SIN(-K48*PI()/180),P71)</f>
        <v>0</v>
      </c>
      <c r="S71" s="754">
        <f>IF(ISNUMBER(Knoten!C22),P71+2*$H$1*$E$1*O71*SIN(-K48*PI()/180),P71)</f>
        <v>0</v>
      </c>
      <c r="T71" s="756">
        <f>P71</f>
        <v>0</v>
      </c>
      <c r="U71" s="779">
        <f>IF(ISNUMBER(Knoten!D22),AA25-$H$1*$E$1*O71*COS(-K48*PI()/180)-$H$1*$E$1*O71*SIN(-K48*PI()/180),PlotData!$CB$4)</f>
        <v>0</v>
      </c>
      <c r="V71" s="754">
        <f>IF(ISNUMBER(Knoten!D22),U71+2*$H$1*$E$1*O71*SIN(-K48*PI()/180),PlotData!$CB$4)</f>
        <v>0</v>
      </c>
      <c r="W71" s="754">
        <f>IF(ISNUMBER(Knoten!D22),V71+2*$H$1*$E$1*O71*COS(-K48*PI()/180),PlotData!$CB$4)</f>
        <v>0</v>
      </c>
      <c r="X71" s="754">
        <f>IF(ISNUMBER(Knoten!D22),U71+2*$H$1*$E$1*O71*COS(-K48*PI()/180),PlotData!$CB$4)</f>
        <v>0</v>
      </c>
      <c r="Y71" s="756">
        <f>U71</f>
        <v>0</v>
      </c>
    </row>
    <row r="72" spans="1:25" ht="13.8" thickBot="1" x14ac:dyDescent="0.3"/>
    <row r="73" spans="1:25" ht="13.8" thickBot="1" x14ac:dyDescent="0.3">
      <c r="D73" s="1335" t="s">
        <v>235</v>
      </c>
      <c r="E73" s="1336"/>
      <c r="F73" s="1335" t="s">
        <v>236</v>
      </c>
      <c r="G73" s="1336"/>
      <c r="H73" s="1335" t="s">
        <v>235</v>
      </c>
      <c r="I73" s="1336"/>
      <c r="J73" s="1335" t="s">
        <v>236</v>
      </c>
      <c r="K73" s="1336"/>
      <c r="Q73" s="1335" t="s">
        <v>235</v>
      </c>
      <c r="R73" s="1336"/>
      <c r="S73" s="1335" t="s">
        <v>236</v>
      </c>
      <c r="T73" s="1336"/>
      <c r="U73" s="1335" t="s">
        <v>235</v>
      </c>
      <c r="V73" s="1336"/>
      <c r="W73" s="1335" t="s">
        <v>236</v>
      </c>
      <c r="X73" s="1336"/>
    </row>
    <row r="74" spans="1:25" ht="26.25" customHeight="1" thickBot="1" x14ac:dyDescent="0.3">
      <c r="A74" s="1337" t="s">
        <v>237</v>
      </c>
      <c r="B74" s="1338"/>
      <c r="C74" s="1338"/>
      <c r="D74" s="1337" t="s">
        <v>16</v>
      </c>
      <c r="E74" s="1338"/>
      <c r="F74" s="1338"/>
      <c r="G74" s="1339"/>
      <c r="H74" s="1337" t="s">
        <v>228</v>
      </c>
      <c r="I74" s="1338"/>
      <c r="J74" s="1338"/>
      <c r="K74" s="1339"/>
      <c r="N74" s="1337" t="s">
        <v>237</v>
      </c>
      <c r="O74" s="1338"/>
      <c r="P74" s="1338"/>
      <c r="Q74" s="1337" t="s">
        <v>16</v>
      </c>
      <c r="R74" s="1338"/>
      <c r="S74" s="1338"/>
      <c r="T74" s="1339"/>
      <c r="U74" s="1340" t="s">
        <v>228</v>
      </c>
      <c r="V74" s="1341"/>
      <c r="W74" s="1341"/>
      <c r="X74" s="1342"/>
    </row>
    <row r="75" spans="1:25" x14ac:dyDescent="0.25">
      <c r="A75" s="744">
        <v>1</v>
      </c>
      <c r="B75" s="735">
        <f>IF(ISNUMBER(Knoten!C3),-INDEX(Knotenverdrehung_node,A6+1,1),0)</f>
        <v>0</v>
      </c>
      <c r="C75" s="777">
        <f>IF(AND(B75&lt;&gt;0,ISNUMBER(Knoten!C3)),1,0)</f>
        <v>0</v>
      </c>
      <c r="D75" s="775">
        <f>IF(ISNUMBER(Knoten!C3),Knoten!C3-$U$1,PlotData!$CB$3)</f>
        <v>20</v>
      </c>
      <c r="E75" s="777">
        <f>D75+COS(B75*PI()/180)*E$95*C75</f>
        <v>20</v>
      </c>
      <c r="F75" s="776">
        <f>D75</f>
        <v>20</v>
      </c>
      <c r="G75" s="777">
        <f>F75-SIN(B75*PI()/180)*$G$95*C75</f>
        <v>20</v>
      </c>
      <c r="H75" s="775">
        <f>IF(ISNUMBER(Knoten!D3),Knoten!D3-$X$1,PlotData!$CB$4)</f>
        <v>-40</v>
      </c>
      <c r="I75" s="777">
        <f t="shared" ref="I75:I92" si="14">H75+SIN(B75*PI()/180)*$I$95*C75</f>
        <v>-40</v>
      </c>
      <c r="J75" s="776">
        <f>IF(ISNUMBER(Knoten!D3),Knoten!D3-$X$1,PlotData!$CB$4)</f>
        <v>-40</v>
      </c>
      <c r="K75" s="777">
        <f>J75+COS(B75*PI()/180)*K$95*C75</f>
        <v>-40</v>
      </c>
      <c r="N75" s="744">
        <v>1</v>
      </c>
      <c r="O75" s="735">
        <f>IF(ISNUMBER(Knoten!C3),-INDEX(Knotenverdrehung_node,A6+1,1),0)</f>
        <v>0</v>
      </c>
      <c r="P75" s="777">
        <f t="shared" ref="P75:P92" si="15">IF(O75&lt;&gt;0,1,0)</f>
        <v>0</v>
      </c>
      <c r="Q75" s="778">
        <f>IF(ISNUMBER(Knoten!C3),Z6,PlotData!$CB$3)</f>
        <v>23.626678459402886</v>
      </c>
      <c r="R75" s="738">
        <f t="shared" ref="R75:R92" si="16">Q75+COS(O75*PI()/180)*R$95*P75</f>
        <v>23.626678459402886</v>
      </c>
      <c r="S75" s="736">
        <f t="shared" ref="S75:S92" si="17">Q75</f>
        <v>23.626678459402886</v>
      </c>
      <c r="T75" s="738">
        <f t="shared" ref="T75:T92" si="18">S75-SIN(O75*PI()/180)*$G$95*P75</f>
        <v>23.626678459402886</v>
      </c>
      <c r="U75" s="778">
        <f>IF(ISNUMBER(Knoten!D3),AA6,PlotData!$CB$4)</f>
        <v>-46.105451176718191</v>
      </c>
      <c r="V75" s="738">
        <f t="shared" ref="V75:V92" si="19">U75+SIN(O75*PI()/180)*$V$95*P75</f>
        <v>-46.105451176718191</v>
      </c>
      <c r="W75" s="736">
        <f t="shared" ref="W75:W92" si="20">U75</f>
        <v>-46.105451176718191</v>
      </c>
      <c r="X75" s="738">
        <f t="shared" ref="X75:X92" si="21">W75+COS(O75*PI()/180)*X$95*P75</f>
        <v>-46.105451176718191</v>
      </c>
    </row>
    <row r="76" spans="1:25" x14ac:dyDescent="0.25">
      <c r="A76" s="750">
        <v>2</v>
      </c>
      <c r="B76" s="749">
        <f>IF(ISNUMBER(Knoten!C4),-INDEX(Knotenverdrehung_node,A7+1,1),0)</f>
        <v>0</v>
      </c>
      <c r="C76" s="738">
        <f>IF(AND(B76&lt;&gt;0,ISNUMBER(Knoten!C4)),1,0)</f>
        <v>0</v>
      </c>
      <c r="D76" s="778">
        <f>IF(ISNUMBER(Knoten!C4),Knoten!C4-$U$1,PlotData!$CB$3)</f>
        <v>100</v>
      </c>
      <c r="E76" s="738">
        <f t="shared" ref="E76:E94" si="22">D76+COS(B76*PI()/180)*E$95*C76</f>
        <v>100</v>
      </c>
      <c r="F76" s="736">
        <f t="shared" ref="F76:F94" si="23">D76</f>
        <v>100</v>
      </c>
      <c r="G76" s="738">
        <f t="shared" ref="G76:G94" si="24">F76-SIN(B76*PI()/180)*$G$95*C76</f>
        <v>100</v>
      </c>
      <c r="H76" s="778">
        <f>IF(ISNUMBER(Knoten!D4),Knoten!D4-$X$1,PlotData!$CB$4)</f>
        <v>20</v>
      </c>
      <c r="I76" s="738">
        <f t="shared" si="14"/>
        <v>20</v>
      </c>
      <c r="J76" s="736">
        <f>IF(ISNUMBER(Knoten!D4),Knoten!D4-$X$1,PlotData!$CB$4)</f>
        <v>20</v>
      </c>
      <c r="K76" s="738">
        <f t="shared" ref="K76:K94" si="25">J76+COS(B76*PI()/180)*K$95*C76</f>
        <v>20</v>
      </c>
      <c r="N76" s="750">
        <v>2</v>
      </c>
      <c r="O76" s="749">
        <f>IF(ISNUMBER(Knoten!C4),-INDEX(Knotenverdrehung_node,A7+1,1),0)</f>
        <v>0</v>
      </c>
      <c r="P76" s="738">
        <f t="shared" si="15"/>
        <v>0</v>
      </c>
      <c r="Q76" s="778">
        <f>IF(ISNUMBER(Knoten!C4),Z7,PlotData!$CB$3)</f>
        <v>100</v>
      </c>
      <c r="R76" s="738">
        <f t="shared" si="16"/>
        <v>100</v>
      </c>
      <c r="S76" s="736">
        <f t="shared" si="17"/>
        <v>100</v>
      </c>
      <c r="T76" s="738">
        <f t="shared" si="18"/>
        <v>100</v>
      </c>
      <c r="U76" s="778">
        <f>IF(ISNUMBER(Knoten!D4),AA7,PlotData!$CB$4)</f>
        <v>20</v>
      </c>
      <c r="V76" s="738">
        <f t="shared" si="19"/>
        <v>20</v>
      </c>
      <c r="W76" s="736">
        <f t="shared" si="20"/>
        <v>20</v>
      </c>
      <c r="X76" s="738">
        <f t="shared" si="21"/>
        <v>20</v>
      </c>
    </row>
    <row r="77" spans="1:25" x14ac:dyDescent="0.25">
      <c r="A77" s="750">
        <v>3</v>
      </c>
      <c r="B77" s="749">
        <f>IF(ISNUMBER(Knoten!C5),-INDEX(Knotenverdrehung_node,A8+1,1),0)</f>
        <v>0</v>
      </c>
      <c r="C77" s="738">
        <f>IF(AND(B77&lt;&gt;0,ISNUMBER(Knoten!C5)),1,0)</f>
        <v>0</v>
      </c>
      <c r="D77" s="778">
        <f>IF(ISNUMBER(Knoten!C5),Knoten!C5-$U$1,PlotData!$CB$3)</f>
        <v>20</v>
      </c>
      <c r="E77" s="738">
        <f t="shared" si="22"/>
        <v>20</v>
      </c>
      <c r="F77" s="736">
        <f t="shared" si="23"/>
        <v>20</v>
      </c>
      <c r="G77" s="738">
        <f t="shared" si="24"/>
        <v>20</v>
      </c>
      <c r="H77" s="778">
        <f>IF(ISNUMBER(Knoten!D5),Knoten!D5-$X$1,PlotData!$CB$4)</f>
        <v>20</v>
      </c>
      <c r="I77" s="738">
        <f t="shared" si="14"/>
        <v>20</v>
      </c>
      <c r="J77" s="736">
        <f>IF(ISNUMBER(Knoten!D5),Knoten!D5-$X$1,PlotData!$CB$4)</f>
        <v>20</v>
      </c>
      <c r="K77" s="738">
        <f t="shared" si="25"/>
        <v>20</v>
      </c>
      <c r="N77" s="750">
        <v>3</v>
      </c>
      <c r="O77" s="749">
        <f>IF(ISNUMBER(Knoten!C5),-INDEX(Knotenverdrehung_node,A8+1,1),0)</f>
        <v>0</v>
      </c>
      <c r="P77" s="738">
        <f t="shared" si="15"/>
        <v>0</v>
      </c>
      <c r="Q77" s="778">
        <f>IF(ISNUMBER(Knoten!C5),Z8,PlotData!$CB$3)</f>
        <v>20</v>
      </c>
      <c r="R77" s="738">
        <f t="shared" si="16"/>
        <v>20</v>
      </c>
      <c r="S77" s="736">
        <f t="shared" si="17"/>
        <v>20</v>
      </c>
      <c r="T77" s="738">
        <f t="shared" si="18"/>
        <v>20</v>
      </c>
      <c r="U77" s="778">
        <f>IF(ISNUMBER(Knoten!D5),AA8,PlotData!$CB$4)</f>
        <v>20</v>
      </c>
      <c r="V77" s="738">
        <f t="shared" si="19"/>
        <v>20</v>
      </c>
      <c r="W77" s="736">
        <f t="shared" si="20"/>
        <v>20</v>
      </c>
      <c r="X77" s="738">
        <f t="shared" si="21"/>
        <v>20</v>
      </c>
    </row>
    <row r="78" spans="1:25" x14ac:dyDescent="0.25">
      <c r="A78" s="750">
        <v>4</v>
      </c>
      <c r="B78" s="749">
        <f>IF(ISNUMBER(Knoten!C6),-INDEX(Knotenverdrehung_node,A9+1,1),0)</f>
        <v>0</v>
      </c>
      <c r="C78" s="738">
        <f>IF(AND(B78&lt;&gt;0,ISNUMBER(Knoten!C6)),1,0)</f>
        <v>0</v>
      </c>
      <c r="D78" s="778">
        <f>IF(ISNUMBER(Knoten!C6),Knoten!C6-$U$1,PlotData!$CB$3)</f>
        <v>60</v>
      </c>
      <c r="E78" s="738">
        <f t="shared" si="22"/>
        <v>60</v>
      </c>
      <c r="F78" s="736">
        <f t="shared" si="23"/>
        <v>60</v>
      </c>
      <c r="G78" s="738">
        <f t="shared" si="24"/>
        <v>60</v>
      </c>
      <c r="H78" s="778">
        <f>IF(ISNUMBER(Knoten!D6),Knoten!D6-$X$1,PlotData!$CB$4)</f>
        <v>-100</v>
      </c>
      <c r="I78" s="738">
        <f t="shared" si="14"/>
        <v>-100</v>
      </c>
      <c r="J78" s="736">
        <f>IF(ISNUMBER(Knoten!D6),Knoten!D6-$X$1,PlotData!$CB$4)</f>
        <v>-100</v>
      </c>
      <c r="K78" s="738">
        <f t="shared" si="25"/>
        <v>-100</v>
      </c>
      <c r="N78" s="750">
        <v>4</v>
      </c>
      <c r="O78" s="749">
        <f>IF(ISNUMBER(Knoten!C6),-INDEX(Knotenverdrehung_node,A9+1,1),0)</f>
        <v>0</v>
      </c>
      <c r="P78" s="738">
        <f t="shared" si="15"/>
        <v>0</v>
      </c>
      <c r="Q78" s="778">
        <f>IF(ISNUMBER(Knoten!C6),Z9,PlotData!$CB$3)</f>
        <v>60</v>
      </c>
      <c r="R78" s="738">
        <f t="shared" si="16"/>
        <v>60</v>
      </c>
      <c r="S78" s="736">
        <f t="shared" si="17"/>
        <v>60</v>
      </c>
      <c r="T78" s="738">
        <f t="shared" si="18"/>
        <v>60</v>
      </c>
      <c r="U78" s="778">
        <f>IF(ISNUMBER(Knoten!D6),AA9,PlotData!$CB$4)</f>
        <v>-100</v>
      </c>
      <c r="V78" s="738">
        <f t="shared" si="19"/>
        <v>-100</v>
      </c>
      <c r="W78" s="736">
        <f t="shared" si="20"/>
        <v>-100</v>
      </c>
      <c r="X78" s="738">
        <f t="shared" si="21"/>
        <v>-100</v>
      </c>
    </row>
    <row r="79" spans="1:25" x14ac:dyDescent="0.25">
      <c r="A79" s="750">
        <v>5</v>
      </c>
      <c r="B79" s="749">
        <f>IF(ISNUMBER(Knoten!C7),-INDEX(Knotenverdrehung_node,A10+1,1),0)</f>
        <v>0</v>
      </c>
      <c r="C79" s="738">
        <f>IF(AND(B79&lt;&gt;0,ISNUMBER(Knoten!C7)),1,0)</f>
        <v>0</v>
      </c>
      <c r="D79" s="778">
        <f>IF(ISNUMBER(Knoten!C7),Knoten!C7-$U$1,PlotData!$CB$3)</f>
        <v>-50</v>
      </c>
      <c r="E79" s="738">
        <f t="shared" si="22"/>
        <v>-50</v>
      </c>
      <c r="F79" s="736">
        <f t="shared" si="23"/>
        <v>-50</v>
      </c>
      <c r="G79" s="738">
        <f t="shared" si="24"/>
        <v>-50</v>
      </c>
      <c r="H79" s="778">
        <f>IF(ISNUMBER(Knoten!D7),Knoten!D7-$X$1,PlotData!$CB$4)</f>
        <v>-70</v>
      </c>
      <c r="I79" s="738">
        <f t="shared" si="14"/>
        <v>-70</v>
      </c>
      <c r="J79" s="736">
        <f>IF(ISNUMBER(Knoten!D7),Knoten!D7-$X$1,PlotData!$CB$4)</f>
        <v>-70</v>
      </c>
      <c r="K79" s="738">
        <f t="shared" si="25"/>
        <v>-70</v>
      </c>
      <c r="N79" s="750">
        <v>5</v>
      </c>
      <c r="O79" s="749">
        <f>IF(ISNUMBER(Knoten!C7),-INDEX(Knotenverdrehung_node,A10+1,1),0)</f>
        <v>0</v>
      </c>
      <c r="P79" s="738">
        <f t="shared" si="15"/>
        <v>0</v>
      </c>
      <c r="Q79" s="778">
        <f>IF(ISNUMBER(Knoten!C7),Z10,PlotData!$CB$3)</f>
        <v>-50</v>
      </c>
      <c r="R79" s="738">
        <f t="shared" si="16"/>
        <v>-50</v>
      </c>
      <c r="S79" s="736">
        <f t="shared" si="17"/>
        <v>-50</v>
      </c>
      <c r="T79" s="738">
        <f t="shared" si="18"/>
        <v>-50</v>
      </c>
      <c r="U79" s="778">
        <f>IF(ISNUMBER(Knoten!D7),AA10,PlotData!$CB$4)</f>
        <v>-70</v>
      </c>
      <c r="V79" s="738">
        <f t="shared" si="19"/>
        <v>-70</v>
      </c>
      <c r="W79" s="736">
        <f t="shared" si="20"/>
        <v>-70</v>
      </c>
      <c r="X79" s="738">
        <f t="shared" si="21"/>
        <v>-70</v>
      </c>
    </row>
    <row r="80" spans="1:25" x14ac:dyDescent="0.25">
      <c r="A80" s="750">
        <v>6</v>
      </c>
      <c r="B80" s="749">
        <f>IF(ISNUMBER(Knoten!C8),-INDEX(Knotenverdrehung_node,A11+1,1),0)</f>
        <v>0</v>
      </c>
      <c r="C80" s="738">
        <f>IF(AND(B80&lt;&gt;0,ISNUMBER(Knoten!C8)),1,0)</f>
        <v>0</v>
      </c>
      <c r="D80" s="778">
        <f>IF(ISNUMBER(Knoten!C8),Knoten!C8-$U$1,PlotData!$CB$3)</f>
        <v>-100</v>
      </c>
      <c r="E80" s="738">
        <f t="shared" si="22"/>
        <v>-100</v>
      </c>
      <c r="F80" s="736">
        <f t="shared" si="23"/>
        <v>-100</v>
      </c>
      <c r="G80" s="738">
        <f t="shared" si="24"/>
        <v>-100</v>
      </c>
      <c r="H80" s="778">
        <f>IF(ISNUMBER(Knoten!D8),Knoten!D8-$X$1,PlotData!$CB$4)</f>
        <v>100</v>
      </c>
      <c r="I80" s="738">
        <f t="shared" si="14"/>
        <v>100</v>
      </c>
      <c r="J80" s="736">
        <f>IF(ISNUMBER(Knoten!D8),Knoten!D8-$X$1,PlotData!$CB$4)</f>
        <v>100</v>
      </c>
      <c r="K80" s="738">
        <f t="shared" si="25"/>
        <v>100</v>
      </c>
      <c r="N80" s="750">
        <v>6</v>
      </c>
      <c r="O80" s="749">
        <f>IF(ISNUMBER(Knoten!C8),-INDEX(Knotenverdrehung_node,A11+1,1),0)</f>
        <v>0</v>
      </c>
      <c r="P80" s="738">
        <f t="shared" si="15"/>
        <v>0</v>
      </c>
      <c r="Q80" s="778">
        <f>IF(ISNUMBER(Knoten!C8),Z11,PlotData!$CB$3)</f>
        <v>-100</v>
      </c>
      <c r="R80" s="738">
        <f t="shared" si="16"/>
        <v>-100</v>
      </c>
      <c r="S80" s="736">
        <f t="shared" si="17"/>
        <v>-100</v>
      </c>
      <c r="T80" s="738">
        <f t="shared" si="18"/>
        <v>-100</v>
      </c>
      <c r="U80" s="778">
        <f>IF(ISNUMBER(Knoten!D8),AA11,PlotData!$CB$4)</f>
        <v>100</v>
      </c>
      <c r="V80" s="738">
        <f t="shared" si="19"/>
        <v>100</v>
      </c>
      <c r="W80" s="736">
        <f t="shared" si="20"/>
        <v>100</v>
      </c>
      <c r="X80" s="738">
        <f t="shared" si="21"/>
        <v>100</v>
      </c>
    </row>
    <row r="81" spans="1:24" x14ac:dyDescent="0.25">
      <c r="A81" s="750">
        <v>7</v>
      </c>
      <c r="B81" s="749">
        <f>IF(ISNUMBER(Knoten!C9),-INDEX(Knotenverdrehung_node,A12+1,1),0)</f>
        <v>0</v>
      </c>
      <c r="C81" s="738">
        <f>IF(AND(B81&lt;&gt;0,ISNUMBER(Knoten!C9)),1,0)</f>
        <v>0</v>
      </c>
      <c r="D81" s="778">
        <f>IF(ISNUMBER(Knoten!C9),Knoten!C9-$U$1,PlotData!$CB$3)</f>
        <v>0</v>
      </c>
      <c r="E81" s="738">
        <f t="shared" si="22"/>
        <v>0</v>
      </c>
      <c r="F81" s="736">
        <f t="shared" si="23"/>
        <v>0</v>
      </c>
      <c r="G81" s="738">
        <f t="shared" si="24"/>
        <v>0</v>
      </c>
      <c r="H81" s="778">
        <f>IF(ISNUMBER(Knoten!D9),Knoten!D9-$X$1,PlotData!$CB$4)</f>
        <v>0</v>
      </c>
      <c r="I81" s="738">
        <f t="shared" si="14"/>
        <v>0</v>
      </c>
      <c r="J81" s="736">
        <f>IF(ISNUMBER(Knoten!D9),Knoten!D9-$X$1,PlotData!$CB$4)</f>
        <v>0</v>
      </c>
      <c r="K81" s="738">
        <f t="shared" si="25"/>
        <v>0</v>
      </c>
      <c r="N81" s="750">
        <v>7</v>
      </c>
      <c r="O81" s="749">
        <f>IF(ISNUMBER(Knoten!C9),-INDEX(Knotenverdrehung_node,A12+1,1),0)</f>
        <v>0</v>
      </c>
      <c r="P81" s="738">
        <f t="shared" si="15"/>
        <v>0</v>
      </c>
      <c r="Q81" s="778">
        <f>IF(ISNUMBER(Knoten!C9),Z12,PlotData!$CB$3)</f>
        <v>0</v>
      </c>
      <c r="R81" s="738">
        <f t="shared" si="16"/>
        <v>0</v>
      </c>
      <c r="S81" s="736">
        <f t="shared" si="17"/>
        <v>0</v>
      </c>
      <c r="T81" s="738">
        <f t="shared" si="18"/>
        <v>0</v>
      </c>
      <c r="U81" s="778">
        <f>IF(ISNUMBER(Knoten!D9),AA12,PlotData!$CB$4)</f>
        <v>0</v>
      </c>
      <c r="V81" s="738">
        <f t="shared" si="19"/>
        <v>0</v>
      </c>
      <c r="W81" s="736">
        <f t="shared" si="20"/>
        <v>0</v>
      </c>
      <c r="X81" s="738">
        <f t="shared" si="21"/>
        <v>0</v>
      </c>
    </row>
    <row r="82" spans="1:24" x14ac:dyDescent="0.25">
      <c r="A82" s="750">
        <v>8</v>
      </c>
      <c r="B82" s="749">
        <f>IF(ISNUMBER(Knoten!C10),-INDEX(Knotenverdrehung_node,A13+1,1),0)</f>
        <v>0</v>
      </c>
      <c r="C82" s="738">
        <f>IF(AND(B82&lt;&gt;0,ISNUMBER(Knoten!C10)),1,0)</f>
        <v>0</v>
      </c>
      <c r="D82" s="778">
        <f>IF(ISNUMBER(Knoten!C10),Knoten!C10-$U$1,PlotData!$CB$3)</f>
        <v>0</v>
      </c>
      <c r="E82" s="738">
        <f t="shared" si="22"/>
        <v>0</v>
      </c>
      <c r="F82" s="736">
        <f t="shared" si="23"/>
        <v>0</v>
      </c>
      <c r="G82" s="738">
        <f t="shared" si="24"/>
        <v>0</v>
      </c>
      <c r="H82" s="778">
        <f>IF(ISNUMBER(Knoten!D10),Knoten!D10-$X$1,PlotData!$CB$4)</f>
        <v>0</v>
      </c>
      <c r="I82" s="738">
        <f t="shared" si="14"/>
        <v>0</v>
      </c>
      <c r="J82" s="736">
        <f>IF(ISNUMBER(Knoten!D10),Knoten!D10-$X$1,PlotData!$CB$4)</f>
        <v>0</v>
      </c>
      <c r="K82" s="738">
        <f t="shared" si="25"/>
        <v>0</v>
      </c>
      <c r="N82" s="750">
        <v>8</v>
      </c>
      <c r="O82" s="749">
        <f>IF(ISNUMBER(Knoten!C10),-INDEX(Knotenverdrehung_node,A13+1,1),0)</f>
        <v>0</v>
      </c>
      <c r="P82" s="738">
        <f t="shared" si="15"/>
        <v>0</v>
      </c>
      <c r="Q82" s="778">
        <f>IF(ISNUMBER(Knoten!C10),Z13,PlotData!$CB$3)</f>
        <v>0</v>
      </c>
      <c r="R82" s="738">
        <f t="shared" si="16"/>
        <v>0</v>
      </c>
      <c r="S82" s="736">
        <f t="shared" si="17"/>
        <v>0</v>
      </c>
      <c r="T82" s="738">
        <f t="shared" si="18"/>
        <v>0</v>
      </c>
      <c r="U82" s="778">
        <f>IF(ISNUMBER(Knoten!D10),AA13,PlotData!$CB$4)</f>
        <v>0</v>
      </c>
      <c r="V82" s="738">
        <f t="shared" si="19"/>
        <v>0</v>
      </c>
      <c r="W82" s="736">
        <f t="shared" si="20"/>
        <v>0</v>
      </c>
      <c r="X82" s="738">
        <f t="shared" si="21"/>
        <v>0</v>
      </c>
    </row>
    <row r="83" spans="1:24" x14ac:dyDescent="0.25">
      <c r="A83" s="750">
        <v>9</v>
      </c>
      <c r="B83" s="749">
        <f>IF(ISNUMBER(Knoten!C11),-INDEX(Knotenverdrehung_node,A14+1,1),0)</f>
        <v>0</v>
      </c>
      <c r="C83" s="738">
        <f>IF(AND(B83&lt;&gt;0,ISNUMBER(Knoten!C11)),1,0)</f>
        <v>0</v>
      </c>
      <c r="D83" s="778">
        <f>IF(ISNUMBER(Knoten!C11),Knoten!C11-$U$1,PlotData!$CB$3)</f>
        <v>0</v>
      </c>
      <c r="E83" s="738">
        <f t="shared" si="22"/>
        <v>0</v>
      </c>
      <c r="F83" s="736">
        <f t="shared" si="23"/>
        <v>0</v>
      </c>
      <c r="G83" s="738">
        <f t="shared" si="24"/>
        <v>0</v>
      </c>
      <c r="H83" s="778">
        <f>IF(ISNUMBER(Knoten!D11),Knoten!D11-$X$1,PlotData!$CB$4)</f>
        <v>0</v>
      </c>
      <c r="I83" s="738">
        <f t="shared" si="14"/>
        <v>0</v>
      </c>
      <c r="J83" s="736">
        <f>IF(ISNUMBER(Knoten!D11),Knoten!D11-$X$1,PlotData!$CB$4)</f>
        <v>0</v>
      </c>
      <c r="K83" s="738">
        <f t="shared" si="25"/>
        <v>0</v>
      </c>
      <c r="N83" s="750">
        <v>9</v>
      </c>
      <c r="O83" s="749">
        <f>IF(ISNUMBER(Knoten!C11),-INDEX(Knotenverdrehung_node,A14+1,1),0)</f>
        <v>0</v>
      </c>
      <c r="P83" s="738">
        <f t="shared" si="15"/>
        <v>0</v>
      </c>
      <c r="Q83" s="778">
        <f>IF(ISNUMBER(Knoten!C11),Z14,PlotData!$CB$3)</f>
        <v>0</v>
      </c>
      <c r="R83" s="738">
        <f t="shared" si="16"/>
        <v>0</v>
      </c>
      <c r="S83" s="736">
        <f t="shared" si="17"/>
        <v>0</v>
      </c>
      <c r="T83" s="738">
        <f t="shared" si="18"/>
        <v>0</v>
      </c>
      <c r="U83" s="778">
        <f>IF(ISNUMBER(Knoten!D11),AA14,PlotData!$CB$4)</f>
        <v>0</v>
      </c>
      <c r="V83" s="738">
        <f t="shared" si="19"/>
        <v>0</v>
      </c>
      <c r="W83" s="736">
        <f t="shared" si="20"/>
        <v>0</v>
      </c>
      <c r="X83" s="738">
        <f t="shared" si="21"/>
        <v>0</v>
      </c>
    </row>
    <row r="84" spans="1:24" x14ac:dyDescent="0.25">
      <c r="A84" s="750">
        <v>10</v>
      </c>
      <c r="B84" s="749">
        <f>IF(ISNUMBER(Knoten!C12),-INDEX(Knotenverdrehung_node,A15+1,1),0)</f>
        <v>0</v>
      </c>
      <c r="C84" s="738">
        <f>IF(AND(B84&lt;&gt;0,ISNUMBER(Knoten!C12)),1,0)</f>
        <v>0</v>
      </c>
      <c r="D84" s="778">
        <f>IF(ISNUMBER(Knoten!C12),Knoten!C12-$U$1,PlotData!$CB$3)</f>
        <v>0</v>
      </c>
      <c r="E84" s="738">
        <f t="shared" si="22"/>
        <v>0</v>
      </c>
      <c r="F84" s="736">
        <f t="shared" si="23"/>
        <v>0</v>
      </c>
      <c r="G84" s="738">
        <f t="shared" si="24"/>
        <v>0</v>
      </c>
      <c r="H84" s="778">
        <f>IF(ISNUMBER(Knoten!D12),Knoten!D12-$X$1,PlotData!$CB$4)</f>
        <v>0</v>
      </c>
      <c r="I84" s="738">
        <f t="shared" si="14"/>
        <v>0</v>
      </c>
      <c r="J84" s="736">
        <f>IF(ISNUMBER(Knoten!D12),Knoten!D12-$X$1,PlotData!$CB$4)</f>
        <v>0</v>
      </c>
      <c r="K84" s="738">
        <f t="shared" si="25"/>
        <v>0</v>
      </c>
      <c r="N84" s="750">
        <v>10</v>
      </c>
      <c r="O84" s="749">
        <f>IF(ISNUMBER(Knoten!C12),-INDEX(Knotenverdrehung_node,A15+1,1),0)</f>
        <v>0</v>
      </c>
      <c r="P84" s="738">
        <f t="shared" si="15"/>
        <v>0</v>
      </c>
      <c r="Q84" s="778">
        <f>IF(ISNUMBER(Knoten!C12),Z15,PlotData!$CB$3)</f>
        <v>0</v>
      </c>
      <c r="R84" s="738">
        <f t="shared" si="16"/>
        <v>0</v>
      </c>
      <c r="S84" s="736">
        <f t="shared" si="17"/>
        <v>0</v>
      </c>
      <c r="T84" s="738">
        <f t="shared" si="18"/>
        <v>0</v>
      </c>
      <c r="U84" s="778">
        <f>IF(ISNUMBER(Knoten!D12),AA15,PlotData!$CB$4)</f>
        <v>0</v>
      </c>
      <c r="V84" s="738">
        <f t="shared" si="19"/>
        <v>0</v>
      </c>
      <c r="W84" s="736">
        <f t="shared" si="20"/>
        <v>0</v>
      </c>
      <c r="X84" s="738">
        <f t="shared" si="21"/>
        <v>0</v>
      </c>
    </row>
    <row r="85" spans="1:24" x14ac:dyDescent="0.25">
      <c r="A85" s="750">
        <v>11</v>
      </c>
      <c r="B85" s="749">
        <f>IF(ISNUMBER(Knoten!C13),-INDEX(Knotenverdrehung_node,A16+1,1),0)</f>
        <v>0</v>
      </c>
      <c r="C85" s="738">
        <f>IF(AND(B85&lt;&gt;0,ISNUMBER(Knoten!C13)),1,0)</f>
        <v>0</v>
      </c>
      <c r="D85" s="778">
        <f>IF(ISNUMBER(Knoten!C13),Knoten!C13-$U$1,PlotData!$CB$3)</f>
        <v>0</v>
      </c>
      <c r="E85" s="738">
        <f t="shared" si="22"/>
        <v>0</v>
      </c>
      <c r="F85" s="736">
        <f t="shared" si="23"/>
        <v>0</v>
      </c>
      <c r="G85" s="738">
        <f t="shared" si="24"/>
        <v>0</v>
      </c>
      <c r="H85" s="778">
        <f>IF(ISNUMBER(Knoten!D13),Knoten!D13-$X$1,PlotData!$CB$4)</f>
        <v>0</v>
      </c>
      <c r="I85" s="738">
        <f t="shared" si="14"/>
        <v>0</v>
      </c>
      <c r="J85" s="736">
        <f>IF(ISNUMBER(Knoten!D13),Knoten!D13-$X$1,PlotData!$CB$4)</f>
        <v>0</v>
      </c>
      <c r="K85" s="738">
        <f t="shared" si="25"/>
        <v>0</v>
      </c>
      <c r="N85" s="750">
        <v>11</v>
      </c>
      <c r="O85" s="749">
        <f>IF(ISNUMBER(Knoten!C13),-INDEX(Knotenverdrehung_node,A16+1,1),0)</f>
        <v>0</v>
      </c>
      <c r="P85" s="738">
        <f t="shared" si="15"/>
        <v>0</v>
      </c>
      <c r="Q85" s="778">
        <f>IF(ISNUMBER(Knoten!C13),Z16,PlotData!$CB$3)</f>
        <v>0</v>
      </c>
      <c r="R85" s="738">
        <f t="shared" si="16"/>
        <v>0</v>
      </c>
      <c r="S85" s="736">
        <f t="shared" si="17"/>
        <v>0</v>
      </c>
      <c r="T85" s="738">
        <f t="shared" si="18"/>
        <v>0</v>
      </c>
      <c r="U85" s="778">
        <f>IF(ISNUMBER(Knoten!D13),AA16,PlotData!$CB$4)</f>
        <v>0</v>
      </c>
      <c r="V85" s="738">
        <f t="shared" si="19"/>
        <v>0</v>
      </c>
      <c r="W85" s="736">
        <f t="shared" si="20"/>
        <v>0</v>
      </c>
      <c r="X85" s="738">
        <f t="shared" si="21"/>
        <v>0</v>
      </c>
    </row>
    <row r="86" spans="1:24" x14ac:dyDescent="0.25">
      <c r="A86" s="750">
        <v>12</v>
      </c>
      <c r="B86" s="749">
        <f>IF(ISNUMBER(Knoten!C14),-INDEX(Knotenverdrehung_node,A17+1,1),0)</f>
        <v>0</v>
      </c>
      <c r="C86" s="738">
        <f>IF(AND(B86&lt;&gt;0,ISNUMBER(Knoten!C14)),1,0)</f>
        <v>0</v>
      </c>
      <c r="D86" s="778">
        <f>IF(ISNUMBER(Knoten!C14),Knoten!C14-$U$1,PlotData!$CB$3)</f>
        <v>0</v>
      </c>
      <c r="E86" s="738">
        <f t="shared" si="22"/>
        <v>0</v>
      </c>
      <c r="F86" s="736">
        <f t="shared" si="23"/>
        <v>0</v>
      </c>
      <c r="G86" s="738">
        <f t="shared" si="24"/>
        <v>0</v>
      </c>
      <c r="H86" s="778">
        <f>IF(ISNUMBER(Knoten!D14),Knoten!D14-$X$1,PlotData!$CB$4)</f>
        <v>0</v>
      </c>
      <c r="I86" s="738">
        <f t="shared" si="14"/>
        <v>0</v>
      </c>
      <c r="J86" s="736">
        <f>IF(ISNUMBER(Knoten!D14),Knoten!D14-$X$1,PlotData!$CB$4)</f>
        <v>0</v>
      </c>
      <c r="K86" s="738">
        <f t="shared" si="25"/>
        <v>0</v>
      </c>
      <c r="N86" s="750">
        <v>12</v>
      </c>
      <c r="O86" s="749">
        <f>IF(ISNUMBER(Knoten!C14),-INDEX(Knotenverdrehung_node,A17+1,1),0)</f>
        <v>0</v>
      </c>
      <c r="P86" s="738">
        <f t="shared" si="15"/>
        <v>0</v>
      </c>
      <c r="Q86" s="778">
        <f>IF(ISNUMBER(Knoten!C14),Z17,PlotData!$CB$3)</f>
        <v>0</v>
      </c>
      <c r="R86" s="738">
        <f t="shared" si="16"/>
        <v>0</v>
      </c>
      <c r="S86" s="736">
        <f t="shared" si="17"/>
        <v>0</v>
      </c>
      <c r="T86" s="738">
        <f t="shared" si="18"/>
        <v>0</v>
      </c>
      <c r="U86" s="778">
        <f>IF(ISNUMBER(Knoten!D14),AA17,PlotData!$CB$4)</f>
        <v>0</v>
      </c>
      <c r="V86" s="738">
        <f t="shared" si="19"/>
        <v>0</v>
      </c>
      <c r="W86" s="736">
        <f t="shared" si="20"/>
        <v>0</v>
      </c>
      <c r="X86" s="738">
        <f t="shared" si="21"/>
        <v>0</v>
      </c>
    </row>
    <row r="87" spans="1:24" x14ac:dyDescent="0.25">
      <c r="A87" s="750">
        <v>13</v>
      </c>
      <c r="B87" s="749">
        <f>IF(ISNUMBER(Knoten!C15),-INDEX(Knotenverdrehung_node,A18+1,1),0)</f>
        <v>0</v>
      </c>
      <c r="C87" s="738">
        <f>IF(AND(B87&lt;&gt;0,ISNUMBER(Knoten!C15)),1,0)</f>
        <v>0</v>
      </c>
      <c r="D87" s="778">
        <f>IF(ISNUMBER(Knoten!C15),Knoten!C15-$U$1,PlotData!$CB$3)</f>
        <v>0</v>
      </c>
      <c r="E87" s="738">
        <f t="shared" si="22"/>
        <v>0</v>
      </c>
      <c r="F87" s="736">
        <f t="shared" si="23"/>
        <v>0</v>
      </c>
      <c r="G87" s="738">
        <f t="shared" si="24"/>
        <v>0</v>
      </c>
      <c r="H87" s="778">
        <f>IF(ISNUMBER(Knoten!D15),Knoten!D15-$X$1,PlotData!$CB$4)</f>
        <v>0</v>
      </c>
      <c r="I87" s="738">
        <f t="shared" si="14"/>
        <v>0</v>
      </c>
      <c r="J87" s="736">
        <f>IF(ISNUMBER(Knoten!D15),Knoten!D15-$X$1,PlotData!$CB$4)</f>
        <v>0</v>
      </c>
      <c r="K87" s="738">
        <f t="shared" si="25"/>
        <v>0</v>
      </c>
      <c r="N87" s="750">
        <v>13</v>
      </c>
      <c r="O87" s="749">
        <f>IF(ISNUMBER(Knoten!C15),-INDEX(Knotenverdrehung_node,A18+1,1),0)</f>
        <v>0</v>
      </c>
      <c r="P87" s="738">
        <f t="shared" si="15"/>
        <v>0</v>
      </c>
      <c r="Q87" s="778">
        <f>IF(ISNUMBER(Knoten!C15),Z18,PlotData!$CB$3)</f>
        <v>0</v>
      </c>
      <c r="R87" s="738">
        <f t="shared" si="16"/>
        <v>0</v>
      </c>
      <c r="S87" s="736">
        <f t="shared" si="17"/>
        <v>0</v>
      </c>
      <c r="T87" s="738">
        <f t="shared" si="18"/>
        <v>0</v>
      </c>
      <c r="U87" s="778">
        <f>IF(ISNUMBER(Knoten!D15),AA18,PlotData!$CB$4)</f>
        <v>0</v>
      </c>
      <c r="V87" s="738">
        <f t="shared" si="19"/>
        <v>0</v>
      </c>
      <c r="W87" s="736">
        <f t="shared" si="20"/>
        <v>0</v>
      </c>
      <c r="X87" s="738">
        <f t="shared" si="21"/>
        <v>0</v>
      </c>
    </row>
    <row r="88" spans="1:24" x14ac:dyDescent="0.25">
      <c r="A88" s="750">
        <v>14</v>
      </c>
      <c r="B88" s="749">
        <f>IF(ISNUMBER(Knoten!C16),-INDEX(Knotenverdrehung_node,A19+1,1),0)</f>
        <v>0</v>
      </c>
      <c r="C88" s="738">
        <f>IF(AND(B88&lt;&gt;0,ISNUMBER(Knoten!C16)),1,0)</f>
        <v>0</v>
      </c>
      <c r="D88" s="778">
        <f>IF(ISNUMBER(Knoten!C16),Knoten!C16-$U$1,PlotData!$CB$3)</f>
        <v>0</v>
      </c>
      <c r="E88" s="738">
        <f t="shared" si="22"/>
        <v>0</v>
      </c>
      <c r="F88" s="736">
        <f t="shared" si="23"/>
        <v>0</v>
      </c>
      <c r="G88" s="738">
        <f t="shared" si="24"/>
        <v>0</v>
      </c>
      <c r="H88" s="778">
        <f>IF(ISNUMBER(Knoten!D16),Knoten!D16-$X$1,PlotData!$CB$4)</f>
        <v>0</v>
      </c>
      <c r="I88" s="738">
        <f t="shared" si="14"/>
        <v>0</v>
      </c>
      <c r="J88" s="736">
        <f>IF(ISNUMBER(Knoten!D16),Knoten!D16-$X$1,PlotData!$CB$4)</f>
        <v>0</v>
      </c>
      <c r="K88" s="738">
        <f t="shared" si="25"/>
        <v>0</v>
      </c>
      <c r="N88" s="750">
        <v>14</v>
      </c>
      <c r="O88" s="749">
        <f>IF(ISNUMBER(Knoten!C16),-INDEX(Knotenverdrehung_node,A19+1,1),0)</f>
        <v>0</v>
      </c>
      <c r="P88" s="738">
        <f t="shared" si="15"/>
        <v>0</v>
      </c>
      <c r="Q88" s="778">
        <f>IF(ISNUMBER(Knoten!C16),Z19,PlotData!$CB$3)</f>
        <v>0</v>
      </c>
      <c r="R88" s="738">
        <f t="shared" si="16"/>
        <v>0</v>
      </c>
      <c r="S88" s="736">
        <f t="shared" si="17"/>
        <v>0</v>
      </c>
      <c r="T88" s="738">
        <f t="shared" si="18"/>
        <v>0</v>
      </c>
      <c r="U88" s="778">
        <f>IF(ISNUMBER(Knoten!D16),AA19,PlotData!$CB$4)</f>
        <v>0</v>
      </c>
      <c r="V88" s="738">
        <f t="shared" si="19"/>
        <v>0</v>
      </c>
      <c r="W88" s="736">
        <f t="shared" si="20"/>
        <v>0</v>
      </c>
      <c r="X88" s="738">
        <f t="shared" si="21"/>
        <v>0</v>
      </c>
    </row>
    <row r="89" spans="1:24" x14ac:dyDescent="0.25">
      <c r="A89" s="750">
        <v>15</v>
      </c>
      <c r="B89" s="749">
        <f>IF(ISNUMBER(Knoten!C17),-INDEX(Knotenverdrehung_node,A20+1,1),0)</f>
        <v>0</v>
      </c>
      <c r="C89" s="738">
        <f>IF(AND(B89&lt;&gt;0,ISNUMBER(Knoten!C17)),1,0)</f>
        <v>0</v>
      </c>
      <c r="D89" s="778">
        <f>IF(ISNUMBER(Knoten!C17),Knoten!C17-$U$1,PlotData!$CB$3)</f>
        <v>0</v>
      </c>
      <c r="E89" s="738">
        <f t="shared" si="22"/>
        <v>0</v>
      </c>
      <c r="F89" s="736">
        <f t="shared" si="23"/>
        <v>0</v>
      </c>
      <c r="G89" s="738">
        <f t="shared" si="24"/>
        <v>0</v>
      </c>
      <c r="H89" s="778">
        <f>IF(ISNUMBER(Knoten!D17),Knoten!D17-$X$1,PlotData!$CB$4)</f>
        <v>0</v>
      </c>
      <c r="I89" s="738">
        <f t="shared" si="14"/>
        <v>0</v>
      </c>
      <c r="J89" s="736">
        <f>IF(ISNUMBER(Knoten!D17),Knoten!D17-$X$1,PlotData!$CB$4)</f>
        <v>0</v>
      </c>
      <c r="K89" s="738">
        <f t="shared" si="25"/>
        <v>0</v>
      </c>
      <c r="N89" s="750">
        <v>15</v>
      </c>
      <c r="O89" s="749">
        <f>IF(ISNUMBER(Knoten!C17),-INDEX(Knotenverdrehung_node,A20+1,1),0)</f>
        <v>0</v>
      </c>
      <c r="P89" s="738">
        <f t="shared" si="15"/>
        <v>0</v>
      </c>
      <c r="Q89" s="778">
        <f>IF(ISNUMBER(Knoten!C17),Z20,PlotData!$CB$3)</f>
        <v>0</v>
      </c>
      <c r="R89" s="738">
        <f t="shared" si="16"/>
        <v>0</v>
      </c>
      <c r="S89" s="736">
        <f t="shared" si="17"/>
        <v>0</v>
      </c>
      <c r="T89" s="738">
        <f t="shared" si="18"/>
        <v>0</v>
      </c>
      <c r="U89" s="778">
        <f>IF(ISNUMBER(Knoten!D17),AA20,PlotData!$CB$4)</f>
        <v>0</v>
      </c>
      <c r="V89" s="738">
        <f t="shared" si="19"/>
        <v>0</v>
      </c>
      <c r="W89" s="736">
        <f t="shared" si="20"/>
        <v>0</v>
      </c>
      <c r="X89" s="738">
        <f t="shared" si="21"/>
        <v>0</v>
      </c>
    </row>
    <row r="90" spans="1:24" x14ac:dyDescent="0.25">
      <c r="A90" s="750">
        <v>16</v>
      </c>
      <c r="B90" s="749">
        <f>IF(ISNUMBER(Knoten!C18),-INDEX(Knotenverdrehung_node,A21+1,1),0)</f>
        <v>0</v>
      </c>
      <c r="C90" s="738">
        <f>IF(AND(B90&lt;&gt;0,ISNUMBER(Knoten!C18)),1,0)</f>
        <v>0</v>
      </c>
      <c r="D90" s="778">
        <f>IF(ISNUMBER(Knoten!C18),Knoten!C18-$U$1,PlotData!$CB$3)</f>
        <v>0</v>
      </c>
      <c r="E90" s="738">
        <f t="shared" si="22"/>
        <v>0</v>
      </c>
      <c r="F90" s="736">
        <f t="shared" si="23"/>
        <v>0</v>
      </c>
      <c r="G90" s="738">
        <f t="shared" si="24"/>
        <v>0</v>
      </c>
      <c r="H90" s="778">
        <f>IF(ISNUMBER(Knoten!D18),Knoten!D18-$X$1,PlotData!$CB$4)</f>
        <v>0</v>
      </c>
      <c r="I90" s="738">
        <f t="shared" si="14"/>
        <v>0</v>
      </c>
      <c r="J90" s="736">
        <f>IF(ISNUMBER(Knoten!D18),Knoten!D18-$X$1,PlotData!$CB$4)</f>
        <v>0</v>
      </c>
      <c r="K90" s="738">
        <f t="shared" si="25"/>
        <v>0</v>
      </c>
      <c r="N90" s="750">
        <v>16</v>
      </c>
      <c r="O90" s="749">
        <f>IF(ISNUMBER(Knoten!C18),-INDEX(Knotenverdrehung_node,A21+1,1),0)</f>
        <v>0</v>
      </c>
      <c r="P90" s="738">
        <f t="shared" si="15"/>
        <v>0</v>
      </c>
      <c r="Q90" s="778">
        <f>IF(ISNUMBER(Knoten!C18),Z21,PlotData!$CB$3)</f>
        <v>0</v>
      </c>
      <c r="R90" s="738">
        <f t="shared" si="16"/>
        <v>0</v>
      </c>
      <c r="S90" s="736">
        <f t="shared" si="17"/>
        <v>0</v>
      </c>
      <c r="T90" s="738">
        <f t="shared" si="18"/>
        <v>0</v>
      </c>
      <c r="U90" s="778">
        <f>IF(ISNUMBER(Knoten!D18),AA21,PlotData!$CB$4)</f>
        <v>0</v>
      </c>
      <c r="V90" s="738">
        <f t="shared" si="19"/>
        <v>0</v>
      </c>
      <c r="W90" s="736">
        <f t="shared" si="20"/>
        <v>0</v>
      </c>
      <c r="X90" s="738">
        <f t="shared" si="21"/>
        <v>0</v>
      </c>
    </row>
    <row r="91" spans="1:24" x14ac:dyDescent="0.25">
      <c r="A91" s="750">
        <v>17</v>
      </c>
      <c r="B91" s="749">
        <f>IF(ISNUMBER(Knoten!C19),-INDEX(Knotenverdrehung_node,A22+1,1),0)</f>
        <v>0</v>
      </c>
      <c r="C91" s="738">
        <f>IF(AND(B91&lt;&gt;0,ISNUMBER(Knoten!C19)),1,0)</f>
        <v>0</v>
      </c>
      <c r="D91" s="778">
        <f>IF(ISNUMBER(Knoten!C19),Knoten!C19-$U$1,PlotData!$CB$3)</f>
        <v>0</v>
      </c>
      <c r="E91" s="738">
        <f t="shared" si="22"/>
        <v>0</v>
      </c>
      <c r="F91" s="736">
        <f t="shared" si="23"/>
        <v>0</v>
      </c>
      <c r="G91" s="738">
        <f t="shared" si="24"/>
        <v>0</v>
      </c>
      <c r="H91" s="778">
        <f>IF(ISNUMBER(Knoten!D19),Knoten!D19-$X$1,PlotData!$CB$4)</f>
        <v>0</v>
      </c>
      <c r="I91" s="738">
        <f t="shared" si="14"/>
        <v>0</v>
      </c>
      <c r="J91" s="736">
        <f>IF(ISNUMBER(Knoten!D19),Knoten!D19-$X$1,PlotData!$CB$4)</f>
        <v>0</v>
      </c>
      <c r="K91" s="738">
        <f t="shared" si="25"/>
        <v>0</v>
      </c>
      <c r="N91" s="750">
        <v>17</v>
      </c>
      <c r="O91" s="749">
        <f>IF(ISNUMBER(Knoten!C19),-INDEX(Knotenverdrehung_node,A22+1,1),0)</f>
        <v>0</v>
      </c>
      <c r="P91" s="738">
        <f t="shared" si="15"/>
        <v>0</v>
      </c>
      <c r="Q91" s="778">
        <f>IF(ISNUMBER(Knoten!C19),Z22,PlotData!$CB$3)</f>
        <v>0</v>
      </c>
      <c r="R91" s="738">
        <f t="shared" si="16"/>
        <v>0</v>
      </c>
      <c r="S91" s="736">
        <f t="shared" si="17"/>
        <v>0</v>
      </c>
      <c r="T91" s="738">
        <f t="shared" si="18"/>
        <v>0</v>
      </c>
      <c r="U91" s="778">
        <f>IF(ISNUMBER(Knoten!D19),AA22,PlotData!$CB$4)</f>
        <v>0</v>
      </c>
      <c r="V91" s="738">
        <f t="shared" si="19"/>
        <v>0</v>
      </c>
      <c r="W91" s="736">
        <f t="shared" si="20"/>
        <v>0</v>
      </c>
      <c r="X91" s="738">
        <f t="shared" si="21"/>
        <v>0</v>
      </c>
    </row>
    <row r="92" spans="1:24" x14ac:dyDescent="0.25">
      <c r="A92" s="750">
        <v>18</v>
      </c>
      <c r="B92" s="749">
        <f>IF(ISNUMBER(Knoten!C20),-INDEX(Knotenverdrehung_node,A23+1,1),0)</f>
        <v>0</v>
      </c>
      <c r="C92" s="738">
        <f>IF(AND(B92&lt;&gt;0,ISNUMBER(Knoten!C20)),1,0)</f>
        <v>0</v>
      </c>
      <c r="D92" s="778">
        <f>IF(ISNUMBER(Knoten!C20),Knoten!C20-$U$1,PlotData!$CB$3)</f>
        <v>0</v>
      </c>
      <c r="E92" s="738">
        <f t="shared" si="22"/>
        <v>0</v>
      </c>
      <c r="F92" s="736">
        <f t="shared" si="23"/>
        <v>0</v>
      </c>
      <c r="G92" s="738">
        <f t="shared" si="24"/>
        <v>0</v>
      </c>
      <c r="H92" s="778">
        <f>IF(ISNUMBER(Knoten!D20),Knoten!D20-$X$1,PlotData!$CB$4)</f>
        <v>0</v>
      </c>
      <c r="I92" s="738">
        <f t="shared" si="14"/>
        <v>0</v>
      </c>
      <c r="J92" s="736">
        <f>IF(ISNUMBER(Knoten!D20),Knoten!D20-$X$1,PlotData!$CB$4)</f>
        <v>0</v>
      </c>
      <c r="K92" s="738">
        <f t="shared" si="25"/>
        <v>0</v>
      </c>
      <c r="N92" s="750">
        <v>18</v>
      </c>
      <c r="O92" s="749">
        <f>IF(ISNUMBER(Knoten!C20),-INDEX(Knotenverdrehung_node,A23+1,1),0)</f>
        <v>0</v>
      </c>
      <c r="P92" s="738">
        <f t="shared" si="15"/>
        <v>0</v>
      </c>
      <c r="Q92" s="778">
        <f>IF(ISNUMBER(Knoten!C20),Z23,PlotData!$CB$3)</f>
        <v>0</v>
      </c>
      <c r="R92" s="738">
        <f t="shared" si="16"/>
        <v>0</v>
      </c>
      <c r="S92" s="736">
        <f t="shared" si="17"/>
        <v>0</v>
      </c>
      <c r="T92" s="738">
        <f t="shared" si="18"/>
        <v>0</v>
      </c>
      <c r="U92" s="778">
        <f>IF(ISNUMBER(Knoten!D20),AA23,PlotData!$CB$4)</f>
        <v>0</v>
      </c>
      <c r="V92" s="738">
        <f t="shared" si="19"/>
        <v>0</v>
      </c>
      <c r="W92" s="736">
        <f t="shared" si="20"/>
        <v>0</v>
      </c>
      <c r="X92" s="738">
        <f t="shared" si="21"/>
        <v>0</v>
      </c>
    </row>
    <row r="93" spans="1:24" x14ac:dyDescent="0.25">
      <c r="A93" s="750">
        <v>19</v>
      </c>
      <c r="B93" s="749">
        <f>IF(ISNUMBER(Knoten!C21),-INDEX(Knotenverdrehung_node,A24+1,1),0)</f>
        <v>0</v>
      </c>
      <c r="C93" s="738">
        <f>IF(AND(B93&lt;&gt;0,ISNUMBER(Knoten!C21)),1,0)</f>
        <v>0</v>
      </c>
      <c r="D93" s="778">
        <f>IF(ISNUMBER(Knoten!C21),Knoten!C21-$U$1,PlotData!$CB$3)</f>
        <v>0</v>
      </c>
      <c r="E93" s="738">
        <f t="shared" si="22"/>
        <v>0</v>
      </c>
      <c r="F93" s="736">
        <f t="shared" si="23"/>
        <v>0</v>
      </c>
      <c r="G93" s="738">
        <f t="shared" si="24"/>
        <v>0</v>
      </c>
      <c r="H93" s="778">
        <f>IF(ISNUMBER(Knoten!D21),Knoten!D21-$X$1,PlotData!$CB$4)</f>
        <v>0</v>
      </c>
      <c r="I93" s="738">
        <f>H93+SIN(B93*PI()/180)*$I$95*C93</f>
        <v>0</v>
      </c>
      <c r="J93" s="736">
        <f>IF(ISNUMBER(Knoten!D21),Knoten!D21-$X$1,PlotData!$CB$4)</f>
        <v>0</v>
      </c>
      <c r="K93" s="738">
        <f t="shared" si="25"/>
        <v>0</v>
      </c>
      <c r="N93" s="750">
        <v>19</v>
      </c>
      <c r="O93" s="749">
        <f>IF(ISNUMBER(Knoten!C21),-INDEX(Knotenverdrehung_node,A24+1,1),0)</f>
        <v>0</v>
      </c>
      <c r="P93" s="738">
        <f>IF(O93&lt;&gt;0,1,0)</f>
        <v>0</v>
      </c>
      <c r="Q93" s="778">
        <f>IF(ISNUMBER(Knoten!C21),Z24,PlotData!$CB$3)</f>
        <v>0</v>
      </c>
      <c r="R93" s="738">
        <f>Q93+COS(O93*PI()/180)*R$95*P93</f>
        <v>0</v>
      </c>
      <c r="S93" s="736">
        <f>Q93</f>
        <v>0</v>
      </c>
      <c r="T93" s="738">
        <f>S93-SIN(O93*PI()/180)*$G$95*P93</f>
        <v>0</v>
      </c>
      <c r="U93" s="778">
        <f>IF(ISNUMBER(Knoten!D21),AA24,PlotData!$CB$4)</f>
        <v>0</v>
      </c>
      <c r="V93" s="738">
        <f>U93+SIN(O93*PI()/180)*$V$95*P93</f>
        <v>0</v>
      </c>
      <c r="W93" s="736">
        <f>U93</f>
        <v>0</v>
      </c>
      <c r="X93" s="738">
        <f>W93+COS(O93*PI()/180)*X$95*P93</f>
        <v>0</v>
      </c>
    </row>
    <row r="94" spans="1:24" ht="13.8" thickBot="1" x14ac:dyDescent="0.3">
      <c r="A94" s="761">
        <v>20</v>
      </c>
      <c r="B94" s="753">
        <f>IF(ISNUMBER(Knoten!C22),-INDEX(Knotenverdrehung_node,A25+1,1),0)</f>
        <v>0</v>
      </c>
      <c r="C94" s="756">
        <f>IF(AND(B94&lt;&gt;0,ISNUMBER(Knoten!C22)),1,0)</f>
        <v>0</v>
      </c>
      <c r="D94" s="779">
        <f>IF(ISNUMBER(Knoten!C22),Knoten!C22-$U$1,PlotData!$CB$3)</f>
        <v>0</v>
      </c>
      <c r="E94" s="756">
        <f t="shared" si="22"/>
        <v>0</v>
      </c>
      <c r="F94" s="754">
        <f t="shared" si="23"/>
        <v>0</v>
      </c>
      <c r="G94" s="756">
        <f t="shared" si="24"/>
        <v>0</v>
      </c>
      <c r="H94" s="779">
        <f>IF(ISNUMBER(Knoten!D22),Knoten!D22-$X$1,PlotData!$CB$4)</f>
        <v>0</v>
      </c>
      <c r="I94" s="756">
        <f>H94+SIN(B94*PI()/180)*$I$95*C94</f>
        <v>0</v>
      </c>
      <c r="J94" s="754">
        <f>IF(ISNUMBER(Knoten!D22),Knoten!D22-$X$1,PlotData!$CB$4)</f>
        <v>0</v>
      </c>
      <c r="K94" s="756">
        <f t="shared" si="25"/>
        <v>0</v>
      </c>
      <c r="N94" s="761">
        <v>20</v>
      </c>
      <c r="O94" s="753">
        <f>IF(ISNUMBER(Knoten!C22),-INDEX(Knotenverdrehung_node,A25+1,1),0)</f>
        <v>0</v>
      </c>
      <c r="P94" s="756">
        <f>IF(O94&lt;&gt;0,1,0)</f>
        <v>0</v>
      </c>
      <c r="Q94" s="779">
        <f>IF(ISNUMBER(Knoten!C22),Z25,PlotData!$CB$3)</f>
        <v>0</v>
      </c>
      <c r="R94" s="756">
        <f>Q94+COS(O94*PI()/180)*R$95*P94</f>
        <v>0</v>
      </c>
      <c r="S94" s="754">
        <f>Q94</f>
        <v>0</v>
      </c>
      <c r="T94" s="756">
        <f>S94-SIN(O94*PI()/180)*$G$95*P94</f>
        <v>0</v>
      </c>
      <c r="U94" s="779">
        <f>IF(ISNUMBER(Knoten!D22),AA25,PlotData!$CB$4)</f>
        <v>0</v>
      </c>
      <c r="V94" s="756">
        <f>U94+SIN(O94*PI()/180)*$V$95*P94</f>
        <v>0</v>
      </c>
      <c r="W94" s="754">
        <f>U94</f>
        <v>0</v>
      </c>
      <c r="X94" s="756">
        <f>W94+COS(O94*PI()/180)*X$95*P94</f>
        <v>0</v>
      </c>
    </row>
    <row r="95" spans="1:24" x14ac:dyDescent="0.25">
      <c r="A95" s="41" t="s">
        <v>238</v>
      </c>
      <c r="E95" s="41">
        <f>2*0.866*$E$1</f>
        <v>29.393014680362409</v>
      </c>
      <c r="G95" s="41">
        <f>E95</f>
        <v>29.393014680362409</v>
      </c>
      <c r="I95" s="41">
        <f>E95</f>
        <v>29.393014680362409</v>
      </c>
      <c r="K95" s="41">
        <f>I95</f>
        <v>29.393014680362409</v>
      </c>
      <c r="N95" s="41" t="s">
        <v>238</v>
      </c>
      <c r="R95" s="41">
        <f>2*0.866*$E$1</f>
        <v>29.393014680362409</v>
      </c>
      <c r="T95" s="41">
        <f>R95</f>
        <v>29.393014680362409</v>
      </c>
      <c r="V95" s="41">
        <f>R95</f>
        <v>29.393014680362409</v>
      </c>
      <c r="X95" s="41">
        <f>V95</f>
        <v>29.393014680362409</v>
      </c>
    </row>
    <row r="97" spans="1:57" ht="26.25" customHeight="1" thickBot="1" x14ac:dyDescent="0.3">
      <c r="B97" s="780" t="s">
        <v>225</v>
      </c>
      <c r="AE97" s="780" t="s">
        <v>226</v>
      </c>
    </row>
    <row r="98" spans="1:57" ht="23.25" customHeight="1" thickBot="1" x14ac:dyDescent="0.3">
      <c r="A98" s="1331" t="s">
        <v>239</v>
      </c>
      <c r="B98" s="1334"/>
      <c r="C98" s="1331" t="s">
        <v>240</v>
      </c>
      <c r="D98" s="1332"/>
      <c r="E98" s="1332"/>
      <c r="F98" s="1332"/>
      <c r="G98" s="1332"/>
      <c r="H98" s="1332"/>
      <c r="I98" s="1333"/>
      <c r="J98" s="1331" t="s">
        <v>241</v>
      </c>
      <c r="K98" s="1332"/>
      <c r="L98" s="1332"/>
      <c r="M98" s="1332"/>
      <c r="N98" s="1332"/>
      <c r="O98" s="1333"/>
      <c r="P98" s="1331" t="s">
        <v>242</v>
      </c>
      <c r="Q98" s="1332"/>
      <c r="R98" s="1332"/>
      <c r="S98" s="1332"/>
      <c r="T98" s="1332"/>
      <c r="U98" s="1332"/>
      <c r="V98" s="1333"/>
      <c r="W98" s="1331" t="s">
        <v>243</v>
      </c>
      <c r="X98" s="1332"/>
      <c r="Y98" s="1332"/>
      <c r="Z98" s="1332"/>
      <c r="AA98" s="1332"/>
      <c r="AB98" s="1333"/>
      <c r="AD98" s="1331" t="s">
        <v>239</v>
      </c>
      <c r="AE98" s="1333"/>
      <c r="AF98" s="1331" t="s">
        <v>240</v>
      </c>
      <c r="AG98" s="1332"/>
      <c r="AH98" s="1332"/>
      <c r="AI98" s="1332"/>
      <c r="AJ98" s="1332"/>
      <c r="AK98" s="1332"/>
      <c r="AL98" s="1333"/>
      <c r="AM98" s="1331" t="s">
        <v>241</v>
      </c>
      <c r="AN98" s="1332"/>
      <c r="AO98" s="1332"/>
      <c r="AP98" s="1332"/>
      <c r="AQ98" s="1332"/>
      <c r="AR98" s="1333"/>
      <c r="AS98" s="1331" t="s">
        <v>242</v>
      </c>
      <c r="AT98" s="1332"/>
      <c r="AU98" s="1332"/>
      <c r="AV98" s="1332"/>
      <c r="AW98" s="1332"/>
      <c r="AX98" s="1332"/>
      <c r="AY98" s="1333"/>
      <c r="AZ98" s="1331" t="s">
        <v>243</v>
      </c>
      <c r="BA98" s="1332"/>
      <c r="BB98" s="1332"/>
      <c r="BC98" s="1332"/>
      <c r="BD98" s="1332"/>
      <c r="BE98" s="1333"/>
    </row>
    <row r="99" spans="1:57" ht="13.5" customHeight="1" x14ac:dyDescent="0.25">
      <c r="A99" s="750">
        <v>1</v>
      </c>
      <c r="B99" s="781">
        <f>IF(Knoten!R3&gt;0,1,0)</f>
        <v>0</v>
      </c>
      <c r="C99" s="782">
        <f>IF(ISNUMBER(Knoten!C3),(Knoten!C3-$U$1)*B99,0)</f>
        <v>0</v>
      </c>
      <c r="D99" s="783">
        <f>(C99-$C$119/2*COS(Knoten!W3*PI()/180)+$C$119/4*SIN(Knoten!W3*PI()/180))*B99</f>
        <v>0</v>
      </c>
      <c r="E99" s="783">
        <f>(D99+$C$119*COS(Knoten!W3*PI()/180)+$C$119/2*SIN(Knoten!W3*PI()/180))*B99</f>
        <v>0</v>
      </c>
      <c r="F99" s="783">
        <f>(E99-$C$119*COS(Knoten!W3*PI()/180)+$C$119/2*SIN(Knoten!W3*PI()/180))*B99</f>
        <v>0</v>
      </c>
      <c r="G99" s="783">
        <f>(F99+$C$119*COS(Knoten!W3*PI()/180)+$C$119/2*SIN(Knoten!W3*PI()/180))*B99</f>
        <v>0</v>
      </c>
      <c r="H99" s="783">
        <f>(G99-$C$119/2*COS(Knoten!W3*PI()/180)+$C$119/4*SIN(Knoten!W3*PI()/180))*B99</f>
        <v>0</v>
      </c>
      <c r="I99" s="784">
        <f>(H99+$C$119/4*SIN(Knoten!W3*PI()/180))*B99</f>
        <v>0</v>
      </c>
      <c r="J99" s="785">
        <f t="shared" ref="J99:J116" si="26">I99</f>
        <v>0</v>
      </c>
      <c r="K99" s="786">
        <f>(J99-$E$119/2*COS(Knoten!W3*PI()/180))*B99</f>
        <v>0</v>
      </c>
      <c r="L99" s="786">
        <f>(J99-$E$119/2*COS(Knoten!W3*PI()/180)+$E$119*SIN(Knoten!W3*PI()/180))*B99</f>
        <v>0</v>
      </c>
      <c r="M99" s="786">
        <f>(J99+$E$119/2*COS(Knoten!W3*PI()/180)+$E$119*SIN(Knoten!W3*PI()/180))*B99</f>
        <v>0</v>
      </c>
      <c r="N99" s="786">
        <f>(J99+$E$119/2*COS(Knoten!W3*PI()/180))*B99</f>
        <v>0</v>
      </c>
      <c r="O99" s="786">
        <f t="shared" ref="O99:O116" si="27">J99</f>
        <v>0</v>
      </c>
      <c r="P99" s="782">
        <f>IF(ISNUMBER(Knoten!D3),(Knoten!D3-$X$1)*B99,0)</f>
        <v>0</v>
      </c>
      <c r="Q99" s="783">
        <f>(P99+$C$119/4*COS(Knoten!W3*PI()/180)+$C$119/2*SIN(Knoten!W3*PI()/180))*B99</f>
        <v>0</v>
      </c>
      <c r="R99" s="783">
        <f>(Q99+$C$119/2*COS(Knoten!W3*PI()/180)-$C$119*SIN(Knoten!W3*PI()/180))*B99</f>
        <v>0</v>
      </c>
      <c r="S99" s="783">
        <f>(R99+$C$119/2*COS(Knoten!W3*PI()/180)+$C$119*SIN(Knoten!W3*PI()/180))*B99</f>
        <v>0</v>
      </c>
      <c r="T99" s="783">
        <f>(S99+$C$119/2*COS(Knoten!W3*PI()/180)-$C$119*SIN(Knoten!W3*PI()/180))*B99</f>
        <v>0</v>
      </c>
      <c r="U99" s="783">
        <f>(T99+$C$119/4*COS(Knoten!W3*PI()/180)+$C$119/2*SIN(Knoten!W3*PI()/180))*B99</f>
        <v>0</v>
      </c>
      <c r="V99" s="784">
        <f>(U99+$C$119/4*COS(Knoten!W3*PI()/180))*B99</f>
        <v>0</v>
      </c>
      <c r="W99" s="785">
        <f t="shared" ref="W99:W116" si="28">V99</f>
        <v>0</v>
      </c>
      <c r="X99" s="786">
        <f>(W99+$E$119/2*SIN(Knoten!W3*PI()/180))*B99</f>
        <v>0</v>
      </c>
      <c r="Y99" s="786">
        <f>(W99+$E$119/2*SIN(Knoten!W3*PI()/180)+$E$119*COS(Knoten!W3*PI()/180))*B99</f>
        <v>0</v>
      </c>
      <c r="Z99" s="786">
        <f>(W99-$E$119/2*SIN(Knoten!W3*PI()/180)+$E$119*COS(Knoten!W3*PI()/180))*B99</f>
        <v>0</v>
      </c>
      <c r="AA99" s="786">
        <f>(W99-$E$119/2*SIN(Knoten!W3*PI()/180))*B99</f>
        <v>0</v>
      </c>
      <c r="AB99" s="787">
        <f t="shared" ref="AB99:AB116" si="29">W99</f>
        <v>0</v>
      </c>
      <c r="AD99" s="750">
        <v>1</v>
      </c>
      <c r="AE99" s="781">
        <f>IF(Knoten!R3&gt;0,1,0)</f>
        <v>0</v>
      </c>
      <c r="AF99" s="786">
        <f>IF(ISNUMBER(Knoten!C3),Z6*B99,0)</f>
        <v>0</v>
      </c>
      <c r="AG99" s="786">
        <f>(AF99-$C$119/2*COS(Knoten!W3*PI()/180)+$C$119/4*SIN(Knoten!W3*PI()/180))*B99</f>
        <v>0</v>
      </c>
      <c r="AH99" s="786">
        <f>(AG99+$C$119*COS(Knoten!W3*PI()/180)+$C$119/2*SIN(Knoten!W3*PI()/180))*B99</f>
        <v>0</v>
      </c>
      <c r="AI99" s="786">
        <f>(AH99-$C$119*COS(Knoten!W3*PI()/180)+$C$119/2*SIN(Knoten!W3*PI()/180))*B99</f>
        <v>0</v>
      </c>
      <c r="AJ99" s="786">
        <f>(AI99+$C$119*COS(Knoten!W3*PI()/180)+$C$119/2*SIN(Knoten!W3*PI()/180))*B99</f>
        <v>0</v>
      </c>
      <c r="AK99" s="786">
        <f>(AJ99-$C$119/2*COS(Knoten!W3*PI()/180)+$C$119/4*SIN(Knoten!W3*PI()/180))*B99</f>
        <v>0</v>
      </c>
      <c r="AL99" s="787">
        <f>(AK99+$C$119/4*SIN(Knoten!W3*PI()/180))*B99</f>
        <v>0</v>
      </c>
      <c r="AM99" s="785">
        <f t="shared" ref="AM99:AM116" si="30">AL99</f>
        <v>0</v>
      </c>
      <c r="AN99" s="786">
        <f>(AM99-$E$119/2*COS(Knoten!W3*PI()/180))*B99</f>
        <v>0</v>
      </c>
      <c r="AO99" s="786">
        <f>(AM99-$E$119/2*COS(Knoten!W3*PI()/180)+$E$119*SIN(Knoten!W3*PI()/180))*B99</f>
        <v>0</v>
      </c>
      <c r="AP99" s="786">
        <f>(AM99+$E$119/2*COS(Knoten!W3*PI()/180)+$E$119*SIN(Knoten!W3*PI()/180))*B99</f>
        <v>0</v>
      </c>
      <c r="AQ99" s="786">
        <f>(AM99+$E$119/2*COS(Knoten!W3*PI()/180))*B99</f>
        <v>0</v>
      </c>
      <c r="AR99" s="786">
        <f t="shared" ref="AR99:AR116" si="31">AM99</f>
        <v>0</v>
      </c>
      <c r="AS99" s="785">
        <f>IF(ISNUMBER(Knoten!D3),AA6*B99,0)</f>
        <v>0</v>
      </c>
      <c r="AT99" s="786">
        <f>(AS99+$C$119/4*COS(Knoten!W3*PI()/180)+$C$119/2*SIN(Knoten!W3*PI()/180))*B99</f>
        <v>0</v>
      </c>
      <c r="AU99" s="786">
        <f>(AT99+$C$119/2*COS(Knoten!W3*PI()/180)-$C$119*SIN(Knoten!W3*PI()/180))*B99</f>
        <v>0</v>
      </c>
      <c r="AV99" s="786">
        <f>(AU99+$C$119/2*COS(Knoten!W3*PI()/180)+$C$119*SIN(Knoten!W3*PI()/180))*B99</f>
        <v>0</v>
      </c>
      <c r="AW99" s="786">
        <f>(AV99+$C$119/2*COS(Knoten!W3*PI()/180)-$C$119*SIN(Knoten!W3*PI()/180))*B99</f>
        <v>0</v>
      </c>
      <c r="AX99" s="786">
        <f>(AW99+$C$119/4*COS(Knoten!W3*PI()/180)+$C$119/2*SIN(Knoten!W3*PI()/180))*B99</f>
        <v>0</v>
      </c>
      <c r="AY99" s="787">
        <f>(AX99+$C$119/4*COS(Knoten!W3*PI()/180))*B99</f>
        <v>0</v>
      </c>
      <c r="AZ99" s="785">
        <f t="shared" ref="AZ99:AZ116" si="32">AY99</f>
        <v>0</v>
      </c>
      <c r="BA99" s="786">
        <f>(AZ99+$E$119/2*SIN(Knoten!W3*PI()/180))*B99</f>
        <v>0</v>
      </c>
      <c r="BB99" s="786">
        <f>(AZ99+$E$119/2*SIN(Knoten!W3*PI()/180)+$E$119*COS(Knoten!W3*PI()/180))*B99</f>
        <v>0</v>
      </c>
      <c r="BC99" s="786">
        <f>(AZ99-$E$119/2*SIN(Knoten!W3*PI()/180)+$E$119*COS(Knoten!W3*PI()/180))*B99</f>
        <v>0</v>
      </c>
      <c r="BD99" s="786">
        <f>(AZ99-$E$119/2*SIN(Knoten!W3*PI()/180))*B99</f>
        <v>0</v>
      </c>
      <c r="BE99" s="786">
        <f t="shared" ref="BE99:BE116" si="33">AZ99</f>
        <v>0</v>
      </c>
    </row>
    <row r="100" spans="1:57" ht="13.5" customHeight="1" x14ac:dyDescent="0.25">
      <c r="A100" s="750">
        <v>2</v>
      </c>
      <c r="B100" s="740">
        <f>IF(Knoten!R4&gt;0,1,0)</f>
        <v>0</v>
      </c>
      <c r="C100" s="785">
        <f>IF(ISNUMBER(Knoten!C4),(Knoten!C4-$U$1)*B100,0)</f>
        <v>0</v>
      </c>
      <c r="D100" s="786">
        <f>(C100-$C$119/2*COS(Knoten!W4*PI()/180)+$C$119/4*SIN(Knoten!W4*PI()/180))*B100</f>
        <v>0</v>
      </c>
      <c r="E100" s="786">
        <f>(D100+$C$119*COS(Knoten!W4*PI()/180)+$C$119/2*SIN(Knoten!W4*PI()/180))*B100</f>
        <v>0</v>
      </c>
      <c r="F100" s="786">
        <f>(E100-$C$119*COS(Knoten!W4*PI()/180)+$C$119/2*SIN(Knoten!W4*PI()/180))*B100</f>
        <v>0</v>
      </c>
      <c r="G100" s="786">
        <f>(F100+$C$119*COS(Knoten!W4*PI()/180)+$C$119/2*SIN(Knoten!W4*PI()/180))*B100</f>
        <v>0</v>
      </c>
      <c r="H100" s="786">
        <f>(G100-$C$119/2*COS(Knoten!W4*PI()/180)+$C$119/4*SIN(Knoten!W4*PI()/180))*B100</f>
        <v>0</v>
      </c>
      <c r="I100" s="787">
        <f>(H100+$C$119/4*SIN(Knoten!W4*PI()/180))*B100</f>
        <v>0</v>
      </c>
      <c r="J100" s="785">
        <f t="shared" si="26"/>
        <v>0</v>
      </c>
      <c r="K100" s="786">
        <f>(J100-$E$119/2*COS(Knoten!W4*PI()/180))*B100</f>
        <v>0</v>
      </c>
      <c r="L100" s="786">
        <f>(J100-$E$119/2*COS(Knoten!W4*PI()/180)+$E$119*SIN(Knoten!W4*PI()/180))*B100</f>
        <v>0</v>
      </c>
      <c r="M100" s="786">
        <f>(J100+$E$119/2*COS(Knoten!W4*PI()/180)+$E$119*SIN(Knoten!W4*PI()/180))*B100</f>
        <v>0</v>
      </c>
      <c r="N100" s="786">
        <f>(J100+$E$119/2*COS(Knoten!W4*PI()/180))*B100</f>
        <v>0</v>
      </c>
      <c r="O100" s="786">
        <f t="shared" si="27"/>
        <v>0</v>
      </c>
      <c r="P100" s="785">
        <f>IF(ISNUMBER(Knoten!D4),(Knoten!D4-$X$1)*B100,0)</f>
        <v>0</v>
      </c>
      <c r="Q100" s="786">
        <f>(P100+$C$119/4*COS(Knoten!W4*PI()/180)+$C$119/2*SIN(Knoten!W4*PI()/180))*B100</f>
        <v>0</v>
      </c>
      <c r="R100" s="786">
        <f>(Q100+$C$119/2*COS(Knoten!W4*PI()/180)-$C$119*SIN(Knoten!W4*PI()/180))*B100</f>
        <v>0</v>
      </c>
      <c r="S100" s="786">
        <f>(R100+$C$119/2*COS(Knoten!W4*PI()/180)+$C$119*SIN(Knoten!W4*PI()/180))*B100</f>
        <v>0</v>
      </c>
      <c r="T100" s="786">
        <f>(S100+$C$119/2*COS(Knoten!W4*PI()/180)-$C$119*SIN(Knoten!W4*PI()/180))*B100</f>
        <v>0</v>
      </c>
      <c r="U100" s="786">
        <f>(T100+$C$119/4*COS(Knoten!W4*PI()/180)+$C$119/2*SIN(Knoten!W4*PI()/180))*B100</f>
        <v>0</v>
      </c>
      <c r="V100" s="787">
        <f>(U100+$C$119/4*COS(Knoten!W4*PI()/180))*B100</f>
        <v>0</v>
      </c>
      <c r="W100" s="785">
        <f t="shared" si="28"/>
        <v>0</v>
      </c>
      <c r="X100" s="786">
        <f>(W100+$E$119/2*SIN(Knoten!W4*PI()/180))*B100</f>
        <v>0</v>
      </c>
      <c r="Y100" s="786">
        <f>(W100+$E$119/2*SIN(Knoten!W4*PI()/180)+$E$119*COS(Knoten!W4*PI()/180))*B100</f>
        <v>0</v>
      </c>
      <c r="Z100" s="786">
        <f>(W100-$E$119/2*SIN(Knoten!W4*PI()/180)+$E$119*COS(Knoten!W4*PI()/180))*B100</f>
        <v>0</v>
      </c>
      <c r="AA100" s="786">
        <f>(W100-$E$119/2*SIN(Knoten!W4*PI()/180))*B100</f>
        <v>0</v>
      </c>
      <c r="AB100" s="787">
        <f t="shared" si="29"/>
        <v>0</v>
      </c>
      <c r="AD100" s="750">
        <v>2</v>
      </c>
      <c r="AE100" s="740">
        <f>IF(Knoten!R4&gt;0,1,0)</f>
        <v>0</v>
      </c>
      <c r="AF100" s="786">
        <f>IF(ISNUMBER(Knoten!C4),Z7*B100,0)</f>
        <v>0</v>
      </c>
      <c r="AG100" s="786">
        <f>(AF100-$C$119/2*COS(Knoten!W4*PI()/180)+$C$119/4*SIN(Knoten!W4*PI()/180))*B100</f>
        <v>0</v>
      </c>
      <c r="AH100" s="786">
        <f>(AG100+$C$119*COS(Knoten!W4*PI()/180)+$C$119/2*SIN(Knoten!W4*PI()/180))*B100</f>
        <v>0</v>
      </c>
      <c r="AI100" s="786">
        <f>(AH100-$C$119*COS(Knoten!W4*PI()/180)+$C$119/2*SIN(Knoten!W4*PI()/180))*B100</f>
        <v>0</v>
      </c>
      <c r="AJ100" s="786">
        <f>(AI100+$C$119*COS(Knoten!W4*PI()/180)+$C$119/2*SIN(Knoten!W4*PI()/180))*B100</f>
        <v>0</v>
      </c>
      <c r="AK100" s="786">
        <f>(AJ100-$C$119/2*COS(Knoten!W4*PI()/180)+$C$119/4*SIN(Knoten!W4*PI()/180))*B100</f>
        <v>0</v>
      </c>
      <c r="AL100" s="787">
        <f>(AK100+$C$119/4*SIN(Knoten!W4*PI()/180))*B100</f>
        <v>0</v>
      </c>
      <c r="AM100" s="785">
        <f t="shared" si="30"/>
        <v>0</v>
      </c>
      <c r="AN100" s="786">
        <f>(AM100-$E$119/2*COS(Knoten!W4*PI()/180))*B100</f>
        <v>0</v>
      </c>
      <c r="AO100" s="786">
        <f>(AM100-$E$119/2*COS(Knoten!W4*PI()/180)+$E$119*SIN(Knoten!W4*PI()/180))*B100</f>
        <v>0</v>
      </c>
      <c r="AP100" s="786">
        <f>(AM100+$E$119/2*COS(Knoten!W4*PI()/180)+$E$119*SIN(Knoten!W4*PI()/180))*B100</f>
        <v>0</v>
      </c>
      <c r="AQ100" s="786">
        <f>(AM100+$E$119/2*COS(Knoten!W4*PI()/180))*B100</f>
        <v>0</v>
      </c>
      <c r="AR100" s="786">
        <f t="shared" si="31"/>
        <v>0</v>
      </c>
      <c r="AS100" s="785">
        <f>IF(ISNUMBER(Knoten!D4),AA7*B100,0)</f>
        <v>0</v>
      </c>
      <c r="AT100" s="786">
        <f>(AS100+$C$119/4*COS(Knoten!W4*PI()/180)+$C$119/2*SIN(Knoten!W4*PI()/180))*B100</f>
        <v>0</v>
      </c>
      <c r="AU100" s="786">
        <f>(AT100+$C$119/2*COS(Knoten!W4*PI()/180)-$C$119*SIN(Knoten!W4*PI()/180))*B100</f>
        <v>0</v>
      </c>
      <c r="AV100" s="786">
        <f>(AU100+$C$119/2*COS(Knoten!W4*PI()/180)+$C$119*SIN(Knoten!W4*PI()/180))*B100</f>
        <v>0</v>
      </c>
      <c r="AW100" s="786">
        <f>(AV100+$C$119/2*COS(Knoten!W4*PI()/180)-$C$119*SIN(Knoten!W4*PI()/180))*B100</f>
        <v>0</v>
      </c>
      <c r="AX100" s="786">
        <f>(AW100+$C$119/4*COS(Knoten!W4*PI()/180)+$C$119/2*SIN(Knoten!W4*PI()/180))*B100</f>
        <v>0</v>
      </c>
      <c r="AY100" s="787">
        <f>(AX100+$C$119/4*COS(Knoten!W4*PI()/180))*B100</f>
        <v>0</v>
      </c>
      <c r="AZ100" s="785">
        <f t="shared" si="32"/>
        <v>0</v>
      </c>
      <c r="BA100" s="786">
        <f>(AZ100+$E$119/2*SIN(Knoten!W4*PI()/180))*B100</f>
        <v>0</v>
      </c>
      <c r="BB100" s="786">
        <f>(AZ100+$E$119/2*SIN(Knoten!W4*PI()/180)+$E$119*COS(Knoten!W4*PI()/180))*B100</f>
        <v>0</v>
      </c>
      <c r="BC100" s="786">
        <f>(AZ100-$E$119/2*SIN(Knoten!W4*PI()/180)+$E$119*COS(Knoten!W4*PI()/180))*B100</f>
        <v>0</v>
      </c>
      <c r="BD100" s="786">
        <f>(AZ100-$E$119/2*SIN(Knoten!W4*PI()/180))*B100</f>
        <v>0</v>
      </c>
      <c r="BE100" s="786">
        <f t="shared" si="33"/>
        <v>0</v>
      </c>
    </row>
    <row r="101" spans="1:57" ht="13.5" customHeight="1" x14ac:dyDescent="0.25">
      <c r="A101" s="750">
        <v>3</v>
      </c>
      <c r="B101" s="740">
        <f>IF(Knoten!R5&gt;0,1,0)</f>
        <v>0</v>
      </c>
      <c r="C101" s="785">
        <f>IF(ISNUMBER(Knoten!C5),(Knoten!C5-$U$1)*B101,0)</f>
        <v>0</v>
      </c>
      <c r="D101" s="786">
        <f>(C101-$C$119/2*COS(Knoten!W5*PI()/180)+$C$119/4*SIN(Knoten!W5*PI()/180))*B101</f>
        <v>0</v>
      </c>
      <c r="E101" s="786">
        <f>(D101+$C$119*COS(Knoten!W5*PI()/180)+$C$119/2*SIN(Knoten!W5*PI()/180))*B101</f>
        <v>0</v>
      </c>
      <c r="F101" s="786">
        <f>(E101-$C$119*COS(Knoten!W5*PI()/180)+$C$119/2*SIN(Knoten!W5*PI()/180))*B101</f>
        <v>0</v>
      </c>
      <c r="G101" s="786">
        <f>(F101+$C$119*COS(Knoten!W5*PI()/180)+$C$119/2*SIN(Knoten!W5*PI()/180))*B101</f>
        <v>0</v>
      </c>
      <c r="H101" s="786">
        <f>(G101-$C$119/2*COS(Knoten!W5*PI()/180)+$C$119/4*SIN(Knoten!W5*PI()/180))*B101</f>
        <v>0</v>
      </c>
      <c r="I101" s="787">
        <f>(H101+$C$119/4*SIN(Knoten!W5*PI()/180))*B101</f>
        <v>0</v>
      </c>
      <c r="J101" s="785">
        <f t="shared" si="26"/>
        <v>0</v>
      </c>
      <c r="K101" s="786">
        <f>(J101-$E$119/2*COS(Knoten!W5*PI()/180))*B101</f>
        <v>0</v>
      </c>
      <c r="L101" s="786">
        <f>(J101-$E$119/2*COS(Knoten!W5*PI()/180)+$E$119*SIN(Knoten!W5*PI()/180))*B101</f>
        <v>0</v>
      </c>
      <c r="M101" s="786">
        <f>(J101+$E$119/2*COS(Knoten!W5*PI()/180)+$E$119*SIN(Knoten!W5*PI()/180))*B101</f>
        <v>0</v>
      </c>
      <c r="N101" s="786">
        <f>(J101+$E$119/2*COS(Knoten!W5*PI()/180))*B101</f>
        <v>0</v>
      </c>
      <c r="O101" s="786">
        <f t="shared" si="27"/>
        <v>0</v>
      </c>
      <c r="P101" s="785">
        <f>IF(ISNUMBER(Knoten!D5),(Knoten!D5-$X$1)*B101,0)</f>
        <v>0</v>
      </c>
      <c r="Q101" s="786">
        <f>(P101+$C$119/4*COS(Knoten!W5*PI()/180)+$C$119/2*SIN(Knoten!W5*PI()/180))*B101</f>
        <v>0</v>
      </c>
      <c r="R101" s="786">
        <f>(Q101+$C$119/2*COS(Knoten!W5*PI()/180)-$C$119*SIN(Knoten!W5*PI()/180))*B101</f>
        <v>0</v>
      </c>
      <c r="S101" s="786">
        <f>(R101+$C$119/2*COS(Knoten!W5*PI()/180)+$C$119*SIN(Knoten!W5*PI()/180))*B101</f>
        <v>0</v>
      </c>
      <c r="T101" s="786">
        <f>(S101+$C$119/2*COS(Knoten!W5*PI()/180)-$C$119*SIN(Knoten!W5*PI()/180))*B101</f>
        <v>0</v>
      </c>
      <c r="U101" s="786">
        <f>(T101+$C$119/4*COS(Knoten!W5*PI()/180)+$C$119/2*SIN(Knoten!W5*PI()/180))*B101</f>
        <v>0</v>
      </c>
      <c r="V101" s="787">
        <f>(U101+$C$119/4*COS(Knoten!W5*PI()/180))*B101</f>
        <v>0</v>
      </c>
      <c r="W101" s="785">
        <f t="shared" si="28"/>
        <v>0</v>
      </c>
      <c r="X101" s="786">
        <f>(W101+$E$119/2*SIN(Knoten!W5*PI()/180))*B101</f>
        <v>0</v>
      </c>
      <c r="Y101" s="786">
        <f>(W101+$E$119/2*SIN(Knoten!W5*PI()/180)+$E$119*COS(Knoten!W5*PI()/180))*B101</f>
        <v>0</v>
      </c>
      <c r="Z101" s="786">
        <f>(W101-$E$119/2*SIN(Knoten!W5*PI()/180)+$E$119*COS(Knoten!W5*PI()/180))*B101</f>
        <v>0</v>
      </c>
      <c r="AA101" s="786">
        <f>(W101-$E$119/2*SIN(Knoten!W5*PI()/180))*B101</f>
        <v>0</v>
      </c>
      <c r="AB101" s="787">
        <f t="shared" si="29"/>
        <v>0</v>
      </c>
      <c r="AD101" s="750">
        <v>3</v>
      </c>
      <c r="AE101" s="740">
        <f>IF(Knoten!R5&gt;0,1,0)</f>
        <v>0</v>
      </c>
      <c r="AF101" s="786">
        <f>IF(ISNUMBER(Knoten!C5),Z8*B101,0)</f>
        <v>0</v>
      </c>
      <c r="AG101" s="786">
        <f>(AF101-$C$119/2*COS(Knoten!W5*PI()/180)+$C$119/4*SIN(Knoten!W5*PI()/180))*B101</f>
        <v>0</v>
      </c>
      <c r="AH101" s="786">
        <f>(AG101+$C$119*COS(Knoten!W5*PI()/180)+$C$119/2*SIN(Knoten!W5*PI()/180))*B101</f>
        <v>0</v>
      </c>
      <c r="AI101" s="786">
        <f>(AH101-$C$119*COS(Knoten!W5*PI()/180)+$C$119/2*SIN(Knoten!W5*PI()/180))*B101</f>
        <v>0</v>
      </c>
      <c r="AJ101" s="786">
        <f>(AI101+$C$119*COS(Knoten!W5*PI()/180)+$C$119/2*SIN(Knoten!W5*PI()/180))*B101</f>
        <v>0</v>
      </c>
      <c r="AK101" s="786">
        <f>(AJ101-$C$119/2*COS(Knoten!W5*PI()/180)+$C$119/4*SIN(Knoten!W5*PI()/180))*B101</f>
        <v>0</v>
      </c>
      <c r="AL101" s="787">
        <f>(AK101+$C$119/4*SIN(Knoten!W5*PI()/180))*B101</f>
        <v>0</v>
      </c>
      <c r="AM101" s="785">
        <f t="shared" si="30"/>
        <v>0</v>
      </c>
      <c r="AN101" s="786">
        <f>(AM101-$E$119/2*COS(Knoten!W5*PI()/180))*B101</f>
        <v>0</v>
      </c>
      <c r="AO101" s="786">
        <f>(AM101-$E$119/2*COS(Knoten!W5*PI()/180)+$E$119*SIN(Knoten!W5*PI()/180))*B101</f>
        <v>0</v>
      </c>
      <c r="AP101" s="786">
        <f>(AM101+$E$119/2*COS(Knoten!W5*PI()/180)+$E$119*SIN(Knoten!W5*PI()/180))*B101</f>
        <v>0</v>
      </c>
      <c r="AQ101" s="786">
        <f>(AM101+$E$119/2*COS(Knoten!W5*PI()/180))*B101</f>
        <v>0</v>
      </c>
      <c r="AR101" s="786">
        <f t="shared" si="31"/>
        <v>0</v>
      </c>
      <c r="AS101" s="785">
        <f>IF(ISNUMBER(Knoten!D5),AA8*B101,0)</f>
        <v>0</v>
      </c>
      <c r="AT101" s="786">
        <f>(AS101+$C$119/4*COS(Knoten!W5*PI()/180)+$C$119/2*SIN(Knoten!W5*PI()/180))*B101</f>
        <v>0</v>
      </c>
      <c r="AU101" s="786">
        <f>(AT101+$C$119/2*COS(Knoten!W5*PI()/180)-$C$119*SIN(Knoten!W5*PI()/180))*B101</f>
        <v>0</v>
      </c>
      <c r="AV101" s="786">
        <f>(AU101+$C$119/2*COS(Knoten!W5*PI()/180)+$C$119*SIN(Knoten!W5*PI()/180))*B101</f>
        <v>0</v>
      </c>
      <c r="AW101" s="786">
        <f>(AV101+$C$119/2*COS(Knoten!W5*PI()/180)-$C$119*SIN(Knoten!W5*PI()/180))*B101</f>
        <v>0</v>
      </c>
      <c r="AX101" s="786">
        <f>(AW101+$C$119/4*COS(Knoten!W5*PI()/180)+$C$119/2*SIN(Knoten!W5*PI()/180))*B101</f>
        <v>0</v>
      </c>
      <c r="AY101" s="787">
        <f>(AX101+$C$119/4*COS(Knoten!W5*PI()/180))*B101</f>
        <v>0</v>
      </c>
      <c r="AZ101" s="785">
        <f t="shared" si="32"/>
        <v>0</v>
      </c>
      <c r="BA101" s="786">
        <f>(AZ101+$E$119/2*SIN(Knoten!W5*PI()/180))*B101</f>
        <v>0</v>
      </c>
      <c r="BB101" s="786">
        <f>(AZ101+$E$119/2*SIN(Knoten!W5*PI()/180)+$E$119*COS(Knoten!W5*PI()/180))*B101</f>
        <v>0</v>
      </c>
      <c r="BC101" s="786">
        <f>(AZ101-$E$119/2*SIN(Knoten!W5*PI()/180)+$E$119*COS(Knoten!W5*PI()/180))*B101</f>
        <v>0</v>
      </c>
      <c r="BD101" s="786">
        <f>(AZ101-$E$119/2*SIN(Knoten!W5*PI()/180))*B101</f>
        <v>0</v>
      </c>
      <c r="BE101" s="786">
        <f t="shared" si="33"/>
        <v>0</v>
      </c>
    </row>
    <row r="102" spans="1:57" ht="13.5" customHeight="1" x14ac:dyDescent="0.25">
      <c r="A102" s="750">
        <v>4</v>
      </c>
      <c r="B102" s="740">
        <f>IF(Knoten!R6&gt;0,1,0)</f>
        <v>0</v>
      </c>
      <c r="C102" s="785">
        <f>IF(ISNUMBER(Knoten!C6),(Knoten!C6-$U$1)*B102,0)</f>
        <v>0</v>
      </c>
      <c r="D102" s="786">
        <f>(C102-$C$119/2*COS(Knoten!W6*PI()/180)+$C$119/4*SIN(Knoten!W6*PI()/180))*B102</f>
        <v>0</v>
      </c>
      <c r="E102" s="786">
        <f>(D102+$C$119*COS(Knoten!W6*PI()/180)+$C$119/2*SIN(Knoten!W6*PI()/180))*B102</f>
        <v>0</v>
      </c>
      <c r="F102" s="786">
        <f>(E102-$C$119*COS(Knoten!W6*PI()/180)+$C$119/2*SIN(Knoten!W6*PI()/180))*B102</f>
        <v>0</v>
      </c>
      <c r="G102" s="786">
        <f>(F102+$C$119*COS(Knoten!W6*PI()/180)+$C$119/2*SIN(Knoten!W6*PI()/180))*B102</f>
        <v>0</v>
      </c>
      <c r="H102" s="786">
        <f>(G102-$C$119/2*COS(Knoten!W6*PI()/180)+$C$119/4*SIN(Knoten!W6*PI()/180))*B102</f>
        <v>0</v>
      </c>
      <c r="I102" s="787">
        <f>(H102+$C$119/4*SIN(Knoten!W6*PI()/180))*B102</f>
        <v>0</v>
      </c>
      <c r="J102" s="785">
        <f t="shared" si="26"/>
        <v>0</v>
      </c>
      <c r="K102" s="786">
        <f>(J102-$E$119/2*COS(Knoten!W6*PI()/180))*B102</f>
        <v>0</v>
      </c>
      <c r="L102" s="786">
        <f>(J102-$E$119/2*COS(Knoten!W6*PI()/180)+$E$119*SIN(Knoten!W6*PI()/180))*B102</f>
        <v>0</v>
      </c>
      <c r="M102" s="786">
        <f>(J102+$E$119/2*COS(Knoten!W6*PI()/180)+$E$119*SIN(Knoten!W6*PI()/180))*B102</f>
        <v>0</v>
      </c>
      <c r="N102" s="786">
        <f>(J102+$E$119/2*COS(Knoten!W6*PI()/180))*B102</f>
        <v>0</v>
      </c>
      <c r="O102" s="786">
        <f t="shared" si="27"/>
        <v>0</v>
      </c>
      <c r="P102" s="785">
        <f>IF(ISNUMBER(Knoten!D6),(Knoten!D6-$X$1)*B102,0)</f>
        <v>0</v>
      </c>
      <c r="Q102" s="786">
        <f>(P102+$C$119/4*COS(Knoten!W6*PI()/180)+$C$119/2*SIN(Knoten!W6*PI()/180))*B102</f>
        <v>0</v>
      </c>
      <c r="R102" s="786">
        <f>(Q102+$C$119/2*COS(Knoten!W6*PI()/180)-$C$119*SIN(Knoten!W6*PI()/180))*B102</f>
        <v>0</v>
      </c>
      <c r="S102" s="786">
        <f>(R102+$C$119/2*COS(Knoten!W6*PI()/180)+$C$119*SIN(Knoten!W6*PI()/180))*B102</f>
        <v>0</v>
      </c>
      <c r="T102" s="786">
        <f>(S102+$C$119/2*COS(Knoten!W6*PI()/180)-$C$119*SIN(Knoten!W6*PI()/180))*B102</f>
        <v>0</v>
      </c>
      <c r="U102" s="786">
        <f>(T102+$C$119/4*COS(Knoten!W6*PI()/180)+$C$119/2*SIN(Knoten!W6*PI()/180))*B102</f>
        <v>0</v>
      </c>
      <c r="V102" s="787">
        <f>(U102+$C$119/4*COS(Knoten!W6*PI()/180))*B102</f>
        <v>0</v>
      </c>
      <c r="W102" s="785">
        <f t="shared" si="28"/>
        <v>0</v>
      </c>
      <c r="X102" s="786">
        <f>(W102+$E$119/2*SIN(Knoten!W6*PI()/180))*B102</f>
        <v>0</v>
      </c>
      <c r="Y102" s="786">
        <f>(W102+$E$119/2*SIN(Knoten!W6*PI()/180)+$E$119*COS(Knoten!W6*PI()/180))*B102</f>
        <v>0</v>
      </c>
      <c r="Z102" s="786">
        <f>(W102-$E$119/2*SIN(Knoten!W6*PI()/180)+$E$119*COS(Knoten!W6*PI()/180))*B102</f>
        <v>0</v>
      </c>
      <c r="AA102" s="786">
        <f>(W102-$E$119/2*SIN(Knoten!W6*PI()/180))*B102</f>
        <v>0</v>
      </c>
      <c r="AB102" s="787">
        <f t="shared" si="29"/>
        <v>0</v>
      </c>
      <c r="AD102" s="750">
        <v>4</v>
      </c>
      <c r="AE102" s="740">
        <f>IF(Knoten!R6&gt;0,1,0)</f>
        <v>0</v>
      </c>
      <c r="AF102" s="786">
        <f>IF(ISNUMBER(Knoten!C6),Z9*B102,0)</f>
        <v>0</v>
      </c>
      <c r="AG102" s="786">
        <f>(AF102-$C$119/2*COS(Knoten!W6*PI()/180)+$C$119/4*SIN(Knoten!W6*PI()/180))*B102</f>
        <v>0</v>
      </c>
      <c r="AH102" s="786">
        <f>(AG102+$C$119*COS(Knoten!W6*PI()/180)+$C$119/2*SIN(Knoten!W6*PI()/180))*B102</f>
        <v>0</v>
      </c>
      <c r="AI102" s="786">
        <f>(AH102-$C$119*COS(Knoten!W6*PI()/180)+$C$119/2*SIN(Knoten!W6*PI()/180))*B102</f>
        <v>0</v>
      </c>
      <c r="AJ102" s="786">
        <f>(AI102+$C$119*COS(Knoten!W6*PI()/180)+$C$119/2*SIN(Knoten!W6*PI()/180))*B102</f>
        <v>0</v>
      </c>
      <c r="AK102" s="786">
        <f>(AJ102-$C$119/2*COS(Knoten!W6*PI()/180)+$C$119/4*SIN(Knoten!W6*PI()/180))*B102</f>
        <v>0</v>
      </c>
      <c r="AL102" s="787">
        <f>(AK102+$C$119/4*SIN(Knoten!W6*PI()/180))*B102</f>
        <v>0</v>
      </c>
      <c r="AM102" s="785">
        <f t="shared" si="30"/>
        <v>0</v>
      </c>
      <c r="AN102" s="786">
        <f>(AM102-$E$119/2*COS(Knoten!W6*PI()/180))*B102</f>
        <v>0</v>
      </c>
      <c r="AO102" s="786">
        <f>(AM102-$E$119/2*COS(Knoten!W6*PI()/180)+$E$119*SIN(Knoten!W6*PI()/180))*B102</f>
        <v>0</v>
      </c>
      <c r="AP102" s="786">
        <f>(AM102+$E$119/2*COS(Knoten!W6*PI()/180)+$E$119*SIN(Knoten!W6*PI()/180))*B102</f>
        <v>0</v>
      </c>
      <c r="AQ102" s="786">
        <f>(AM102+$E$119/2*COS(Knoten!W6*PI()/180))*B102</f>
        <v>0</v>
      </c>
      <c r="AR102" s="786">
        <f t="shared" si="31"/>
        <v>0</v>
      </c>
      <c r="AS102" s="785">
        <f>IF(ISNUMBER(Knoten!D6),AA9*B102,0)</f>
        <v>0</v>
      </c>
      <c r="AT102" s="786">
        <f>(AS102+$C$119/4*COS(Knoten!W6*PI()/180)+$C$119/2*SIN(Knoten!W6*PI()/180))*B102</f>
        <v>0</v>
      </c>
      <c r="AU102" s="786">
        <f>(AT102+$C$119/2*COS(Knoten!W6*PI()/180)-$C$119*SIN(Knoten!W6*PI()/180))*B102</f>
        <v>0</v>
      </c>
      <c r="AV102" s="786">
        <f>(AU102+$C$119/2*COS(Knoten!W6*PI()/180)+$C$119*SIN(Knoten!W6*PI()/180))*B102</f>
        <v>0</v>
      </c>
      <c r="AW102" s="786">
        <f>(AV102+$C$119/2*COS(Knoten!W6*PI()/180)-$C$119*SIN(Knoten!W6*PI()/180))*B102</f>
        <v>0</v>
      </c>
      <c r="AX102" s="786">
        <f>(AW102+$C$119/4*COS(Knoten!W6*PI()/180)+$C$119/2*SIN(Knoten!W6*PI()/180))*B102</f>
        <v>0</v>
      </c>
      <c r="AY102" s="787">
        <f>(AX102+$C$119/4*COS(Knoten!W6*PI()/180))*B102</f>
        <v>0</v>
      </c>
      <c r="AZ102" s="785">
        <f t="shared" si="32"/>
        <v>0</v>
      </c>
      <c r="BA102" s="786">
        <f>(AZ102+$E$119/2*SIN(Knoten!W6*PI()/180))*B102</f>
        <v>0</v>
      </c>
      <c r="BB102" s="786">
        <f>(AZ102+$E$119/2*SIN(Knoten!W6*PI()/180)+$E$119*COS(Knoten!W6*PI()/180))*B102</f>
        <v>0</v>
      </c>
      <c r="BC102" s="786">
        <f>(AZ102-$E$119/2*SIN(Knoten!W6*PI()/180)+$E$119*COS(Knoten!W6*PI()/180))*B102</f>
        <v>0</v>
      </c>
      <c r="BD102" s="786">
        <f>(AZ102-$E$119/2*SIN(Knoten!W6*PI()/180))*B102</f>
        <v>0</v>
      </c>
      <c r="BE102" s="786">
        <f t="shared" si="33"/>
        <v>0</v>
      </c>
    </row>
    <row r="103" spans="1:57" ht="13.5" customHeight="1" x14ac:dyDescent="0.25">
      <c r="A103" s="750">
        <v>5</v>
      </c>
      <c r="B103" s="740">
        <f>IF(Knoten!R7&gt;0,1,0)</f>
        <v>0</v>
      </c>
      <c r="C103" s="785">
        <f>IF(ISNUMBER(Knoten!C7),(Knoten!C7-$U$1)*B103,0)</f>
        <v>0</v>
      </c>
      <c r="D103" s="786">
        <f>(C103-$C$119/2*COS(Knoten!W7*PI()/180)+$C$119/4*SIN(Knoten!W7*PI()/180))*B103</f>
        <v>0</v>
      </c>
      <c r="E103" s="786">
        <f>(D103+$C$119*COS(Knoten!W7*PI()/180)+$C$119/2*SIN(Knoten!W7*PI()/180))*B103</f>
        <v>0</v>
      </c>
      <c r="F103" s="786">
        <f>(E103-$C$119*COS(Knoten!W7*PI()/180)+$C$119/2*SIN(Knoten!W7*PI()/180))*B103</f>
        <v>0</v>
      </c>
      <c r="G103" s="786">
        <f>(F103+$C$119*COS(Knoten!W7*PI()/180)+$C$119/2*SIN(Knoten!W7*PI()/180))*B103</f>
        <v>0</v>
      </c>
      <c r="H103" s="786">
        <f>(G103-$C$119/2*COS(Knoten!W7*PI()/180)+$C$119/4*SIN(Knoten!W7*PI()/180))*B103</f>
        <v>0</v>
      </c>
      <c r="I103" s="787">
        <f>(H103+$C$119/4*SIN(Knoten!W7*PI()/180))*B103</f>
        <v>0</v>
      </c>
      <c r="J103" s="785">
        <f t="shared" si="26"/>
        <v>0</v>
      </c>
      <c r="K103" s="786">
        <f>(J103-$E$119/2*COS(Knoten!W7*PI()/180))*B103</f>
        <v>0</v>
      </c>
      <c r="L103" s="786">
        <f>(J103-$E$119/2*COS(Knoten!W7*PI()/180)+$E$119*SIN(Knoten!W7*PI()/180))*B103</f>
        <v>0</v>
      </c>
      <c r="M103" s="786">
        <f>(J103+$E$119/2*COS(Knoten!W7*PI()/180)+$E$119*SIN(Knoten!W7*PI()/180))*B103</f>
        <v>0</v>
      </c>
      <c r="N103" s="786">
        <f>(J103+$E$119/2*COS(Knoten!W7*PI()/180))*B103</f>
        <v>0</v>
      </c>
      <c r="O103" s="786">
        <f t="shared" si="27"/>
        <v>0</v>
      </c>
      <c r="P103" s="785">
        <f>IF(ISNUMBER(Knoten!D7),(Knoten!D7-$X$1)*B103,0)</f>
        <v>0</v>
      </c>
      <c r="Q103" s="786">
        <f>(P103+$C$119/4*COS(Knoten!W7*PI()/180)+$C$119/2*SIN(Knoten!W7*PI()/180))*B103</f>
        <v>0</v>
      </c>
      <c r="R103" s="786">
        <f>(Q103+$C$119/2*COS(Knoten!W7*PI()/180)-$C$119*SIN(Knoten!W7*PI()/180))*B103</f>
        <v>0</v>
      </c>
      <c r="S103" s="786">
        <f>(R103+$C$119/2*COS(Knoten!W7*PI()/180)+$C$119*SIN(Knoten!W7*PI()/180))*B103</f>
        <v>0</v>
      </c>
      <c r="T103" s="786">
        <f>(S103+$C$119/2*COS(Knoten!W7*PI()/180)-$C$119*SIN(Knoten!W7*PI()/180))*B103</f>
        <v>0</v>
      </c>
      <c r="U103" s="786">
        <f>(T103+$C$119/4*COS(Knoten!W7*PI()/180)+$C$119/2*SIN(Knoten!W7*PI()/180))*B103</f>
        <v>0</v>
      </c>
      <c r="V103" s="787">
        <f>(U103+$C$119/4*COS(Knoten!W7*PI()/180))*B103</f>
        <v>0</v>
      </c>
      <c r="W103" s="785">
        <f t="shared" si="28"/>
        <v>0</v>
      </c>
      <c r="X103" s="786">
        <f>(W103+$E$119/2*SIN(Knoten!W7*PI()/180))*B103</f>
        <v>0</v>
      </c>
      <c r="Y103" s="786">
        <f>(W103+$E$119/2*SIN(Knoten!W7*PI()/180)+$E$119*COS(Knoten!W7*PI()/180))*B103</f>
        <v>0</v>
      </c>
      <c r="Z103" s="786">
        <f>(W103-$E$119/2*SIN(Knoten!W7*PI()/180)+$E$119*COS(Knoten!W7*PI()/180))*B103</f>
        <v>0</v>
      </c>
      <c r="AA103" s="786">
        <f>(W103-$E$119/2*SIN(Knoten!W7*PI()/180))*B103</f>
        <v>0</v>
      </c>
      <c r="AB103" s="787">
        <f t="shared" si="29"/>
        <v>0</v>
      </c>
      <c r="AD103" s="750">
        <v>5</v>
      </c>
      <c r="AE103" s="740">
        <f>IF(Knoten!R7&gt;0,1,0)</f>
        <v>0</v>
      </c>
      <c r="AF103" s="786">
        <f>IF(ISNUMBER(Knoten!C7),Z10*B103,0)</f>
        <v>0</v>
      </c>
      <c r="AG103" s="786">
        <f>(AF103-$C$119/2*COS(Knoten!W7*PI()/180)+$C$119/4*SIN(Knoten!W7*PI()/180))*B103</f>
        <v>0</v>
      </c>
      <c r="AH103" s="786">
        <f>(AG103+$C$119*COS(Knoten!W7*PI()/180)+$C$119/2*SIN(Knoten!W7*PI()/180))*B103</f>
        <v>0</v>
      </c>
      <c r="AI103" s="786">
        <f>(AH103-$C$119*COS(Knoten!W7*PI()/180)+$C$119/2*SIN(Knoten!W7*PI()/180))*B103</f>
        <v>0</v>
      </c>
      <c r="AJ103" s="786">
        <f>(AI103+$C$119*COS(Knoten!W7*PI()/180)+$C$119/2*SIN(Knoten!W7*PI()/180))*B103</f>
        <v>0</v>
      </c>
      <c r="AK103" s="786">
        <f>(AJ103-$C$119/2*COS(Knoten!W7*PI()/180)+$C$119/4*SIN(Knoten!W7*PI()/180))*B103</f>
        <v>0</v>
      </c>
      <c r="AL103" s="787">
        <f>(AK103+$C$119/4*SIN(Knoten!W7*PI()/180))*B103</f>
        <v>0</v>
      </c>
      <c r="AM103" s="785">
        <f t="shared" si="30"/>
        <v>0</v>
      </c>
      <c r="AN103" s="786">
        <f>(AM103-$E$119/2*COS(Knoten!W7*PI()/180))*B103</f>
        <v>0</v>
      </c>
      <c r="AO103" s="786">
        <f>(AM103-$E$119/2*COS(Knoten!W7*PI()/180)+$E$119*SIN(Knoten!W7*PI()/180))*B103</f>
        <v>0</v>
      </c>
      <c r="AP103" s="786">
        <f>(AM103+$E$119/2*COS(Knoten!W7*PI()/180)+$E$119*SIN(Knoten!W7*PI()/180))*B103</f>
        <v>0</v>
      </c>
      <c r="AQ103" s="786">
        <f>(AM103+$E$119/2*COS(Knoten!W7*PI()/180))*B103</f>
        <v>0</v>
      </c>
      <c r="AR103" s="786">
        <f t="shared" si="31"/>
        <v>0</v>
      </c>
      <c r="AS103" s="785">
        <f>IF(ISNUMBER(Knoten!D7),AA10*B103,0)</f>
        <v>0</v>
      </c>
      <c r="AT103" s="786">
        <f>(AS103+$C$119/4*COS(Knoten!W7*PI()/180)+$C$119/2*SIN(Knoten!W7*PI()/180))*B103</f>
        <v>0</v>
      </c>
      <c r="AU103" s="786">
        <f>(AT103+$C$119/2*COS(Knoten!W7*PI()/180)-$C$119*SIN(Knoten!W7*PI()/180))*B103</f>
        <v>0</v>
      </c>
      <c r="AV103" s="786">
        <f>(AU103+$C$119/2*COS(Knoten!W7*PI()/180)+$C$119*SIN(Knoten!W7*PI()/180))*B103</f>
        <v>0</v>
      </c>
      <c r="AW103" s="786">
        <f>(AV103+$C$119/2*COS(Knoten!W7*PI()/180)-$C$119*SIN(Knoten!W7*PI()/180))*B103</f>
        <v>0</v>
      </c>
      <c r="AX103" s="786">
        <f>(AW103+$C$119/4*COS(Knoten!W7*PI()/180)+$C$119/2*SIN(Knoten!W7*PI()/180))*B103</f>
        <v>0</v>
      </c>
      <c r="AY103" s="787">
        <f>(AX103+$C$119/4*COS(Knoten!W7*PI()/180))*B103</f>
        <v>0</v>
      </c>
      <c r="AZ103" s="785">
        <f t="shared" si="32"/>
        <v>0</v>
      </c>
      <c r="BA103" s="786">
        <f>(AZ103+$E$119/2*SIN(Knoten!W7*PI()/180))*B103</f>
        <v>0</v>
      </c>
      <c r="BB103" s="786">
        <f>(AZ103+$E$119/2*SIN(Knoten!W7*PI()/180)+$E$119*COS(Knoten!W7*PI()/180))*B103</f>
        <v>0</v>
      </c>
      <c r="BC103" s="786">
        <f>(AZ103-$E$119/2*SIN(Knoten!W7*PI()/180)+$E$119*COS(Knoten!W7*PI()/180))*B103</f>
        <v>0</v>
      </c>
      <c r="BD103" s="786">
        <f>(AZ103-$E$119/2*SIN(Knoten!W7*PI()/180))*B103</f>
        <v>0</v>
      </c>
      <c r="BE103" s="786">
        <f t="shared" si="33"/>
        <v>0</v>
      </c>
    </row>
    <row r="104" spans="1:57" ht="13.5" customHeight="1" x14ac:dyDescent="0.25">
      <c r="A104" s="750">
        <v>6</v>
      </c>
      <c r="B104" s="740">
        <f>IF(Knoten!R8&gt;0,1,0)</f>
        <v>0</v>
      </c>
      <c r="C104" s="785">
        <f>IF(ISNUMBER(Knoten!C8),(Knoten!C8-$U$1)*B104,0)</f>
        <v>0</v>
      </c>
      <c r="D104" s="786">
        <f>(C104-$C$119/2*COS(Knoten!W8*PI()/180)+$C$119/4*SIN(Knoten!W8*PI()/180))*B104</f>
        <v>0</v>
      </c>
      <c r="E104" s="786">
        <f>(D104+$C$119*COS(Knoten!W8*PI()/180)+$C$119/2*SIN(Knoten!W8*PI()/180))*B104</f>
        <v>0</v>
      </c>
      <c r="F104" s="786">
        <f>(E104-$C$119*COS(Knoten!W8*PI()/180)+$C$119/2*SIN(Knoten!W8*PI()/180))*B104</f>
        <v>0</v>
      </c>
      <c r="G104" s="786">
        <f>(F104+$C$119*COS(Knoten!W8*PI()/180)+$C$119/2*SIN(Knoten!W8*PI()/180))*B104</f>
        <v>0</v>
      </c>
      <c r="H104" s="786">
        <f>(G104-$C$119/2*COS(Knoten!W8*PI()/180)+$C$119/4*SIN(Knoten!W8*PI()/180))*B104</f>
        <v>0</v>
      </c>
      <c r="I104" s="787">
        <f>(H104+$C$119/4*SIN(Knoten!W8*PI()/180))*B104</f>
        <v>0</v>
      </c>
      <c r="J104" s="785">
        <f t="shared" si="26"/>
        <v>0</v>
      </c>
      <c r="K104" s="786">
        <f>(J104-$E$119/2*COS(Knoten!W8*PI()/180))*B104</f>
        <v>0</v>
      </c>
      <c r="L104" s="786">
        <f>(J104-$E$119/2*COS(Knoten!W8*PI()/180)+$E$119*SIN(Knoten!W8*PI()/180))*B104</f>
        <v>0</v>
      </c>
      <c r="M104" s="786">
        <f>(J104+$E$119/2*COS(Knoten!W8*PI()/180)+$E$119*SIN(Knoten!W8*PI()/180))*B104</f>
        <v>0</v>
      </c>
      <c r="N104" s="786">
        <f>(J104+$E$119/2*COS(Knoten!W8*PI()/180))*B104</f>
        <v>0</v>
      </c>
      <c r="O104" s="786">
        <f t="shared" si="27"/>
        <v>0</v>
      </c>
      <c r="P104" s="785">
        <f>IF(ISNUMBER(Knoten!D8),(Knoten!D8-$X$1)*B104,0)</f>
        <v>0</v>
      </c>
      <c r="Q104" s="786">
        <f>(P104+$C$119/4*COS(Knoten!W8*PI()/180)+$C$119/2*SIN(Knoten!W8*PI()/180))*B104</f>
        <v>0</v>
      </c>
      <c r="R104" s="786">
        <f>(Q104+$C$119/2*COS(Knoten!W8*PI()/180)-$C$119*SIN(Knoten!W8*PI()/180))*B104</f>
        <v>0</v>
      </c>
      <c r="S104" s="786">
        <f>(R104+$C$119/2*COS(Knoten!W8*PI()/180)+$C$119*SIN(Knoten!W8*PI()/180))*B104</f>
        <v>0</v>
      </c>
      <c r="T104" s="786">
        <f>(S104+$C$119/2*COS(Knoten!W8*PI()/180)-$C$119*SIN(Knoten!W8*PI()/180))*B104</f>
        <v>0</v>
      </c>
      <c r="U104" s="786">
        <f>(T104+$C$119/4*COS(Knoten!W8*PI()/180)+$C$119/2*SIN(Knoten!W8*PI()/180))*B104</f>
        <v>0</v>
      </c>
      <c r="V104" s="787">
        <f>(U104+$C$119/4*COS(Knoten!W8*PI()/180))*B104</f>
        <v>0</v>
      </c>
      <c r="W104" s="785">
        <f t="shared" si="28"/>
        <v>0</v>
      </c>
      <c r="X104" s="786">
        <f>(W104+$E$119/2*SIN(Knoten!W8*PI()/180))*B104</f>
        <v>0</v>
      </c>
      <c r="Y104" s="786">
        <f>(W104+$E$119/2*SIN(Knoten!W8*PI()/180)+$E$119*COS(Knoten!W8*PI()/180))*B104</f>
        <v>0</v>
      </c>
      <c r="Z104" s="786">
        <f>(W104-$E$119/2*SIN(Knoten!W8*PI()/180)+$E$119*COS(Knoten!W8*PI()/180))*B104</f>
        <v>0</v>
      </c>
      <c r="AA104" s="786">
        <f>(W104-$E$119/2*SIN(Knoten!W8*PI()/180))*B104</f>
        <v>0</v>
      </c>
      <c r="AB104" s="787">
        <f t="shared" si="29"/>
        <v>0</v>
      </c>
      <c r="AD104" s="750">
        <v>6</v>
      </c>
      <c r="AE104" s="740">
        <f>IF(Knoten!R8&gt;0,1,0)</f>
        <v>0</v>
      </c>
      <c r="AF104" s="786">
        <f>IF(ISNUMBER(Knoten!C8),Z11*B104,0)</f>
        <v>0</v>
      </c>
      <c r="AG104" s="786">
        <f>(AF104-$C$119/2*COS(Knoten!W8*PI()/180)+$C$119/4*SIN(Knoten!W8*PI()/180))*B104</f>
        <v>0</v>
      </c>
      <c r="AH104" s="786">
        <f>(AG104+$C$119*COS(Knoten!W8*PI()/180)+$C$119/2*SIN(Knoten!W8*PI()/180))*B104</f>
        <v>0</v>
      </c>
      <c r="AI104" s="786">
        <f>(AH104-$C$119*COS(Knoten!W8*PI()/180)+$C$119/2*SIN(Knoten!W8*PI()/180))*B104</f>
        <v>0</v>
      </c>
      <c r="AJ104" s="786">
        <f>(AI104+$C$119*COS(Knoten!W8*PI()/180)+$C$119/2*SIN(Knoten!W8*PI()/180))*B104</f>
        <v>0</v>
      </c>
      <c r="AK104" s="786">
        <f>(AJ104-$C$119/2*COS(Knoten!W8*PI()/180)+$C$119/4*SIN(Knoten!W8*PI()/180))*B104</f>
        <v>0</v>
      </c>
      <c r="AL104" s="787">
        <f>(AK104+$C$119/4*SIN(Knoten!W8*PI()/180))*B104</f>
        <v>0</v>
      </c>
      <c r="AM104" s="785">
        <f t="shared" si="30"/>
        <v>0</v>
      </c>
      <c r="AN104" s="786">
        <f>(AM104-$E$119/2*COS(Knoten!W8*PI()/180))*B104</f>
        <v>0</v>
      </c>
      <c r="AO104" s="786">
        <f>(AM104-$E$119/2*COS(Knoten!W8*PI()/180)+$E$119*SIN(Knoten!W8*PI()/180))*B104</f>
        <v>0</v>
      </c>
      <c r="AP104" s="786">
        <f>(AM104+$E$119/2*COS(Knoten!W8*PI()/180)+$E$119*SIN(Knoten!W8*PI()/180))*B104</f>
        <v>0</v>
      </c>
      <c r="AQ104" s="786">
        <f>(AM104+$E$119/2*COS(Knoten!W8*PI()/180))*B104</f>
        <v>0</v>
      </c>
      <c r="AR104" s="786">
        <f t="shared" si="31"/>
        <v>0</v>
      </c>
      <c r="AS104" s="785">
        <f>IF(ISNUMBER(Knoten!D8),AA11*B104,0)</f>
        <v>0</v>
      </c>
      <c r="AT104" s="786">
        <f>(AS104+$C$119/4*COS(Knoten!W8*PI()/180)+$C$119/2*SIN(Knoten!W8*PI()/180))*B104</f>
        <v>0</v>
      </c>
      <c r="AU104" s="786">
        <f>(AT104+$C$119/2*COS(Knoten!W8*PI()/180)-$C$119*SIN(Knoten!W8*PI()/180))*B104</f>
        <v>0</v>
      </c>
      <c r="AV104" s="786">
        <f>(AU104+$C$119/2*COS(Knoten!W8*PI()/180)+$C$119*SIN(Knoten!W8*PI()/180))*B104</f>
        <v>0</v>
      </c>
      <c r="AW104" s="786">
        <f>(AV104+$C$119/2*COS(Knoten!W8*PI()/180)-$C$119*SIN(Knoten!W8*PI()/180))*B104</f>
        <v>0</v>
      </c>
      <c r="AX104" s="786">
        <f>(AW104+$C$119/4*COS(Knoten!W8*PI()/180)+$C$119/2*SIN(Knoten!W8*PI()/180))*B104</f>
        <v>0</v>
      </c>
      <c r="AY104" s="787">
        <f>(AX104+$C$119/4*COS(Knoten!W8*PI()/180))*B104</f>
        <v>0</v>
      </c>
      <c r="AZ104" s="785">
        <f t="shared" si="32"/>
        <v>0</v>
      </c>
      <c r="BA104" s="786">
        <f>(AZ104+$E$119/2*SIN(Knoten!W8*PI()/180))*B104</f>
        <v>0</v>
      </c>
      <c r="BB104" s="786">
        <f>(AZ104+$E$119/2*SIN(Knoten!W8*PI()/180)+$E$119*COS(Knoten!W8*PI()/180))*B104</f>
        <v>0</v>
      </c>
      <c r="BC104" s="786">
        <f>(AZ104-$E$119/2*SIN(Knoten!W8*PI()/180)+$E$119*COS(Knoten!W8*PI()/180))*B104</f>
        <v>0</v>
      </c>
      <c r="BD104" s="786">
        <f>(AZ104-$E$119/2*SIN(Knoten!W8*PI()/180))*B104</f>
        <v>0</v>
      </c>
      <c r="BE104" s="786">
        <f t="shared" si="33"/>
        <v>0</v>
      </c>
    </row>
    <row r="105" spans="1:57" ht="13.5" customHeight="1" x14ac:dyDescent="0.25">
      <c r="A105" s="750">
        <v>7</v>
      </c>
      <c r="B105" s="740">
        <f>IF(Knoten!R9&gt;0,1,0)</f>
        <v>0</v>
      </c>
      <c r="C105" s="785">
        <f>IF(ISNUMBER(Knoten!C9),(Knoten!C9-$U$1)*B105,0)</f>
        <v>0</v>
      </c>
      <c r="D105" s="786">
        <f>(C105-$C$119/2*COS(Knoten!W9*PI()/180)+$C$119/4*SIN(Knoten!W9*PI()/180))*B105</f>
        <v>0</v>
      </c>
      <c r="E105" s="786">
        <f>(D105+$C$119*COS(Knoten!W9*PI()/180)+$C$119/2*SIN(Knoten!W9*PI()/180))*B105</f>
        <v>0</v>
      </c>
      <c r="F105" s="786">
        <f>(E105-$C$119*COS(Knoten!W9*PI()/180)+$C$119/2*SIN(Knoten!W9*PI()/180))*B105</f>
        <v>0</v>
      </c>
      <c r="G105" s="786">
        <f>(F105+$C$119*COS(Knoten!W9*PI()/180)+$C$119/2*SIN(Knoten!W9*PI()/180))*B105</f>
        <v>0</v>
      </c>
      <c r="H105" s="786">
        <f>(G105-$C$119/2*COS(Knoten!W9*PI()/180)+$C$119/4*SIN(Knoten!W9*PI()/180))*B105</f>
        <v>0</v>
      </c>
      <c r="I105" s="787">
        <f>(H105+$C$119/4*SIN(Knoten!W9*PI()/180))*B105</f>
        <v>0</v>
      </c>
      <c r="J105" s="785">
        <f t="shared" si="26"/>
        <v>0</v>
      </c>
      <c r="K105" s="786">
        <f>(J105-$E$119/2*COS(Knoten!W9*PI()/180))*B105</f>
        <v>0</v>
      </c>
      <c r="L105" s="786">
        <f>(J105-$E$119/2*COS(Knoten!W9*PI()/180)+$E$119*SIN(Knoten!W9*PI()/180))*B105</f>
        <v>0</v>
      </c>
      <c r="M105" s="786">
        <f>(J105+$E$119/2*COS(Knoten!W9*PI()/180)+$E$119*SIN(Knoten!W9*PI()/180))*B105</f>
        <v>0</v>
      </c>
      <c r="N105" s="786">
        <f>(J105+$E$119/2*COS(Knoten!W9*PI()/180))*B105</f>
        <v>0</v>
      </c>
      <c r="O105" s="786">
        <f t="shared" si="27"/>
        <v>0</v>
      </c>
      <c r="P105" s="785">
        <f>IF(ISNUMBER(Knoten!D9),(Knoten!D9-$X$1)*B105,0)</f>
        <v>0</v>
      </c>
      <c r="Q105" s="786">
        <f>(P105+$C$119/4*COS(Knoten!W9*PI()/180)+$C$119/2*SIN(Knoten!W9*PI()/180))*B105</f>
        <v>0</v>
      </c>
      <c r="R105" s="786">
        <f>(Q105+$C$119/2*COS(Knoten!W9*PI()/180)-$C$119*SIN(Knoten!W9*PI()/180))*B105</f>
        <v>0</v>
      </c>
      <c r="S105" s="786">
        <f>(R105+$C$119/2*COS(Knoten!W9*PI()/180)+$C$119*SIN(Knoten!W9*PI()/180))*B105</f>
        <v>0</v>
      </c>
      <c r="T105" s="786">
        <f>(S105+$C$119/2*COS(Knoten!W9*PI()/180)-$C$119*SIN(Knoten!W9*PI()/180))*B105</f>
        <v>0</v>
      </c>
      <c r="U105" s="786">
        <f>(T105+$C$119/4*COS(Knoten!W9*PI()/180)+$C$119/2*SIN(Knoten!W9*PI()/180))*B105</f>
        <v>0</v>
      </c>
      <c r="V105" s="787">
        <f>(U105+$C$119/4*COS(Knoten!W9*PI()/180))*B105</f>
        <v>0</v>
      </c>
      <c r="W105" s="785">
        <f t="shared" si="28"/>
        <v>0</v>
      </c>
      <c r="X105" s="786">
        <f>(W105+$E$119/2*SIN(Knoten!W9*PI()/180))*B105</f>
        <v>0</v>
      </c>
      <c r="Y105" s="786">
        <f>(W105+$E$119/2*SIN(Knoten!W9*PI()/180)+$E$119*COS(Knoten!W9*PI()/180))*B105</f>
        <v>0</v>
      </c>
      <c r="Z105" s="786">
        <f>(W105-$E$119/2*SIN(Knoten!W9*PI()/180)+$E$119*COS(Knoten!W9*PI()/180))*B105</f>
        <v>0</v>
      </c>
      <c r="AA105" s="786">
        <f>(W105-$E$119/2*SIN(Knoten!W9*PI()/180))*B105</f>
        <v>0</v>
      </c>
      <c r="AB105" s="787">
        <f t="shared" si="29"/>
        <v>0</v>
      </c>
      <c r="AD105" s="750">
        <v>7</v>
      </c>
      <c r="AE105" s="740">
        <f>IF(Knoten!R9&gt;0,1,0)</f>
        <v>0</v>
      </c>
      <c r="AF105" s="786">
        <f>IF(ISNUMBER(Knoten!C9),Z12*B105,0)</f>
        <v>0</v>
      </c>
      <c r="AG105" s="786">
        <f>(AF105-$C$119/2*COS(Knoten!W9*PI()/180)+$C$119/4*SIN(Knoten!W9*PI()/180))*B105</f>
        <v>0</v>
      </c>
      <c r="AH105" s="786">
        <f>(AG105+$C$119*COS(Knoten!W9*PI()/180)+$C$119/2*SIN(Knoten!W9*PI()/180))*B105</f>
        <v>0</v>
      </c>
      <c r="AI105" s="786">
        <f>(AH105-$C$119*COS(Knoten!W9*PI()/180)+$C$119/2*SIN(Knoten!W9*PI()/180))*B105</f>
        <v>0</v>
      </c>
      <c r="AJ105" s="786">
        <f>(AI105+$C$119*COS(Knoten!W9*PI()/180)+$C$119/2*SIN(Knoten!W9*PI()/180))*B105</f>
        <v>0</v>
      </c>
      <c r="AK105" s="786">
        <f>(AJ105-$C$119/2*COS(Knoten!W9*PI()/180)+$C$119/4*SIN(Knoten!W9*PI()/180))*B105</f>
        <v>0</v>
      </c>
      <c r="AL105" s="787">
        <f>(AK105+$C$119/4*SIN(Knoten!W9*PI()/180))*B105</f>
        <v>0</v>
      </c>
      <c r="AM105" s="785">
        <f t="shared" si="30"/>
        <v>0</v>
      </c>
      <c r="AN105" s="786">
        <f>(AM105-$E$119/2*COS(Knoten!W9*PI()/180))*B105</f>
        <v>0</v>
      </c>
      <c r="AO105" s="786">
        <f>(AM105-$E$119/2*COS(Knoten!W9*PI()/180)+$E$119*SIN(Knoten!W9*PI()/180))*B105</f>
        <v>0</v>
      </c>
      <c r="AP105" s="786">
        <f>(AM105+$E$119/2*COS(Knoten!W9*PI()/180)+$E$119*SIN(Knoten!W9*PI()/180))*B105</f>
        <v>0</v>
      </c>
      <c r="AQ105" s="786">
        <f>(AM105+$E$119/2*COS(Knoten!W9*PI()/180))*B105</f>
        <v>0</v>
      </c>
      <c r="AR105" s="786">
        <f t="shared" si="31"/>
        <v>0</v>
      </c>
      <c r="AS105" s="785">
        <f>IF(ISNUMBER(Knoten!D9),AA12*B105,0)</f>
        <v>0</v>
      </c>
      <c r="AT105" s="786">
        <f>(AS105+$C$119/4*COS(Knoten!W9*PI()/180)+$C$119/2*SIN(Knoten!W9*PI()/180))*B105</f>
        <v>0</v>
      </c>
      <c r="AU105" s="786">
        <f>(AT105+$C$119/2*COS(Knoten!W9*PI()/180)-$C$119*SIN(Knoten!W9*PI()/180))*B105</f>
        <v>0</v>
      </c>
      <c r="AV105" s="786">
        <f>(AU105+$C$119/2*COS(Knoten!W9*PI()/180)+$C$119*SIN(Knoten!W9*PI()/180))*B105</f>
        <v>0</v>
      </c>
      <c r="AW105" s="786">
        <f>(AV105+$C$119/2*COS(Knoten!W9*PI()/180)-$C$119*SIN(Knoten!W9*PI()/180))*B105</f>
        <v>0</v>
      </c>
      <c r="AX105" s="786">
        <f>(AW105+$C$119/4*COS(Knoten!W9*PI()/180)+$C$119/2*SIN(Knoten!W9*PI()/180))*B105</f>
        <v>0</v>
      </c>
      <c r="AY105" s="787">
        <f>(AX105+$C$119/4*COS(Knoten!W9*PI()/180))*B105</f>
        <v>0</v>
      </c>
      <c r="AZ105" s="785">
        <f t="shared" si="32"/>
        <v>0</v>
      </c>
      <c r="BA105" s="786">
        <f>(AZ105+$E$119/2*SIN(Knoten!W9*PI()/180))*B105</f>
        <v>0</v>
      </c>
      <c r="BB105" s="786">
        <f>(AZ105+$E$119/2*SIN(Knoten!W9*PI()/180)+$E$119*COS(Knoten!W9*PI()/180))*B105</f>
        <v>0</v>
      </c>
      <c r="BC105" s="786">
        <f>(AZ105-$E$119/2*SIN(Knoten!W9*PI()/180)+$E$119*COS(Knoten!W9*PI()/180))*B105</f>
        <v>0</v>
      </c>
      <c r="BD105" s="786">
        <f>(AZ105-$E$119/2*SIN(Knoten!W9*PI()/180))*B105</f>
        <v>0</v>
      </c>
      <c r="BE105" s="786">
        <f t="shared" si="33"/>
        <v>0</v>
      </c>
    </row>
    <row r="106" spans="1:57" ht="13.5" customHeight="1" x14ac:dyDescent="0.25">
      <c r="A106" s="750">
        <v>8</v>
      </c>
      <c r="B106" s="740">
        <f>IF(Knoten!R10&gt;0,1,0)</f>
        <v>0</v>
      </c>
      <c r="C106" s="785">
        <f>IF(ISNUMBER(Knoten!C10),(Knoten!C10-$U$1)*B106,0)</f>
        <v>0</v>
      </c>
      <c r="D106" s="786">
        <f>(C106-$C$119/2*COS(Knoten!W10*PI()/180)+$C$119/4*SIN(Knoten!W10*PI()/180))*B106</f>
        <v>0</v>
      </c>
      <c r="E106" s="786">
        <f>(D106+$C$119*COS(Knoten!W10*PI()/180)+$C$119/2*SIN(Knoten!W10*PI()/180))*B106</f>
        <v>0</v>
      </c>
      <c r="F106" s="786">
        <f>(E106-$C$119*COS(Knoten!W10*PI()/180)+$C$119/2*SIN(Knoten!W10*PI()/180))*B106</f>
        <v>0</v>
      </c>
      <c r="G106" s="786">
        <f>(F106+$C$119*COS(Knoten!W10*PI()/180)+$C$119/2*SIN(Knoten!W10*PI()/180))*B106</f>
        <v>0</v>
      </c>
      <c r="H106" s="786">
        <f>(G106-$C$119/2*COS(Knoten!W10*PI()/180)+$C$119/4*SIN(Knoten!W10*PI()/180))*B106</f>
        <v>0</v>
      </c>
      <c r="I106" s="787">
        <f>(H106+$C$119/4*SIN(Knoten!W10*PI()/180))*B106</f>
        <v>0</v>
      </c>
      <c r="J106" s="785">
        <f t="shared" si="26"/>
        <v>0</v>
      </c>
      <c r="K106" s="786">
        <f>(J106-$E$119/2*COS(Knoten!W10*PI()/180))*B106</f>
        <v>0</v>
      </c>
      <c r="L106" s="786">
        <f>(J106-$E$119/2*COS(Knoten!W10*PI()/180)+$E$119*SIN(Knoten!W10*PI()/180))*B106</f>
        <v>0</v>
      </c>
      <c r="M106" s="786">
        <f>(J106+$E$119/2*COS(Knoten!W10*PI()/180)+$E$119*SIN(Knoten!W10*PI()/180))*B106</f>
        <v>0</v>
      </c>
      <c r="N106" s="786">
        <f>(J106+$E$119/2*COS(Knoten!W10*PI()/180))*B106</f>
        <v>0</v>
      </c>
      <c r="O106" s="786">
        <f t="shared" si="27"/>
        <v>0</v>
      </c>
      <c r="P106" s="785">
        <f>IF(ISNUMBER(Knoten!D10),(Knoten!D10-$X$1)*B106,0)</f>
        <v>0</v>
      </c>
      <c r="Q106" s="786">
        <f>(P106+$C$119/4*COS(Knoten!W10*PI()/180)+$C$119/2*SIN(Knoten!W10*PI()/180))*B106</f>
        <v>0</v>
      </c>
      <c r="R106" s="786">
        <f>(Q106+$C$119/2*COS(Knoten!W10*PI()/180)-$C$119*SIN(Knoten!W10*PI()/180))*B106</f>
        <v>0</v>
      </c>
      <c r="S106" s="786">
        <f>(R106+$C$119/2*COS(Knoten!W10*PI()/180)+$C$119*SIN(Knoten!W10*PI()/180))*B106</f>
        <v>0</v>
      </c>
      <c r="T106" s="786">
        <f>(S106+$C$119/2*COS(Knoten!W10*PI()/180)-$C$119*SIN(Knoten!W10*PI()/180))*B106</f>
        <v>0</v>
      </c>
      <c r="U106" s="786">
        <f>(T106+$C$119/4*COS(Knoten!W10*PI()/180)+$C$119/2*SIN(Knoten!W10*PI()/180))*B106</f>
        <v>0</v>
      </c>
      <c r="V106" s="787">
        <f>(U106+$C$119/4*COS(Knoten!W10*PI()/180))*B106</f>
        <v>0</v>
      </c>
      <c r="W106" s="785">
        <f t="shared" si="28"/>
        <v>0</v>
      </c>
      <c r="X106" s="786">
        <f>(W106+$E$119/2*SIN(Knoten!W10*PI()/180))*B106</f>
        <v>0</v>
      </c>
      <c r="Y106" s="786">
        <f>(W106+$E$119/2*SIN(Knoten!W10*PI()/180)+$E$119*COS(Knoten!W10*PI()/180))*B106</f>
        <v>0</v>
      </c>
      <c r="Z106" s="786">
        <f>(W106-$E$119/2*SIN(Knoten!W10*PI()/180)+$E$119*COS(Knoten!W10*PI()/180))*B106</f>
        <v>0</v>
      </c>
      <c r="AA106" s="786">
        <f>(W106-$E$119/2*SIN(Knoten!W10*PI()/180))*B106</f>
        <v>0</v>
      </c>
      <c r="AB106" s="787">
        <f t="shared" si="29"/>
        <v>0</v>
      </c>
      <c r="AD106" s="750">
        <v>8</v>
      </c>
      <c r="AE106" s="740">
        <f>IF(Knoten!R10&gt;0,1,0)</f>
        <v>0</v>
      </c>
      <c r="AF106" s="786">
        <f>IF(ISNUMBER(Knoten!C10),Z13*B106,0)</f>
        <v>0</v>
      </c>
      <c r="AG106" s="786">
        <f>(AF106-$C$119/2*COS(Knoten!W10*PI()/180)+$C$119/4*SIN(Knoten!W10*PI()/180))*B106</f>
        <v>0</v>
      </c>
      <c r="AH106" s="786">
        <f>(AG106+$C$119*COS(Knoten!W10*PI()/180)+$C$119/2*SIN(Knoten!W10*PI()/180))*B106</f>
        <v>0</v>
      </c>
      <c r="AI106" s="786">
        <f>(AH106-$C$119*COS(Knoten!W10*PI()/180)+$C$119/2*SIN(Knoten!W10*PI()/180))*B106</f>
        <v>0</v>
      </c>
      <c r="AJ106" s="786">
        <f>(AI106+$C$119*COS(Knoten!W10*PI()/180)+$C$119/2*SIN(Knoten!W10*PI()/180))*B106</f>
        <v>0</v>
      </c>
      <c r="AK106" s="786">
        <f>(AJ106-$C$119/2*COS(Knoten!W10*PI()/180)+$C$119/4*SIN(Knoten!W10*PI()/180))*B106</f>
        <v>0</v>
      </c>
      <c r="AL106" s="787">
        <f>(AK106+$C$119/4*SIN(Knoten!W10*PI()/180))*B106</f>
        <v>0</v>
      </c>
      <c r="AM106" s="785">
        <f t="shared" si="30"/>
        <v>0</v>
      </c>
      <c r="AN106" s="786">
        <f>(AM106-$E$119/2*COS(Knoten!W10*PI()/180))*B106</f>
        <v>0</v>
      </c>
      <c r="AO106" s="786">
        <f>(AM106-$E$119/2*COS(Knoten!W10*PI()/180)+$E$119*SIN(Knoten!W10*PI()/180))*B106</f>
        <v>0</v>
      </c>
      <c r="AP106" s="786">
        <f>(AM106+$E$119/2*COS(Knoten!W10*PI()/180)+$E$119*SIN(Knoten!W10*PI()/180))*B106</f>
        <v>0</v>
      </c>
      <c r="AQ106" s="786">
        <f>(AM106+$E$119/2*COS(Knoten!W10*PI()/180))*B106</f>
        <v>0</v>
      </c>
      <c r="AR106" s="786">
        <f t="shared" si="31"/>
        <v>0</v>
      </c>
      <c r="AS106" s="785">
        <f>IF(ISNUMBER(Knoten!D10),AA13*B106,0)</f>
        <v>0</v>
      </c>
      <c r="AT106" s="786">
        <f>(AS106+$C$119/4*COS(Knoten!W10*PI()/180)+$C$119/2*SIN(Knoten!W10*PI()/180))*B106</f>
        <v>0</v>
      </c>
      <c r="AU106" s="786">
        <f>(AT106+$C$119/2*COS(Knoten!W10*PI()/180)-$C$119*SIN(Knoten!W10*PI()/180))*B106</f>
        <v>0</v>
      </c>
      <c r="AV106" s="786">
        <f>(AU106+$C$119/2*COS(Knoten!W10*PI()/180)+$C$119*SIN(Knoten!W10*PI()/180))*B106</f>
        <v>0</v>
      </c>
      <c r="AW106" s="786">
        <f>(AV106+$C$119/2*COS(Knoten!W10*PI()/180)-$C$119*SIN(Knoten!W10*PI()/180))*B106</f>
        <v>0</v>
      </c>
      <c r="AX106" s="786">
        <f>(AW106+$C$119/4*COS(Knoten!W10*PI()/180)+$C$119/2*SIN(Knoten!W10*PI()/180))*B106</f>
        <v>0</v>
      </c>
      <c r="AY106" s="787">
        <f>(AX106+$C$119/4*COS(Knoten!W10*PI()/180))*B106</f>
        <v>0</v>
      </c>
      <c r="AZ106" s="785">
        <f t="shared" si="32"/>
        <v>0</v>
      </c>
      <c r="BA106" s="786">
        <f>(AZ106+$E$119/2*SIN(Knoten!W10*PI()/180))*B106</f>
        <v>0</v>
      </c>
      <c r="BB106" s="786">
        <f>(AZ106+$E$119/2*SIN(Knoten!W10*PI()/180)+$E$119*COS(Knoten!W10*PI()/180))*B106</f>
        <v>0</v>
      </c>
      <c r="BC106" s="786">
        <f>(AZ106-$E$119/2*SIN(Knoten!W10*PI()/180)+$E$119*COS(Knoten!W10*PI()/180))*B106</f>
        <v>0</v>
      </c>
      <c r="BD106" s="786">
        <f>(AZ106-$E$119/2*SIN(Knoten!W10*PI()/180))*B106</f>
        <v>0</v>
      </c>
      <c r="BE106" s="786">
        <f t="shared" si="33"/>
        <v>0</v>
      </c>
    </row>
    <row r="107" spans="1:57" ht="13.5" customHeight="1" x14ac:dyDescent="0.25">
      <c r="A107" s="750">
        <v>9</v>
      </c>
      <c r="B107" s="740">
        <f>IF(Knoten!R11&gt;0,1,0)</f>
        <v>0</v>
      </c>
      <c r="C107" s="785">
        <f>IF(ISNUMBER(Knoten!C11),(Knoten!C11-$U$1)*B107,0)</f>
        <v>0</v>
      </c>
      <c r="D107" s="786">
        <f>(C107-$C$119/2*COS(Knoten!W11*PI()/180)+$C$119/4*SIN(Knoten!W11*PI()/180))*B107</f>
        <v>0</v>
      </c>
      <c r="E107" s="786">
        <f>(D107+$C$119*COS(Knoten!W11*PI()/180)+$C$119/2*SIN(Knoten!W11*PI()/180))*B107</f>
        <v>0</v>
      </c>
      <c r="F107" s="786">
        <f>(E107-$C$119*COS(Knoten!W11*PI()/180)+$C$119/2*SIN(Knoten!W11*PI()/180))*B107</f>
        <v>0</v>
      </c>
      <c r="G107" s="786">
        <f>(F107+$C$119*COS(Knoten!W11*PI()/180)+$C$119/2*SIN(Knoten!W11*PI()/180))*B107</f>
        <v>0</v>
      </c>
      <c r="H107" s="786">
        <f>(G107-$C$119/2*COS(Knoten!W11*PI()/180)+$C$119/4*SIN(Knoten!W11*PI()/180))*B107</f>
        <v>0</v>
      </c>
      <c r="I107" s="787">
        <f>(H107+$C$119/4*SIN(Knoten!W11*PI()/180))*B107</f>
        <v>0</v>
      </c>
      <c r="J107" s="785">
        <f t="shared" si="26"/>
        <v>0</v>
      </c>
      <c r="K107" s="786">
        <f>(J107-$E$119/2*COS(Knoten!W11*PI()/180))*B107</f>
        <v>0</v>
      </c>
      <c r="L107" s="786">
        <f>(J107-$E$119/2*COS(Knoten!W11*PI()/180)+$E$119*SIN(Knoten!W11*PI()/180))*B107</f>
        <v>0</v>
      </c>
      <c r="M107" s="786">
        <f>(J107+$E$119/2*COS(Knoten!W11*PI()/180)+$E$119*SIN(Knoten!W11*PI()/180))*B107</f>
        <v>0</v>
      </c>
      <c r="N107" s="786">
        <f>(J107+$E$119/2*COS(Knoten!W11*PI()/180))*B107</f>
        <v>0</v>
      </c>
      <c r="O107" s="786">
        <f t="shared" si="27"/>
        <v>0</v>
      </c>
      <c r="P107" s="785">
        <f>IF(ISNUMBER(Knoten!D11),(Knoten!D11-$X$1)*B107,0)</f>
        <v>0</v>
      </c>
      <c r="Q107" s="786">
        <f>(P107+$C$119/4*COS(Knoten!W11*PI()/180)+$C$119/2*SIN(Knoten!W11*PI()/180))*B107</f>
        <v>0</v>
      </c>
      <c r="R107" s="786">
        <f>(Q107+$C$119/2*COS(Knoten!W11*PI()/180)-$C$119*SIN(Knoten!W11*PI()/180))*B107</f>
        <v>0</v>
      </c>
      <c r="S107" s="786">
        <f>(R107+$C$119/2*COS(Knoten!W11*PI()/180)+$C$119*SIN(Knoten!W11*PI()/180))*B107</f>
        <v>0</v>
      </c>
      <c r="T107" s="786">
        <f>(S107+$C$119/2*COS(Knoten!W11*PI()/180)-$C$119*SIN(Knoten!W11*PI()/180))*B107</f>
        <v>0</v>
      </c>
      <c r="U107" s="786">
        <f>(T107+$C$119/4*COS(Knoten!W11*PI()/180)+$C$119/2*SIN(Knoten!W11*PI()/180))*B107</f>
        <v>0</v>
      </c>
      <c r="V107" s="787">
        <f>(U107+$C$119/4*COS(Knoten!W11*PI()/180))*B107</f>
        <v>0</v>
      </c>
      <c r="W107" s="785">
        <f t="shared" si="28"/>
        <v>0</v>
      </c>
      <c r="X107" s="786">
        <f>(W107+$E$119/2*SIN(Knoten!W11*PI()/180))*B107</f>
        <v>0</v>
      </c>
      <c r="Y107" s="786">
        <f>(W107+$E$119/2*SIN(Knoten!W11*PI()/180)+$E$119*COS(Knoten!W11*PI()/180))*B107</f>
        <v>0</v>
      </c>
      <c r="Z107" s="786">
        <f>(W107-$E$119/2*SIN(Knoten!W11*PI()/180)+$E$119*COS(Knoten!W11*PI()/180))*B107</f>
        <v>0</v>
      </c>
      <c r="AA107" s="786">
        <f>(W107-$E$119/2*SIN(Knoten!W11*PI()/180))*B107</f>
        <v>0</v>
      </c>
      <c r="AB107" s="787">
        <f t="shared" si="29"/>
        <v>0</v>
      </c>
      <c r="AD107" s="750">
        <v>9</v>
      </c>
      <c r="AE107" s="740">
        <f>IF(Knoten!R11&gt;0,1,0)</f>
        <v>0</v>
      </c>
      <c r="AF107" s="786">
        <f>IF(ISNUMBER(Knoten!C11),Z14*B107,0)</f>
        <v>0</v>
      </c>
      <c r="AG107" s="786">
        <f>(AF107-$C$119/2*COS(Knoten!W11*PI()/180)+$C$119/4*SIN(Knoten!W11*PI()/180))*B107</f>
        <v>0</v>
      </c>
      <c r="AH107" s="786">
        <f>(AG107+$C$119*COS(Knoten!W11*PI()/180)+$C$119/2*SIN(Knoten!W11*PI()/180))*B107</f>
        <v>0</v>
      </c>
      <c r="AI107" s="786">
        <f>(AH107-$C$119*COS(Knoten!W11*PI()/180)+$C$119/2*SIN(Knoten!W11*PI()/180))*B107</f>
        <v>0</v>
      </c>
      <c r="AJ107" s="786">
        <f>(AI107+$C$119*COS(Knoten!W11*PI()/180)+$C$119/2*SIN(Knoten!W11*PI()/180))*B107</f>
        <v>0</v>
      </c>
      <c r="AK107" s="786">
        <f>(AJ107-$C$119/2*COS(Knoten!W11*PI()/180)+$C$119/4*SIN(Knoten!W11*PI()/180))*B107</f>
        <v>0</v>
      </c>
      <c r="AL107" s="787">
        <f>(AK107+$C$119/4*SIN(Knoten!W11*PI()/180))*B107</f>
        <v>0</v>
      </c>
      <c r="AM107" s="785">
        <f t="shared" si="30"/>
        <v>0</v>
      </c>
      <c r="AN107" s="786">
        <f>(AM107-$E$119/2*COS(Knoten!W11*PI()/180))*B107</f>
        <v>0</v>
      </c>
      <c r="AO107" s="786">
        <f>(AM107-$E$119/2*COS(Knoten!W11*PI()/180)+$E$119*SIN(Knoten!W11*PI()/180))*B107</f>
        <v>0</v>
      </c>
      <c r="AP107" s="786">
        <f>(AM107+$E$119/2*COS(Knoten!W11*PI()/180)+$E$119*SIN(Knoten!W11*PI()/180))*B107</f>
        <v>0</v>
      </c>
      <c r="AQ107" s="786">
        <f>(AM107+$E$119/2*COS(Knoten!W11*PI()/180))*B107</f>
        <v>0</v>
      </c>
      <c r="AR107" s="786">
        <f t="shared" si="31"/>
        <v>0</v>
      </c>
      <c r="AS107" s="785">
        <f>IF(ISNUMBER(Knoten!D11),AA14*B107,0)</f>
        <v>0</v>
      </c>
      <c r="AT107" s="786">
        <f>(AS107+$C$119/4*COS(Knoten!W11*PI()/180)+$C$119/2*SIN(Knoten!W11*PI()/180))*B107</f>
        <v>0</v>
      </c>
      <c r="AU107" s="786">
        <f>(AT107+$C$119/2*COS(Knoten!W11*PI()/180)-$C$119*SIN(Knoten!W11*PI()/180))*B107</f>
        <v>0</v>
      </c>
      <c r="AV107" s="786">
        <f>(AU107+$C$119/2*COS(Knoten!W11*PI()/180)+$C$119*SIN(Knoten!W11*PI()/180))*B107</f>
        <v>0</v>
      </c>
      <c r="AW107" s="786">
        <f>(AV107+$C$119/2*COS(Knoten!W11*PI()/180)-$C$119*SIN(Knoten!W11*PI()/180))*B107</f>
        <v>0</v>
      </c>
      <c r="AX107" s="786">
        <f>(AW107+$C$119/4*COS(Knoten!W11*PI()/180)+$C$119/2*SIN(Knoten!W11*PI()/180))*B107</f>
        <v>0</v>
      </c>
      <c r="AY107" s="787">
        <f>(AX107+$C$119/4*COS(Knoten!W11*PI()/180))*B107</f>
        <v>0</v>
      </c>
      <c r="AZ107" s="785">
        <f t="shared" si="32"/>
        <v>0</v>
      </c>
      <c r="BA107" s="786">
        <f>(AZ107+$E$119/2*SIN(Knoten!W11*PI()/180))*B107</f>
        <v>0</v>
      </c>
      <c r="BB107" s="786">
        <f>(AZ107+$E$119/2*SIN(Knoten!W11*PI()/180)+$E$119*COS(Knoten!W11*PI()/180))*B107</f>
        <v>0</v>
      </c>
      <c r="BC107" s="786">
        <f>(AZ107-$E$119/2*SIN(Knoten!W11*PI()/180)+$E$119*COS(Knoten!W11*PI()/180))*B107</f>
        <v>0</v>
      </c>
      <c r="BD107" s="786">
        <f>(AZ107-$E$119/2*SIN(Knoten!W11*PI()/180))*B107</f>
        <v>0</v>
      </c>
      <c r="BE107" s="786">
        <f t="shared" si="33"/>
        <v>0</v>
      </c>
    </row>
    <row r="108" spans="1:57" ht="13.5" customHeight="1" x14ac:dyDescent="0.25">
      <c r="A108" s="750">
        <v>10</v>
      </c>
      <c r="B108" s="740">
        <f>IF(Knoten!R12&gt;0,1,0)</f>
        <v>0</v>
      </c>
      <c r="C108" s="785">
        <f>IF(ISNUMBER(Knoten!C12),(Knoten!C12-$U$1)*B108,0)</f>
        <v>0</v>
      </c>
      <c r="D108" s="786">
        <f>(C108-$C$119/2*COS(Knoten!W12*PI()/180)+$C$119/4*SIN(Knoten!W12*PI()/180))*B108</f>
        <v>0</v>
      </c>
      <c r="E108" s="786">
        <f>(D108+$C$119*COS(Knoten!W12*PI()/180)+$C$119/2*SIN(Knoten!W12*PI()/180))*B108</f>
        <v>0</v>
      </c>
      <c r="F108" s="786">
        <f>(E108-$C$119*COS(Knoten!W12*PI()/180)+$C$119/2*SIN(Knoten!W12*PI()/180))*B108</f>
        <v>0</v>
      </c>
      <c r="G108" s="786">
        <f>(F108+$C$119*COS(Knoten!W12*PI()/180)+$C$119/2*SIN(Knoten!W12*PI()/180))*B108</f>
        <v>0</v>
      </c>
      <c r="H108" s="786">
        <f>(G108-$C$119/2*COS(Knoten!W12*PI()/180)+$C$119/4*SIN(Knoten!W12*PI()/180))*B108</f>
        <v>0</v>
      </c>
      <c r="I108" s="787">
        <f>(H108+$C$119/4*SIN(Knoten!W12*PI()/180))*B108</f>
        <v>0</v>
      </c>
      <c r="J108" s="785">
        <f t="shared" si="26"/>
        <v>0</v>
      </c>
      <c r="K108" s="786">
        <f>(J108-$E$119/2*COS(Knoten!W12*PI()/180))*B108</f>
        <v>0</v>
      </c>
      <c r="L108" s="786">
        <f>(J108-$E$119/2*COS(Knoten!W12*PI()/180)+$E$119*SIN(Knoten!W12*PI()/180))*B108</f>
        <v>0</v>
      </c>
      <c r="M108" s="786">
        <f>(J108+$E$119/2*COS(Knoten!W12*PI()/180)+$E$119*SIN(Knoten!W12*PI()/180))*B108</f>
        <v>0</v>
      </c>
      <c r="N108" s="786">
        <f>(J108+$E$119/2*COS(Knoten!W12*PI()/180))*B108</f>
        <v>0</v>
      </c>
      <c r="O108" s="786">
        <f t="shared" si="27"/>
        <v>0</v>
      </c>
      <c r="P108" s="785">
        <f>IF(ISNUMBER(Knoten!D12),(Knoten!D12-$X$1)*B108,0)</f>
        <v>0</v>
      </c>
      <c r="Q108" s="786">
        <f>(P108+$C$119/4*COS(Knoten!W12*PI()/180)+$C$119/2*SIN(Knoten!W12*PI()/180))*B108</f>
        <v>0</v>
      </c>
      <c r="R108" s="786">
        <f>(Q108+$C$119/2*COS(Knoten!W12*PI()/180)-$C$119*SIN(Knoten!W12*PI()/180))*B108</f>
        <v>0</v>
      </c>
      <c r="S108" s="786">
        <f>(R108+$C$119/2*COS(Knoten!W12*PI()/180)+$C$119*SIN(Knoten!W12*PI()/180))*B108</f>
        <v>0</v>
      </c>
      <c r="T108" s="786">
        <f>(S108+$C$119/2*COS(Knoten!W12*PI()/180)-$C$119*SIN(Knoten!W12*PI()/180))*B108</f>
        <v>0</v>
      </c>
      <c r="U108" s="786">
        <f>(T108+$C$119/4*COS(Knoten!W12*PI()/180)+$C$119/2*SIN(Knoten!W12*PI()/180))*B108</f>
        <v>0</v>
      </c>
      <c r="V108" s="787">
        <f>(U108+$C$119/4*COS(Knoten!W12*PI()/180))*B108</f>
        <v>0</v>
      </c>
      <c r="W108" s="785">
        <f t="shared" si="28"/>
        <v>0</v>
      </c>
      <c r="X108" s="786">
        <f>(W108+$E$119/2*SIN(Knoten!W12*PI()/180))*B108</f>
        <v>0</v>
      </c>
      <c r="Y108" s="786">
        <f>(W108+$E$119/2*SIN(Knoten!W12*PI()/180)+$E$119*COS(Knoten!W12*PI()/180))*B108</f>
        <v>0</v>
      </c>
      <c r="Z108" s="786">
        <f>(W108-$E$119/2*SIN(Knoten!W12*PI()/180)+$E$119*COS(Knoten!W12*PI()/180))*B108</f>
        <v>0</v>
      </c>
      <c r="AA108" s="786">
        <f>(W108-$E$119/2*SIN(Knoten!W12*PI()/180))*B108</f>
        <v>0</v>
      </c>
      <c r="AB108" s="787">
        <f t="shared" si="29"/>
        <v>0</v>
      </c>
      <c r="AD108" s="750">
        <v>10</v>
      </c>
      <c r="AE108" s="740">
        <f>IF(Knoten!R12&gt;0,1,0)</f>
        <v>0</v>
      </c>
      <c r="AF108" s="786">
        <f>IF(ISNUMBER(Knoten!C12),Z15*B108,0)</f>
        <v>0</v>
      </c>
      <c r="AG108" s="786">
        <f>(AF108-$C$119/2*COS(Knoten!W12*PI()/180)+$C$119/4*SIN(Knoten!W12*PI()/180))*B108</f>
        <v>0</v>
      </c>
      <c r="AH108" s="786">
        <f>(AG108+$C$119*COS(Knoten!W12*PI()/180)+$C$119/2*SIN(Knoten!W12*PI()/180))*B108</f>
        <v>0</v>
      </c>
      <c r="AI108" s="786">
        <f>(AH108-$C$119*COS(Knoten!W12*PI()/180)+$C$119/2*SIN(Knoten!W12*PI()/180))*B108</f>
        <v>0</v>
      </c>
      <c r="AJ108" s="786">
        <f>(AI108+$C$119*COS(Knoten!W12*PI()/180)+$C$119/2*SIN(Knoten!W12*PI()/180))*B108</f>
        <v>0</v>
      </c>
      <c r="AK108" s="786">
        <f>(AJ108-$C$119/2*COS(Knoten!W12*PI()/180)+$C$119/4*SIN(Knoten!W12*PI()/180))*B108</f>
        <v>0</v>
      </c>
      <c r="AL108" s="787">
        <f>(AK108+$C$119/4*SIN(Knoten!W12*PI()/180))*B108</f>
        <v>0</v>
      </c>
      <c r="AM108" s="785">
        <f t="shared" si="30"/>
        <v>0</v>
      </c>
      <c r="AN108" s="786">
        <f>(AM108-$E$119/2*COS(Knoten!W12*PI()/180))*B108</f>
        <v>0</v>
      </c>
      <c r="AO108" s="786">
        <f>(AM108-$E$119/2*COS(Knoten!W12*PI()/180)+$E$119*SIN(Knoten!W12*PI()/180))*B108</f>
        <v>0</v>
      </c>
      <c r="AP108" s="786">
        <f>(AM108+$E$119/2*COS(Knoten!W12*PI()/180)+$E$119*SIN(Knoten!W12*PI()/180))*B108</f>
        <v>0</v>
      </c>
      <c r="AQ108" s="786">
        <f>(AM108+$E$119/2*COS(Knoten!W12*PI()/180))*B108</f>
        <v>0</v>
      </c>
      <c r="AR108" s="786">
        <f t="shared" si="31"/>
        <v>0</v>
      </c>
      <c r="AS108" s="785">
        <f>IF(ISNUMBER(Knoten!D12),AA15*B108,0)</f>
        <v>0</v>
      </c>
      <c r="AT108" s="786">
        <f>(AS108+$C$119/4*COS(Knoten!W12*PI()/180)+$C$119/2*SIN(Knoten!W12*PI()/180))*B108</f>
        <v>0</v>
      </c>
      <c r="AU108" s="786">
        <f>(AT108+$C$119/2*COS(Knoten!W12*PI()/180)-$C$119*SIN(Knoten!W12*PI()/180))*B108</f>
        <v>0</v>
      </c>
      <c r="AV108" s="786">
        <f>(AU108+$C$119/2*COS(Knoten!W12*PI()/180)+$C$119*SIN(Knoten!W12*PI()/180))*B108</f>
        <v>0</v>
      </c>
      <c r="AW108" s="786">
        <f>(AV108+$C$119/2*COS(Knoten!W12*PI()/180)-$C$119*SIN(Knoten!W12*PI()/180))*B108</f>
        <v>0</v>
      </c>
      <c r="AX108" s="786">
        <f>(AW108+$C$119/4*COS(Knoten!W12*PI()/180)+$C$119/2*SIN(Knoten!W12*PI()/180))*B108</f>
        <v>0</v>
      </c>
      <c r="AY108" s="787">
        <f>(AX108+$C$119/4*COS(Knoten!W12*PI()/180))*B108</f>
        <v>0</v>
      </c>
      <c r="AZ108" s="785">
        <f t="shared" si="32"/>
        <v>0</v>
      </c>
      <c r="BA108" s="786">
        <f>(AZ108+$E$119/2*SIN(Knoten!W12*PI()/180))*B108</f>
        <v>0</v>
      </c>
      <c r="BB108" s="786">
        <f>(AZ108+$E$119/2*SIN(Knoten!W12*PI()/180)+$E$119*COS(Knoten!W12*PI()/180))*B108</f>
        <v>0</v>
      </c>
      <c r="BC108" s="786">
        <f>(AZ108-$E$119/2*SIN(Knoten!W12*PI()/180)+$E$119*COS(Knoten!W12*PI()/180))*B108</f>
        <v>0</v>
      </c>
      <c r="BD108" s="786">
        <f>(AZ108-$E$119/2*SIN(Knoten!W12*PI()/180))*B108</f>
        <v>0</v>
      </c>
      <c r="BE108" s="786">
        <f t="shared" si="33"/>
        <v>0</v>
      </c>
    </row>
    <row r="109" spans="1:57" ht="13.5" customHeight="1" x14ac:dyDescent="0.25">
      <c r="A109" s="750">
        <v>11</v>
      </c>
      <c r="B109" s="740">
        <f>IF(Knoten!R13&gt;0,1,0)</f>
        <v>0</v>
      </c>
      <c r="C109" s="785">
        <f>IF(ISNUMBER(Knoten!C13),(Knoten!C13-$U$1)*B109,0)</f>
        <v>0</v>
      </c>
      <c r="D109" s="786">
        <f>(C109-$C$119/2*COS(Knoten!W13*PI()/180)+$C$119/4*SIN(Knoten!W13*PI()/180))*B109</f>
        <v>0</v>
      </c>
      <c r="E109" s="786">
        <f>(D109+$C$119*COS(Knoten!W13*PI()/180)+$C$119/2*SIN(Knoten!W13*PI()/180))*B109</f>
        <v>0</v>
      </c>
      <c r="F109" s="786">
        <f>(E109-$C$119*COS(Knoten!W13*PI()/180)+$C$119/2*SIN(Knoten!W13*PI()/180))*B109</f>
        <v>0</v>
      </c>
      <c r="G109" s="786">
        <f>(F109+$C$119*COS(Knoten!W13*PI()/180)+$C$119/2*SIN(Knoten!W13*PI()/180))*B109</f>
        <v>0</v>
      </c>
      <c r="H109" s="786">
        <f>(G109-$C$119/2*COS(Knoten!W13*PI()/180)+$C$119/4*SIN(Knoten!W13*PI()/180))*B109</f>
        <v>0</v>
      </c>
      <c r="I109" s="787">
        <f>(H109+$C$119/4*SIN(Knoten!W13*PI()/180))*B109</f>
        <v>0</v>
      </c>
      <c r="J109" s="785">
        <f t="shared" si="26"/>
        <v>0</v>
      </c>
      <c r="K109" s="786">
        <f>(J109-$E$119/2*COS(Knoten!W13*PI()/180))*B109</f>
        <v>0</v>
      </c>
      <c r="L109" s="786">
        <f>(J109-$E$119/2*COS(Knoten!W13*PI()/180)+$E$119*SIN(Knoten!W13*PI()/180))*B109</f>
        <v>0</v>
      </c>
      <c r="M109" s="786">
        <f>(J109+$E$119/2*COS(Knoten!W13*PI()/180)+$E$119*SIN(Knoten!W13*PI()/180))*B109</f>
        <v>0</v>
      </c>
      <c r="N109" s="786">
        <f>(J109+$E$119/2*COS(Knoten!W13*PI()/180))*B109</f>
        <v>0</v>
      </c>
      <c r="O109" s="786">
        <f t="shared" si="27"/>
        <v>0</v>
      </c>
      <c r="P109" s="785">
        <f>IF(ISNUMBER(Knoten!D13),(Knoten!D13-$X$1)*B109,0)</f>
        <v>0</v>
      </c>
      <c r="Q109" s="786">
        <f>(P109+$C$119/4*COS(Knoten!W13*PI()/180)+$C$119/2*SIN(Knoten!W13*PI()/180))*B109</f>
        <v>0</v>
      </c>
      <c r="R109" s="786">
        <f>(Q109+$C$119/2*COS(Knoten!W13*PI()/180)-$C$119*SIN(Knoten!W13*PI()/180))*B109</f>
        <v>0</v>
      </c>
      <c r="S109" s="786">
        <f>(R109+$C$119/2*COS(Knoten!W13*PI()/180)+$C$119*SIN(Knoten!W13*PI()/180))*B109</f>
        <v>0</v>
      </c>
      <c r="T109" s="786">
        <f>(S109+$C$119/2*COS(Knoten!W13*PI()/180)-$C$119*SIN(Knoten!W13*PI()/180))*B109</f>
        <v>0</v>
      </c>
      <c r="U109" s="786">
        <f>(T109+$C$119/4*COS(Knoten!W13*PI()/180)+$C$119/2*SIN(Knoten!W13*PI()/180))*B109</f>
        <v>0</v>
      </c>
      <c r="V109" s="787">
        <f>(U109+$C$119/4*COS(Knoten!W13*PI()/180))*B109</f>
        <v>0</v>
      </c>
      <c r="W109" s="785">
        <f t="shared" si="28"/>
        <v>0</v>
      </c>
      <c r="X109" s="786">
        <f>(W109+$E$119/2*SIN(Knoten!W13*PI()/180))*B109</f>
        <v>0</v>
      </c>
      <c r="Y109" s="786">
        <f>(W109+$E$119/2*SIN(Knoten!W13*PI()/180)+$E$119*COS(Knoten!W13*PI()/180))*B109</f>
        <v>0</v>
      </c>
      <c r="Z109" s="786">
        <f>(W109-$E$119/2*SIN(Knoten!W13*PI()/180)+$E$119*COS(Knoten!W13*PI()/180))*B109</f>
        <v>0</v>
      </c>
      <c r="AA109" s="786">
        <f>(W109-$E$119/2*SIN(Knoten!W13*PI()/180))*B109</f>
        <v>0</v>
      </c>
      <c r="AB109" s="787">
        <f t="shared" si="29"/>
        <v>0</v>
      </c>
      <c r="AD109" s="750">
        <v>11</v>
      </c>
      <c r="AE109" s="740">
        <f>IF(Knoten!R13&gt;0,1,0)</f>
        <v>0</v>
      </c>
      <c r="AF109" s="786">
        <f>IF(ISNUMBER(Knoten!C13),Z16*B109,0)</f>
        <v>0</v>
      </c>
      <c r="AG109" s="786">
        <f>(AF109-$C$119/2*COS(Knoten!W13*PI()/180)+$C$119/4*SIN(Knoten!W13*PI()/180))*B109</f>
        <v>0</v>
      </c>
      <c r="AH109" s="786">
        <f>(AG109+$C$119*COS(Knoten!W13*PI()/180)+$C$119/2*SIN(Knoten!W13*PI()/180))*B109</f>
        <v>0</v>
      </c>
      <c r="AI109" s="786">
        <f>(AH109-$C$119*COS(Knoten!W13*PI()/180)+$C$119/2*SIN(Knoten!W13*PI()/180))*B109</f>
        <v>0</v>
      </c>
      <c r="AJ109" s="786">
        <f>(AI109+$C$119*COS(Knoten!W13*PI()/180)+$C$119/2*SIN(Knoten!W13*PI()/180))*B109</f>
        <v>0</v>
      </c>
      <c r="AK109" s="786">
        <f>(AJ109-$C$119/2*COS(Knoten!W13*PI()/180)+$C$119/4*SIN(Knoten!W13*PI()/180))*B109</f>
        <v>0</v>
      </c>
      <c r="AL109" s="787">
        <f>(AK109+$C$119/4*SIN(Knoten!W13*PI()/180))*B109</f>
        <v>0</v>
      </c>
      <c r="AM109" s="785">
        <f t="shared" si="30"/>
        <v>0</v>
      </c>
      <c r="AN109" s="786">
        <f>(AM109-$E$119/2*COS(Knoten!W13*PI()/180))*B109</f>
        <v>0</v>
      </c>
      <c r="AO109" s="786">
        <f>(AM109-$E$119/2*COS(Knoten!W13*PI()/180)+$E$119*SIN(Knoten!W13*PI()/180))*B109</f>
        <v>0</v>
      </c>
      <c r="AP109" s="786">
        <f>(AM109+$E$119/2*COS(Knoten!W13*PI()/180)+$E$119*SIN(Knoten!W13*PI()/180))*B109</f>
        <v>0</v>
      </c>
      <c r="AQ109" s="786">
        <f>(AM109+$E$119/2*COS(Knoten!W13*PI()/180))*B109</f>
        <v>0</v>
      </c>
      <c r="AR109" s="786">
        <f t="shared" si="31"/>
        <v>0</v>
      </c>
      <c r="AS109" s="785">
        <f>IF(ISNUMBER(Knoten!D13),AA16*B109,0)</f>
        <v>0</v>
      </c>
      <c r="AT109" s="786">
        <f>(AS109+$C$119/4*COS(Knoten!W13*PI()/180)+$C$119/2*SIN(Knoten!W13*PI()/180))*B109</f>
        <v>0</v>
      </c>
      <c r="AU109" s="786">
        <f>(AT109+$C$119/2*COS(Knoten!W13*PI()/180)-$C$119*SIN(Knoten!W13*PI()/180))*B109</f>
        <v>0</v>
      </c>
      <c r="AV109" s="786">
        <f>(AU109+$C$119/2*COS(Knoten!W13*PI()/180)+$C$119*SIN(Knoten!W13*PI()/180))*B109</f>
        <v>0</v>
      </c>
      <c r="AW109" s="786">
        <f>(AV109+$C$119/2*COS(Knoten!W13*PI()/180)-$C$119*SIN(Knoten!W13*PI()/180))*B109</f>
        <v>0</v>
      </c>
      <c r="AX109" s="786">
        <f>(AW109+$C$119/4*COS(Knoten!W13*PI()/180)+$C$119/2*SIN(Knoten!W13*PI()/180))*B109</f>
        <v>0</v>
      </c>
      <c r="AY109" s="787">
        <f>(AX109+$C$119/4*COS(Knoten!W13*PI()/180))*B109</f>
        <v>0</v>
      </c>
      <c r="AZ109" s="785">
        <f t="shared" si="32"/>
        <v>0</v>
      </c>
      <c r="BA109" s="786">
        <f>(AZ109+$E$119/2*SIN(Knoten!W13*PI()/180))*B109</f>
        <v>0</v>
      </c>
      <c r="BB109" s="786">
        <f>(AZ109+$E$119/2*SIN(Knoten!W13*PI()/180)+$E$119*COS(Knoten!W13*PI()/180))*B109</f>
        <v>0</v>
      </c>
      <c r="BC109" s="786">
        <f>(AZ109-$E$119/2*SIN(Knoten!W13*PI()/180)+$E$119*COS(Knoten!W13*PI()/180))*B109</f>
        <v>0</v>
      </c>
      <c r="BD109" s="786">
        <f>(AZ109-$E$119/2*SIN(Knoten!W13*PI()/180))*B109</f>
        <v>0</v>
      </c>
      <c r="BE109" s="786">
        <f t="shared" si="33"/>
        <v>0</v>
      </c>
    </row>
    <row r="110" spans="1:57" ht="13.5" customHeight="1" x14ac:dyDescent="0.25">
      <c r="A110" s="750">
        <v>12</v>
      </c>
      <c r="B110" s="740">
        <f>IF(Knoten!R14&gt;0,1,0)</f>
        <v>0</v>
      </c>
      <c r="C110" s="785">
        <f>IF(ISNUMBER(Knoten!C14),(Knoten!C14-$U$1)*B110,0)</f>
        <v>0</v>
      </c>
      <c r="D110" s="786">
        <f>(C110-$C$119/2*COS(Knoten!W14*PI()/180)+$C$119/4*SIN(Knoten!W14*PI()/180))*B110</f>
        <v>0</v>
      </c>
      <c r="E110" s="786">
        <f>(D110+$C$119*COS(Knoten!W14*PI()/180)+$C$119/2*SIN(Knoten!W14*PI()/180))*B110</f>
        <v>0</v>
      </c>
      <c r="F110" s="786">
        <f>(E110-$C$119*COS(Knoten!W14*PI()/180)+$C$119/2*SIN(Knoten!W14*PI()/180))*B110</f>
        <v>0</v>
      </c>
      <c r="G110" s="786">
        <f>(F110+$C$119*COS(Knoten!W14*PI()/180)+$C$119/2*SIN(Knoten!W14*PI()/180))*B110</f>
        <v>0</v>
      </c>
      <c r="H110" s="786">
        <f>(G110-$C$119/2*COS(Knoten!W14*PI()/180)+$C$119/4*SIN(Knoten!W14*PI()/180))*B110</f>
        <v>0</v>
      </c>
      <c r="I110" s="787">
        <f>(H110+$C$119/4*SIN(Knoten!W14*PI()/180))*B110</f>
        <v>0</v>
      </c>
      <c r="J110" s="785">
        <f t="shared" si="26"/>
        <v>0</v>
      </c>
      <c r="K110" s="786">
        <f>(J110-$E$119/2*COS(Knoten!W14*PI()/180))*B110</f>
        <v>0</v>
      </c>
      <c r="L110" s="786">
        <f>(J110-$E$119/2*COS(Knoten!W14*PI()/180)+$E$119*SIN(Knoten!W14*PI()/180))*B110</f>
        <v>0</v>
      </c>
      <c r="M110" s="786">
        <f>(J110+$E$119/2*COS(Knoten!W14*PI()/180)+$E$119*SIN(Knoten!W14*PI()/180))*B110</f>
        <v>0</v>
      </c>
      <c r="N110" s="786">
        <f>(J110+$E$119/2*COS(Knoten!W14*PI()/180))*B110</f>
        <v>0</v>
      </c>
      <c r="O110" s="786">
        <f t="shared" si="27"/>
        <v>0</v>
      </c>
      <c r="P110" s="785">
        <f>IF(ISNUMBER(Knoten!D14),(Knoten!D14-$X$1)*B110,0)</f>
        <v>0</v>
      </c>
      <c r="Q110" s="786">
        <f>(P110+$C$119/4*COS(Knoten!W14*PI()/180)+$C$119/2*SIN(Knoten!W14*PI()/180))*B110</f>
        <v>0</v>
      </c>
      <c r="R110" s="786">
        <f>(Q110+$C$119/2*COS(Knoten!W14*PI()/180)-$C$119*SIN(Knoten!W14*PI()/180))*B110</f>
        <v>0</v>
      </c>
      <c r="S110" s="786">
        <f>(R110+$C$119/2*COS(Knoten!W14*PI()/180)+$C$119*SIN(Knoten!W14*PI()/180))*B110</f>
        <v>0</v>
      </c>
      <c r="T110" s="786">
        <f>(S110+$C$119/2*COS(Knoten!W14*PI()/180)-$C$119*SIN(Knoten!W14*PI()/180))*B110</f>
        <v>0</v>
      </c>
      <c r="U110" s="786">
        <f>(T110+$C$119/4*COS(Knoten!W14*PI()/180)+$C$119/2*SIN(Knoten!W14*PI()/180))*B110</f>
        <v>0</v>
      </c>
      <c r="V110" s="787">
        <f>(U110+$C$119/4*COS(Knoten!W14*PI()/180))*B110</f>
        <v>0</v>
      </c>
      <c r="W110" s="785">
        <f t="shared" si="28"/>
        <v>0</v>
      </c>
      <c r="X110" s="786">
        <f>(W110+$E$119/2*SIN(Knoten!W14*PI()/180))*B110</f>
        <v>0</v>
      </c>
      <c r="Y110" s="786">
        <f>(W110+$E$119/2*SIN(Knoten!W14*PI()/180)+$E$119*COS(Knoten!W14*PI()/180))*B110</f>
        <v>0</v>
      </c>
      <c r="Z110" s="786">
        <f>(W110-$E$119/2*SIN(Knoten!W14*PI()/180)+$E$119*COS(Knoten!W14*PI()/180))*B110</f>
        <v>0</v>
      </c>
      <c r="AA110" s="786">
        <f>(W110-$E$119/2*SIN(Knoten!W14*PI()/180))*B110</f>
        <v>0</v>
      </c>
      <c r="AB110" s="787">
        <f t="shared" si="29"/>
        <v>0</v>
      </c>
      <c r="AD110" s="750">
        <v>12</v>
      </c>
      <c r="AE110" s="740">
        <f>IF(Knoten!R14&gt;0,1,0)</f>
        <v>0</v>
      </c>
      <c r="AF110" s="786">
        <f>IF(ISNUMBER(Knoten!C14),Z17*B110,0)</f>
        <v>0</v>
      </c>
      <c r="AG110" s="786">
        <f>(AF110-$C$119/2*COS(Knoten!W14*PI()/180)+$C$119/4*SIN(Knoten!W14*PI()/180))*B110</f>
        <v>0</v>
      </c>
      <c r="AH110" s="786">
        <f>(AG110+$C$119*COS(Knoten!W14*PI()/180)+$C$119/2*SIN(Knoten!W14*PI()/180))*B110</f>
        <v>0</v>
      </c>
      <c r="AI110" s="786">
        <f>(AH110-$C$119*COS(Knoten!W14*PI()/180)+$C$119/2*SIN(Knoten!W14*PI()/180))*B110</f>
        <v>0</v>
      </c>
      <c r="AJ110" s="786">
        <f>(AI110+$C$119*COS(Knoten!W14*PI()/180)+$C$119/2*SIN(Knoten!W14*PI()/180))*B110</f>
        <v>0</v>
      </c>
      <c r="AK110" s="786">
        <f>(AJ110-$C$119/2*COS(Knoten!W14*PI()/180)+$C$119/4*SIN(Knoten!W14*PI()/180))*B110</f>
        <v>0</v>
      </c>
      <c r="AL110" s="787">
        <f>(AK110+$C$119/4*SIN(Knoten!W14*PI()/180))*B110</f>
        <v>0</v>
      </c>
      <c r="AM110" s="785">
        <f t="shared" si="30"/>
        <v>0</v>
      </c>
      <c r="AN110" s="786">
        <f>(AM110-$E$119/2*COS(Knoten!W14*PI()/180))*B110</f>
        <v>0</v>
      </c>
      <c r="AO110" s="786">
        <f>(AM110-$E$119/2*COS(Knoten!W14*PI()/180)+$E$119*SIN(Knoten!W14*PI()/180))*B110</f>
        <v>0</v>
      </c>
      <c r="AP110" s="786">
        <f>(AM110+$E$119/2*COS(Knoten!W14*PI()/180)+$E$119*SIN(Knoten!W14*PI()/180))*B110</f>
        <v>0</v>
      </c>
      <c r="AQ110" s="786">
        <f>(AM110+$E$119/2*COS(Knoten!W14*PI()/180))*B110</f>
        <v>0</v>
      </c>
      <c r="AR110" s="786">
        <f t="shared" si="31"/>
        <v>0</v>
      </c>
      <c r="AS110" s="785">
        <f>IF(ISNUMBER(Knoten!D14),AA17*B110,0)</f>
        <v>0</v>
      </c>
      <c r="AT110" s="786">
        <f>(AS110+$C$119/4*COS(Knoten!W14*PI()/180)+$C$119/2*SIN(Knoten!W14*PI()/180))*B110</f>
        <v>0</v>
      </c>
      <c r="AU110" s="786">
        <f>(AT110+$C$119/2*COS(Knoten!W14*PI()/180)-$C$119*SIN(Knoten!W14*PI()/180))*B110</f>
        <v>0</v>
      </c>
      <c r="AV110" s="786">
        <f>(AU110+$C$119/2*COS(Knoten!W14*PI()/180)+$C$119*SIN(Knoten!W14*PI()/180))*B110</f>
        <v>0</v>
      </c>
      <c r="AW110" s="786">
        <f>(AV110+$C$119/2*COS(Knoten!W14*PI()/180)-$C$119*SIN(Knoten!W14*PI()/180))*B110</f>
        <v>0</v>
      </c>
      <c r="AX110" s="786">
        <f>(AW110+$C$119/4*COS(Knoten!W14*PI()/180)+$C$119/2*SIN(Knoten!W14*PI()/180))*B110</f>
        <v>0</v>
      </c>
      <c r="AY110" s="787">
        <f>(AX110+$C$119/4*COS(Knoten!W14*PI()/180))*B110</f>
        <v>0</v>
      </c>
      <c r="AZ110" s="785">
        <f t="shared" si="32"/>
        <v>0</v>
      </c>
      <c r="BA110" s="786">
        <f>(AZ110+$E$119/2*SIN(Knoten!W14*PI()/180))*B110</f>
        <v>0</v>
      </c>
      <c r="BB110" s="786">
        <f>(AZ110+$E$119/2*SIN(Knoten!W14*PI()/180)+$E$119*COS(Knoten!W14*PI()/180))*B110</f>
        <v>0</v>
      </c>
      <c r="BC110" s="786">
        <f>(AZ110-$E$119/2*SIN(Knoten!W14*PI()/180)+$E$119*COS(Knoten!W14*PI()/180))*B110</f>
        <v>0</v>
      </c>
      <c r="BD110" s="786">
        <f>(AZ110-$E$119/2*SIN(Knoten!W14*PI()/180))*B110</f>
        <v>0</v>
      </c>
      <c r="BE110" s="786">
        <f t="shared" si="33"/>
        <v>0</v>
      </c>
    </row>
    <row r="111" spans="1:57" ht="13.5" customHeight="1" x14ac:dyDescent="0.25">
      <c r="A111" s="750">
        <v>13</v>
      </c>
      <c r="B111" s="740">
        <f>IF(Knoten!R15&gt;0,1,0)</f>
        <v>0</v>
      </c>
      <c r="C111" s="785">
        <f>IF(ISNUMBER(Knoten!C15),(Knoten!C15-$U$1)*B111,0)</f>
        <v>0</v>
      </c>
      <c r="D111" s="786">
        <f>(C111-$C$119/2*COS(Knoten!W15*PI()/180)+$C$119/4*SIN(Knoten!W15*PI()/180))*B111</f>
        <v>0</v>
      </c>
      <c r="E111" s="786">
        <f>(D111+$C$119*COS(Knoten!W15*PI()/180)+$C$119/2*SIN(Knoten!W15*PI()/180))*B111</f>
        <v>0</v>
      </c>
      <c r="F111" s="786">
        <f>(E111-$C$119*COS(Knoten!W15*PI()/180)+$C$119/2*SIN(Knoten!W15*PI()/180))*B111</f>
        <v>0</v>
      </c>
      <c r="G111" s="786">
        <f>(F111+$C$119*COS(Knoten!W15*PI()/180)+$C$119/2*SIN(Knoten!W15*PI()/180))*B111</f>
        <v>0</v>
      </c>
      <c r="H111" s="786">
        <f>(G111-$C$119/2*COS(Knoten!W15*PI()/180)+$C$119/4*SIN(Knoten!W15*PI()/180))*B111</f>
        <v>0</v>
      </c>
      <c r="I111" s="787">
        <f>(H111+$C$119/4*SIN(Knoten!W15*PI()/180))*B111</f>
        <v>0</v>
      </c>
      <c r="J111" s="785">
        <f t="shared" si="26"/>
        <v>0</v>
      </c>
      <c r="K111" s="786">
        <f>(J111-$E$119/2*COS(Knoten!W15*PI()/180))*B111</f>
        <v>0</v>
      </c>
      <c r="L111" s="786">
        <f>(J111-$E$119/2*COS(Knoten!W15*PI()/180)+$E$119*SIN(Knoten!W15*PI()/180))*B111</f>
        <v>0</v>
      </c>
      <c r="M111" s="786">
        <f>(J111+$E$119/2*COS(Knoten!W15*PI()/180)+$E$119*SIN(Knoten!W15*PI()/180))*B111</f>
        <v>0</v>
      </c>
      <c r="N111" s="786">
        <f>(J111+$E$119/2*COS(Knoten!W15*PI()/180))*B111</f>
        <v>0</v>
      </c>
      <c r="O111" s="786">
        <f t="shared" si="27"/>
        <v>0</v>
      </c>
      <c r="P111" s="785">
        <f>IF(ISNUMBER(Knoten!D15),(Knoten!D15-$X$1)*B111,0)</f>
        <v>0</v>
      </c>
      <c r="Q111" s="786">
        <f>(P111+$C$119/4*COS(Knoten!W15*PI()/180)+$C$119/2*SIN(Knoten!W15*PI()/180))*B111</f>
        <v>0</v>
      </c>
      <c r="R111" s="786">
        <f>(Q111+$C$119/2*COS(Knoten!W15*PI()/180)-$C$119*SIN(Knoten!W15*PI()/180))*B111</f>
        <v>0</v>
      </c>
      <c r="S111" s="786">
        <f>(R111+$C$119/2*COS(Knoten!W15*PI()/180)+$C$119*SIN(Knoten!W15*PI()/180))*B111</f>
        <v>0</v>
      </c>
      <c r="T111" s="786">
        <f>(S111+$C$119/2*COS(Knoten!W15*PI()/180)-$C$119*SIN(Knoten!W15*PI()/180))*B111</f>
        <v>0</v>
      </c>
      <c r="U111" s="786">
        <f>(T111+$C$119/4*COS(Knoten!W15*PI()/180)+$C$119/2*SIN(Knoten!W15*PI()/180))*B111</f>
        <v>0</v>
      </c>
      <c r="V111" s="787">
        <f>(U111+$C$119/4*COS(Knoten!W15*PI()/180))*B111</f>
        <v>0</v>
      </c>
      <c r="W111" s="785">
        <f t="shared" si="28"/>
        <v>0</v>
      </c>
      <c r="X111" s="786">
        <f>(W111+$E$119/2*SIN(Knoten!W15*PI()/180))*B111</f>
        <v>0</v>
      </c>
      <c r="Y111" s="786">
        <f>(W111+$E$119/2*SIN(Knoten!W15*PI()/180)+$E$119*COS(Knoten!W15*PI()/180))*B111</f>
        <v>0</v>
      </c>
      <c r="Z111" s="786">
        <f>(W111-$E$119/2*SIN(Knoten!W15*PI()/180)+$E$119*COS(Knoten!W15*PI()/180))*B111</f>
        <v>0</v>
      </c>
      <c r="AA111" s="786">
        <f>(W111-$E$119/2*SIN(Knoten!W15*PI()/180))*B111</f>
        <v>0</v>
      </c>
      <c r="AB111" s="787">
        <f t="shared" si="29"/>
        <v>0</v>
      </c>
      <c r="AD111" s="750">
        <v>13</v>
      </c>
      <c r="AE111" s="740">
        <f>IF(Knoten!R15&gt;0,1,0)</f>
        <v>0</v>
      </c>
      <c r="AF111" s="786">
        <f>IF(ISNUMBER(Knoten!C15),Z18*B111,0)</f>
        <v>0</v>
      </c>
      <c r="AG111" s="786">
        <f>(AF111-$C$119/2*COS(Knoten!W15*PI()/180)+$C$119/4*SIN(Knoten!W15*PI()/180))*B111</f>
        <v>0</v>
      </c>
      <c r="AH111" s="786">
        <f>(AG111+$C$119*COS(Knoten!W15*PI()/180)+$C$119/2*SIN(Knoten!W15*PI()/180))*B111</f>
        <v>0</v>
      </c>
      <c r="AI111" s="786">
        <f>(AH111-$C$119*COS(Knoten!W15*PI()/180)+$C$119/2*SIN(Knoten!W15*PI()/180))*B111</f>
        <v>0</v>
      </c>
      <c r="AJ111" s="786">
        <f>(AI111+$C$119*COS(Knoten!W15*PI()/180)+$C$119/2*SIN(Knoten!W15*PI()/180))*B111</f>
        <v>0</v>
      </c>
      <c r="AK111" s="786">
        <f>(AJ111-$C$119/2*COS(Knoten!W15*PI()/180)+$C$119/4*SIN(Knoten!W15*PI()/180))*B111</f>
        <v>0</v>
      </c>
      <c r="AL111" s="787">
        <f>(AK111+$C$119/4*SIN(Knoten!W15*PI()/180))*B111</f>
        <v>0</v>
      </c>
      <c r="AM111" s="785">
        <f t="shared" si="30"/>
        <v>0</v>
      </c>
      <c r="AN111" s="786">
        <f>(AM111-$E$119/2*COS(Knoten!W15*PI()/180))*B111</f>
        <v>0</v>
      </c>
      <c r="AO111" s="786">
        <f>(AM111-$E$119/2*COS(Knoten!W15*PI()/180)+$E$119*SIN(Knoten!W15*PI()/180))*B111</f>
        <v>0</v>
      </c>
      <c r="AP111" s="786">
        <f>(AM111+$E$119/2*COS(Knoten!W15*PI()/180)+$E$119*SIN(Knoten!W15*PI()/180))*B111</f>
        <v>0</v>
      </c>
      <c r="AQ111" s="786">
        <f>(AM111+$E$119/2*COS(Knoten!W15*PI()/180))*B111</f>
        <v>0</v>
      </c>
      <c r="AR111" s="786">
        <f t="shared" si="31"/>
        <v>0</v>
      </c>
      <c r="AS111" s="785">
        <f>IF(ISNUMBER(Knoten!D15),AA18*B111,0)</f>
        <v>0</v>
      </c>
      <c r="AT111" s="786">
        <f>(AS111+$C$119/4*COS(Knoten!W15*PI()/180)+$C$119/2*SIN(Knoten!W15*PI()/180))*B111</f>
        <v>0</v>
      </c>
      <c r="AU111" s="786">
        <f>(AT111+$C$119/2*COS(Knoten!W15*PI()/180)-$C$119*SIN(Knoten!W15*PI()/180))*B111</f>
        <v>0</v>
      </c>
      <c r="AV111" s="786">
        <f>(AU111+$C$119/2*COS(Knoten!W15*PI()/180)+$C$119*SIN(Knoten!W15*PI()/180))*B111</f>
        <v>0</v>
      </c>
      <c r="AW111" s="786">
        <f>(AV111+$C$119/2*COS(Knoten!W15*PI()/180)-$C$119*SIN(Knoten!W15*PI()/180))*B111</f>
        <v>0</v>
      </c>
      <c r="AX111" s="786">
        <f>(AW111+$C$119/4*COS(Knoten!W15*PI()/180)+$C$119/2*SIN(Knoten!W15*PI()/180))*B111</f>
        <v>0</v>
      </c>
      <c r="AY111" s="787">
        <f>(AX111+$C$119/4*COS(Knoten!W15*PI()/180))*B111</f>
        <v>0</v>
      </c>
      <c r="AZ111" s="785">
        <f t="shared" si="32"/>
        <v>0</v>
      </c>
      <c r="BA111" s="786">
        <f>(AZ111+$E$119/2*SIN(Knoten!W15*PI()/180))*B111</f>
        <v>0</v>
      </c>
      <c r="BB111" s="786">
        <f>(AZ111+$E$119/2*SIN(Knoten!W15*PI()/180)+$E$119*COS(Knoten!W15*PI()/180))*B111</f>
        <v>0</v>
      </c>
      <c r="BC111" s="786">
        <f>(AZ111-$E$119/2*SIN(Knoten!W15*PI()/180)+$E$119*COS(Knoten!W15*PI()/180))*B111</f>
        <v>0</v>
      </c>
      <c r="BD111" s="786">
        <f>(AZ111-$E$119/2*SIN(Knoten!W15*PI()/180))*B111</f>
        <v>0</v>
      </c>
      <c r="BE111" s="786">
        <f t="shared" si="33"/>
        <v>0</v>
      </c>
    </row>
    <row r="112" spans="1:57" ht="13.5" customHeight="1" x14ac:dyDescent="0.25">
      <c r="A112" s="750">
        <v>14</v>
      </c>
      <c r="B112" s="740">
        <f>IF(Knoten!R16&gt;0,1,0)</f>
        <v>0</v>
      </c>
      <c r="C112" s="785">
        <f>IF(ISNUMBER(Knoten!C16),(Knoten!C16-$U$1)*B112,0)</f>
        <v>0</v>
      </c>
      <c r="D112" s="786">
        <f>(C112-$C$119/2*COS(Knoten!W16*PI()/180)+$C$119/4*SIN(Knoten!W16*PI()/180))*B112</f>
        <v>0</v>
      </c>
      <c r="E112" s="786">
        <f>(D112+$C$119*COS(Knoten!W16*PI()/180)+$C$119/2*SIN(Knoten!W16*PI()/180))*B112</f>
        <v>0</v>
      </c>
      <c r="F112" s="786">
        <f>(E112-$C$119*COS(Knoten!W16*PI()/180)+$C$119/2*SIN(Knoten!W16*PI()/180))*B112</f>
        <v>0</v>
      </c>
      <c r="G112" s="786">
        <f>(F112+$C$119*COS(Knoten!W16*PI()/180)+$C$119/2*SIN(Knoten!W16*PI()/180))*B112</f>
        <v>0</v>
      </c>
      <c r="H112" s="786">
        <f>(G112-$C$119/2*COS(Knoten!W16*PI()/180)+$C$119/4*SIN(Knoten!W16*PI()/180))*B112</f>
        <v>0</v>
      </c>
      <c r="I112" s="787">
        <f>(H112+$C$119/4*SIN(Knoten!W16*PI()/180))*B112</f>
        <v>0</v>
      </c>
      <c r="J112" s="785">
        <f t="shared" si="26"/>
        <v>0</v>
      </c>
      <c r="K112" s="786">
        <f>(J112-$E$119/2*COS(Knoten!W16*PI()/180))*B112</f>
        <v>0</v>
      </c>
      <c r="L112" s="786">
        <f>(J112-$E$119/2*COS(Knoten!W16*PI()/180)+$E$119*SIN(Knoten!W16*PI()/180))*B112</f>
        <v>0</v>
      </c>
      <c r="M112" s="786">
        <f>(J112+$E$119/2*COS(Knoten!W16*PI()/180)+$E$119*SIN(Knoten!W16*PI()/180))*B112</f>
        <v>0</v>
      </c>
      <c r="N112" s="786">
        <f>(J112+$E$119/2*COS(Knoten!W16*PI()/180))*B112</f>
        <v>0</v>
      </c>
      <c r="O112" s="786">
        <f t="shared" si="27"/>
        <v>0</v>
      </c>
      <c r="P112" s="785">
        <f>IF(ISNUMBER(Knoten!D16),(Knoten!D16-$X$1)*B112,0)</f>
        <v>0</v>
      </c>
      <c r="Q112" s="786">
        <f>(P112+$C$119/4*COS(Knoten!W16*PI()/180)+$C$119/2*SIN(Knoten!W16*PI()/180))*B112</f>
        <v>0</v>
      </c>
      <c r="R112" s="786">
        <f>(Q112+$C$119/2*COS(Knoten!W16*PI()/180)-$C$119*SIN(Knoten!W16*PI()/180))*B112</f>
        <v>0</v>
      </c>
      <c r="S112" s="786">
        <f>(R112+$C$119/2*COS(Knoten!W16*PI()/180)+$C$119*SIN(Knoten!W16*PI()/180))*B112</f>
        <v>0</v>
      </c>
      <c r="T112" s="786">
        <f>(S112+$C$119/2*COS(Knoten!W16*PI()/180)-$C$119*SIN(Knoten!W16*PI()/180))*B112</f>
        <v>0</v>
      </c>
      <c r="U112" s="786">
        <f>(T112+$C$119/4*COS(Knoten!W16*PI()/180)+$C$119/2*SIN(Knoten!W16*PI()/180))*B112</f>
        <v>0</v>
      </c>
      <c r="V112" s="787">
        <f>(U112+$C$119/4*COS(Knoten!W16*PI()/180))*B112</f>
        <v>0</v>
      </c>
      <c r="W112" s="785">
        <f t="shared" si="28"/>
        <v>0</v>
      </c>
      <c r="X112" s="786">
        <f>(W112+$E$119/2*SIN(Knoten!W16*PI()/180))*B112</f>
        <v>0</v>
      </c>
      <c r="Y112" s="786">
        <f>(W112+$E$119/2*SIN(Knoten!W16*PI()/180)+$E$119*COS(Knoten!W16*PI()/180))*B112</f>
        <v>0</v>
      </c>
      <c r="Z112" s="786">
        <f>(W112-$E$119/2*SIN(Knoten!W16*PI()/180)+$E$119*COS(Knoten!W16*PI()/180))*B112</f>
        <v>0</v>
      </c>
      <c r="AA112" s="786">
        <f>(W112-$E$119/2*SIN(Knoten!W16*PI()/180))*B112</f>
        <v>0</v>
      </c>
      <c r="AB112" s="787">
        <f t="shared" si="29"/>
        <v>0</v>
      </c>
      <c r="AD112" s="750">
        <v>14</v>
      </c>
      <c r="AE112" s="740">
        <f>IF(Knoten!R16&gt;0,1,0)</f>
        <v>0</v>
      </c>
      <c r="AF112" s="786">
        <f>IF(ISNUMBER(Knoten!C16),Z19*B112,0)</f>
        <v>0</v>
      </c>
      <c r="AG112" s="786">
        <f>(AF112-$C$119/2*COS(Knoten!W16*PI()/180)+$C$119/4*SIN(Knoten!W16*PI()/180))*B112</f>
        <v>0</v>
      </c>
      <c r="AH112" s="786">
        <f>(AG112+$C$119*COS(Knoten!W16*PI()/180)+$C$119/2*SIN(Knoten!W16*PI()/180))*B112</f>
        <v>0</v>
      </c>
      <c r="AI112" s="786">
        <f>(AH112-$C$119*COS(Knoten!W16*PI()/180)+$C$119/2*SIN(Knoten!W16*PI()/180))*B112</f>
        <v>0</v>
      </c>
      <c r="AJ112" s="786">
        <f>(AI112+$C$119*COS(Knoten!W16*PI()/180)+$C$119/2*SIN(Knoten!W16*PI()/180))*B112</f>
        <v>0</v>
      </c>
      <c r="AK112" s="786">
        <f>(AJ112-$C$119/2*COS(Knoten!W16*PI()/180)+$C$119/4*SIN(Knoten!W16*PI()/180))*B112</f>
        <v>0</v>
      </c>
      <c r="AL112" s="787">
        <f>(AK112+$C$119/4*SIN(Knoten!W16*PI()/180))*B112</f>
        <v>0</v>
      </c>
      <c r="AM112" s="785">
        <f t="shared" si="30"/>
        <v>0</v>
      </c>
      <c r="AN112" s="786">
        <f>(AM112-$E$119/2*COS(Knoten!W16*PI()/180))*B112</f>
        <v>0</v>
      </c>
      <c r="AO112" s="786">
        <f>(AM112-$E$119/2*COS(Knoten!W16*PI()/180)+$E$119*SIN(Knoten!W16*PI()/180))*B112</f>
        <v>0</v>
      </c>
      <c r="AP112" s="786">
        <f>(AM112+$E$119/2*COS(Knoten!W16*PI()/180)+$E$119*SIN(Knoten!W16*PI()/180))*B112</f>
        <v>0</v>
      </c>
      <c r="AQ112" s="786">
        <f>(AM112+$E$119/2*COS(Knoten!W16*PI()/180))*B112</f>
        <v>0</v>
      </c>
      <c r="AR112" s="786">
        <f t="shared" si="31"/>
        <v>0</v>
      </c>
      <c r="AS112" s="785">
        <f>IF(ISNUMBER(Knoten!D16),AA19*B112,0)</f>
        <v>0</v>
      </c>
      <c r="AT112" s="786">
        <f>(AS112+$C$119/4*COS(Knoten!W16*PI()/180)+$C$119/2*SIN(Knoten!W16*PI()/180))*B112</f>
        <v>0</v>
      </c>
      <c r="AU112" s="786">
        <f>(AT112+$C$119/2*COS(Knoten!W16*PI()/180)-$C$119*SIN(Knoten!W16*PI()/180))*B112</f>
        <v>0</v>
      </c>
      <c r="AV112" s="786">
        <f>(AU112+$C$119/2*COS(Knoten!W16*PI()/180)+$C$119*SIN(Knoten!W16*PI()/180))*B112</f>
        <v>0</v>
      </c>
      <c r="AW112" s="786">
        <f>(AV112+$C$119/2*COS(Knoten!W16*PI()/180)-$C$119*SIN(Knoten!W16*PI()/180))*B112</f>
        <v>0</v>
      </c>
      <c r="AX112" s="786">
        <f>(AW112+$C$119/4*COS(Knoten!W16*PI()/180)+$C$119/2*SIN(Knoten!W16*PI()/180))*B112</f>
        <v>0</v>
      </c>
      <c r="AY112" s="787">
        <f>(AX112+$C$119/4*COS(Knoten!W16*PI()/180))*B112</f>
        <v>0</v>
      </c>
      <c r="AZ112" s="785">
        <f t="shared" si="32"/>
        <v>0</v>
      </c>
      <c r="BA112" s="786">
        <f>(AZ112+$E$119/2*SIN(Knoten!W16*PI()/180))*B112</f>
        <v>0</v>
      </c>
      <c r="BB112" s="786">
        <f>(AZ112+$E$119/2*SIN(Knoten!W16*PI()/180)+$E$119*COS(Knoten!W16*PI()/180))*B112</f>
        <v>0</v>
      </c>
      <c r="BC112" s="786">
        <f>(AZ112-$E$119/2*SIN(Knoten!W16*PI()/180)+$E$119*COS(Knoten!W16*PI()/180))*B112</f>
        <v>0</v>
      </c>
      <c r="BD112" s="786">
        <f>(AZ112-$E$119/2*SIN(Knoten!W16*PI()/180))*B112</f>
        <v>0</v>
      </c>
      <c r="BE112" s="786">
        <f t="shared" si="33"/>
        <v>0</v>
      </c>
    </row>
    <row r="113" spans="1:57" ht="13.5" customHeight="1" x14ac:dyDescent="0.25">
      <c r="A113" s="750">
        <v>15</v>
      </c>
      <c r="B113" s="740">
        <f>IF(Knoten!R17&gt;0,1,0)</f>
        <v>0</v>
      </c>
      <c r="C113" s="785">
        <f>IF(ISNUMBER(Knoten!C17),(Knoten!C17-$U$1)*B113,0)</f>
        <v>0</v>
      </c>
      <c r="D113" s="786">
        <f>(C113-$C$119/2*COS(Knoten!W17*PI()/180)+$C$119/4*SIN(Knoten!W17*PI()/180))*B113</f>
        <v>0</v>
      </c>
      <c r="E113" s="786">
        <f>(D113+$C$119*COS(Knoten!W17*PI()/180)+$C$119/2*SIN(Knoten!W17*PI()/180))*B113</f>
        <v>0</v>
      </c>
      <c r="F113" s="786">
        <f>(E113-$C$119*COS(Knoten!W17*PI()/180)+$C$119/2*SIN(Knoten!W17*PI()/180))*B113</f>
        <v>0</v>
      </c>
      <c r="G113" s="786">
        <f>(F113+$C$119*COS(Knoten!W17*PI()/180)+$C$119/2*SIN(Knoten!W17*PI()/180))*B113</f>
        <v>0</v>
      </c>
      <c r="H113" s="786">
        <f>(G113-$C$119/2*COS(Knoten!W17*PI()/180)+$C$119/4*SIN(Knoten!W17*PI()/180))*B113</f>
        <v>0</v>
      </c>
      <c r="I113" s="787">
        <f>(H113+$C$119/4*SIN(Knoten!W17*PI()/180))*B113</f>
        <v>0</v>
      </c>
      <c r="J113" s="785">
        <f t="shared" si="26"/>
        <v>0</v>
      </c>
      <c r="K113" s="786">
        <f>(J113-$E$119/2*COS(Knoten!W17*PI()/180))*B113</f>
        <v>0</v>
      </c>
      <c r="L113" s="786">
        <f>(J113-$E$119/2*COS(Knoten!W17*PI()/180)+$E$119*SIN(Knoten!W17*PI()/180))*B113</f>
        <v>0</v>
      </c>
      <c r="M113" s="786">
        <f>(J113+$E$119/2*COS(Knoten!W17*PI()/180)+$E$119*SIN(Knoten!W17*PI()/180))*B113</f>
        <v>0</v>
      </c>
      <c r="N113" s="786">
        <f>(J113+$E$119/2*COS(Knoten!W17*PI()/180))*B113</f>
        <v>0</v>
      </c>
      <c r="O113" s="786">
        <f t="shared" si="27"/>
        <v>0</v>
      </c>
      <c r="P113" s="785">
        <f>IF(ISNUMBER(Knoten!D17),(Knoten!D17-$X$1)*B113,0)</f>
        <v>0</v>
      </c>
      <c r="Q113" s="786">
        <f>(P113+$C$119/4*COS(Knoten!W17*PI()/180)+$C$119/2*SIN(Knoten!W17*PI()/180))*B113</f>
        <v>0</v>
      </c>
      <c r="R113" s="786">
        <f>(Q113+$C$119/2*COS(Knoten!W17*PI()/180)-$C$119*SIN(Knoten!W17*PI()/180))*B113</f>
        <v>0</v>
      </c>
      <c r="S113" s="786">
        <f>(R113+$C$119/2*COS(Knoten!W17*PI()/180)+$C$119*SIN(Knoten!W17*PI()/180))*B113</f>
        <v>0</v>
      </c>
      <c r="T113" s="786">
        <f>(S113+$C$119/2*COS(Knoten!W17*PI()/180)-$C$119*SIN(Knoten!W17*PI()/180))*B113</f>
        <v>0</v>
      </c>
      <c r="U113" s="786">
        <f>(T113+$C$119/4*COS(Knoten!W17*PI()/180)+$C$119/2*SIN(Knoten!W17*PI()/180))*B113</f>
        <v>0</v>
      </c>
      <c r="V113" s="787">
        <f>(U113+$C$119/4*COS(Knoten!W17*PI()/180))*B113</f>
        <v>0</v>
      </c>
      <c r="W113" s="785">
        <f t="shared" si="28"/>
        <v>0</v>
      </c>
      <c r="X113" s="786">
        <f>(W113+$E$119/2*SIN(Knoten!W17*PI()/180))*B113</f>
        <v>0</v>
      </c>
      <c r="Y113" s="786">
        <f>(W113+$E$119/2*SIN(Knoten!W17*PI()/180)+$E$119*COS(Knoten!W17*PI()/180))*B113</f>
        <v>0</v>
      </c>
      <c r="Z113" s="786">
        <f>(W113-$E$119/2*SIN(Knoten!W17*PI()/180)+$E$119*COS(Knoten!W17*PI()/180))*B113</f>
        <v>0</v>
      </c>
      <c r="AA113" s="786">
        <f>(W113-$E$119/2*SIN(Knoten!W17*PI()/180))*B113</f>
        <v>0</v>
      </c>
      <c r="AB113" s="787">
        <f t="shared" si="29"/>
        <v>0</v>
      </c>
      <c r="AD113" s="750">
        <v>15</v>
      </c>
      <c r="AE113" s="740">
        <f>IF(Knoten!R17&gt;0,1,0)</f>
        <v>0</v>
      </c>
      <c r="AF113" s="786">
        <f>IF(ISNUMBER(Knoten!C17),Z20*B113,0)</f>
        <v>0</v>
      </c>
      <c r="AG113" s="786">
        <f>(AF113-$C$119/2*COS(Knoten!W17*PI()/180)+$C$119/4*SIN(Knoten!W17*PI()/180))*B113</f>
        <v>0</v>
      </c>
      <c r="AH113" s="786">
        <f>(AG113+$C$119*COS(Knoten!W17*PI()/180)+$C$119/2*SIN(Knoten!W17*PI()/180))*B113</f>
        <v>0</v>
      </c>
      <c r="AI113" s="786">
        <f>(AH113-$C$119*COS(Knoten!W17*PI()/180)+$C$119/2*SIN(Knoten!W17*PI()/180))*B113</f>
        <v>0</v>
      </c>
      <c r="AJ113" s="786">
        <f>(AI113+$C$119*COS(Knoten!W17*PI()/180)+$C$119/2*SIN(Knoten!W17*PI()/180))*B113</f>
        <v>0</v>
      </c>
      <c r="AK113" s="786">
        <f>(AJ113-$C$119/2*COS(Knoten!W17*PI()/180)+$C$119/4*SIN(Knoten!W17*PI()/180))*B113</f>
        <v>0</v>
      </c>
      <c r="AL113" s="787">
        <f>(AK113+$C$119/4*SIN(Knoten!W17*PI()/180))*B113</f>
        <v>0</v>
      </c>
      <c r="AM113" s="785">
        <f t="shared" si="30"/>
        <v>0</v>
      </c>
      <c r="AN113" s="786">
        <f>(AM113-$E$119/2*COS(Knoten!W17*PI()/180))*B113</f>
        <v>0</v>
      </c>
      <c r="AO113" s="786">
        <f>(AM113-$E$119/2*COS(Knoten!W17*PI()/180)+$E$119*SIN(Knoten!W17*PI()/180))*B113</f>
        <v>0</v>
      </c>
      <c r="AP113" s="786">
        <f>(AM113+$E$119/2*COS(Knoten!W17*PI()/180)+$E$119*SIN(Knoten!W17*PI()/180))*B113</f>
        <v>0</v>
      </c>
      <c r="AQ113" s="786">
        <f>(AM113+$E$119/2*COS(Knoten!W17*PI()/180))*B113</f>
        <v>0</v>
      </c>
      <c r="AR113" s="786">
        <f t="shared" si="31"/>
        <v>0</v>
      </c>
      <c r="AS113" s="785">
        <f>IF(ISNUMBER(Knoten!D17),AA20*B113,0)</f>
        <v>0</v>
      </c>
      <c r="AT113" s="786">
        <f>(AS113+$C$119/4*COS(Knoten!W17*PI()/180)+$C$119/2*SIN(Knoten!W17*PI()/180))*B113</f>
        <v>0</v>
      </c>
      <c r="AU113" s="786">
        <f>(AT113+$C$119/2*COS(Knoten!W17*PI()/180)-$C$119*SIN(Knoten!W17*PI()/180))*B113</f>
        <v>0</v>
      </c>
      <c r="AV113" s="786">
        <f>(AU113+$C$119/2*COS(Knoten!W17*PI()/180)+$C$119*SIN(Knoten!W17*PI()/180))*B113</f>
        <v>0</v>
      </c>
      <c r="AW113" s="786">
        <f>(AV113+$C$119/2*COS(Knoten!W17*PI()/180)-$C$119*SIN(Knoten!W17*PI()/180))*B113</f>
        <v>0</v>
      </c>
      <c r="AX113" s="786">
        <f>(AW113+$C$119/4*COS(Knoten!W17*PI()/180)+$C$119/2*SIN(Knoten!W17*PI()/180))*B113</f>
        <v>0</v>
      </c>
      <c r="AY113" s="787">
        <f>(AX113+$C$119/4*COS(Knoten!W17*PI()/180))*B113</f>
        <v>0</v>
      </c>
      <c r="AZ113" s="785">
        <f t="shared" si="32"/>
        <v>0</v>
      </c>
      <c r="BA113" s="786">
        <f>(AZ113+$E$119/2*SIN(Knoten!W17*PI()/180))*B113</f>
        <v>0</v>
      </c>
      <c r="BB113" s="786">
        <f>(AZ113+$E$119/2*SIN(Knoten!W17*PI()/180)+$E$119*COS(Knoten!W17*PI()/180))*B113</f>
        <v>0</v>
      </c>
      <c r="BC113" s="786">
        <f>(AZ113-$E$119/2*SIN(Knoten!W17*PI()/180)+$E$119*COS(Knoten!W17*PI()/180))*B113</f>
        <v>0</v>
      </c>
      <c r="BD113" s="786">
        <f>(AZ113-$E$119/2*SIN(Knoten!W17*PI()/180))*B113</f>
        <v>0</v>
      </c>
      <c r="BE113" s="786">
        <f t="shared" si="33"/>
        <v>0</v>
      </c>
    </row>
    <row r="114" spans="1:57" ht="13.5" customHeight="1" x14ac:dyDescent="0.25">
      <c r="A114" s="750">
        <v>16</v>
      </c>
      <c r="B114" s="740">
        <f>IF(Knoten!R18&gt;0,1,0)</f>
        <v>0</v>
      </c>
      <c r="C114" s="785">
        <f>IF(ISNUMBER(Knoten!C18),(Knoten!C18-$U$1)*B114,0)</f>
        <v>0</v>
      </c>
      <c r="D114" s="786">
        <f>(C114-$C$119/2*COS(Knoten!W18*PI()/180)+$C$119/4*SIN(Knoten!W18*PI()/180))*B114</f>
        <v>0</v>
      </c>
      <c r="E114" s="786">
        <f>(D114+$C$119*COS(Knoten!W18*PI()/180)+$C$119/2*SIN(Knoten!W18*PI()/180))*B114</f>
        <v>0</v>
      </c>
      <c r="F114" s="786">
        <f>(E114-$C$119*COS(Knoten!W18*PI()/180)+$C$119/2*SIN(Knoten!W18*PI()/180))*B114</f>
        <v>0</v>
      </c>
      <c r="G114" s="786">
        <f>(F114+$C$119*COS(Knoten!W18*PI()/180)+$C$119/2*SIN(Knoten!W18*PI()/180))*B114</f>
        <v>0</v>
      </c>
      <c r="H114" s="786">
        <f>(G114-$C$119/2*COS(Knoten!W18*PI()/180)+$C$119/4*SIN(Knoten!W18*PI()/180))*B114</f>
        <v>0</v>
      </c>
      <c r="I114" s="787">
        <f>(H114+$C$119/4*SIN(Knoten!W18*PI()/180))*B114</f>
        <v>0</v>
      </c>
      <c r="J114" s="785">
        <f t="shared" si="26"/>
        <v>0</v>
      </c>
      <c r="K114" s="786">
        <f>(J114-$E$119/2*COS(Knoten!W18*PI()/180))*B114</f>
        <v>0</v>
      </c>
      <c r="L114" s="786">
        <f>(J114-$E$119/2*COS(Knoten!W18*PI()/180)+$E$119*SIN(Knoten!W18*PI()/180))*B114</f>
        <v>0</v>
      </c>
      <c r="M114" s="786">
        <f>(J114+$E$119/2*COS(Knoten!W18*PI()/180)+$E$119*SIN(Knoten!W18*PI()/180))*B114</f>
        <v>0</v>
      </c>
      <c r="N114" s="786">
        <f>(J114+$E$119/2*COS(Knoten!W18*PI()/180))*B114</f>
        <v>0</v>
      </c>
      <c r="O114" s="786">
        <f t="shared" si="27"/>
        <v>0</v>
      </c>
      <c r="P114" s="785">
        <f>IF(ISNUMBER(Knoten!D18),(Knoten!D18-$X$1)*B114,0)</f>
        <v>0</v>
      </c>
      <c r="Q114" s="786">
        <f>(P114+$C$119/4*COS(Knoten!W18*PI()/180)+$C$119/2*SIN(Knoten!W18*PI()/180))*B114</f>
        <v>0</v>
      </c>
      <c r="R114" s="786">
        <f>(Q114+$C$119/2*COS(Knoten!W18*PI()/180)-$C$119*SIN(Knoten!W18*PI()/180))*B114</f>
        <v>0</v>
      </c>
      <c r="S114" s="786">
        <f>(R114+$C$119/2*COS(Knoten!W18*PI()/180)+$C$119*SIN(Knoten!W18*PI()/180))*B114</f>
        <v>0</v>
      </c>
      <c r="T114" s="786">
        <f>(S114+$C$119/2*COS(Knoten!W18*PI()/180)-$C$119*SIN(Knoten!W18*PI()/180))*B114</f>
        <v>0</v>
      </c>
      <c r="U114" s="786">
        <f>(T114+$C$119/4*COS(Knoten!W18*PI()/180)+$C$119/2*SIN(Knoten!W18*PI()/180))*B114</f>
        <v>0</v>
      </c>
      <c r="V114" s="787">
        <f>(U114+$C$119/4*COS(Knoten!W18*PI()/180))*B114</f>
        <v>0</v>
      </c>
      <c r="W114" s="785">
        <f t="shared" si="28"/>
        <v>0</v>
      </c>
      <c r="X114" s="786">
        <f>(W114+$E$119/2*SIN(Knoten!W18*PI()/180))*B114</f>
        <v>0</v>
      </c>
      <c r="Y114" s="786">
        <f>(W114+$E$119/2*SIN(Knoten!W18*PI()/180)+$E$119*COS(Knoten!W18*PI()/180))*B114</f>
        <v>0</v>
      </c>
      <c r="Z114" s="786">
        <f>(W114-$E$119/2*SIN(Knoten!W18*PI()/180)+$E$119*COS(Knoten!W18*PI()/180))*B114</f>
        <v>0</v>
      </c>
      <c r="AA114" s="786">
        <f>(W114-$E$119/2*SIN(Knoten!W18*PI()/180))*B114</f>
        <v>0</v>
      </c>
      <c r="AB114" s="787">
        <f t="shared" si="29"/>
        <v>0</v>
      </c>
      <c r="AD114" s="750">
        <v>16</v>
      </c>
      <c r="AE114" s="740">
        <f>IF(Knoten!R18&gt;0,1,0)</f>
        <v>0</v>
      </c>
      <c r="AF114" s="786">
        <f>IF(ISNUMBER(Knoten!C18),Z21*B114,0)</f>
        <v>0</v>
      </c>
      <c r="AG114" s="786">
        <f>(AF114-$C$119/2*COS(Knoten!W18*PI()/180)+$C$119/4*SIN(Knoten!W18*PI()/180))*B114</f>
        <v>0</v>
      </c>
      <c r="AH114" s="786">
        <f>(AG114+$C$119*COS(Knoten!W18*PI()/180)+$C$119/2*SIN(Knoten!W18*PI()/180))*B114</f>
        <v>0</v>
      </c>
      <c r="AI114" s="786">
        <f>(AH114-$C$119*COS(Knoten!W18*PI()/180)+$C$119/2*SIN(Knoten!W18*PI()/180))*B114</f>
        <v>0</v>
      </c>
      <c r="AJ114" s="786">
        <f>(AI114+$C$119*COS(Knoten!W18*PI()/180)+$C$119/2*SIN(Knoten!W18*PI()/180))*B114</f>
        <v>0</v>
      </c>
      <c r="AK114" s="786">
        <f>(AJ114-$C$119/2*COS(Knoten!W18*PI()/180)+$C$119/4*SIN(Knoten!W18*PI()/180))*B114</f>
        <v>0</v>
      </c>
      <c r="AL114" s="787">
        <f>(AK114+$C$119/4*SIN(Knoten!W18*PI()/180))*B114</f>
        <v>0</v>
      </c>
      <c r="AM114" s="785">
        <f t="shared" si="30"/>
        <v>0</v>
      </c>
      <c r="AN114" s="786">
        <f>(AM114-$E$119/2*COS(Knoten!W18*PI()/180))*B114</f>
        <v>0</v>
      </c>
      <c r="AO114" s="786">
        <f>(AM114-$E$119/2*COS(Knoten!W18*PI()/180)+$E$119*SIN(Knoten!W18*PI()/180))*B114</f>
        <v>0</v>
      </c>
      <c r="AP114" s="786">
        <f>(AM114+$E$119/2*COS(Knoten!W18*PI()/180)+$E$119*SIN(Knoten!W18*PI()/180))*B114</f>
        <v>0</v>
      </c>
      <c r="AQ114" s="786">
        <f>(AM114+$E$119/2*COS(Knoten!W18*PI()/180))*B114</f>
        <v>0</v>
      </c>
      <c r="AR114" s="786">
        <f t="shared" si="31"/>
        <v>0</v>
      </c>
      <c r="AS114" s="785">
        <f>IF(ISNUMBER(Knoten!D18),AA21*B114,0)</f>
        <v>0</v>
      </c>
      <c r="AT114" s="786">
        <f>(AS114+$C$119/4*COS(Knoten!W18*PI()/180)+$C$119/2*SIN(Knoten!W18*PI()/180))*B114</f>
        <v>0</v>
      </c>
      <c r="AU114" s="786">
        <f>(AT114+$C$119/2*COS(Knoten!W18*PI()/180)-$C$119*SIN(Knoten!W18*PI()/180))*B114</f>
        <v>0</v>
      </c>
      <c r="AV114" s="786">
        <f>(AU114+$C$119/2*COS(Knoten!W18*PI()/180)+$C$119*SIN(Knoten!W18*PI()/180))*B114</f>
        <v>0</v>
      </c>
      <c r="AW114" s="786">
        <f>(AV114+$C$119/2*COS(Knoten!W18*PI()/180)-$C$119*SIN(Knoten!W18*PI()/180))*B114</f>
        <v>0</v>
      </c>
      <c r="AX114" s="786">
        <f>(AW114+$C$119/4*COS(Knoten!W18*PI()/180)+$C$119/2*SIN(Knoten!W18*PI()/180))*B114</f>
        <v>0</v>
      </c>
      <c r="AY114" s="787">
        <f>(AX114+$C$119/4*COS(Knoten!W18*PI()/180))*B114</f>
        <v>0</v>
      </c>
      <c r="AZ114" s="785">
        <f t="shared" si="32"/>
        <v>0</v>
      </c>
      <c r="BA114" s="786">
        <f>(AZ114+$E$119/2*SIN(Knoten!W18*PI()/180))*B114</f>
        <v>0</v>
      </c>
      <c r="BB114" s="786">
        <f>(AZ114+$E$119/2*SIN(Knoten!W18*PI()/180)+$E$119*COS(Knoten!W18*PI()/180))*B114</f>
        <v>0</v>
      </c>
      <c r="BC114" s="786">
        <f>(AZ114-$E$119/2*SIN(Knoten!W18*PI()/180)+$E$119*COS(Knoten!W18*PI()/180))*B114</f>
        <v>0</v>
      </c>
      <c r="BD114" s="786">
        <f>(AZ114-$E$119/2*SIN(Knoten!W18*PI()/180))*B114</f>
        <v>0</v>
      </c>
      <c r="BE114" s="786">
        <f t="shared" si="33"/>
        <v>0</v>
      </c>
    </row>
    <row r="115" spans="1:57" ht="13.5" customHeight="1" x14ac:dyDescent="0.25">
      <c r="A115" s="750">
        <v>17</v>
      </c>
      <c r="B115" s="740">
        <f>IF(Knoten!R19&gt;0,1,0)</f>
        <v>0</v>
      </c>
      <c r="C115" s="785">
        <f>IF(ISNUMBER(Knoten!C19),(Knoten!C19-$U$1)*B115,0)</f>
        <v>0</v>
      </c>
      <c r="D115" s="786">
        <f>(C115-$C$119/2*COS(Knoten!W19*PI()/180)+$C$119/4*SIN(Knoten!W19*PI()/180))*B115</f>
        <v>0</v>
      </c>
      <c r="E115" s="786">
        <f>(D115+$C$119*COS(Knoten!W19*PI()/180)+$C$119/2*SIN(Knoten!W19*PI()/180))*B115</f>
        <v>0</v>
      </c>
      <c r="F115" s="786">
        <f>(E115-$C$119*COS(Knoten!W19*PI()/180)+$C$119/2*SIN(Knoten!W19*PI()/180))*B115</f>
        <v>0</v>
      </c>
      <c r="G115" s="786">
        <f>(F115+$C$119*COS(Knoten!W19*PI()/180)+$C$119/2*SIN(Knoten!W19*PI()/180))*B115</f>
        <v>0</v>
      </c>
      <c r="H115" s="786">
        <f>(G115-$C$119/2*COS(Knoten!W19*PI()/180)+$C$119/4*SIN(Knoten!W19*PI()/180))*B115</f>
        <v>0</v>
      </c>
      <c r="I115" s="787">
        <f>(H115+$C$119/4*SIN(Knoten!W19*PI()/180))*B115</f>
        <v>0</v>
      </c>
      <c r="J115" s="785">
        <f t="shared" si="26"/>
        <v>0</v>
      </c>
      <c r="K115" s="786">
        <f>(J115-$E$119/2*COS(Knoten!W19*PI()/180))*B115</f>
        <v>0</v>
      </c>
      <c r="L115" s="786">
        <f>(J115-$E$119/2*COS(Knoten!W19*PI()/180)+$E$119*SIN(Knoten!W19*PI()/180))*B115</f>
        <v>0</v>
      </c>
      <c r="M115" s="786">
        <f>(J115+$E$119/2*COS(Knoten!W19*PI()/180)+$E$119*SIN(Knoten!W19*PI()/180))*B115</f>
        <v>0</v>
      </c>
      <c r="N115" s="786">
        <f>(J115+$E$119/2*COS(Knoten!W19*PI()/180))*B115</f>
        <v>0</v>
      </c>
      <c r="O115" s="786">
        <f t="shared" si="27"/>
        <v>0</v>
      </c>
      <c r="P115" s="785">
        <f>IF(ISNUMBER(Knoten!D19),(Knoten!D19-$X$1)*B115,0)</f>
        <v>0</v>
      </c>
      <c r="Q115" s="786">
        <f>(P115+$C$119/4*COS(Knoten!W19*PI()/180)+$C$119/2*SIN(Knoten!W19*PI()/180))*B115</f>
        <v>0</v>
      </c>
      <c r="R115" s="786">
        <f>(Q115+$C$119/2*COS(Knoten!W19*PI()/180)-$C$119*SIN(Knoten!W19*PI()/180))*B115</f>
        <v>0</v>
      </c>
      <c r="S115" s="786">
        <f>(R115+$C$119/2*COS(Knoten!W19*PI()/180)+$C$119*SIN(Knoten!W19*PI()/180))*B115</f>
        <v>0</v>
      </c>
      <c r="T115" s="786">
        <f>(S115+$C$119/2*COS(Knoten!W19*PI()/180)-$C$119*SIN(Knoten!W19*PI()/180))*B115</f>
        <v>0</v>
      </c>
      <c r="U115" s="786">
        <f>(T115+$C$119/4*COS(Knoten!W19*PI()/180)+$C$119/2*SIN(Knoten!W19*PI()/180))*B115</f>
        <v>0</v>
      </c>
      <c r="V115" s="787">
        <f>(U115+$C$119/4*COS(Knoten!W19*PI()/180))*B115</f>
        <v>0</v>
      </c>
      <c r="W115" s="785">
        <f t="shared" si="28"/>
        <v>0</v>
      </c>
      <c r="X115" s="786">
        <f>(W115+$E$119/2*SIN(Knoten!W19*PI()/180))*B115</f>
        <v>0</v>
      </c>
      <c r="Y115" s="786">
        <f>(W115+$E$119/2*SIN(Knoten!W19*PI()/180)+$E$119*COS(Knoten!W19*PI()/180))*B115</f>
        <v>0</v>
      </c>
      <c r="Z115" s="786">
        <f>(W115-$E$119/2*SIN(Knoten!W19*PI()/180)+$E$119*COS(Knoten!W19*PI()/180))*B115</f>
        <v>0</v>
      </c>
      <c r="AA115" s="786">
        <f>(W115-$E$119/2*SIN(Knoten!W19*PI()/180))*B115</f>
        <v>0</v>
      </c>
      <c r="AB115" s="787">
        <f t="shared" si="29"/>
        <v>0</v>
      </c>
      <c r="AD115" s="750">
        <v>17</v>
      </c>
      <c r="AE115" s="740">
        <f>IF(Knoten!R19&gt;0,1,0)</f>
        <v>0</v>
      </c>
      <c r="AF115" s="786">
        <f>IF(ISNUMBER(Knoten!C19),Z22*B115,0)</f>
        <v>0</v>
      </c>
      <c r="AG115" s="786">
        <f>(AF115-$C$119/2*COS(Knoten!W19*PI()/180)+$C$119/4*SIN(Knoten!W19*PI()/180))*B115</f>
        <v>0</v>
      </c>
      <c r="AH115" s="786">
        <f>(AG115+$C$119*COS(Knoten!W19*PI()/180)+$C$119/2*SIN(Knoten!W19*PI()/180))*B115</f>
        <v>0</v>
      </c>
      <c r="AI115" s="786">
        <f>(AH115-$C$119*COS(Knoten!W19*PI()/180)+$C$119/2*SIN(Knoten!W19*PI()/180))*B115</f>
        <v>0</v>
      </c>
      <c r="AJ115" s="786">
        <f>(AI115+$C$119*COS(Knoten!W19*PI()/180)+$C$119/2*SIN(Knoten!W19*PI()/180))*B115</f>
        <v>0</v>
      </c>
      <c r="AK115" s="786">
        <f>(AJ115-$C$119/2*COS(Knoten!W19*PI()/180)+$C$119/4*SIN(Knoten!W19*PI()/180))*B115</f>
        <v>0</v>
      </c>
      <c r="AL115" s="787">
        <f>(AK115+$C$119/4*SIN(Knoten!W19*PI()/180))*B115</f>
        <v>0</v>
      </c>
      <c r="AM115" s="785">
        <f t="shared" si="30"/>
        <v>0</v>
      </c>
      <c r="AN115" s="786">
        <f>(AM115-$E$119/2*COS(Knoten!W19*PI()/180))*B115</f>
        <v>0</v>
      </c>
      <c r="AO115" s="786">
        <f>(AM115-$E$119/2*COS(Knoten!W19*PI()/180)+$E$119*SIN(Knoten!W19*PI()/180))*B115</f>
        <v>0</v>
      </c>
      <c r="AP115" s="786">
        <f>(AM115+$E$119/2*COS(Knoten!W19*PI()/180)+$E$119*SIN(Knoten!W19*PI()/180))*B115</f>
        <v>0</v>
      </c>
      <c r="AQ115" s="786">
        <f>(AM115+$E$119/2*COS(Knoten!W19*PI()/180))*B115</f>
        <v>0</v>
      </c>
      <c r="AR115" s="786">
        <f t="shared" si="31"/>
        <v>0</v>
      </c>
      <c r="AS115" s="785">
        <f>IF(ISNUMBER(Knoten!D19),AA22*B115,0)</f>
        <v>0</v>
      </c>
      <c r="AT115" s="786">
        <f>(AS115+$C$119/4*COS(Knoten!W19*PI()/180)+$C$119/2*SIN(Knoten!W19*PI()/180))*B115</f>
        <v>0</v>
      </c>
      <c r="AU115" s="786">
        <f>(AT115+$C$119/2*COS(Knoten!W19*PI()/180)-$C$119*SIN(Knoten!W19*PI()/180))*B115</f>
        <v>0</v>
      </c>
      <c r="AV115" s="786">
        <f>(AU115+$C$119/2*COS(Knoten!W19*PI()/180)+$C$119*SIN(Knoten!W19*PI()/180))*B115</f>
        <v>0</v>
      </c>
      <c r="AW115" s="786">
        <f>(AV115+$C$119/2*COS(Knoten!W19*PI()/180)-$C$119*SIN(Knoten!W19*PI()/180))*B115</f>
        <v>0</v>
      </c>
      <c r="AX115" s="786">
        <f>(AW115+$C$119/4*COS(Knoten!W19*PI()/180)+$C$119/2*SIN(Knoten!W19*PI()/180))*B115</f>
        <v>0</v>
      </c>
      <c r="AY115" s="787">
        <f>(AX115+$C$119/4*COS(Knoten!W19*PI()/180))*B115</f>
        <v>0</v>
      </c>
      <c r="AZ115" s="785">
        <f t="shared" si="32"/>
        <v>0</v>
      </c>
      <c r="BA115" s="786">
        <f>(AZ115+$E$119/2*SIN(Knoten!W19*PI()/180))*B115</f>
        <v>0</v>
      </c>
      <c r="BB115" s="786">
        <f>(AZ115+$E$119/2*SIN(Knoten!W19*PI()/180)+$E$119*COS(Knoten!W19*PI()/180))*B115</f>
        <v>0</v>
      </c>
      <c r="BC115" s="786">
        <f>(AZ115-$E$119/2*SIN(Knoten!W19*PI()/180)+$E$119*COS(Knoten!W19*PI()/180))*B115</f>
        <v>0</v>
      </c>
      <c r="BD115" s="786">
        <f>(AZ115-$E$119/2*SIN(Knoten!W19*PI()/180))*B115</f>
        <v>0</v>
      </c>
      <c r="BE115" s="786">
        <f t="shared" si="33"/>
        <v>0</v>
      </c>
    </row>
    <row r="116" spans="1:57" ht="13.5" customHeight="1" x14ac:dyDescent="0.25">
      <c r="A116" s="750">
        <v>18</v>
      </c>
      <c r="B116" s="740">
        <f>IF(Knoten!R20&gt;0,1,0)</f>
        <v>0</v>
      </c>
      <c r="C116" s="785">
        <f>IF(ISNUMBER(Knoten!C20),(Knoten!C20-$U$1)*B116,0)</f>
        <v>0</v>
      </c>
      <c r="D116" s="786">
        <f>(C116-$C$119/2*COS(Knoten!W20*PI()/180)+$C$119/4*SIN(Knoten!W20*PI()/180))*B116</f>
        <v>0</v>
      </c>
      <c r="E116" s="786">
        <f>(D116+$C$119*COS(Knoten!W20*PI()/180)+$C$119/2*SIN(Knoten!W20*PI()/180))*B116</f>
        <v>0</v>
      </c>
      <c r="F116" s="786">
        <f>(E116-$C$119*COS(Knoten!W20*PI()/180)+$C$119/2*SIN(Knoten!W20*PI()/180))*B116</f>
        <v>0</v>
      </c>
      <c r="G116" s="786">
        <f>(F116+$C$119*COS(Knoten!W20*PI()/180)+$C$119/2*SIN(Knoten!W20*PI()/180))*B116</f>
        <v>0</v>
      </c>
      <c r="H116" s="786">
        <f>(G116-$C$119/2*COS(Knoten!W20*PI()/180)+$C$119/4*SIN(Knoten!W20*PI()/180))*B116</f>
        <v>0</v>
      </c>
      <c r="I116" s="787">
        <f>(H116+$C$119/4*SIN(Knoten!W20*PI()/180))*B116</f>
        <v>0</v>
      </c>
      <c r="J116" s="785">
        <f t="shared" si="26"/>
        <v>0</v>
      </c>
      <c r="K116" s="786">
        <f>(J116-$E$119/2*COS(Knoten!W20*PI()/180))*B116</f>
        <v>0</v>
      </c>
      <c r="L116" s="786">
        <f>(J116-$E$119/2*COS(Knoten!W20*PI()/180)+$E$119*SIN(Knoten!W20*PI()/180))*B116</f>
        <v>0</v>
      </c>
      <c r="M116" s="786">
        <f>(J116+$E$119/2*COS(Knoten!W20*PI()/180)+$E$119*SIN(Knoten!W20*PI()/180))*B116</f>
        <v>0</v>
      </c>
      <c r="N116" s="786">
        <f>(J116+$E$119/2*COS(Knoten!W20*PI()/180))*B116</f>
        <v>0</v>
      </c>
      <c r="O116" s="786">
        <f t="shared" si="27"/>
        <v>0</v>
      </c>
      <c r="P116" s="785">
        <f>IF(ISNUMBER(Knoten!D20),(Knoten!D20-$X$1)*B116,0)</f>
        <v>0</v>
      </c>
      <c r="Q116" s="786">
        <f>(P116+$C$119/4*COS(Knoten!W20*PI()/180)+$C$119/2*SIN(Knoten!W20*PI()/180))*B116</f>
        <v>0</v>
      </c>
      <c r="R116" s="786">
        <f>(Q116+$C$119/2*COS(Knoten!W20*PI()/180)-$C$119*SIN(Knoten!W20*PI()/180))*B116</f>
        <v>0</v>
      </c>
      <c r="S116" s="786">
        <f>(R116+$C$119/2*COS(Knoten!W20*PI()/180)+$C$119*SIN(Knoten!W20*PI()/180))*B116</f>
        <v>0</v>
      </c>
      <c r="T116" s="786">
        <f>(S116+$C$119/2*COS(Knoten!W20*PI()/180)-$C$119*SIN(Knoten!W20*PI()/180))*B116</f>
        <v>0</v>
      </c>
      <c r="U116" s="786">
        <f>(T116+$C$119/4*COS(Knoten!W20*PI()/180)+$C$119/2*SIN(Knoten!W20*PI()/180))*B116</f>
        <v>0</v>
      </c>
      <c r="V116" s="787">
        <f>(U116+$C$119/4*COS(Knoten!W20*PI()/180))*B116</f>
        <v>0</v>
      </c>
      <c r="W116" s="785">
        <f t="shared" si="28"/>
        <v>0</v>
      </c>
      <c r="X116" s="786">
        <f>(W116+$E$119/2*SIN(Knoten!W20*PI()/180))*B116</f>
        <v>0</v>
      </c>
      <c r="Y116" s="786">
        <f>(W116+$E$119/2*SIN(Knoten!W20*PI()/180)+$E$119*COS(Knoten!W20*PI()/180))*B116</f>
        <v>0</v>
      </c>
      <c r="Z116" s="786">
        <f>(W116-$E$119/2*SIN(Knoten!W20*PI()/180)+$E$119*COS(Knoten!W20*PI()/180))*B116</f>
        <v>0</v>
      </c>
      <c r="AA116" s="786">
        <f>(W116-$E$119/2*SIN(Knoten!W20*PI()/180))*B116</f>
        <v>0</v>
      </c>
      <c r="AB116" s="787">
        <f t="shared" si="29"/>
        <v>0</v>
      </c>
      <c r="AD116" s="750">
        <v>18</v>
      </c>
      <c r="AE116" s="740">
        <f>IF(Knoten!R20&gt;0,1,0)</f>
        <v>0</v>
      </c>
      <c r="AF116" s="786">
        <f>IF(ISNUMBER(Knoten!C20),Z23*B116,0)</f>
        <v>0</v>
      </c>
      <c r="AG116" s="786">
        <f>(AF116-$C$119/2*COS(Knoten!W20*PI()/180)+$C$119/4*SIN(Knoten!W20*PI()/180))*B116</f>
        <v>0</v>
      </c>
      <c r="AH116" s="786">
        <f>(AG116+$C$119*COS(Knoten!W20*PI()/180)+$C$119/2*SIN(Knoten!W20*PI()/180))*B116</f>
        <v>0</v>
      </c>
      <c r="AI116" s="786">
        <f>(AH116-$C$119*COS(Knoten!W20*PI()/180)+$C$119/2*SIN(Knoten!W20*PI()/180))*B116</f>
        <v>0</v>
      </c>
      <c r="AJ116" s="786">
        <f>(AI116+$C$119*COS(Knoten!W20*PI()/180)+$C$119/2*SIN(Knoten!W20*PI()/180))*B116</f>
        <v>0</v>
      </c>
      <c r="AK116" s="786">
        <f>(AJ116-$C$119/2*COS(Knoten!W20*PI()/180)+$C$119/4*SIN(Knoten!W20*PI()/180))*B116</f>
        <v>0</v>
      </c>
      <c r="AL116" s="787">
        <f>(AK116+$C$119/4*SIN(Knoten!W20*PI()/180))*B116</f>
        <v>0</v>
      </c>
      <c r="AM116" s="785">
        <f t="shared" si="30"/>
        <v>0</v>
      </c>
      <c r="AN116" s="786">
        <f>(AM116-$E$119/2*COS(Knoten!W20*PI()/180))*B116</f>
        <v>0</v>
      </c>
      <c r="AO116" s="786">
        <f>(AM116-$E$119/2*COS(Knoten!W20*PI()/180)+$E$119*SIN(Knoten!W20*PI()/180))*B116</f>
        <v>0</v>
      </c>
      <c r="AP116" s="786">
        <f>(AM116+$E$119/2*COS(Knoten!W20*PI()/180)+$E$119*SIN(Knoten!W20*PI()/180))*B116</f>
        <v>0</v>
      </c>
      <c r="AQ116" s="786">
        <f>(AM116+$E$119/2*COS(Knoten!W20*PI()/180))*B116</f>
        <v>0</v>
      </c>
      <c r="AR116" s="786">
        <f t="shared" si="31"/>
        <v>0</v>
      </c>
      <c r="AS116" s="785">
        <f>IF(ISNUMBER(Knoten!D20),AA23*B116,0)</f>
        <v>0</v>
      </c>
      <c r="AT116" s="786">
        <f>(AS116+$C$119/4*COS(Knoten!W20*PI()/180)+$C$119/2*SIN(Knoten!W20*PI()/180))*B116</f>
        <v>0</v>
      </c>
      <c r="AU116" s="786">
        <f>(AT116+$C$119/2*COS(Knoten!W20*PI()/180)-$C$119*SIN(Knoten!W20*PI()/180))*B116</f>
        <v>0</v>
      </c>
      <c r="AV116" s="786">
        <f>(AU116+$C$119/2*COS(Knoten!W20*PI()/180)+$C$119*SIN(Knoten!W20*PI()/180))*B116</f>
        <v>0</v>
      </c>
      <c r="AW116" s="786">
        <f>(AV116+$C$119/2*COS(Knoten!W20*PI()/180)-$C$119*SIN(Knoten!W20*PI()/180))*B116</f>
        <v>0</v>
      </c>
      <c r="AX116" s="786">
        <f>(AW116+$C$119/4*COS(Knoten!W20*PI()/180)+$C$119/2*SIN(Knoten!W20*PI()/180))*B116</f>
        <v>0</v>
      </c>
      <c r="AY116" s="787">
        <f>(AX116+$C$119/4*COS(Knoten!W20*PI()/180))*B116</f>
        <v>0</v>
      </c>
      <c r="AZ116" s="785">
        <f t="shared" si="32"/>
        <v>0</v>
      </c>
      <c r="BA116" s="786">
        <f>(AZ116+$E$119/2*SIN(Knoten!W20*PI()/180))*B116</f>
        <v>0</v>
      </c>
      <c r="BB116" s="786">
        <f>(AZ116+$E$119/2*SIN(Knoten!W20*PI()/180)+$E$119*COS(Knoten!W20*PI()/180))*B116</f>
        <v>0</v>
      </c>
      <c r="BC116" s="786">
        <f>(AZ116-$E$119/2*SIN(Knoten!W20*PI()/180)+$E$119*COS(Knoten!W20*PI()/180))*B116</f>
        <v>0</v>
      </c>
      <c r="BD116" s="786">
        <f>(AZ116-$E$119/2*SIN(Knoten!W20*PI()/180))*B116</f>
        <v>0</v>
      </c>
      <c r="BE116" s="786">
        <f t="shared" si="33"/>
        <v>0</v>
      </c>
    </row>
    <row r="117" spans="1:57" ht="13.5" customHeight="1" x14ac:dyDescent="0.25">
      <c r="A117" s="750">
        <v>19</v>
      </c>
      <c r="B117" s="740">
        <f>IF(Knoten!R21&gt;0,1,0)</f>
        <v>0</v>
      </c>
      <c r="C117" s="785">
        <f>IF(ISNUMBER(Knoten!C21),(Knoten!C21-$U$1)*B117,0)</f>
        <v>0</v>
      </c>
      <c r="D117" s="786">
        <f>(C117-$C$119/2*COS(Knoten!W21*PI()/180)+$C$119/4*SIN(Knoten!W21*PI()/180))*B117</f>
        <v>0</v>
      </c>
      <c r="E117" s="786">
        <f>(D117+$C$119*COS(Knoten!W21*PI()/180)+$C$119/2*SIN(Knoten!W21*PI()/180))*B117</f>
        <v>0</v>
      </c>
      <c r="F117" s="786">
        <f>(E117-$C$119*COS(Knoten!W21*PI()/180)+$C$119/2*SIN(Knoten!W21*PI()/180))*B117</f>
        <v>0</v>
      </c>
      <c r="G117" s="786">
        <f>(F117+$C$119*COS(Knoten!W21*PI()/180)+$C$119/2*SIN(Knoten!W21*PI()/180))*B117</f>
        <v>0</v>
      </c>
      <c r="H117" s="786">
        <f>(G117-$C$119/2*COS(Knoten!W21*PI()/180)+$C$119/4*SIN(Knoten!W21*PI()/180))*B117</f>
        <v>0</v>
      </c>
      <c r="I117" s="787">
        <f>(H117+$C$119/4*SIN(Knoten!W21*PI()/180))*B117</f>
        <v>0</v>
      </c>
      <c r="J117" s="785">
        <f>I117</f>
        <v>0</v>
      </c>
      <c r="K117" s="786">
        <f>(J117-$E$119/2*COS(Knoten!W21*PI()/180))*B117</f>
        <v>0</v>
      </c>
      <c r="L117" s="786">
        <f>(J117-$E$119/2*COS(Knoten!W21*PI()/180)+$E$119*SIN(Knoten!W21*PI()/180))*B117</f>
        <v>0</v>
      </c>
      <c r="M117" s="786">
        <f>(J117+$E$119/2*COS(Knoten!W21*PI()/180)+$E$119*SIN(Knoten!W21*PI()/180))*B117</f>
        <v>0</v>
      </c>
      <c r="N117" s="786">
        <f>(J117+$E$119/2*COS(Knoten!W21*PI()/180))*B117</f>
        <v>0</v>
      </c>
      <c r="O117" s="786">
        <f>J117</f>
        <v>0</v>
      </c>
      <c r="P117" s="785">
        <f>IF(ISNUMBER(Knoten!D21),(Knoten!D21-$X$1)*B117,0)</f>
        <v>0</v>
      </c>
      <c r="Q117" s="786">
        <f>(P117+$C$119/4*COS(Knoten!W21*PI()/180)+$C$119/2*SIN(Knoten!W21*PI()/180))*B117</f>
        <v>0</v>
      </c>
      <c r="R117" s="786">
        <f>(Q117+$C$119/2*COS(Knoten!W21*PI()/180)-$C$119*SIN(Knoten!W21*PI()/180))*B117</f>
        <v>0</v>
      </c>
      <c r="S117" s="786">
        <f>(R117+$C$119/2*COS(Knoten!W21*PI()/180)+$C$119*SIN(Knoten!W21*PI()/180))*B117</f>
        <v>0</v>
      </c>
      <c r="T117" s="786">
        <f>(S117+$C$119/2*COS(Knoten!W21*PI()/180)-$C$119*SIN(Knoten!W21*PI()/180))*B117</f>
        <v>0</v>
      </c>
      <c r="U117" s="786">
        <f>(T117+$C$119/4*COS(Knoten!W21*PI()/180)+$C$119/2*SIN(Knoten!W21*PI()/180))*B117</f>
        <v>0</v>
      </c>
      <c r="V117" s="787">
        <f>(U117+$C$119/4*COS(Knoten!W21*PI()/180))*B117</f>
        <v>0</v>
      </c>
      <c r="W117" s="785">
        <f>V117</f>
        <v>0</v>
      </c>
      <c r="X117" s="786">
        <f>(W117+$E$119/2*SIN(Knoten!W21*PI()/180))*B117</f>
        <v>0</v>
      </c>
      <c r="Y117" s="786">
        <f>(W117+$E$119/2*SIN(Knoten!W21*PI()/180)+$E$119*COS(Knoten!W21*PI()/180))*B117</f>
        <v>0</v>
      </c>
      <c r="Z117" s="786">
        <f>(W117-$E$119/2*SIN(Knoten!W21*PI()/180)+$E$119*COS(Knoten!W21*PI()/180))*B117</f>
        <v>0</v>
      </c>
      <c r="AA117" s="786">
        <f>(W117-$E$119/2*SIN(Knoten!W21*PI()/180))*B117</f>
        <v>0</v>
      </c>
      <c r="AB117" s="787">
        <f>W117</f>
        <v>0</v>
      </c>
      <c r="AD117" s="750">
        <v>19</v>
      </c>
      <c r="AE117" s="740">
        <f>IF(Knoten!R21&gt;0,1,0)</f>
        <v>0</v>
      </c>
      <c r="AF117" s="786">
        <f>IF(ISNUMBER(Knoten!C21),Z24*B117,0)</f>
        <v>0</v>
      </c>
      <c r="AG117" s="786">
        <f>(AF117-$C$119/2*COS(Knoten!W21*PI()/180)+$C$119/4*SIN(Knoten!W21*PI()/180))*B117</f>
        <v>0</v>
      </c>
      <c r="AH117" s="786">
        <f>(AG117+$C$119*COS(Knoten!W21*PI()/180)+$C$119/2*SIN(Knoten!W21*PI()/180))*B117</f>
        <v>0</v>
      </c>
      <c r="AI117" s="786">
        <f>(AH117-$C$119*COS(Knoten!W21*PI()/180)+$C$119/2*SIN(Knoten!W21*PI()/180))*B117</f>
        <v>0</v>
      </c>
      <c r="AJ117" s="786">
        <f>(AI117+$C$119*COS(Knoten!W21*PI()/180)+$C$119/2*SIN(Knoten!W21*PI()/180))*B117</f>
        <v>0</v>
      </c>
      <c r="AK117" s="786">
        <f>(AJ117-$C$119/2*COS(Knoten!W21*PI()/180)+$C$119/4*SIN(Knoten!W21*PI()/180))*B117</f>
        <v>0</v>
      </c>
      <c r="AL117" s="787">
        <f>(AK117+$C$119/4*SIN(Knoten!W21*PI()/180))*B117</f>
        <v>0</v>
      </c>
      <c r="AM117" s="785">
        <f>AL117</f>
        <v>0</v>
      </c>
      <c r="AN117" s="786">
        <f>(AM117-$E$119/2*COS(Knoten!W21*PI()/180))*B117</f>
        <v>0</v>
      </c>
      <c r="AO117" s="786">
        <f>(AM117-$E$119/2*COS(Knoten!W21*PI()/180)+$E$119*SIN(Knoten!W21*PI()/180))*B117</f>
        <v>0</v>
      </c>
      <c r="AP117" s="786">
        <f>(AM117+$E$119/2*COS(Knoten!W21*PI()/180)+$E$119*SIN(Knoten!W21*PI()/180))*B117</f>
        <v>0</v>
      </c>
      <c r="AQ117" s="786">
        <f>(AM117+$E$119/2*COS(Knoten!W21*PI()/180))*B117</f>
        <v>0</v>
      </c>
      <c r="AR117" s="786">
        <f>AM117</f>
        <v>0</v>
      </c>
      <c r="AS117" s="785">
        <f>IF(ISNUMBER(Knoten!D21),AA24*B117,0)</f>
        <v>0</v>
      </c>
      <c r="AT117" s="786">
        <f>(AS117+$C$119/4*COS(Knoten!W21*PI()/180)+$C$119/2*SIN(Knoten!W21*PI()/180))*B117</f>
        <v>0</v>
      </c>
      <c r="AU117" s="786">
        <f>(AT117+$C$119/2*COS(Knoten!W21*PI()/180)-$C$119*SIN(Knoten!W21*PI()/180))*B117</f>
        <v>0</v>
      </c>
      <c r="AV117" s="786">
        <f>(AU117+$C$119/2*COS(Knoten!W21*PI()/180)+$C$119*SIN(Knoten!W21*PI()/180))*B117</f>
        <v>0</v>
      </c>
      <c r="AW117" s="786">
        <f>(AV117+$C$119/2*COS(Knoten!W21*PI()/180)-$C$119*SIN(Knoten!W21*PI()/180))*B117</f>
        <v>0</v>
      </c>
      <c r="AX117" s="786">
        <f>(AW117+$C$119/4*COS(Knoten!W21*PI()/180)+$C$119/2*SIN(Knoten!W21*PI()/180))*B117</f>
        <v>0</v>
      </c>
      <c r="AY117" s="787">
        <f>(AX117+$C$119/4*COS(Knoten!W21*PI()/180))*B117</f>
        <v>0</v>
      </c>
      <c r="AZ117" s="785">
        <f>AY117</f>
        <v>0</v>
      </c>
      <c r="BA117" s="786">
        <f>(AZ117+$E$119/2*SIN(Knoten!W21*PI()/180))*B117</f>
        <v>0</v>
      </c>
      <c r="BB117" s="786">
        <f>(AZ117+$E$119/2*SIN(Knoten!W21*PI()/180)+$E$119*COS(Knoten!W21*PI()/180))*B117</f>
        <v>0</v>
      </c>
      <c r="BC117" s="786">
        <f>(AZ117-$E$119/2*SIN(Knoten!W21*PI()/180)+$E$119*COS(Knoten!W21*PI()/180))*B117</f>
        <v>0</v>
      </c>
      <c r="BD117" s="786">
        <f>(AZ117-$E$119/2*SIN(Knoten!W21*PI()/180))*B117</f>
        <v>0</v>
      </c>
      <c r="BE117" s="786">
        <f>AZ117</f>
        <v>0</v>
      </c>
    </row>
    <row r="118" spans="1:57" ht="13.5" customHeight="1" thickBot="1" x14ac:dyDescent="0.3">
      <c r="A118" s="761">
        <v>20</v>
      </c>
      <c r="B118" s="758">
        <f>IF(Knoten!R22&gt;0,1,0)</f>
        <v>0</v>
      </c>
      <c r="C118" s="788">
        <f>IF(ISNUMBER(Knoten!C22),(Knoten!C22-$U$1)*B118,0)</f>
        <v>0</v>
      </c>
      <c r="D118" s="789">
        <f>(C118-$C$119/2*COS(Knoten!W22*PI()/180)+$C$119/4*SIN(Knoten!W22*PI()/180))*B118</f>
        <v>0</v>
      </c>
      <c r="E118" s="789">
        <f>(D118+$C$119*COS(Knoten!W22*PI()/180)+$C$119/2*SIN(Knoten!W22*PI()/180))*B118</f>
        <v>0</v>
      </c>
      <c r="F118" s="789">
        <f>(E118-$C$119*COS(Knoten!W22*PI()/180)+$C$119/2*SIN(Knoten!W22*PI()/180))*B118</f>
        <v>0</v>
      </c>
      <c r="G118" s="789">
        <f>(F118+$C$119*COS(Knoten!W22*PI()/180)+$C$119/2*SIN(Knoten!W22*PI()/180))*B118</f>
        <v>0</v>
      </c>
      <c r="H118" s="789">
        <f>(G118-$C$119/2*COS(Knoten!W22*PI()/180)+$C$119/4*SIN(Knoten!W22*PI()/180))*B118</f>
        <v>0</v>
      </c>
      <c r="I118" s="790">
        <f>(H118+$C$119/4*SIN(Knoten!W22*PI()/180))*B118</f>
        <v>0</v>
      </c>
      <c r="J118" s="788">
        <f>I118</f>
        <v>0</v>
      </c>
      <c r="K118" s="789">
        <f>(J118-$E$119/2*COS(Knoten!W22*PI()/180))*B118</f>
        <v>0</v>
      </c>
      <c r="L118" s="789">
        <f>(J118-$E$119/2*COS(Knoten!W22*PI()/180)+$E$119*SIN(Knoten!W22*PI()/180))*B118</f>
        <v>0</v>
      </c>
      <c r="M118" s="789">
        <f>(J118+$E$119/2*COS(Knoten!W22*PI()/180)+$E$119*SIN(Knoten!W22*PI()/180))*B118</f>
        <v>0</v>
      </c>
      <c r="N118" s="789">
        <f>(J118+$E$119/2*COS(Knoten!W22*PI()/180))*B118</f>
        <v>0</v>
      </c>
      <c r="O118" s="789">
        <f>J118</f>
        <v>0</v>
      </c>
      <c r="P118" s="788">
        <f>IF(ISNUMBER(Knoten!D22),(Knoten!D22-$X$1)*B118,0)</f>
        <v>0</v>
      </c>
      <c r="Q118" s="789">
        <f>(P118+$C$119/4*COS(Knoten!W22*PI()/180)+$C$119/2*SIN(Knoten!W22*PI()/180))*B118</f>
        <v>0</v>
      </c>
      <c r="R118" s="789">
        <f>(Q118+$C$119/2*COS(Knoten!W22*PI()/180)-$C$119*SIN(Knoten!W22*PI()/180))*B118</f>
        <v>0</v>
      </c>
      <c r="S118" s="789">
        <f>(R118+$C$119/2*COS(Knoten!W22*PI()/180)+$C$119*SIN(Knoten!W22*PI()/180))*B118</f>
        <v>0</v>
      </c>
      <c r="T118" s="789">
        <f>(S118+$C$119/2*COS(Knoten!W22*PI()/180)-$C$119*SIN(Knoten!W22*PI()/180))*B118</f>
        <v>0</v>
      </c>
      <c r="U118" s="789">
        <f>(T118+$C$119/4*COS(Knoten!W22*PI()/180)+$C$119/2*SIN(Knoten!W22*PI()/180))*B118</f>
        <v>0</v>
      </c>
      <c r="V118" s="790">
        <f>(U118+$C$119/4*COS(Knoten!W22*PI()/180))*B118</f>
        <v>0</v>
      </c>
      <c r="W118" s="788">
        <f>V118</f>
        <v>0</v>
      </c>
      <c r="X118" s="789">
        <f>(W118+$E$119/2*SIN(Knoten!W22*PI()/180))*B118</f>
        <v>0</v>
      </c>
      <c r="Y118" s="789">
        <f>(W118+$E$119/2*SIN(Knoten!W22*PI()/180)+$E$119*COS(Knoten!W22*PI()/180))*B118</f>
        <v>0</v>
      </c>
      <c r="Z118" s="789">
        <f>(W118-$E$119/2*SIN(Knoten!W22*PI()/180)+$E$119*COS(Knoten!W22*PI()/180))*B118</f>
        <v>0</v>
      </c>
      <c r="AA118" s="789">
        <f>(W118-$E$119/2*SIN(Knoten!W22*PI()/180))*B118</f>
        <v>0</v>
      </c>
      <c r="AB118" s="790">
        <f>W118</f>
        <v>0</v>
      </c>
      <c r="AD118" s="761">
        <v>20</v>
      </c>
      <c r="AE118" s="758">
        <f>IF(Knoten!R22&gt;0,1,0)</f>
        <v>0</v>
      </c>
      <c r="AF118" s="789">
        <f>IF(ISNUMBER(Knoten!C22),Z25*B118,0)</f>
        <v>0</v>
      </c>
      <c r="AG118" s="789">
        <f>(AF118-$C$119/2*COS(Knoten!W22*PI()/180)+$C$119/4*SIN(Knoten!W22*PI()/180))*B118</f>
        <v>0</v>
      </c>
      <c r="AH118" s="789">
        <f>(AG118+$C$119*COS(Knoten!W22*PI()/180)+$C$119/2*SIN(Knoten!W22*PI()/180))*B118</f>
        <v>0</v>
      </c>
      <c r="AI118" s="789">
        <f>(AH118-$C$119*COS(Knoten!W22*PI()/180)+$C$119/2*SIN(Knoten!W22*PI()/180))*B118</f>
        <v>0</v>
      </c>
      <c r="AJ118" s="789">
        <f>(AI118+$C$119*COS(Knoten!W22*PI()/180)+$C$119/2*SIN(Knoten!W22*PI()/180))*B118</f>
        <v>0</v>
      </c>
      <c r="AK118" s="789">
        <f>(AJ118-$C$119/2*COS(Knoten!W22*PI()/180)+$C$119/4*SIN(Knoten!W22*PI()/180))*B118</f>
        <v>0</v>
      </c>
      <c r="AL118" s="790">
        <f>(AK118+$C$119/4*SIN(Knoten!W22*PI()/180))*B118</f>
        <v>0</v>
      </c>
      <c r="AM118" s="788">
        <f>AL118</f>
        <v>0</v>
      </c>
      <c r="AN118" s="789">
        <f>(AM118-$E$119/2*COS(Knoten!W22*PI()/180))*B118</f>
        <v>0</v>
      </c>
      <c r="AO118" s="789">
        <f>(AM118-$E$119/2*COS(Knoten!W22*PI()/180)+$E$119*SIN(Knoten!W22*PI()/180))*B118</f>
        <v>0</v>
      </c>
      <c r="AP118" s="789">
        <f>(AM118+$E$119/2*COS(Knoten!W22*PI()/180)+$E$119*SIN(Knoten!W22*PI()/180))*B118</f>
        <v>0</v>
      </c>
      <c r="AQ118" s="789">
        <f>(AM118+$E$119/2*COS(Knoten!W22*PI()/180))*B118</f>
        <v>0</v>
      </c>
      <c r="AR118" s="789">
        <f>AM118</f>
        <v>0</v>
      </c>
      <c r="AS118" s="788">
        <f>IF(ISNUMBER(Knoten!D22),AA25*B118,0)</f>
        <v>0</v>
      </c>
      <c r="AT118" s="789">
        <f>(AS118+$C$119/4*COS(Knoten!W22*PI()/180)+$C$119/2*SIN(Knoten!W22*PI()/180))*B118</f>
        <v>0</v>
      </c>
      <c r="AU118" s="789">
        <f>(AT118+$C$119/2*COS(Knoten!W22*PI()/180)-$C$119*SIN(Knoten!W22*PI()/180))*B118</f>
        <v>0</v>
      </c>
      <c r="AV118" s="789">
        <f>(AU118+$C$119/2*COS(Knoten!W22*PI()/180)+$C$119*SIN(Knoten!W22*PI()/180))*B118</f>
        <v>0</v>
      </c>
      <c r="AW118" s="789">
        <f>(AV118+$C$119/2*COS(Knoten!W22*PI()/180)-$C$119*SIN(Knoten!W22*PI()/180))*B118</f>
        <v>0</v>
      </c>
      <c r="AX118" s="789">
        <f>(AW118+$C$119/4*COS(Knoten!W22*PI()/180)+$C$119/2*SIN(Knoten!W22*PI()/180))*B118</f>
        <v>0</v>
      </c>
      <c r="AY118" s="790">
        <f>(AX118+$C$119/4*COS(Knoten!W22*PI()/180))*B118</f>
        <v>0</v>
      </c>
      <c r="AZ118" s="788">
        <f>AY118</f>
        <v>0</v>
      </c>
      <c r="BA118" s="789">
        <f>(AZ118+$E$119/2*SIN(Knoten!W22*PI()/180))*B118</f>
        <v>0</v>
      </c>
      <c r="BB118" s="789">
        <f>(AZ118+$E$119/2*SIN(Knoten!W22*PI()/180)+$E$119*COS(Knoten!W22*PI()/180))*B118</f>
        <v>0</v>
      </c>
      <c r="BC118" s="789">
        <f>(AZ118-$E$119/2*SIN(Knoten!W22*PI()/180)+$E$119*COS(Knoten!W22*PI()/180))*B118</f>
        <v>0</v>
      </c>
      <c r="BD118" s="789">
        <f>(AZ118-$E$119/2*SIN(Knoten!W22*PI()/180))*B118</f>
        <v>0</v>
      </c>
      <c r="BE118" s="789">
        <f>AZ118</f>
        <v>0</v>
      </c>
    </row>
    <row r="119" spans="1:57" ht="13.5" customHeight="1" thickBot="1" x14ac:dyDescent="0.3">
      <c r="B119" s="758" t="s">
        <v>244</v>
      </c>
      <c r="C119" s="758">
        <f>4*$E$1*$H$1</f>
        <v>16.970562748477143</v>
      </c>
      <c r="D119" s="789" t="s">
        <v>245</v>
      </c>
      <c r="E119" s="758">
        <f>2*$E$1*$H$1</f>
        <v>8.4852813742385713</v>
      </c>
      <c r="F119" s="148"/>
    </row>
    <row r="121" spans="1:57" ht="29.25" customHeight="1" thickBot="1" x14ac:dyDescent="0.3">
      <c r="B121" s="780" t="s">
        <v>225</v>
      </c>
      <c r="AE121" s="780" t="s">
        <v>226</v>
      </c>
    </row>
    <row r="122" spans="1:57" ht="20.25" customHeight="1" thickBot="1" x14ac:dyDescent="0.3">
      <c r="A122" s="1331" t="s">
        <v>246</v>
      </c>
      <c r="B122" s="1334"/>
      <c r="C122" s="1331" t="s">
        <v>240</v>
      </c>
      <c r="D122" s="1332"/>
      <c r="E122" s="1332"/>
      <c r="F122" s="1332"/>
      <c r="G122" s="1332"/>
      <c r="H122" s="1332"/>
      <c r="I122" s="1333"/>
      <c r="J122" s="1331" t="s">
        <v>241</v>
      </c>
      <c r="K122" s="1332"/>
      <c r="L122" s="1332"/>
      <c r="M122" s="1332"/>
      <c r="N122" s="1332"/>
      <c r="O122" s="1333"/>
      <c r="P122" s="1331" t="s">
        <v>242</v>
      </c>
      <c r="Q122" s="1332"/>
      <c r="R122" s="1332"/>
      <c r="S122" s="1332"/>
      <c r="T122" s="1332"/>
      <c r="U122" s="1332"/>
      <c r="V122" s="1333"/>
      <c r="W122" s="1331" t="s">
        <v>243</v>
      </c>
      <c r="X122" s="1332"/>
      <c r="Y122" s="1332"/>
      <c r="Z122" s="1332"/>
      <c r="AA122" s="1332"/>
      <c r="AB122" s="1333"/>
      <c r="AD122" s="1331" t="s">
        <v>246</v>
      </c>
      <c r="AE122" s="1334"/>
      <c r="AF122" s="1331" t="s">
        <v>240</v>
      </c>
      <c r="AG122" s="1332"/>
      <c r="AH122" s="1332"/>
      <c r="AI122" s="1332"/>
      <c r="AJ122" s="1332"/>
      <c r="AK122" s="1332"/>
      <c r="AL122" s="1333"/>
      <c r="AM122" s="1331" t="s">
        <v>241</v>
      </c>
      <c r="AN122" s="1332"/>
      <c r="AO122" s="1332"/>
      <c r="AP122" s="1332"/>
      <c r="AQ122" s="1332"/>
      <c r="AR122" s="1333"/>
      <c r="AS122" s="1331" t="s">
        <v>242</v>
      </c>
      <c r="AT122" s="1332"/>
      <c r="AU122" s="1332"/>
      <c r="AV122" s="1332"/>
      <c r="AW122" s="1332"/>
      <c r="AX122" s="1332"/>
      <c r="AY122" s="1333"/>
      <c r="AZ122" s="1331" t="s">
        <v>243</v>
      </c>
      <c r="BA122" s="1332"/>
      <c r="BB122" s="1332"/>
      <c r="BC122" s="1332"/>
      <c r="BD122" s="1332"/>
      <c r="BE122" s="1333"/>
    </row>
    <row r="123" spans="1:57" ht="13.5" customHeight="1" x14ac:dyDescent="0.25">
      <c r="A123" s="750">
        <v>1</v>
      </c>
      <c r="B123" s="781">
        <f>IF(Knoten!Q3&gt;0,1,0)</f>
        <v>0</v>
      </c>
      <c r="C123" s="782">
        <f>IF(ISNUMBER(Knoten!C3),(Knoten!C3-$U$1)*B123,0)</f>
        <v>0</v>
      </c>
      <c r="D123" s="783">
        <f>(C123-$C$143/4*COS(Knoten!W3*PI()/180)+$C$143/2*SIN(Knoten!W3*PI()/180))*B123</f>
        <v>0</v>
      </c>
      <c r="E123" s="783">
        <f>(D123-$C$143/2*COS(Knoten!W3*PI()/180)-$C$143*SIN(Knoten!W3*PI()/180))*B123</f>
        <v>0</v>
      </c>
      <c r="F123" s="783">
        <f>(E123-$C$143/2*COS(Knoten!W3*PI()/180)+$C$143*SIN(Knoten!W3*PI()/180))*B123</f>
        <v>0</v>
      </c>
      <c r="G123" s="783">
        <f>(F123-$C$143/2*COS(Knoten!W3*PI()/180)-$C$143*SIN(Knoten!W3*PI()/180))*B123</f>
        <v>0</v>
      </c>
      <c r="H123" s="783">
        <f>(G123-$C$143/4*COS(Knoten!W3*PI()/180)+$C$143/2*SIN(Knoten!W3*PI()/180))*B123</f>
        <v>0</v>
      </c>
      <c r="I123" s="784">
        <f>(H123-$C$143/4*COS(Knoten!W3*PI()/180))*B123</f>
        <v>0</v>
      </c>
      <c r="J123" s="785">
        <f t="shared" ref="J123:J140" si="34">I123</f>
        <v>0</v>
      </c>
      <c r="K123" s="786">
        <f>(J123-$E$143/2*SIN(Knoten!W3*PI()/180))*B123</f>
        <v>0</v>
      </c>
      <c r="L123" s="786">
        <f>(J123-$E$143/2*SIN(Knoten!W3*PI()/180)-$E$143*COS(Knoten!W3*PI()/180))*B123</f>
        <v>0</v>
      </c>
      <c r="M123" s="786">
        <f>(J123+$E$143/2*SIN(Knoten!W3*PI()/180)-$E$143*COS(Knoten!W3*PI()/180))*B123</f>
        <v>0</v>
      </c>
      <c r="N123" s="786">
        <f>(J123+$E$143/2*SIN(Knoten!W3*PI()/180))*B123</f>
        <v>0</v>
      </c>
      <c r="O123" s="786">
        <f t="shared" ref="O123:O140" si="35">J123</f>
        <v>0</v>
      </c>
      <c r="P123" s="782">
        <f>IF(ISNUMBER(Knoten!D3),(Knoten!D3-$X$1)*B123,0)</f>
        <v>0</v>
      </c>
      <c r="Q123" s="783">
        <f>(P123+$C$143/2*COS(Knoten!W3*PI()/180)+$C$143/4*SIN(Knoten!W3*PI()/180))*B123</f>
        <v>0</v>
      </c>
      <c r="R123" s="783">
        <f>(Q123-$C$143*COS(Knoten!W3*PI()/180)+$C$143/2*SIN(Knoten!W3*PI()/180))*B123</f>
        <v>0</v>
      </c>
      <c r="S123" s="783">
        <f>(R123+$C$143*COS(Knoten!W3*PI()/180)+$C$143/2*SIN(Knoten!W3*PI()/180))*B123</f>
        <v>0</v>
      </c>
      <c r="T123" s="783">
        <f>(S123-$C$143*COS(Knoten!W3*PI()/180)+$C$143/2*SIN(Knoten!W3*PI()/180))*B123</f>
        <v>0</v>
      </c>
      <c r="U123" s="783">
        <f>(T123+$C$143/2*COS(Knoten!W3*PI()/180)+$C$143/4*SIN(Knoten!W3*PI()/180))*B123</f>
        <v>0</v>
      </c>
      <c r="V123" s="784">
        <f>(U123+$C$143/4*SIN(Knoten!W3*PI()/180))*B123</f>
        <v>0</v>
      </c>
      <c r="W123" s="785">
        <f t="shared" ref="W123:W140" si="36">V123</f>
        <v>0</v>
      </c>
      <c r="X123" s="786">
        <f>(W123-$E$143/2*COS(Knoten!W3*PI()/180))*B123</f>
        <v>0</v>
      </c>
      <c r="Y123" s="786">
        <f>(W123+$E$143*SIN(Knoten!W3*PI()/180)-$E$143/2*COS(Knoten!W3*PI()/180))*B123</f>
        <v>0</v>
      </c>
      <c r="Z123" s="786">
        <f>(W123+$E$143*SIN(Knoten!W3*PI()/180)+$E$143/2*COS(Knoten!W3*PI()/180))*B123</f>
        <v>0</v>
      </c>
      <c r="AA123" s="786">
        <f>(W123+$E$143/2*COS(Knoten!W3*PI()/180))*B123</f>
        <v>0</v>
      </c>
      <c r="AB123" s="787">
        <f t="shared" ref="AB123:AB140" si="37">W123</f>
        <v>0</v>
      </c>
      <c r="AD123" s="750">
        <v>1</v>
      </c>
      <c r="AE123" s="781">
        <f>IF(Knoten!Q3&gt;0,1,0)</f>
        <v>0</v>
      </c>
      <c r="AF123" s="786">
        <f>IF(ISNUMBER(Knoten!C3),Z6*B123,0)</f>
        <v>0</v>
      </c>
      <c r="AG123" s="786">
        <f>(AF123-$C$143/4*COS(Knoten!W3*PI()/180)+$C$143/2*SIN(Knoten!W3*PI()/180))*B123</f>
        <v>0</v>
      </c>
      <c r="AH123" s="786">
        <f>(AG123-$C$143/2*COS(Knoten!W3*PI()/180)-$C$143*SIN(Knoten!W3*PI()/180))*B123</f>
        <v>0</v>
      </c>
      <c r="AI123" s="786">
        <f>(AH123-$C$143/2*COS(Knoten!W3*PI()/180)+$C$143*SIN(Knoten!W3*PI()/180))*B123</f>
        <v>0</v>
      </c>
      <c r="AJ123" s="786">
        <f>(AI123-$C$143/2*COS(Knoten!W3*PI()/180)-$C$143*SIN(Knoten!W3*PI()/180))*B123</f>
        <v>0</v>
      </c>
      <c r="AK123" s="786">
        <f>(AJ123-$C$143/4*COS(Knoten!W3*PI()/180)+$C$143/2*SIN(Knoten!W3*PI()/180))*B123</f>
        <v>0</v>
      </c>
      <c r="AL123" s="787">
        <f>(AK123-$C$143/4*COS(Knoten!W3*PI()/180))*B123</f>
        <v>0</v>
      </c>
      <c r="AM123" s="785">
        <f t="shared" ref="AM123:AM140" si="38">AL123</f>
        <v>0</v>
      </c>
      <c r="AN123" s="786">
        <f>(AM123-$E$143/2*SIN(Knoten!W3*PI()/180))*B123</f>
        <v>0</v>
      </c>
      <c r="AO123" s="786">
        <f>(AM123-$E$143/2*SIN(Knoten!W3*PI()/180)-$E$143*COS(Knoten!W3*PI()/180))*B123</f>
        <v>0</v>
      </c>
      <c r="AP123" s="786">
        <f>(AM123+$E$143/2*SIN(Knoten!W3*PI()/180)-$E$143*COS(Knoten!W3*PI()/180))*B123</f>
        <v>0</v>
      </c>
      <c r="AQ123" s="786">
        <f>(AM123+$E$143/2*SIN(Knoten!W3*PI()/180))*B123</f>
        <v>0</v>
      </c>
      <c r="AR123" s="786">
        <f t="shared" ref="AR123:AR140" si="39">AM123</f>
        <v>0</v>
      </c>
      <c r="AS123" s="785">
        <f>IF(ISNUMBER(Knoten!D3),AA6*B123,0)</f>
        <v>0</v>
      </c>
      <c r="AT123" s="786">
        <f>(AS123+$C$143/2*COS(Knoten!W3*PI()/180)+$C$143/4*SIN(Knoten!W3*PI()/180))*B123</f>
        <v>0</v>
      </c>
      <c r="AU123" s="786">
        <f>(AT123-$C$143*COS(Knoten!W3*PI()/180)+$C$143/2*SIN(Knoten!W3*PI()/180))*B123</f>
        <v>0</v>
      </c>
      <c r="AV123" s="786">
        <f>(AU123+$C$143*COS(Knoten!W3*PI()/180)+$C$143/2*SIN(Knoten!W3*PI()/180))*B123</f>
        <v>0</v>
      </c>
      <c r="AW123" s="786">
        <f>(AV123-$C$143*COS(Knoten!W3*PI()/180)+$C$143/2*SIN(Knoten!W3*PI()/180))*B123</f>
        <v>0</v>
      </c>
      <c r="AX123" s="786">
        <f>(AW123+$C$143/2*COS(Knoten!W3*PI()/180)+$C$143/4*SIN(Knoten!W3*PI()/180))*B123</f>
        <v>0</v>
      </c>
      <c r="AY123" s="787">
        <f>(AX123+$C$143/4*SIN(Knoten!W3*PI()/180))*B123</f>
        <v>0</v>
      </c>
      <c r="AZ123" s="785">
        <f t="shared" ref="AZ123:AZ140" si="40">AY123</f>
        <v>0</v>
      </c>
      <c r="BA123" s="786">
        <f>(AZ123-$E$143/2*COS(Knoten!W3*PI()/180))*B123</f>
        <v>0</v>
      </c>
      <c r="BB123" s="786">
        <f>(AZ123+$E$143*SIN(Knoten!W3*PI()/180)-$E$143/2*COS(Knoten!W3*PI()/180))*B123</f>
        <v>0</v>
      </c>
      <c r="BC123" s="786">
        <f>(AZ123+$E$143*SIN(Knoten!W3*PI()/180)+$E$143/2*COS(Knoten!W3*PI()/180))*B123</f>
        <v>0</v>
      </c>
      <c r="BD123" s="786">
        <f>(AZ123+$E$143/2*COS(Knoten!W3*PI()/180))*B123</f>
        <v>0</v>
      </c>
      <c r="BE123" s="787">
        <f t="shared" ref="BE123:BE140" si="41">AZ123</f>
        <v>0</v>
      </c>
    </row>
    <row r="124" spans="1:57" ht="13.5" customHeight="1" x14ac:dyDescent="0.25">
      <c r="A124" s="750">
        <v>2</v>
      </c>
      <c r="B124" s="740">
        <f>IF(Knoten!Q4&gt;0,1,0)</f>
        <v>0</v>
      </c>
      <c r="C124" s="785">
        <f>IF(ISNUMBER(Knoten!C4),(Knoten!C4-$U$1)*B124,0)</f>
        <v>0</v>
      </c>
      <c r="D124" s="786">
        <f>(C124-$C$143/4*COS(Knoten!W4*PI()/180)+$C$143/2*SIN(Knoten!W4*PI()/180))*B124</f>
        <v>0</v>
      </c>
      <c r="E124" s="786">
        <f>(D124-$C$143/2*COS(Knoten!W4*PI()/180)-$C$143*SIN(Knoten!W4*PI()/180))*B124</f>
        <v>0</v>
      </c>
      <c r="F124" s="786">
        <f>(E124-$C$143/2*COS(Knoten!W4*PI()/180)+$C$143*SIN(Knoten!W4*PI()/180))*B124</f>
        <v>0</v>
      </c>
      <c r="G124" s="786">
        <f>(F124-$C$143/2*COS(Knoten!W4*PI()/180)-$C$143*SIN(Knoten!W4*PI()/180))*B124</f>
        <v>0</v>
      </c>
      <c r="H124" s="786">
        <f>(G124-$C$143/4*COS(Knoten!W4*PI()/180)+$C$143/2*SIN(Knoten!W4*PI()/180))*B124</f>
        <v>0</v>
      </c>
      <c r="I124" s="787">
        <f>(H124-$C$143/4*COS(Knoten!W4*PI()/180))*B124</f>
        <v>0</v>
      </c>
      <c r="J124" s="785">
        <f t="shared" si="34"/>
        <v>0</v>
      </c>
      <c r="K124" s="786">
        <f>(J124-$E$143/2*SIN(Knoten!W4*PI()/180))*B124</f>
        <v>0</v>
      </c>
      <c r="L124" s="786">
        <f>(J124-$E$143/2*SIN(Knoten!W4*PI()/180)-$E$143*COS(Knoten!W4*PI()/180))*B124</f>
        <v>0</v>
      </c>
      <c r="M124" s="786">
        <f>(J124+$E$143/2*SIN(Knoten!W4*PI()/180)-$E$143*COS(Knoten!W4*PI()/180))*B124</f>
        <v>0</v>
      </c>
      <c r="N124" s="786">
        <f>(J124+$E$143/2*SIN(Knoten!W4*PI()/180))*B124</f>
        <v>0</v>
      </c>
      <c r="O124" s="786">
        <f t="shared" si="35"/>
        <v>0</v>
      </c>
      <c r="P124" s="785">
        <f>IF(ISNUMBER(Knoten!D4),(Knoten!D4-$X$1)*B124,0)</f>
        <v>0</v>
      </c>
      <c r="Q124" s="786">
        <f>(P124+$C$143/2*COS(Knoten!W4*PI()/180)+$C$143/4*SIN(Knoten!W4*PI()/180))*B124</f>
        <v>0</v>
      </c>
      <c r="R124" s="786">
        <f>(Q124-$C$143*COS(Knoten!W4*PI()/180)+$C$143/2*SIN(Knoten!W4*PI()/180))*B124</f>
        <v>0</v>
      </c>
      <c r="S124" s="786">
        <f>(R124+$C$143*COS(Knoten!W4*PI()/180)+$C$143/2*SIN(Knoten!W4*PI()/180))*B124</f>
        <v>0</v>
      </c>
      <c r="T124" s="786">
        <f>(S124-$C$143*COS(Knoten!W4*PI()/180)+$C$143/2*SIN(Knoten!W4*PI()/180))*B124</f>
        <v>0</v>
      </c>
      <c r="U124" s="786">
        <f>(T124+$C$143/2*COS(Knoten!W4*PI()/180)+$C$143/4*SIN(Knoten!W4*PI()/180))*B124</f>
        <v>0</v>
      </c>
      <c r="V124" s="787">
        <f>(U124+$C$143/4*SIN(Knoten!W4*PI()/180))*B124</f>
        <v>0</v>
      </c>
      <c r="W124" s="785">
        <f t="shared" si="36"/>
        <v>0</v>
      </c>
      <c r="X124" s="786">
        <f>(W124-$E$143/2*COS(Knoten!W4*PI()/180))*B124</f>
        <v>0</v>
      </c>
      <c r="Y124" s="786">
        <f>(W124+$E$143*SIN(Knoten!W4*PI()/180)-$E$143/2*COS(Knoten!W4*PI()/180))*B124</f>
        <v>0</v>
      </c>
      <c r="Z124" s="786">
        <f>(W124+$E$143*SIN(Knoten!W4*PI()/180)+$E$143/2*COS(Knoten!W4*PI()/180))*B124</f>
        <v>0</v>
      </c>
      <c r="AA124" s="786">
        <f>(W124+$E$143/2*COS(Knoten!W4*PI()/180))*B124</f>
        <v>0</v>
      </c>
      <c r="AB124" s="787">
        <f t="shared" si="37"/>
        <v>0</v>
      </c>
      <c r="AD124" s="750">
        <v>2</v>
      </c>
      <c r="AE124" s="740">
        <f>IF(Knoten!Q4&gt;0,1,0)</f>
        <v>0</v>
      </c>
      <c r="AF124" s="786">
        <f>IF(ISNUMBER(Knoten!C4),Z7*B124,0)</f>
        <v>0</v>
      </c>
      <c r="AG124" s="786">
        <f>(AF124-$C$143/4*COS(Knoten!W4*PI()/180)+$C$143/2*SIN(Knoten!W4*PI()/180))*B124</f>
        <v>0</v>
      </c>
      <c r="AH124" s="786">
        <f>(AG124-$C$143/2*COS(Knoten!W4*PI()/180)-$C$143*SIN(Knoten!W4*PI()/180))*B124</f>
        <v>0</v>
      </c>
      <c r="AI124" s="786">
        <f>(AH124-$C$143/2*COS(Knoten!W4*PI()/180)+$C$143*SIN(Knoten!W4*PI()/180))*B124</f>
        <v>0</v>
      </c>
      <c r="AJ124" s="786">
        <f>(AI124-$C$143/2*COS(Knoten!W4*PI()/180)-$C$143*SIN(Knoten!W4*PI()/180))*B124</f>
        <v>0</v>
      </c>
      <c r="AK124" s="786">
        <f>(AJ124-$C$143/4*COS(Knoten!W4*PI()/180)+$C$143/2*SIN(Knoten!W4*PI()/180))*B124</f>
        <v>0</v>
      </c>
      <c r="AL124" s="787">
        <f>(AK124-$C$143/4*COS(Knoten!W4*PI()/180))*B124</f>
        <v>0</v>
      </c>
      <c r="AM124" s="785">
        <f t="shared" si="38"/>
        <v>0</v>
      </c>
      <c r="AN124" s="786">
        <f>(AM124-$E$143/2*SIN(Knoten!W4*PI()/180))*B124</f>
        <v>0</v>
      </c>
      <c r="AO124" s="786">
        <f>(AM124-$E$143/2*SIN(Knoten!W4*PI()/180)-$E$143*COS(Knoten!W4*PI()/180))*B124</f>
        <v>0</v>
      </c>
      <c r="AP124" s="786">
        <f>(AM124+$E$143/2*SIN(Knoten!W4*PI()/180)-$E$143*COS(Knoten!W4*PI()/180))*B124</f>
        <v>0</v>
      </c>
      <c r="AQ124" s="786">
        <f>(AM124+$E$143/2*SIN(Knoten!W4*PI()/180))*B124</f>
        <v>0</v>
      </c>
      <c r="AR124" s="786">
        <f t="shared" si="39"/>
        <v>0</v>
      </c>
      <c r="AS124" s="785">
        <f>IF(ISNUMBER(Knoten!D4),AA7*B124,0)</f>
        <v>0</v>
      </c>
      <c r="AT124" s="786">
        <f>(AS124+$C$143/2*COS(Knoten!W4*PI()/180)+$C$143/4*SIN(Knoten!W4*PI()/180))*B124</f>
        <v>0</v>
      </c>
      <c r="AU124" s="786">
        <f>(AT124-$C$143*COS(Knoten!W4*PI()/180)+$C$143/2*SIN(Knoten!W4*PI()/180))*B124</f>
        <v>0</v>
      </c>
      <c r="AV124" s="786">
        <f>(AU124+$C$143*COS(Knoten!W4*PI()/180)+$C$143/2*SIN(Knoten!W4*PI()/180))*B124</f>
        <v>0</v>
      </c>
      <c r="AW124" s="786">
        <f>(AV124-$C$143*COS(Knoten!W4*PI()/180)+$C$143/2*SIN(Knoten!W4*PI()/180))*B124</f>
        <v>0</v>
      </c>
      <c r="AX124" s="786">
        <f>(AW124+$C$143/2*COS(Knoten!W4*PI()/180)+$C$143/4*SIN(Knoten!W4*PI()/180))*B124</f>
        <v>0</v>
      </c>
      <c r="AY124" s="787">
        <f>(AX124+$C$143/4*SIN(Knoten!W4*PI()/180))*B124</f>
        <v>0</v>
      </c>
      <c r="AZ124" s="785">
        <f t="shared" si="40"/>
        <v>0</v>
      </c>
      <c r="BA124" s="786">
        <f>(AZ124-$E$143/2*COS(Knoten!W4*PI()/180))*B124</f>
        <v>0</v>
      </c>
      <c r="BB124" s="786">
        <f>(AZ124+$E$143*SIN(Knoten!W4*PI()/180)-$E$143/2*COS(Knoten!W4*PI()/180))*B124</f>
        <v>0</v>
      </c>
      <c r="BC124" s="786">
        <f>(AZ124+$E$143*SIN(Knoten!W4*PI()/180)+$E$143/2*COS(Knoten!W4*PI()/180))*B124</f>
        <v>0</v>
      </c>
      <c r="BD124" s="786">
        <f>(AZ124+$E$143/2*COS(Knoten!W4*PI()/180))*B124</f>
        <v>0</v>
      </c>
      <c r="BE124" s="787">
        <f t="shared" si="41"/>
        <v>0</v>
      </c>
    </row>
    <row r="125" spans="1:57" ht="13.5" customHeight="1" x14ac:dyDescent="0.25">
      <c r="A125" s="750">
        <v>3</v>
      </c>
      <c r="B125" s="740">
        <f>IF(Knoten!Q5&gt;0,1,0)</f>
        <v>0</v>
      </c>
      <c r="C125" s="785">
        <f>IF(ISNUMBER(Knoten!C5),(Knoten!C5-$U$1)*B125,0)</f>
        <v>0</v>
      </c>
      <c r="D125" s="786">
        <f>(C125-$C$143/4*COS(Knoten!W5*PI()/180)+$C$143/2*SIN(Knoten!W5*PI()/180))*B125</f>
        <v>0</v>
      </c>
      <c r="E125" s="786">
        <f>(D125-$C$143/2*COS(Knoten!W5*PI()/180)-$C$143*SIN(Knoten!W5*PI()/180))*B125</f>
        <v>0</v>
      </c>
      <c r="F125" s="786">
        <f>(E125-$C$143/2*COS(Knoten!W5*PI()/180)+$C$143*SIN(Knoten!W5*PI()/180))*B125</f>
        <v>0</v>
      </c>
      <c r="G125" s="786">
        <f>(F125-$C$143/2*COS(Knoten!W5*PI()/180)-$C$143*SIN(Knoten!W5*PI()/180))*B125</f>
        <v>0</v>
      </c>
      <c r="H125" s="786">
        <f>(G125-$C$143/4*COS(Knoten!W5*PI()/180)+$C$143/2*SIN(Knoten!W5*PI()/180))*B125</f>
        <v>0</v>
      </c>
      <c r="I125" s="787">
        <f>(H125-$C$143/4*COS(Knoten!W5*PI()/180))*B125</f>
        <v>0</v>
      </c>
      <c r="J125" s="785">
        <f t="shared" si="34"/>
        <v>0</v>
      </c>
      <c r="K125" s="786">
        <f>(J125-$E$143/2*SIN(Knoten!W5*PI()/180))*B125</f>
        <v>0</v>
      </c>
      <c r="L125" s="786">
        <f>(J125-$E$143/2*SIN(Knoten!W5*PI()/180)-$E$143*COS(Knoten!W5*PI()/180))*B125</f>
        <v>0</v>
      </c>
      <c r="M125" s="786">
        <f>(J125+$E$143/2*SIN(Knoten!W5*PI()/180)-$E$143*COS(Knoten!W5*PI()/180))*B125</f>
        <v>0</v>
      </c>
      <c r="N125" s="786">
        <f>(J125+$E$143/2*SIN(Knoten!W5*PI()/180))*B125</f>
        <v>0</v>
      </c>
      <c r="O125" s="786">
        <f t="shared" si="35"/>
        <v>0</v>
      </c>
      <c r="P125" s="785">
        <f>IF(ISNUMBER(Knoten!D5),(Knoten!D5-$X$1)*B125,0)</f>
        <v>0</v>
      </c>
      <c r="Q125" s="786">
        <f>(P125+$C$143/2*COS(Knoten!W5*PI()/180)+$C$143/4*SIN(Knoten!W5*PI()/180))*B125</f>
        <v>0</v>
      </c>
      <c r="R125" s="786">
        <f>(Q125-$C$143*COS(Knoten!W5*PI()/180)+$C$143/2*SIN(Knoten!W5*PI()/180))*B125</f>
        <v>0</v>
      </c>
      <c r="S125" s="786">
        <f>(R125+$C$143*COS(Knoten!W5*PI()/180)+$C$143/2*SIN(Knoten!W5*PI()/180))*B125</f>
        <v>0</v>
      </c>
      <c r="T125" s="786">
        <f>(S125-$C$143*COS(Knoten!W5*PI()/180)+$C$143/2*SIN(Knoten!W5*PI()/180))*B125</f>
        <v>0</v>
      </c>
      <c r="U125" s="786">
        <f>(T125+$C$143/2*COS(Knoten!W5*PI()/180)+$C$143/4*SIN(Knoten!W5*PI()/180))*B125</f>
        <v>0</v>
      </c>
      <c r="V125" s="787">
        <f>(U125+$C$143/4*SIN(Knoten!W5*PI()/180))*B125</f>
        <v>0</v>
      </c>
      <c r="W125" s="785">
        <f t="shared" si="36"/>
        <v>0</v>
      </c>
      <c r="X125" s="786">
        <f>(W125-$E$143/2*COS(Knoten!W5*PI()/180))*B125</f>
        <v>0</v>
      </c>
      <c r="Y125" s="786">
        <f>(W125+$E$143*SIN(Knoten!W5*PI()/180)-$E$143/2*COS(Knoten!W5*PI()/180))*B125</f>
        <v>0</v>
      </c>
      <c r="Z125" s="786">
        <f>(W125+$E$143*SIN(Knoten!W5*PI()/180)+$E$143/2*COS(Knoten!W5*PI()/180))*B125</f>
        <v>0</v>
      </c>
      <c r="AA125" s="786">
        <f>(W125+$E$143/2*COS(Knoten!W5*PI()/180))*B125</f>
        <v>0</v>
      </c>
      <c r="AB125" s="787">
        <f t="shared" si="37"/>
        <v>0</v>
      </c>
      <c r="AD125" s="750">
        <v>3</v>
      </c>
      <c r="AE125" s="740">
        <f>IF(Knoten!Q5&gt;0,1,0)</f>
        <v>0</v>
      </c>
      <c r="AF125" s="786">
        <f>IF(ISNUMBER(Knoten!C5),Z8*B125,0)</f>
        <v>0</v>
      </c>
      <c r="AG125" s="786">
        <f>(AF125-$C$143/4*COS(Knoten!W5*PI()/180)+$C$143/2*SIN(Knoten!W5*PI()/180))*B125</f>
        <v>0</v>
      </c>
      <c r="AH125" s="786">
        <f>(AG125-$C$143/2*COS(Knoten!W5*PI()/180)-$C$143*SIN(Knoten!W5*PI()/180))*B125</f>
        <v>0</v>
      </c>
      <c r="AI125" s="786">
        <f>(AH125-$C$143/2*COS(Knoten!W5*PI()/180)+$C$143*SIN(Knoten!W5*PI()/180))*B125</f>
        <v>0</v>
      </c>
      <c r="AJ125" s="786">
        <f>(AI125-$C$143/2*COS(Knoten!W5*PI()/180)-$C$143*SIN(Knoten!W5*PI()/180))*B125</f>
        <v>0</v>
      </c>
      <c r="AK125" s="786">
        <f>(AJ125-$C$143/4*COS(Knoten!W5*PI()/180)+$C$143/2*SIN(Knoten!W5*PI()/180))*B125</f>
        <v>0</v>
      </c>
      <c r="AL125" s="787">
        <f>(AK125-$C$143/4*COS(Knoten!W5*PI()/180))*B125</f>
        <v>0</v>
      </c>
      <c r="AM125" s="785">
        <f t="shared" si="38"/>
        <v>0</v>
      </c>
      <c r="AN125" s="786">
        <f>(AM125-$E$143/2*SIN(Knoten!W5*PI()/180))*B125</f>
        <v>0</v>
      </c>
      <c r="AO125" s="786">
        <f>(AM125-$E$143/2*SIN(Knoten!W5*PI()/180)-$E$143*COS(Knoten!W5*PI()/180))*B125</f>
        <v>0</v>
      </c>
      <c r="AP125" s="786">
        <f>(AM125+$E$143/2*SIN(Knoten!W5*PI()/180)-$E$143*COS(Knoten!W5*PI()/180))*B125</f>
        <v>0</v>
      </c>
      <c r="AQ125" s="786">
        <f>(AM125+$E$143/2*SIN(Knoten!W5*PI()/180))*B125</f>
        <v>0</v>
      </c>
      <c r="AR125" s="786">
        <f t="shared" si="39"/>
        <v>0</v>
      </c>
      <c r="AS125" s="785">
        <f>IF(ISNUMBER(Knoten!D5),AA8*B125,0)</f>
        <v>0</v>
      </c>
      <c r="AT125" s="786">
        <f>(AS125+$C$143/2*COS(Knoten!W5*PI()/180)+$C$143/4*SIN(Knoten!W5*PI()/180))*B125</f>
        <v>0</v>
      </c>
      <c r="AU125" s="786">
        <f>(AT125-$C$143*COS(Knoten!W5*PI()/180)+$C$143/2*SIN(Knoten!W5*PI()/180))*B125</f>
        <v>0</v>
      </c>
      <c r="AV125" s="786">
        <f>(AU125+$C$143*COS(Knoten!W5*PI()/180)+$C$143/2*SIN(Knoten!W5*PI()/180))*B125</f>
        <v>0</v>
      </c>
      <c r="AW125" s="786">
        <f>(AV125-$C$143*COS(Knoten!W5*PI()/180)+$C$143/2*SIN(Knoten!W5*PI()/180))*B125</f>
        <v>0</v>
      </c>
      <c r="AX125" s="786">
        <f>(AW125+$C$143/2*COS(Knoten!W5*PI()/180)+$C$143/4*SIN(Knoten!W5*PI()/180))*B125</f>
        <v>0</v>
      </c>
      <c r="AY125" s="787">
        <f>(AX125+$C$143/4*SIN(Knoten!W5*PI()/180))*B125</f>
        <v>0</v>
      </c>
      <c r="AZ125" s="785">
        <f t="shared" si="40"/>
        <v>0</v>
      </c>
      <c r="BA125" s="786">
        <f>(AZ125-$E$143/2*COS(Knoten!W5*PI()/180))*B125</f>
        <v>0</v>
      </c>
      <c r="BB125" s="786">
        <f>(AZ125+$E$143*SIN(Knoten!W5*PI()/180)-$E$143/2*COS(Knoten!W5*PI()/180))*B125</f>
        <v>0</v>
      </c>
      <c r="BC125" s="786">
        <f>(AZ125+$E$143*SIN(Knoten!W5*PI()/180)+$E$143/2*COS(Knoten!W5*PI()/180))*B125</f>
        <v>0</v>
      </c>
      <c r="BD125" s="786">
        <f>(AZ125+$E$143/2*COS(Knoten!W5*PI()/180))*B125</f>
        <v>0</v>
      </c>
      <c r="BE125" s="787">
        <f t="shared" si="41"/>
        <v>0</v>
      </c>
    </row>
    <row r="126" spans="1:57" x14ac:dyDescent="0.25">
      <c r="A126" s="750">
        <v>4</v>
      </c>
      <c r="B126" s="740">
        <f>IF(Knoten!Q6&gt;0,1,0)</f>
        <v>0</v>
      </c>
      <c r="C126" s="785">
        <f>IF(ISNUMBER(Knoten!C6),(Knoten!C6-$U$1)*B126,0)</f>
        <v>0</v>
      </c>
      <c r="D126" s="786">
        <f>(C126-$C$143/4*COS(Knoten!W6*PI()/180)+$C$143/2*SIN(Knoten!W6*PI()/180))*B126</f>
        <v>0</v>
      </c>
      <c r="E126" s="786">
        <f>(D126-$C$143/2*COS(Knoten!W6*PI()/180)-$C$143*SIN(Knoten!W6*PI()/180))*B126</f>
        <v>0</v>
      </c>
      <c r="F126" s="786">
        <f>(E126-$C$143/2*COS(Knoten!W6*PI()/180)+$C$143*SIN(Knoten!W6*PI()/180))*B126</f>
        <v>0</v>
      </c>
      <c r="G126" s="786">
        <f>(F126-$C$143/2*COS(Knoten!W6*PI()/180)-$C$143*SIN(Knoten!W6*PI()/180))*B126</f>
        <v>0</v>
      </c>
      <c r="H126" s="786">
        <f>(G126-$C$143/4*COS(Knoten!W6*PI()/180)+$C$143/2*SIN(Knoten!W6*PI()/180))*B126</f>
        <v>0</v>
      </c>
      <c r="I126" s="787">
        <f>(H126-$C$143/4*COS(Knoten!W6*PI()/180))*B126</f>
        <v>0</v>
      </c>
      <c r="J126" s="785">
        <f t="shared" si="34"/>
        <v>0</v>
      </c>
      <c r="K126" s="786">
        <f>(J126-$E$143/2*SIN(Knoten!W6*PI()/180))*B126</f>
        <v>0</v>
      </c>
      <c r="L126" s="786">
        <f>(J126-$E$143/2*SIN(Knoten!W6*PI()/180)-$E$143*COS(Knoten!W6*PI()/180))*B126</f>
        <v>0</v>
      </c>
      <c r="M126" s="786">
        <f>(J126+$E$143/2*SIN(Knoten!W6*PI()/180)-$E$143*COS(Knoten!W6*PI()/180))*B126</f>
        <v>0</v>
      </c>
      <c r="N126" s="786">
        <f>(J126+$E$143/2*SIN(Knoten!W6*PI()/180))*B126</f>
        <v>0</v>
      </c>
      <c r="O126" s="786">
        <f t="shared" si="35"/>
        <v>0</v>
      </c>
      <c r="P126" s="785">
        <f>IF(ISNUMBER(Knoten!D6),(Knoten!D6-$X$1)*B126,0)</f>
        <v>0</v>
      </c>
      <c r="Q126" s="786">
        <f>(P126+$C$143/2*COS(Knoten!W6*PI()/180)+$C$143/4*SIN(Knoten!W6*PI()/180))*B126</f>
        <v>0</v>
      </c>
      <c r="R126" s="786">
        <f>(Q126-$C$143*COS(Knoten!W6*PI()/180)+$C$143/2*SIN(Knoten!W6*PI()/180))*B126</f>
        <v>0</v>
      </c>
      <c r="S126" s="786">
        <f>(R126+$C$143*COS(Knoten!W6*PI()/180)+$C$143/2*SIN(Knoten!W6*PI()/180))*B126</f>
        <v>0</v>
      </c>
      <c r="T126" s="786">
        <f>(S126-$C$143*COS(Knoten!W6*PI()/180)+$C$143/2*SIN(Knoten!W6*PI()/180))*B126</f>
        <v>0</v>
      </c>
      <c r="U126" s="786">
        <f>(T126+$C$143/2*COS(Knoten!W6*PI()/180)+$C$143/4*SIN(Knoten!W6*PI()/180))*B126</f>
        <v>0</v>
      </c>
      <c r="V126" s="787">
        <f>(U126+$C$143/4*SIN(Knoten!W6*PI()/180))*B126</f>
        <v>0</v>
      </c>
      <c r="W126" s="785">
        <f t="shared" si="36"/>
        <v>0</v>
      </c>
      <c r="X126" s="786">
        <f>(W126-$E$143/2*COS(Knoten!W6*PI()/180))*B126</f>
        <v>0</v>
      </c>
      <c r="Y126" s="786">
        <f>(W126+$E$143*SIN(Knoten!W6*PI()/180)-$E$143/2*COS(Knoten!W6*PI()/180))*B126</f>
        <v>0</v>
      </c>
      <c r="Z126" s="786">
        <f>(W126+$E$143*SIN(Knoten!W6*PI()/180)+$E$143/2*COS(Knoten!W6*PI()/180))*B126</f>
        <v>0</v>
      </c>
      <c r="AA126" s="786">
        <f>(W126+$E$143/2*COS(Knoten!W6*PI()/180))*B126</f>
        <v>0</v>
      </c>
      <c r="AB126" s="787">
        <f t="shared" si="37"/>
        <v>0</v>
      </c>
      <c r="AD126" s="750">
        <v>4</v>
      </c>
      <c r="AE126" s="740">
        <f>IF(Knoten!Q6&gt;0,1,0)</f>
        <v>0</v>
      </c>
      <c r="AF126" s="786">
        <f>IF(ISNUMBER(Knoten!C6),Z9*B126,0)</f>
        <v>0</v>
      </c>
      <c r="AG126" s="786">
        <f>(AF126-$C$143/4*COS(Knoten!W6*PI()/180)+$C$143/2*SIN(Knoten!W6*PI()/180))*B126</f>
        <v>0</v>
      </c>
      <c r="AH126" s="786">
        <f>(AG126-$C$143/2*COS(Knoten!W6*PI()/180)-$C$143*SIN(Knoten!W6*PI()/180))*B126</f>
        <v>0</v>
      </c>
      <c r="AI126" s="786">
        <f>(AH126-$C$143/2*COS(Knoten!W6*PI()/180)+$C$143*SIN(Knoten!W6*PI()/180))*B126</f>
        <v>0</v>
      </c>
      <c r="AJ126" s="786">
        <f>(AI126-$C$143/2*COS(Knoten!W6*PI()/180)-$C$143*SIN(Knoten!W6*PI()/180))*B126</f>
        <v>0</v>
      </c>
      <c r="AK126" s="786">
        <f>(AJ126-$C$143/4*COS(Knoten!W6*PI()/180)+$C$143/2*SIN(Knoten!W6*PI()/180))*B126</f>
        <v>0</v>
      </c>
      <c r="AL126" s="787">
        <f>(AK126-$C$143/4*COS(Knoten!W6*PI()/180))*B126</f>
        <v>0</v>
      </c>
      <c r="AM126" s="785">
        <f t="shared" si="38"/>
        <v>0</v>
      </c>
      <c r="AN126" s="786">
        <f>(AM126-$E$143/2*SIN(Knoten!W6*PI()/180))*B126</f>
        <v>0</v>
      </c>
      <c r="AO126" s="786">
        <f>(AM126-$E$143/2*SIN(Knoten!W6*PI()/180)-$E$143*COS(Knoten!W6*PI()/180))*B126</f>
        <v>0</v>
      </c>
      <c r="AP126" s="786">
        <f>(AM126+$E$143/2*SIN(Knoten!W6*PI()/180)-$E$143*COS(Knoten!W6*PI()/180))*B126</f>
        <v>0</v>
      </c>
      <c r="AQ126" s="786">
        <f>(AM126+$E$143/2*SIN(Knoten!W6*PI()/180))*B126</f>
        <v>0</v>
      </c>
      <c r="AR126" s="786">
        <f t="shared" si="39"/>
        <v>0</v>
      </c>
      <c r="AS126" s="785">
        <f>IF(ISNUMBER(Knoten!D6),AA9*B126,0)</f>
        <v>0</v>
      </c>
      <c r="AT126" s="786">
        <f>(AS126+$C$143/2*COS(Knoten!W6*PI()/180)+$C$143/4*SIN(Knoten!W6*PI()/180))*B126</f>
        <v>0</v>
      </c>
      <c r="AU126" s="786">
        <f>(AT126-$C$143*COS(Knoten!W6*PI()/180)+$C$143/2*SIN(Knoten!W6*PI()/180))*B126</f>
        <v>0</v>
      </c>
      <c r="AV126" s="786">
        <f>(AU126+$C$143*COS(Knoten!W6*PI()/180)+$C$143/2*SIN(Knoten!W6*PI()/180))*B126</f>
        <v>0</v>
      </c>
      <c r="AW126" s="786">
        <f>(AV126-$C$143*COS(Knoten!W6*PI()/180)+$C$143/2*SIN(Knoten!W6*PI()/180))*B126</f>
        <v>0</v>
      </c>
      <c r="AX126" s="786">
        <f>(AW126+$C$143/2*COS(Knoten!W6*PI()/180)+$C$143/4*SIN(Knoten!W6*PI()/180))*B126</f>
        <v>0</v>
      </c>
      <c r="AY126" s="787">
        <f>(AX126+$C$143/4*SIN(Knoten!W6*PI()/180))*B126</f>
        <v>0</v>
      </c>
      <c r="AZ126" s="785">
        <f t="shared" si="40"/>
        <v>0</v>
      </c>
      <c r="BA126" s="786">
        <f>(AZ126-$E$143/2*COS(Knoten!W6*PI()/180))*B126</f>
        <v>0</v>
      </c>
      <c r="BB126" s="786">
        <f>(AZ126+$E$143*SIN(Knoten!W6*PI()/180)-$E$143/2*COS(Knoten!W6*PI()/180))*B126</f>
        <v>0</v>
      </c>
      <c r="BC126" s="786">
        <f>(AZ126+$E$143*SIN(Knoten!W6*PI()/180)+$E$143/2*COS(Knoten!W6*PI()/180))*B126</f>
        <v>0</v>
      </c>
      <c r="BD126" s="786">
        <f>(AZ126+$E$143/2*COS(Knoten!W6*PI()/180))*B126</f>
        <v>0</v>
      </c>
      <c r="BE126" s="787">
        <f t="shared" si="41"/>
        <v>0</v>
      </c>
    </row>
    <row r="127" spans="1:57" x14ac:dyDescent="0.25">
      <c r="A127" s="750">
        <v>5</v>
      </c>
      <c r="B127" s="740">
        <f>IF(Knoten!Q7&gt;0,1,0)</f>
        <v>0</v>
      </c>
      <c r="C127" s="785">
        <f>IF(ISNUMBER(Knoten!C7),(Knoten!C7-$U$1)*B127,0)</f>
        <v>0</v>
      </c>
      <c r="D127" s="786">
        <f>(C127-$C$143/4*COS(Knoten!W7*PI()/180)+$C$143/2*SIN(Knoten!W7*PI()/180))*B127</f>
        <v>0</v>
      </c>
      <c r="E127" s="786">
        <f>(D127-$C$143/2*COS(Knoten!W7*PI()/180)-$C$143*SIN(Knoten!W7*PI()/180))*B127</f>
        <v>0</v>
      </c>
      <c r="F127" s="786">
        <f>(E127-$C$143/2*COS(Knoten!W7*PI()/180)+$C$143*SIN(Knoten!W7*PI()/180))*B127</f>
        <v>0</v>
      </c>
      <c r="G127" s="786">
        <f>(F127-$C$143/2*COS(Knoten!W7*PI()/180)-$C$143*SIN(Knoten!W7*PI()/180))*B127</f>
        <v>0</v>
      </c>
      <c r="H127" s="786">
        <f>(G127-$C$143/4*COS(Knoten!W7*PI()/180)+$C$143/2*SIN(Knoten!W7*PI()/180))*B127</f>
        <v>0</v>
      </c>
      <c r="I127" s="787">
        <f>(H127-$C$143/4*COS(Knoten!W7*PI()/180))*B127</f>
        <v>0</v>
      </c>
      <c r="J127" s="785">
        <f t="shared" si="34"/>
        <v>0</v>
      </c>
      <c r="K127" s="786">
        <f>(J127-$E$143/2*SIN(Knoten!W7*PI()/180))*B127</f>
        <v>0</v>
      </c>
      <c r="L127" s="786">
        <f>(J127-$E$143/2*SIN(Knoten!W7*PI()/180)-$E$143*COS(Knoten!W7*PI()/180))*B127</f>
        <v>0</v>
      </c>
      <c r="M127" s="786">
        <f>(J127+$E$143/2*SIN(Knoten!W7*PI()/180)-$E$143*COS(Knoten!W7*PI()/180))*B127</f>
        <v>0</v>
      </c>
      <c r="N127" s="786">
        <f>(J127+$E$143/2*SIN(Knoten!W7*PI()/180))*B127</f>
        <v>0</v>
      </c>
      <c r="O127" s="786">
        <f t="shared" si="35"/>
        <v>0</v>
      </c>
      <c r="P127" s="785">
        <f>IF(ISNUMBER(Knoten!D7),(Knoten!D7-$X$1)*B127,0)</f>
        <v>0</v>
      </c>
      <c r="Q127" s="786">
        <f>(P127+$C$143/2*COS(Knoten!W7*PI()/180)+$C$143/4*SIN(Knoten!W7*PI()/180))*B127</f>
        <v>0</v>
      </c>
      <c r="R127" s="786">
        <f>(Q127-$C$143*COS(Knoten!W7*PI()/180)+$C$143/2*SIN(Knoten!W7*PI()/180))*B127</f>
        <v>0</v>
      </c>
      <c r="S127" s="786">
        <f>(R127+$C$143*COS(Knoten!W7*PI()/180)+$C$143/2*SIN(Knoten!W7*PI()/180))*B127</f>
        <v>0</v>
      </c>
      <c r="T127" s="786">
        <f>(S127-$C$143*COS(Knoten!W7*PI()/180)+$C$143/2*SIN(Knoten!W7*PI()/180))*B127</f>
        <v>0</v>
      </c>
      <c r="U127" s="786">
        <f>(T127+$C$143/2*COS(Knoten!W7*PI()/180)+$C$143/4*SIN(Knoten!W7*PI()/180))*B127</f>
        <v>0</v>
      </c>
      <c r="V127" s="787">
        <f>(U127+$C$143/4*SIN(Knoten!W7*PI()/180))*B127</f>
        <v>0</v>
      </c>
      <c r="W127" s="785">
        <f t="shared" si="36"/>
        <v>0</v>
      </c>
      <c r="X127" s="786">
        <f>(W127-$E$143/2*COS(Knoten!W7*PI()/180))*B127</f>
        <v>0</v>
      </c>
      <c r="Y127" s="786">
        <f>(W127+$E$143*SIN(Knoten!W7*PI()/180)-$E$143/2*COS(Knoten!W7*PI()/180))*B127</f>
        <v>0</v>
      </c>
      <c r="Z127" s="786">
        <f>(W127+$E$143*SIN(Knoten!W7*PI()/180)+$E$143/2*COS(Knoten!W7*PI()/180))*B127</f>
        <v>0</v>
      </c>
      <c r="AA127" s="786">
        <f>(W127+$E$143/2*COS(Knoten!W7*PI()/180))*B127</f>
        <v>0</v>
      </c>
      <c r="AB127" s="787">
        <f t="shared" si="37"/>
        <v>0</v>
      </c>
      <c r="AD127" s="750">
        <v>5</v>
      </c>
      <c r="AE127" s="740">
        <f>IF(Knoten!Q7&gt;0,1,0)</f>
        <v>0</v>
      </c>
      <c r="AF127" s="786">
        <f>IF(ISNUMBER(Knoten!C7),Z10*B127,0)</f>
        <v>0</v>
      </c>
      <c r="AG127" s="786">
        <f>(AF127-$C$143/4*COS(Knoten!W7*PI()/180)+$C$143/2*SIN(Knoten!W7*PI()/180))*B127</f>
        <v>0</v>
      </c>
      <c r="AH127" s="786">
        <f>(AG127-$C$143/2*COS(Knoten!W7*PI()/180)-$C$143*SIN(Knoten!W7*PI()/180))*B127</f>
        <v>0</v>
      </c>
      <c r="AI127" s="786">
        <f>(AH127-$C$143/2*COS(Knoten!W7*PI()/180)+$C$143*SIN(Knoten!W7*PI()/180))*B127</f>
        <v>0</v>
      </c>
      <c r="AJ127" s="786">
        <f>(AI127-$C$143/2*COS(Knoten!W7*PI()/180)-$C$143*SIN(Knoten!W7*PI()/180))*B127</f>
        <v>0</v>
      </c>
      <c r="AK127" s="786">
        <f>(AJ127-$C$143/4*COS(Knoten!W7*PI()/180)+$C$143/2*SIN(Knoten!W7*PI()/180))*B127</f>
        <v>0</v>
      </c>
      <c r="AL127" s="787">
        <f>(AK127-$C$143/4*COS(Knoten!W7*PI()/180))*B127</f>
        <v>0</v>
      </c>
      <c r="AM127" s="785">
        <f t="shared" si="38"/>
        <v>0</v>
      </c>
      <c r="AN127" s="786">
        <f>(AM127-$E$143/2*SIN(Knoten!W7*PI()/180))*B127</f>
        <v>0</v>
      </c>
      <c r="AO127" s="786">
        <f>(AM127-$E$143/2*SIN(Knoten!W7*PI()/180)-$E$143*COS(Knoten!W7*PI()/180))*B127</f>
        <v>0</v>
      </c>
      <c r="AP127" s="786">
        <f>(AM127+$E$143/2*SIN(Knoten!W7*PI()/180)-$E$143*COS(Knoten!W7*PI()/180))*B127</f>
        <v>0</v>
      </c>
      <c r="AQ127" s="786">
        <f>(AM127+$E$143/2*SIN(Knoten!W7*PI()/180))*B127</f>
        <v>0</v>
      </c>
      <c r="AR127" s="786">
        <f t="shared" si="39"/>
        <v>0</v>
      </c>
      <c r="AS127" s="785">
        <f>IF(ISNUMBER(Knoten!D7),AA10*B127,0)</f>
        <v>0</v>
      </c>
      <c r="AT127" s="786">
        <f>(AS127+$C$143/2*COS(Knoten!W7*PI()/180)+$C$143/4*SIN(Knoten!W7*PI()/180))*B127</f>
        <v>0</v>
      </c>
      <c r="AU127" s="786">
        <f>(AT127-$C$143*COS(Knoten!W7*PI()/180)+$C$143/2*SIN(Knoten!W7*PI()/180))*B127</f>
        <v>0</v>
      </c>
      <c r="AV127" s="786">
        <f>(AU127+$C$143*COS(Knoten!W7*PI()/180)+$C$143/2*SIN(Knoten!W7*PI()/180))*B127</f>
        <v>0</v>
      </c>
      <c r="AW127" s="786">
        <f>(AV127-$C$143*COS(Knoten!W7*PI()/180)+$C$143/2*SIN(Knoten!W7*PI()/180))*B127</f>
        <v>0</v>
      </c>
      <c r="AX127" s="786">
        <f>(AW127+$C$143/2*COS(Knoten!W7*PI()/180)+$C$143/4*SIN(Knoten!W7*PI()/180))*B127</f>
        <v>0</v>
      </c>
      <c r="AY127" s="787">
        <f>(AX127+$C$143/4*SIN(Knoten!W7*PI()/180))*B127</f>
        <v>0</v>
      </c>
      <c r="AZ127" s="785">
        <f t="shared" si="40"/>
        <v>0</v>
      </c>
      <c r="BA127" s="786">
        <f>(AZ127-$E$143/2*COS(Knoten!W7*PI()/180))*B127</f>
        <v>0</v>
      </c>
      <c r="BB127" s="786">
        <f>(AZ127+$E$143*SIN(Knoten!W7*PI()/180)-$E$143/2*COS(Knoten!W7*PI()/180))*B127</f>
        <v>0</v>
      </c>
      <c r="BC127" s="786">
        <f>(AZ127+$E$143*SIN(Knoten!W7*PI()/180)+$E$143/2*COS(Knoten!W7*PI()/180))*B127</f>
        <v>0</v>
      </c>
      <c r="BD127" s="786">
        <f>(AZ127+$E$143/2*COS(Knoten!W7*PI()/180))*B127</f>
        <v>0</v>
      </c>
      <c r="BE127" s="787">
        <f t="shared" si="41"/>
        <v>0</v>
      </c>
    </row>
    <row r="128" spans="1:57" x14ac:dyDescent="0.25">
      <c r="A128" s="750">
        <v>6</v>
      </c>
      <c r="B128" s="740">
        <f>IF(Knoten!Q8&gt;0,1,0)</f>
        <v>0</v>
      </c>
      <c r="C128" s="785">
        <f>IF(ISNUMBER(Knoten!C8),(Knoten!C8-$U$1)*B128,0)</f>
        <v>0</v>
      </c>
      <c r="D128" s="786">
        <f>(C128-$C$143/4*COS(Knoten!W8*PI()/180)+$C$143/2*SIN(Knoten!W8*PI()/180))*B128</f>
        <v>0</v>
      </c>
      <c r="E128" s="786">
        <f>(D128-$C$143/2*COS(Knoten!W8*PI()/180)-$C$143*SIN(Knoten!W8*PI()/180))*B128</f>
        <v>0</v>
      </c>
      <c r="F128" s="786">
        <f>(E128-$C$143/2*COS(Knoten!W8*PI()/180)+$C$143*SIN(Knoten!W8*PI()/180))*B128</f>
        <v>0</v>
      </c>
      <c r="G128" s="786">
        <f>(F128-$C$143/2*COS(Knoten!W8*PI()/180)-$C$143*SIN(Knoten!W8*PI()/180))*B128</f>
        <v>0</v>
      </c>
      <c r="H128" s="786">
        <f>(G128-$C$143/4*COS(Knoten!W8*PI()/180)+$C$143/2*SIN(Knoten!W8*PI()/180))*B128</f>
        <v>0</v>
      </c>
      <c r="I128" s="787">
        <f>(H128-$C$143/4*COS(Knoten!W8*PI()/180))*B128</f>
        <v>0</v>
      </c>
      <c r="J128" s="785">
        <f t="shared" si="34"/>
        <v>0</v>
      </c>
      <c r="K128" s="786">
        <f>(J128-$E$143/2*SIN(Knoten!W8*PI()/180))*B128</f>
        <v>0</v>
      </c>
      <c r="L128" s="786">
        <f>(J128-$E$143/2*SIN(Knoten!W8*PI()/180)-$E$143*COS(Knoten!W8*PI()/180))*B128</f>
        <v>0</v>
      </c>
      <c r="M128" s="786">
        <f>(J128+$E$143/2*SIN(Knoten!W8*PI()/180)-$E$143*COS(Knoten!W8*PI()/180))*B128</f>
        <v>0</v>
      </c>
      <c r="N128" s="786">
        <f>(J128+$E$143/2*SIN(Knoten!W8*PI()/180))*B128</f>
        <v>0</v>
      </c>
      <c r="O128" s="786">
        <f t="shared" si="35"/>
        <v>0</v>
      </c>
      <c r="P128" s="785">
        <f>IF(ISNUMBER(Knoten!D8),(Knoten!D8-$X$1)*B128,0)</f>
        <v>0</v>
      </c>
      <c r="Q128" s="786">
        <f>(P128+$C$143/2*COS(Knoten!W8*PI()/180)+$C$143/4*SIN(Knoten!W8*PI()/180))*B128</f>
        <v>0</v>
      </c>
      <c r="R128" s="786">
        <f>(Q128-$C$143*COS(Knoten!W8*PI()/180)+$C$143/2*SIN(Knoten!W8*PI()/180))*B128</f>
        <v>0</v>
      </c>
      <c r="S128" s="786">
        <f>(R128+$C$143*COS(Knoten!W8*PI()/180)+$C$143/2*SIN(Knoten!W8*PI()/180))*B128</f>
        <v>0</v>
      </c>
      <c r="T128" s="786">
        <f>(S128-$C$143*COS(Knoten!W8*PI()/180)+$C$143/2*SIN(Knoten!W8*PI()/180))*B128</f>
        <v>0</v>
      </c>
      <c r="U128" s="786">
        <f>(T128+$C$143/2*COS(Knoten!W8*PI()/180)+$C$143/4*SIN(Knoten!W8*PI()/180))*B128</f>
        <v>0</v>
      </c>
      <c r="V128" s="787">
        <f>(U128+$C$143/4*SIN(Knoten!W8*PI()/180))*B128</f>
        <v>0</v>
      </c>
      <c r="W128" s="785">
        <f t="shared" si="36"/>
        <v>0</v>
      </c>
      <c r="X128" s="786">
        <f>(W128-$E$143/2*COS(Knoten!W8*PI()/180))*B128</f>
        <v>0</v>
      </c>
      <c r="Y128" s="786">
        <f>(W128+$E$143*SIN(Knoten!W8*PI()/180)-$E$143/2*COS(Knoten!W8*PI()/180))*B128</f>
        <v>0</v>
      </c>
      <c r="Z128" s="786">
        <f>(W128+$E$143*SIN(Knoten!W8*PI()/180)+$E$143/2*COS(Knoten!W8*PI()/180))*B128</f>
        <v>0</v>
      </c>
      <c r="AA128" s="786">
        <f>(W128+$E$143/2*COS(Knoten!W8*PI()/180))*B128</f>
        <v>0</v>
      </c>
      <c r="AB128" s="787">
        <f t="shared" si="37"/>
        <v>0</v>
      </c>
      <c r="AD128" s="750">
        <v>6</v>
      </c>
      <c r="AE128" s="740">
        <f>IF(Knoten!Q8&gt;0,1,0)</f>
        <v>0</v>
      </c>
      <c r="AF128" s="786">
        <f>IF(ISNUMBER(Knoten!C8),Z11*B128,0)</f>
        <v>0</v>
      </c>
      <c r="AG128" s="786">
        <f>(AF128-$C$143/4*COS(Knoten!W8*PI()/180)+$C$143/2*SIN(Knoten!W8*PI()/180))*B128</f>
        <v>0</v>
      </c>
      <c r="AH128" s="786">
        <f>(AG128-$C$143/2*COS(Knoten!W8*PI()/180)-$C$143*SIN(Knoten!W8*PI()/180))*B128</f>
        <v>0</v>
      </c>
      <c r="AI128" s="786">
        <f>(AH128-$C$143/2*COS(Knoten!W8*PI()/180)+$C$143*SIN(Knoten!W8*PI()/180))*B128</f>
        <v>0</v>
      </c>
      <c r="AJ128" s="786">
        <f>(AI128-$C$143/2*COS(Knoten!W8*PI()/180)-$C$143*SIN(Knoten!W8*PI()/180))*B128</f>
        <v>0</v>
      </c>
      <c r="AK128" s="786">
        <f>(AJ128-$C$143/4*COS(Knoten!W8*PI()/180)+$C$143/2*SIN(Knoten!W8*PI()/180))*B128</f>
        <v>0</v>
      </c>
      <c r="AL128" s="787">
        <f>(AK128-$C$143/4*COS(Knoten!W8*PI()/180))*B128</f>
        <v>0</v>
      </c>
      <c r="AM128" s="785">
        <f t="shared" si="38"/>
        <v>0</v>
      </c>
      <c r="AN128" s="786">
        <f>(AM128-$E$143/2*SIN(Knoten!W8*PI()/180))*B128</f>
        <v>0</v>
      </c>
      <c r="AO128" s="786">
        <f>(AM128-$E$143/2*SIN(Knoten!W8*PI()/180)-$E$143*COS(Knoten!W8*PI()/180))*B128</f>
        <v>0</v>
      </c>
      <c r="AP128" s="786">
        <f>(AM128+$E$143/2*SIN(Knoten!W8*PI()/180)-$E$143*COS(Knoten!W8*PI()/180))*B128</f>
        <v>0</v>
      </c>
      <c r="AQ128" s="786">
        <f>(AM128+$E$143/2*SIN(Knoten!W8*PI()/180))*B128</f>
        <v>0</v>
      </c>
      <c r="AR128" s="786">
        <f t="shared" si="39"/>
        <v>0</v>
      </c>
      <c r="AS128" s="785">
        <f>IF(ISNUMBER(Knoten!D8),AA11*B128,0)</f>
        <v>0</v>
      </c>
      <c r="AT128" s="786">
        <f>(AS128+$C$143/2*COS(Knoten!W8*PI()/180)+$C$143/4*SIN(Knoten!W8*PI()/180))*B128</f>
        <v>0</v>
      </c>
      <c r="AU128" s="786">
        <f>(AT128-$C$143*COS(Knoten!W8*PI()/180)+$C$143/2*SIN(Knoten!W8*PI()/180))*B128</f>
        <v>0</v>
      </c>
      <c r="AV128" s="786">
        <f>(AU128+$C$143*COS(Knoten!W8*PI()/180)+$C$143/2*SIN(Knoten!W8*PI()/180))*B128</f>
        <v>0</v>
      </c>
      <c r="AW128" s="786">
        <f>(AV128-$C$143*COS(Knoten!W8*PI()/180)+$C$143/2*SIN(Knoten!W8*PI()/180))*B128</f>
        <v>0</v>
      </c>
      <c r="AX128" s="786">
        <f>(AW128+$C$143/2*COS(Knoten!W8*PI()/180)+$C$143/4*SIN(Knoten!W8*PI()/180))*B128</f>
        <v>0</v>
      </c>
      <c r="AY128" s="787">
        <f>(AX128+$C$143/4*SIN(Knoten!W8*PI()/180))*B128</f>
        <v>0</v>
      </c>
      <c r="AZ128" s="785">
        <f t="shared" si="40"/>
        <v>0</v>
      </c>
      <c r="BA128" s="786">
        <f>(AZ128-$E$143/2*COS(Knoten!W8*PI()/180))*B128</f>
        <v>0</v>
      </c>
      <c r="BB128" s="786">
        <f>(AZ128+$E$143*SIN(Knoten!W8*PI()/180)-$E$143/2*COS(Knoten!W8*PI()/180))*B128</f>
        <v>0</v>
      </c>
      <c r="BC128" s="786">
        <f>(AZ128+$E$143*SIN(Knoten!W8*PI()/180)+$E$143/2*COS(Knoten!W8*PI()/180))*B128</f>
        <v>0</v>
      </c>
      <c r="BD128" s="786">
        <f>(AZ128+$E$143/2*COS(Knoten!W8*PI()/180))*B128</f>
        <v>0</v>
      </c>
      <c r="BE128" s="787">
        <f t="shared" si="41"/>
        <v>0</v>
      </c>
    </row>
    <row r="129" spans="1:57" x14ac:dyDescent="0.25">
      <c r="A129" s="750">
        <v>7</v>
      </c>
      <c r="B129" s="740">
        <f>IF(Knoten!Q9&gt;0,1,0)</f>
        <v>0</v>
      </c>
      <c r="C129" s="785">
        <f>IF(ISNUMBER(Knoten!C9),(Knoten!C9-$U$1)*B129,0)</f>
        <v>0</v>
      </c>
      <c r="D129" s="786">
        <f>(C129-$C$143/4*COS(Knoten!W9*PI()/180)+$C$143/2*SIN(Knoten!W9*PI()/180))*B129</f>
        <v>0</v>
      </c>
      <c r="E129" s="786">
        <f>(D129-$C$143/2*COS(Knoten!W9*PI()/180)-$C$143*SIN(Knoten!W9*PI()/180))*B129</f>
        <v>0</v>
      </c>
      <c r="F129" s="786">
        <f>(E129-$C$143/2*COS(Knoten!W9*PI()/180)+$C$143*SIN(Knoten!W9*PI()/180))*B129</f>
        <v>0</v>
      </c>
      <c r="G129" s="786">
        <f>(F129-$C$143/2*COS(Knoten!W9*PI()/180)-$C$143*SIN(Knoten!W9*PI()/180))*B129</f>
        <v>0</v>
      </c>
      <c r="H129" s="786">
        <f>(G129-$C$143/4*COS(Knoten!W9*PI()/180)+$C$143/2*SIN(Knoten!W9*PI()/180))*B129</f>
        <v>0</v>
      </c>
      <c r="I129" s="787">
        <f>(H129-$C$143/4*COS(Knoten!W9*PI()/180))*B129</f>
        <v>0</v>
      </c>
      <c r="J129" s="785">
        <f t="shared" si="34"/>
        <v>0</v>
      </c>
      <c r="K129" s="786">
        <f>(J129-$E$143/2*SIN(Knoten!W9*PI()/180))*B129</f>
        <v>0</v>
      </c>
      <c r="L129" s="786">
        <f>(J129-$E$143/2*SIN(Knoten!W9*PI()/180)-$E$143*COS(Knoten!W9*PI()/180))*B129</f>
        <v>0</v>
      </c>
      <c r="M129" s="786">
        <f>(J129+$E$143/2*SIN(Knoten!W9*PI()/180)-$E$143*COS(Knoten!W9*PI()/180))*B129</f>
        <v>0</v>
      </c>
      <c r="N129" s="786">
        <f>(J129+$E$143/2*SIN(Knoten!W9*PI()/180))*B129</f>
        <v>0</v>
      </c>
      <c r="O129" s="786">
        <f t="shared" si="35"/>
        <v>0</v>
      </c>
      <c r="P129" s="785">
        <f>IF(ISNUMBER(Knoten!D9),(Knoten!D9-$X$1)*B129,0)</f>
        <v>0</v>
      </c>
      <c r="Q129" s="786">
        <f>(P129+$C$143/2*COS(Knoten!W9*PI()/180)+$C$143/4*SIN(Knoten!W9*PI()/180))*B129</f>
        <v>0</v>
      </c>
      <c r="R129" s="786">
        <f>(Q129-$C$143*COS(Knoten!W9*PI()/180)+$C$143/2*SIN(Knoten!W9*PI()/180))*B129</f>
        <v>0</v>
      </c>
      <c r="S129" s="786">
        <f>(R129+$C$143*COS(Knoten!W9*PI()/180)+$C$143/2*SIN(Knoten!W9*PI()/180))*B129</f>
        <v>0</v>
      </c>
      <c r="T129" s="786">
        <f>(S129-$C$143*COS(Knoten!W9*PI()/180)+$C$143/2*SIN(Knoten!W9*PI()/180))*B129</f>
        <v>0</v>
      </c>
      <c r="U129" s="786">
        <f>(T129+$C$143/2*COS(Knoten!W9*PI()/180)+$C$143/4*SIN(Knoten!W9*PI()/180))*B129</f>
        <v>0</v>
      </c>
      <c r="V129" s="787">
        <f>(U129+$C$143/4*SIN(Knoten!W9*PI()/180))*B129</f>
        <v>0</v>
      </c>
      <c r="W129" s="785">
        <f t="shared" si="36"/>
        <v>0</v>
      </c>
      <c r="X129" s="786">
        <f>(W129-$E$143/2*COS(Knoten!W9*PI()/180))*B129</f>
        <v>0</v>
      </c>
      <c r="Y129" s="786">
        <f>(W129+$E$143*SIN(Knoten!W9*PI()/180)-$E$143/2*COS(Knoten!W9*PI()/180))*B129</f>
        <v>0</v>
      </c>
      <c r="Z129" s="786">
        <f>(W129+$E$143*SIN(Knoten!W9*PI()/180)+$E$143/2*COS(Knoten!W9*PI()/180))*B129</f>
        <v>0</v>
      </c>
      <c r="AA129" s="786">
        <f>(W129+$E$143/2*COS(Knoten!W9*PI()/180))*B129</f>
        <v>0</v>
      </c>
      <c r="AB129" s="787">
        <f t="shared" si="37"/>
        <v>0</v>
      </c>
      <c r="AD129" s="750">
        <v>7</v>
      </c>
      <c r="AE129" s="740">
        <f>IF(Knoten!Q9&gt;0,1,0)</f>
        <v>0</v>
      </c>
      <c r="AF129" s="786">
        <f>IF(ISNUMBER(Knoten!C9),Z12*B129,0)</f>
        <v>0</v>
      </c>
      <c r="AG129" s="786">
        <f>(AF129-$C$143/4*COS(Knoten!W9*PI()/180)+$C$143/2*SIN(Knoten!W9*PI()/180))*B129</f>
        <v>0</v>
      </c>
      <c r="AH129" s="786">
        <f>(AG129-$C$143/2*COS(Knoten!W9*PI()/180)-$C$143*SIN(Knoten!W9*PI()/180))*B129</f>
        <v>0</v>
      </c>
      <c r="AI129" s="786">
        <f>(AH129-$C$143/2*COS(Knoten!W9*PI()/180)+$C$143*SIN(Knoten!W9*PI()/180))*B129</f>
        <v>0</v>
      </c>
      <c r="AJ129" s="786">
        <f>(AI129-$C$143/2*COS(Knoten!W9*PI()/180)-$C$143*SIN(Knoten!W9*PI()/180))*B129</f>
        <v>0</v>
      </c>
      <c r="AK129" s="786">
        <f>(AJ129-$C$143/4*COS(Knoten!W9*PI()/180)+$C$143/2*SIN(Knoten!W9*PI()/180))*B129</f>
        <v>0</v>
      </c>
      <c r="AL129" s="787">
        <f>(AK129-$C$143/4*COS(Knoten!W9*PI()/180))*B129</f>
        <v>0</v>
      </c>
      <c r="AM129" s="785">
        <f t="shared" si="38"/>
        <v>0</v>
      </c>
      <c r="AN129" s="786">
        <f>(AM129-$E$143/2*SIN(Knoten!W9*PI()/180))*B129</f>
        <v>0</v>
      </c>
      <c r="AO129" s="786">
        <f>(AM129-$E$143/2*SIN(Knoten!W9*PI()/180)-$E$143*COS(Knoten!W9*PI()/180))*B129</f>
        <v>0</v>
      </c>
      <c r="AP129" s="786">
        <f>(AM129+$E$143/2*SIN(Knoten!W9*PI()/180)-$E$143*COS(Knoten!W9*PI()/180))*B129</f>
        <v>0</v>
      </c>
      <c r="AQ129" s="786">
        <f>(AM129+$E$143/2*SIN(Knoten!W9*PI()/180))*B129</f>
        <v>0</v>
      </c>
      <c r="AR129" s="786">
        <f t="shared" si="39"/>
        <v>0</v>
      </c>
      <c r="AS129" s="785">
        <f>IF(ISNUMBER(Knoten!D9),AA12*B129,0)</f>
        <v>0</v>
      </c>
      <c r="AT129" s="786">
        <f>(AS129+$C$143/2*COS(Knoten!W9*PI()/180)+$C$143/4*SIN(Knoten!W9*PI()/180))*B129</f>
        <v>0</v>
      </c>
      <c r="AU129" s="786">
        <f>(AT129-$C$143*COS(Knoten!W9*PI()/180)+$C$143/2*SIN(Knoten!W9*PI()/180))*B129</f>
        <v>0</v>
      </c>
      <c r="AV129" s="786">
        <f>(AU129+$C$143*COS(Knoten!W9*PI()/180)+$C$143/2*SIN(Knoten!W9*PI()/180))*B129</f>
        <v>0</v>
      </c>
      <c r="AW129" s="786">
        <f>(AV129-$C$143*COS(Knoten!W9*PI()/180)+$C$143/2*SIN(Knoten!W9*PI()/180))*B129</f>
        <v>0</v>
      </c>
      <c r="AX129" s="786">
        <f>(AW129+$C$143/2*COS(Knoten!W9*PI()/180)+$C$143/4*SIN(Knoten!W9*PI()/180))*B129</f>
        <v>0</v>
      </c>
      <c r="AY129" s="787">
        <f>(AX129+$C$143/4*SIN(Knoten!W9*PI()/180))*B129</f>
        <v>0</v>
      </c>
      <c r="AZ129" s="785">
        <f t="shared" si="40"/>
        <v>0</v>
      </c>
      <c r="BA129" s="786">
        <f>(AZ129-$E$143/2*COS(Knoten!W9*PI()/180))*B129</f>
        <v>0</v>
      </c>
      <c r="BB129" s="786">
        <f>(AZ129+$E$143*SIN(Knoten!W9*PI()/180)-$E$143/2*COS(Knoten!W9*PI()/180))*B129</f>
        <v>0</v>
      </c>
      <c r="BC129" s="786">
        <f>(AZ129+$E$143*SIN(Knoten!W9*PI()/180)+$E$143/2*COS(Knoten!W9*PI()/180))*B129</f>
        <v>0</v>
      </c>
      <c r="BD129" s="786">
        <f>(AZ129+$E$143/2*COS(Knoten!W9*PI()/180))*B129</f>
        <v>0</v>
      </c>
      <c r="BE129" s="787">
        <f t="shared" si="41"/>
        <v>0</v>
      </c>
    </row>
    <row r="130" spans="1:57" x14ac:dyDescent="0.25">
      <c r="A130" s="750">
        <v>8</v>
      </c>
      <c r="B130" s="740">
        <f>IF(Knoten!Q10&gt;0,1,0)</f>
        <v>0</v>
      </c>
      <c r="C130" s="785">
        <f>IF(ISNUMBER(Knoten!C10),(Knoten!C10-$U$1)*B130,0)</f>
        <v>0</v>
      </c>
      <c r="D130" s="786">
        <f>(C130-$C$143/4*COS(Knoten!W10*PI()/180)+$C$143/2*SIN(Knoten!W10*PI()/180))*B130</f>
        <v>0</v>
      </c>
      <c r="E130" s="786">
        <f>(D130-$C$143/2*COS(Knoten!W10*PI()/180)-$C$143*SIN(Knoten!W10*PI()/180))*B130</f>
        <v>0</v>
      </c>
      <c r="F130" s="786">
        <f>(E130-$C$143/2*COS(Knoten!W10*PI()/180)+$C$143*SIN(Knoten!W10*PI()/180))*B130</f>
        <v>0</v>
      </c>
      <c r="G130" s="786">
        <f>(F130-$C$143/2*COS(Knoten!W10*PI()/180)-$C$143*SIN(Knoten!W10*PI()/180))*B130</f>
        <v>0</v>
      </c>
      <c r="H130" s="786">
        <f>(G130-$C$143/4*COS(Knoten!W10*PI()/180)+$C$143/2*SIN(Knoten!W10*PI()/180))*B130</f>
        <v>0</v>
      </c>
      <c r="I130" s="787">
        <f>(H130-$C$143/4*COS(Knoten!W10*PI()/180))*B130</f>
        <v>0</v>
      </c>
      <c r="J130" s="785">
        <f t="shared" si="34"/>
        <v>0</v>
      </c>
      <c r="K130" s="786">
        <f>(J130-$E$143/2*SIN(Knoten!W10*PI()/180))*B130</f>
        <v>0</v>
      </c>
      <c r="L130" s="786">
        <f>(J130-$E$143/2*SIN(Knoten!W10*PI()/180)-$E$143*COS(Knoten!W10*PI()/180))*B130</f>
        <v>0</v>
      </c>
      <c r="M130" s="786">
        <f>(J130+$E$143/2*SIN(Knoten!W10*PI()/180)-$E$143*COS(Knoten!W10*PI()/180))*B130</f>
        <v>0</v>
      </c>
      <c r="N130" s="786">
        <f>(J130+$E$143/2*SIN(Knoten!W10*PI()/180))*B130</f>
        <v>0</v>
      </c>
      <c r="O130" s="786">
        <f t="shared" si="35"/>
        <v>0</v>
      </c>
      <c r="P130" s="785">
        <f>IF(ISNUMBER(Knoten!D10),(Knoten!D10-$X$1)*B130,0)</f>
        <v>0</v>
      </c>
      <c r="Q130" s="786">
        <f>(P130+$C$143/2*COS(Knoten!W10*PI()/180)+$C$143/4*SIN(Knoten!W10*PI()/180))*B130</f>
        <v>0</v>
      </c>
      <c r="R130" s="786">
        <f>(Q130-$C$143*COS(Knoten!W10*PI()/180)+$C$143/2*SIN(Knoten!W10*PI()/180))*B130</f>
        <v>0</v>
      </c>
      <c r="S130" s="786">
        <f>(R130+$C$143*COS(Knoten!W10*PI()/180)+$C$143/2*SIN(Knoten!W10*PI()/180))*B130</f>
        <v>0</v>
      </c>
      <c r="T130" s="786">
        <f>(S130-$C$143*COS(Knoten!W10*PI()/180)+$C$143/2*SIN(Knoten!W10*PI()/180))*B130</f>
        <v>0</v>
      </c>
      <c r="U130" s="786">
        <f>(T130+$C$143/2*COS(Knoten!W10*PI()/180)+$C$143/4*SIN(Knoten!W10*PI()/180))*B130</f>
        <v>0</v>
      </c>
      <c r="V130" s="787">
        <f>(U130+$C$143/4*SIN(Knoten!W10*PI()/180))*B130</f>
        <v>0</v>
      </c>
      <c r="W130" s="785">
        <f t="shared" si="36"/>
        <v>0</v>
      </c>
      <c r="X130" s="786">
        <f>(W130-$E$143/2*COS(Knoten!W10*PI()/180))*B130</f>
        <v>0</v>
      </c>
      <c r="Y130" s="786">
        <f>(W130+$E$143*SIN(Knoten!W10*PI()/180)-$E$143/2*COS(Knoten!W10*PI()/180))*B130</f>
        <v>0</v>
      </c>
      <c r="Z130" s="786">
        <f>(W130+$E$143*SIN(Knoten!W10*PI()/180)+$E$143/2*COS(Knoten!W10*PI()/180))*B130</f>
        <v>0</v>
      </c>
      <c r="AA130" s="786">
        <f>(W130+$E$143/2*COS(Knoten!W10*PI()/180))*B130</f>
        <v>0</v>
      </c>
      <c r="AB130" s="787">
        <f t="shared" si="37"/>
        <v>0</v>
      </c>
      <c r="AD130" s="750">
        <v>8</v>
      </c>
      <c r="AE130" s="740">
        <f>IF(Knoten!Q10&gt;0,1,0)</f>
        <v>0</v>
      </c>
      <c r="AF130" s="786">
        <f>IF(ISNUMBER(Knoten!C10),Z13*B130,0)</f>
        <v>0</v>
      </c>
      <c r="AG130" s="786">
        <f>(AF130-$C$143/4*COS(Knoten!W10*PI()/180)+$C$143/2*SIN(Knoten!W10*PI()/180))*B130</f>
        <v>0</v>
      </c>
      <c r="AH130" s="786">
        <f>(AG130-$C$143/2*COS(Knoten!W10*PI()/180)-$C$143*SIN(Knoten!W10*PI()/180))*B130</f>
        <v>0</v>
      </c>
      <c r="AI130" s="786">
        <f>(AH130-$C$143/2*COS(Knoten!W10*PI()/180)+$C$143*SIN(Knoten!W10*PI()/180))*B130</f>
        <v>0</v>
      </c>
      <c r="AJ130" s="786">
        <f>(AI130-$C$143/2*COS(Knoten!W10*PI()/180)-$C$143*SIN(Knoten!W10*PI()/180))*B130</f>
        <v>0</v>
      </c>
      <c r="AK130" s="786">
        <f>(AJ130-$C$143/4*COS(Knoten!W10*PI()/180)+$C$143/2*SIN(Knoten!W10*PI()/180))*B130</f>
        <v>0</v>
      </c>
      <c r="AL130" s="787">
        <f>(AK130-$C$143/4*COS(Knoten!W10*PI()/180))*B130</f>
        <v>0</v>
      </c>
      <c r="AM130" s="785">
        <f t="shared" si="38"/>
        <v>0</v>
      </c>
      <c r="AN130" s="786">
        <f>(AM130-$E$143/2*SIN(Knoten!W10*PI()/180))*B130</f>
        <v>0</v>
      </c>
      <c r="AO130" s="786">
        <f>(AM130-$E$143/2*SIN(Knoten!W10*PI()/180)-$E$143*COS(Knoten!W10*PI()/180))*B130</f>
        <v>0</v>
      </c>
      <c r="AP130" s="786">
        <f>(AM130+$E$143/2*SIN(Knoten!W10*PI()/180)-$E$143*COS(Knoten!W10*PI()/180))*B130</f>
        <v>0</v>
      </c>
      <c r="AQ130" s="786">
        <f>(AM130+$E$143/2*SIN(Knoten!W10*PI()/180))*B130</f>
        <v>0</v>
      </c>
      <c r="AR130" s="786">
        <f t="shared" si="39"/>
        <v>0</v>
      </c>
      <c r="AS130" s="785">
        <f>IF(ISNUMBER(Knoten!D10),AA13*B130,0)</f>
        <v>0</v>
      </c>
      <c r="AT130" s="786">
        <f>(AS130+$C$143/2*COS(Knoten!W10*PI()/180)+$C$143/4*SIN(Knoten!W10*PI()/180))*B130</f>
        <v>0</v>
      </c>
      <c r="AU130" s="786">
        <f>(AT130-$C$143*COS(Knoten!W10*PI()/180)+$C$143/2*SIN(Knoten!W10*PI()/180))*B130</f>
        <v>0</v>
      </c>
      <c r="AV130" s="786">
        <f>(AU130+$C$143*COS(Knoten!W10*PI()/180)+$C$143/2*SIN(Knoten!W10*PI()/180))*B130</f>
        <v>0</v>
      </c>
      <c r="AW130" s="786">
        <f>(AV130-$C$143*COS(Knoten!W10*PI()/180)+$C$143/2*SIN(Knoten!W10*PI()/180))*B130</f>
        <v>0</v>
      </c>
      <c r="AX130" s="786">
        <f>(AW130+$C$143/2*COS(Knoten!W10*PI()/180)+$C$143/4*SIN(Knoten!W10*PI()/180))*B130</f>
        <v>0</v>
      </c>
      <c r="AY130" s="787">
        <f>(AX130+$C$143/4*SIN(Knoten!W10*PI()/180))*B130</f>
        <v>0</v>
      </c>
      <c r="AZ130" s="785">
        <f t="shared" si="40"/>
        <v>0</v>
      </c>
      <c r="BA130" s="786">
        <f>(AZ130-$E$143/2*COS(Knoten!W10*PI()/180))*B130</f>
        <v>0</v>
      </c>
      <c r="BB130" s="786">
        <f>(AZ130+$E$143*SIN(Knoten!W10*PI()/180)-$E$143/2*COS(Knoten!W10*PI()/180))*B130</f>
        <v>0</v>
      </c>
      <c r="BC130" s="786">
        <f>(AZ130+$E$143*SIN(Knoten!W10*PI()/180)+$E$143/2*COS(Knoten!W10*PI()/180))*B130</f>
        <v>0</v>
      </c>
      <c r="BD130" s="786">
        <f>(AZ130+$E$143/2*COS(Knoten!W10*PI()/180))*B130</f>
        <v>0</v>
      </c>
      <c r="BE130" s="787">
        <f t="shared" si="41"/>
        <v>0</v>
      </c>
    </row>
    <row r="131" spans="1:57" x14ac:dyDescent="0.25">
      <c r="A131" s="750">
        <v>9</v>
      </c>
      <c r="B131" s="740">
        <f>IF(Knoten!Q11&gt;0,1,0)</f>
        <v>0</v>
      </c>
      <c r="C131" s="785">
        <f>IF(ISNUMBER(Knoten!C11),(Knoten!C11-$U$1)*B131,0)</f>
        <v>0</v>
      </c>
      <c r="D131" s="786">
        <f>(C131-$C$143/4*COS(Knoten!W11*PI()/180)+$C$143/2*SIN(Knoten!W11*PI()/180))*B131</f>
        <v>0</v>
      </c>
      <c r="E131" s="786">
        <f>(D131-$C$143/2*COS(Knoten!W11*PI()/180)-$C$143*SIN(Knoten!W11*PI()/180))*B131</f>
        <v>0</v>
      </c>
      <c r="F131" s="786">
        <f>(E131-$C$143/2*COS(Knoten!W11*PI()/180)+$C$143*SIN(Knoten!W11*PI()/180))*B131</f>
        <v>0</v>
      </c>
      <c r="G131" s="786">
        <f>(F131-$C$143/2*COS(Knoten!W11*PI()/180)-$C$143*SIN(Knoten!W11*PI()/180))*B131</f>
        <v>0</v>
      </c>
      <c r="H131" s="786">
        <f>(G131-$C$143/4*COS(Knoten!W11*PI()/180)+$C$143/2*SIN(Knoten!W11*PI()/180))*B131</f>
        <v>0</v>
      </c>
      <c r="I131" s="787">
        <f>(H131-$C$143/4*COS(Knoten!W11*PI()/180))*B131</f>
        <v>0</v>
      </c>
      <c r="J131" s="785">
        <f t="shared" si="34"/>
        <v>0</v>
      </c>
      <c r="K131" s="786">
        <f>(J131-$E$143/2*SIN(Knoten!W11*PI()/180))*B131</f>
        <v>0</v>
      </c>
      <c r="L131" s="786">
        <f>(J131-$E$143/2*SIN(Knoten!W11*PI()/180)-$E$143*COS(Knoten!W11*PI()/180))*B131</f>
        <v>0</v>
      </c>
      <c r="M131" s="786">
        <f>(J131+$E$143/2*SIN(Knoten!W11*PI()/180)-$E$143*COS(Knoten!W11*PI()/180))*B131</f>
        <v>0</v>
      </c>
      <c r="N131" s="786">
        <f>(J131+$E$143/2*SIN(Knoten!W11*PI()/180))*B131</f>
        <v>0</v>
      </c>
      <c r="O131" s="786">
        <f t="shared" si="35"/>
        <v>0</v>
      </c>
      <c r="P131" s="785">
        <f>IF(ISNUMBER(Knoten!D11),(Knoten!D11-$X$1)*B131,0)</f>
        <v>0</v>
      </c>
      <c r="Q131" s="786">
        <f>(P131+$C$143/2*COS(Knoten!W11*PI()/180)+$C$143/4*SIN(Knoten!W11*PI()/180))*B131</f>
        <v>0</v>
      </c>
      <c r="R131" s="786">
        <f>(Q131-$C$143*COS(Knoten!W11*PI()/180)+$C$143/2*SIN(Knoten!W11*PI()/180))*B131</f>
        <v>0</v>
      </c>
      <c r="S131" s="786">
        <f>(R131+$C$143*COS(Knoten!W11*PI()/180)+$C$143/2*SIN(Knoten!W11*PI()/180))*B131</f>
        <v>0</v>
      </c>
      <c r="T131" s="786">
        <f>(S131-$C$143*COS(Knoten!W11*PI()/180)+$C$143/2*SIN(Knoten!W11*PI()/180))*B131</f>
        <v>0</v>
      </c>
      <c r="U131" s="786">
        <f>(T131+$C$143/2*COS(Knoten!W11*PI()/180)+$C$143/4*SIN(Knoten!W11*PI()/180))*B131</f>
        <v>0</v>
      </c>
      <c r="V131" s="787">
        <f>(U131+$C$143/4*SIN(Knoten!W11*PI()/180))*B131</f>
        <v>0</v>
      </c>
      <c r="W131" s="785">
        <f t="shared" si="36"/>
        <v>0</v>
      </c>
      <c r="X131" s="786">
        <f>(W131-$E$143/2*COS(Knoten!W11*PI()/180))*B131</f>
        <v>0</v>
      </c>
      <c r="Y131" s="786">
        <f>(W131+$E$143*SIN(Knoten!W11*PI()/180)-$E$143/2*COS(Knoten!W11*PI()/180))*B131</f>
        <v>0</v>
      </c>
      <c r="Z131" s="786">
        <f>(W131+$E$143*SIN(Knoten!W11*PI()/180)+$E$143/2*COS(Knoten!W11*PI()/180))*B131</f>
        <v>0</v>
      </c>
      <c r="AA131" s="786">
        <f>(W131+$E$143/2*COS(Knoten!W11*PI()/180))*B131</f>
        <v>0</v>
      </c>
      <c r="AB131" s="787">
        <f t="shared" si="37"/>
        <v>0</v>
      </c>
      <c r="AD131" s="750">
        <v>9</v>
      </c>
      <c r="AE131" s="740">
        <f>IF(Knoten!Q11&gt;0,1,0)</f>
        <v>0</v>
      </c>
      <c r="AF131" s="786">
        <f>IF(ISNUMBER(Knoten!C11),Z14*B131,0)</f>
        <v>0</v>
      </c>
      <c r="AG131" s="786">
        <f>(AF131-$C$143/4*COS(Knoten!W11*PI()/180)+$C$143/2*SIN(Knoten!W11*PI()/180))*B131</f>
        <v>0</v>
      </c>
      <c r="AH131" s="786">
        <f>(AG131-$C$143/2*COS(Knoten!W11*PI()/180)-$C$143*SIN(Knoten!W11*PI()/180))*B131</f>
        <v>0</v>
      </c>
      <c r="AI131" s="786">
        <f>(AH131-$C$143/2*COS(Knoten!W11*PI()/180)+$C$143*SIN(Knoten!W11*PI()/180))*B131</f>
        <v>0</v>
      </c>
      <c r="AJ131" s="786">
        <f>(AI131-$C$143/2*COS(Knoten!W11*PI()/180)-$C$143*SIN(Knoten!W11*PI()/180))*B131</f>
        <v>0</v>
      </c>
      <c r="AK131" s="786">
        <f>(AJ131-$C$143/4*COS(Knoten!W11*PI()/180)+$C$143/2*SIN(Knoten!W11*PI()/180))*B131</f>
        <v>0</v>
      </c>
      <c r="AL131" s="787">
        <f>(AK131-$C$143/4*COS(Knoten!W11*PI()/180))*B131</f>
        <v>0</v>
      </c>
      <c r="AM131" s="785">
        <f t="shared" si="38"/>
        <v>0</v>
      </c>
      <c r="AN131" s="786">
        <f>(AM131-$E$143/2*SIN(Knoten!W11*PI()/180))*B131</f>
        <v>0</v>
      </c>
      <c r="AO131" s="786">
        <f>(AM131-$E$143/2*SIN(Knoten!W11*PI()/180)-$E$143*COS(Knoten!W11*PI()/180))*B131</f>
        <v>0</v>
      </c>
      <c r="AP131" s="786">
        <f>(AM131+$E$143/2*SIN(Knoten!W11*PI()/180)-$E$143*COS(Knoten!W11*PI()/180))*B131</f>
        <v>0</v>
      </c>
      <c r="AQ131" s="786">
        <f>(AM131+$E$143/2*SIN(Knoten!W11*PI()/180))*B131</f>
        <v>0</v>
      </c>
      <c r="AR131" s="786">
        <f t="shared" si="39"/>
        <v>0</v>
      </c>
      <c r="AS131" s="785">
        <f>IF(ISNUMBER(Knoten!D11),AA14*B131,0)</f>
        <v>0</v>
      </c>
      <c r="AT131" s="786">
        <f>(AS131+$C$143/2*COS(Knoten!W11*PI()/180)+$C$143/4*SIN(Knoten!W11*PI()/180))*B131</f>
        <v>0</v>
      </c>
      <c r="AU131" s="786">
        <f>(AT131-$C$143*COS(Knoten!W11*PI()/180)+$C$143/2*SIN(Knoten!W11*PI()/180))*B131</f>
        <v>0</v>
      </c>
      <c r="AV131" s="786">
        <f>(AU131+$C$143*COS(Knoten!W11*PI()/180)+$C$143/2*SIN(Knoten!W11*PI()/180))*B131</f>
        <v>0</v>
      </c>
      <c r="AW131" s="786">
        <f>(AV131-$C$143*COS(Knoten!W11*PI()/180)+$C$143/2*SIN(Knoten!W11*PI()/180))*B131</f>
        <v>0</v>
      </c>
      <c r="AX131" s="786">
        <f>(AW131+$C$143/2*COS(Knoten!W11*PI()/180)+$C$143/4*SIN(Knoten!W11*PI()/180))*B131</f>
        <v>0</v>
      </c>
      <c r="AY131" s="787">
        <f>(AX131+$C$143/4*SIN(Knoten!W11*PI()/180))*B131</f>
        <v>0</v>
      </c>
      <c r="AZ131" s="785">
        <f t="shared" si="40"/>
        <v>0</v>
      </c>
      <c r="BA131" s="786">
        <f>(AZ131-$E$143/2*COS(Knoten!W11*PI()/180))*B131</f>
        <v>0</v>
      </c>
      <c r="BB131" s="786">
        <f>(AZ131+$E$143*SIN(Knoten!W11*PI()/180)-$E$143/2*COS(Knoten!W11*PI()/180))*B131</f>
        <v>0</v>
      </c>
      <c r="BC131" s="786">
        <f>(AZ131+$E$143*SIN(Knoten!W11*PI()/180)+$E$143/2*COS(Knoten!W11*PI()/180))*B131</f>
        <v>0</v>
      </c>
      <c r="BD131" s="786">
        <f>(AZ131+$E$143/2*COS(Knoten!W11*PI()/180))*B131</f>
        <v>0</v>
      </c>
      <c r="BE131" s="787">
        <f t="shared" si="41"/>
        <v>0</v>
      </c>
    </row>
    <row r="132" spans="1:57" x14ac:dyDescent="0.25">
      <c r="A132" s="750">
        <v>10</v>
      </c>
      <c r="B132" s="740">
        <f>IF(Knoten!Q12&gt;0,1,0)</f>
        <v>0</v>
      </c>
      <c r="C132" s="785">
        <f>IF(ISNUMBER(Knoten!C12),(Knoten!C12-$U$1)*B132,0)</f>
        <v>0</v>
      </c>
      <c r="D132" s="786">
        <f>(C132-$C$143/4*COS(Knoten!W12*PI()/180)+$C$143/2*SIN(Knoten!W12*PI()/180))*B132</f>
        <v>0</v>
      </c>
      <c r="E132" s="786">
        <f>(D132-$C$143/2*COS(Knoten!W12*PI()/180)-$C$143*SIN(Knoten!W12*PI()/180))*B132</f>
        <v>0</v>
      </c>
      <c r="F132" s="786">
        <f>(E132-$C$143/2*COS(Knoten!W12*PI()/180)+$C$143*SIN(Knoten!W12*PI()/180))*B132</f>
        <v>0</v>
      </c>
      <c r="G132" s="786">
        <f>(F132-$C$143/2*COS(Knoten!W12*PI()/180)-$C$143*SIN(Knoten!W12*PI()/180))*B132</f>
        <v>0</v>
      </c>
      <c r="H132" s="786">
        <f>(G132-$C$143/4*COS(Knoten!W12*PI()/180)+$C$143/2*SIN(Knoten!W12*PI()/180))*B132</f>
        <v>0</v>
      </c>
      <c r="I132" s="787">
        <f>(H132-$C$143/4*COS(Knoten!W12*PI()/180))*B132</f>
        <v>0</v>
      </c>
      <c r="J132" s="785">
        <f t="shared" si="34"/>
        <v>0</v>
      </c>
      <c r="K132" s="786">
        <f>(J132-$E$143/2*SIN(Knoten!W12*PI()/180))*B132</f>
        <v>0</v>
      </c>
      <c r="L132" s="786">
        <f>(J132-$E$143/2*SIN(Knoten!W12*PI()/180)-$E$143*COS(Knoten!W12*PI()/180))*B132</f>
        <v>0</v>
      </c>
      <c r="M132" s="786">
        <f>(J132+$E$143/2*SIN(Knoten!W12*PI()/180)-$E$143*COS(Knoten!W12*PI()/180))*B132</f>
        <v>0</v>
      </c>
      <c r="N132" s="786">
        <f>(J132+$E$143/2*SIN(Knoten!W12*PI()/180))*B132</f>
        <v>0</v>
      </c>
      <c r="O132" s="786">
        <f t="shared" si="35"/>
        <v>0</v>
      </c>
      <c r="P132" s="785">
        <f>IF(ISNUMBER(Knoten!D12),(Knoten!D12-$X$1)*B132,0)</f>
        <v>0</v>
      </c>
      <c r="Q132" s="786">
        <f>(P132+$C$143/2*COS(Knoten!W12*PI()/180)+$C$143/4*SIN(Knoten!W12*PI()/180))*B132</f>
        <v>0</v>
      </c>
      <c r="R132" s="786">
        <f>(Q132-$C$143*COS(Knoten!W12*PI()/180)+$C$143/2*SIN(Knoten!W12*PI()/180))*B132</f>
        <v>0</v>
      </c>
      <c r="S132" s="786">
        <f>(R132+$C$143*COS(Knoten!W12*PI()/180)+$C$143/2*SIN(Knoten!W12*PI()/180))*B132</f>
        <v>0</v>
      </c>
      <c r="T132" s="786">
        <f>(S132-$C$143*COS(Knoten!W12*PI()/180)+$C$143/2*SIN(Knoten!W12*PI()/180))*B132</f>
        <v>0</v>
      </c>
      <c r="U132" s="786">
        <f>(T132+$C$143/2*COS(Knoten!W12*PI()/180)+$C$143/4*SIN(Knoten!W12*PI()/180))*B132</f>
        <v>0</v>
      </c>
      <c r="V132" s="787">
        <f>(U132+$C$143/4*SIN(Knoten!W12*PI()/180))*B132</f>
        <v>0</v>
      </c>
      <c r="W132" s="785">
        <f t="shared" si="36"/>
        <v>0</v>
      </c>
      <c r="X132" s="786">
        <f>(W132-$E$143/2*COS(Knoten!W12*PI()/180))*B132</f>
        <v>0</v>
      </c>
      <c r="Y132" s="786">
        <f>(W132+$E$143*SIN(Knoten!W12*PI()/180)-$E$143/2*COS(Knoten!W12*PI()/180))*B132</f>
        <v>0</v>
      </c>
      <c r="Z132" s="786">
        <f>(W132+$E$143*SIN(Knoten!W12*PI()/180)+$E$143/2*COS(Knoten!W12*PI()/180))*B132</f>
        <v>0</v>
      </c>
      <c r="AA132" s="786">
        <f>(W132+$E$143/2*COS(Knoten!W12*PI()/180))*B132</f>
        <v>0</v>
      </c>
      <c r="AB132" s="787">
        <f t="shared" si="37"/>
        <v>0</v>
      </c>
      <c r="AD132" s="750">
        <v>10</v>
      </c>
      <c r="AE132" s="740">
        <f>IF(Knoten!Q12&gt;0,1,0)</f>
        <v>0</v>
      </c>
      <c r="AF132" s="786">
        <f>IF(ISNUMBER(Knoten!C12),Z15*B132,0)</f>
        <v>0</v>
      </c>
      <c r="AG132" s="786">
        <f>(AF132-$C$143/4*COS(Knoten!W12*PI()/180)+$C$143/2*SIN(Knoten!W12*PI()/180))*B132</f>
        <v>0</v>
      </c>
      <c r="AH132" s="786">
        <f>(AG132-$C$143/2*COS(Knoten!W12*PI()/180)-$C$143*SIN(Knoten!W12*PI()/180))*B132</f>
        <v>0</v>
      </c>
      <c r="AI132" s="786">
        <f>(AH132-$C$143/2*COS(Knoten!W12*PI()/180)+$C$143*SIN(Knoten!W12*PI()/180))*B132</f>
        <v>0</v>
      </c>
      <c r="AJ132" s="786">
        <f>(AI132-$C$143/2*COS(Knoten!W12*PI()/180)-$C$143*SIN(Knoten!W12*PI()/180))*B132</f>
        <v>0</v>
      </c>
      <c r="AK132" s="786">
        <f>(AJ132-$C$143/4*COS(Knoten!W12*PI()/180)+$C$143/2*SIN(Knoten!W12*PI()/180))*B132</f>
        <v>0</v>
      </c>
      <c r="AL132" s="787">
        <f>(AK132-$C$143/4*COS(Knoten!W12*PI()/180))*B132</f>
        <v>0</v>
      </c>
      <c r="AM132" s="785">
        <f t="shared" si="38"/>
        <v>0</v>
      </c>
      <c r="AN132" s="786">
        <f>(AM132-$E$143/2*SIN(Knoten!W12*PI()/180))*B132</f>
        <v>0</v>
      </c>
      <c r="AO132" s="786">
        <f>(AM132-$E$143/2*SIN(Knoten!W12*PI()/180)-$E$143*COS(Knoten!W12*PI()/180))*B132</f>
        <v>0</v>
      </c>
      <c r="AP132" s="786">
        <f>(AM132+$E$143/2*SIN(Knoten!W12*PI()/180)-$E$143*COS(Knoten!W12*PI()/180))*B132</f>
        <v>0</v>
      </c>
      <c r="AQ132" s="786">
        <f>(AM132+$E$143/2*SIN(Knoten!W12*PI()/180))*B132</f>
        <v>0</v>
      </c>
      <c r="AR132" s="786">
        <f t="shared" si="39"/>
        <v>0</v>
      </c>
      <c r="AS132" s="785">
        <f>IF(ISNUMBER(Knoten!D12),AA15*B132,0)</f>
        <v>0</v>
      </c>
      <c r="AT132" s="786">
        <f>(AS132+$C$143/2*COS(Knoten!W12*PI()/180)+$C$143/4*SIN(Knoten!W12*PI()/180))*B132</f>
        <v>0</v>
      </c>
      <c r="AU132" s="786">
        <f>(AT132-$C$143*COS(Knoten!W12*PI()/180)+$C$143/2*SIN(Knoten!W12*PI()/180))*B132</f>
        <v>0</v>
      </c>
      <c r="AV132" s="786">
        <f>(AU132+$C$143*COS(Knoten!W12*PI()/180)+$C$143/2*SIN(Knoten!W12*PI()/180))*B132</f>
        <v>0</v>
      </c>
      <c r="AW132" s="786">
        <f>(AV132-$C$143*COS(Knoten!W12*PI()/180)+$C$143/2*SIN(Knoten!W12*PI()/180))*B132</f>
        <v>0</v>
      </c>
      <c r="AX132" s="786">
        <f>(AW132+$C$143/2*COS(Knoten!W12*PI()/180)+$C$143/4*SIN(Knoten!W12*PI()/180))*B132</f>
        <v>0</v>
      </c>
      <c r="AY132" s="787">
        <f>(AX132+$C$143/4*SIN(Knoten!W12*PI()/180))*B132</f>
        <v>0</v>
      </c>
      <c r="AZ132" s="785">
        <f t="shared" si="40"/>
        <v>0</v>
      </c>
      <c r="BA132" s="786">
        <f>(AZ132-$E$143/2*COS(Knoten!W12*PI()/180))*B132</f>
        <v>0</v>
      </c>
      <c r="BB132" s="786">
        <f>(AZ132+$E$143*SIN(Knoten!W12*PI()/180)-$E$143/2*COS(Knoten!W12*PI()/180))*B132</f>
        <v>0</v>
      </c>
      <c r="BC132" s="786">
        <f>(AZ132+$E$143*SIN(Knoten!W12*PI()/180)+$E$143/2*COS(Knoten!W12*PI()/180))*B132</f>
        <v>0</v>
      </c>
      <c r="BD132" s="786">
        <f>(AZ132+$E$143/2*COS(Knoten!W12*PI()/180))*B132</f>
        <v>0</v>
      </c>
      <c r="BE132" s="787">
        <f t="shared" si="41"/>
        <v>0</v>
      </c>
    </row>
    <row r="133" spans="1:57" x14ac:dyDescent="0.25">
      <c r="A133" s="750">
        <v>11</v>
      </c>
      <c r="B133" s="740">
        <f>IF(Knoten!Q13&gt;0,1,0)</f>
        <v>0</v>
      </c>
      <c r="C133" s="785">
        <f>IF(ISNUMBER(Knoten!C13),(Knoten!C13-$U$1)*B133,0)</f>
        <v>0</v>
      </c>
      <c r="D133" s="786">
        <f>(C133-$C$143/4*COS(Knoten!W13*PI()/180)+$C$143/2*SIN(Knoten!W13*PI()/180))*B133</f>
        <v>0</v>
      </c>
      <c r="E133" s="786">
        <f>(D133-$C$143/2*COS(Knoten!W13*PI()/180)-$C$143*SIN(Knoten!W13*PI()/180))*B133</f>
        <v>0</v>
      </c>
      <c r="F133" s="786">
        <f>(E133-$C$143/2*COS(Knoten!W13*PI()/180)+$C$143*SIN(Knoten!W13*PI()/180))*B133</f>
        <v>0</v>
      </c>
      <c r="G133" s="786">
        <f>(F133-$C$143/2*COS(Knoten!W13*PI()/180)-$C$143*SIN(Knoten!W13*PI()/180))*B133</f>
        <v>0</v>
      </c>
      <c r="H133" s="786">
        <f>(G133-$C$143/4*COS(Knoten!W13*PI()/180)+$C$143/2*SIN(Knoten!W13*PI()/180))*B133</f>
        <v>0</v>
      </c>
      <c r="I133" s="787">
        <f>(H133-$C$143/4*COS(Knoten!W13*PI()/180))*B133</f>
        <v>0</v>
      </c>
      <c r="J133" s="785">
        <f t="shared" si="34"/>
        <v>0</v>
      </c>
      <c r="K133" s="786">
        <f>(J133-$E$143/2*SIN(Knoten!W13*PI()/180))*B133</f>
        <v>0</v>
      </c>
      <c r="L133" s="786">
        <f>(J133-$E$143/2*SIN(Knoten!W13*PI()/180)-$E$143*COS(Knoten!W13*PI()/180))*B133</f>
        <v>0</v>
      </c>
      <c r="M133" s="786">
        <f>(J133+$E$143/2*SIN(Knoten!W13*PI()/180)-$E$143*COS(Knoten!W13*PI()/180))*B133</f>
        <v>0</v>
      </c>
      <c r="N133" s="786">
        <f>(J133+$E$143/2*SIN(Knoten!W13*PI()/180))*B133</f>
        <v>0</v>
      </c>
      <c r="O133" s="786">
        <f t="shared" si="35"/>
        <v>0</v>
      </c>
      <c r="P133" s="785">
        <f>IF(ISNUMBER(Knoten!D13),(Knoten!D13-$X$1)*B133,0)</f>
        <v>0</v>
      </c>
      <c r="Q133" s="786">
        <f>(P133+$C$143/2*COS(Knoten!W13*PI()/180)+$C$143/4*SIN(Knoten!W13*PI()/180))*B133</f>
        <v>0</v>
      </c>
      <c r="R133" s="786">
        <f>(Q133-$C$143*COS(Knoten!W13*PI()/180)+$C$143/2*SIN(Knoten!W13*PI()/180))*B133</f>
        <v>0</v>
      </c>
      <c r="S133" s="786">
        <f>(R133+$C$143*COS(Knoten!W13*PI()/180)+$C$143/2*SIN(Knoten!W13*PI()/180))*B133</f>
        <v>0</v>
      </c>
      <c r="T133" s="786">
        <f>(S133-$C$143*COS(Knoten!W13*PI()/180)+$C$143/2*SIN(Knoten!W13*PI()/180))*B133</f>
        <v>0</v>
      </c>
      <c r="U133" s="786">
        <f>(T133+$C$143/2*COS(Knoten!W13*PI()/180)+$C$143/4*SIN(Knoten!W13*PI()/180))*B133</f>
        <v>0</v>
      </c>
      <c r="V133" s="787">
        <f>(U133+$C$143/4*SIN(Knoten!W13*PI()/180))*B133</f>
        <v>0</v>
      </c>
      <c r="W133" s="785">
        <f t="shared" si="36"/>
        <v>0</v>
      </c>
      <c r="X133" s="786">
        <f>(W133-$E$143/2*COS(Knoten!W13*PI()/180))*B133</f>
        <v>0</v>
      </c>
      <c r="Y133" s="786">
        <f>(W133+$E$143*SIN(Knoten!W13*PI()/180)-$E$143/2*COS(Knoten!W13*PI()/180))*B133</f>
        <v>0</v>
      </c>
      <c r="Z133" s="786">
        <f>(W133+$E$143*SIN(Knoten!W13*PI()/180)+$E$143/2*COS(Knoten!W13*PI()/180))*B133</f>
        <v>0</v>
      </c>
      <c r="AA133" s="786">
        <f>(W133+$E$143/2*COS(Knoten!W13*PI()/180))*B133</f>
        <v>0</v>
      </c>
      <c r="AB133" s="787">
        <f t="shared" si="37"/>
        <v>0</v>
      </c>
      <c r="AD133" s="750">
        <v>11</v>
      </c>
      <c r="AE133" s="740">
        <f>IF(Knoten!Q13&gt;0,1,0)</f>
        <v>0</v>
      </c>
      <c r="AF133" s="786">
        <f>IF(ISNUMBER(Knoten!C13),Z16*B133,0)</f>
        <v>0</v>
      </c>
      <c r="AG133" s="786">
        <f>(AF133-$C$143/4*COS(Knoten!W13*PI()/180)+$C$143/2*SIN(Knoten!W13*PI()/180))*B133</f>
        <v>0</v>
      </c>
      <c r="AH133" s="786">
        <f>(AG133-$C$143/2*COS(Knoten!W13*PI()/180)-$C$143*SIN(Knoten!W13*PI()/180))*B133</f>
        <v>0</v>
      </c>
      <c r="AI133" s="786">
        <f>(AH133-$C$143/2*COS(Knoten!W13*PI()/180)+$C$143*SIN(Knoten!W13*PI()/180))*B133</f>
        <v>0</v>
      </c>
      <c r="AJ133" s="786">
        <f>(AI133-$C$143/2*COS(Knoten!W13*PI()/180)-$C$143*SIN(Knoten!W13*PI()/180))*B133</f>
        <v>0</v>
      </c>
      <c r="AK133" s="786">
        <f>(AJ133-$C$143/4*COS(Knoten!W13*PI()/180)+$C$143/2*SIN(Knoten!W13*PI()/180))*B133</f>
        <v>0</v>
      </c>
      <c r="AL133" s="787">
        <f>(AK133-$C$143/4*COS(Knoten!W13*PI()/180))*B133</f>
        <v>0</v>
      </c>
      <c r="AM133" s="785">
        <f t="shared" si="38"/>
        <v>0</v>
      </c>
      <c r="AN133" s="786">
        <f>(AM133-$E$143/2*SIN(Knoten!W13*PI()/180))*B133</f>
        <v>0</v>
      </c>
      <c r="AO133" s="786">
        <f>(AM133-$E$143/2*SIN(Knoten!W13*PI()/180)-$E$143*COS(Knoten!W13*PI()/180))*B133</f>
        <v>0</v>
      </c>
      <c r="AP133" s="786">
        <f>(AM133+$E$143/2*SIN(Knoten!W13*PI()/180)-$E$143*COS(Knoten!W13*PI()/180))*B133</f>
        <v>0</v>
      </c>
      <c r="AQ133" s="786">
        <f>(AM133+$E$143/2*SIN(Knoten!W13*PI()/180))*B133</f>
        <v>0</v>
      </c>
      <c r="AR133" s="786">
        <f t="shared" si="39"/>
        <v>0</v>
      </c>
      <c r="AS133" s="785">
        <f>IF(ISNUMBER(Knoten!D13),AA16*B133,0)</f>
        <v>0</v>
      </c>
      <c r="AT133" s="786">
        <f>(AS133+$C$143/2*COS(Knoten!W13*PI()/180)+$C$143/4*SIN(Knoten!W13*PI()/180))*B133</f>
        <v>0</v>
      </c>
      <c r="AU133" s="786">
        <f>(AT133-$C$143*COS(Knoten!W13*PI()/180)+$C$143/2*SIN(Knoten!W13*PI()/180))*B133</f>
        <v>0</v>
      </c>
      <c r="AV133" s="786">
        <f>(AU133+$C$143*COS(Knoten!W13*PI()/180)+$C$143/2*SIN(Knoten!W13*PI()/180))*B133</f>
        <v>0</v>
      </c>
      <c r="AW133" s="786">
        <f>(AV133-$C$143*COS(Knoten!W13*PI()/180)+$C$143/2*SIN(Knoten!W13*PI()/180))*B133</f>
        <v>0</v>
      </c>
      <c r="AX133" s="786">
        <f>(AW133+$C$143/2*COS(Knoten!W13*PI()/180)+$C$143/4*SIN(Knoten!W13*PI()/180))*B133</f>
        <v>0</v>
      </c>
      <c r="AY133" s="787">
        <f>(AX133+$C$143/4*SIN(Knoten!W13*PI()/180))*B133</f>
        <v>0</v>
      </c>
      <c r="AZ133" s="785">
        <f t="shared" si="40"/>
        <v>0</v>
      </c>
      <c r="BA133" s="786">
        <f>(AZ133-$E$143/2*COS(Knoten!W13*PI()/180))*B133</f>
        <v>0</v>
      </c>
      <c r="BB133" s="786">
        <f>(AZ133+$E$143*SIN(Knoten!W13*PI()/180)-$E$143/2*COS(Knoten!W13*PI()/180))*B133</f>
        <v>0</v>
      </c>
      <c r="BC133" s="786">
        <f>(AZ133+$E$143*SIN(Knoten!W13*PI()/180)+$E$143/2*COS(Knoten!W13*PI()/180))*B133</f>
        <v>0</v>
      </c>
      <c r="BD133" s="786">
        <f>(AZ133+$E$143/2*COS(Knoten!W13*PI()/180))*B133</f>
        <v>0</v>
      </c>
      <c r="BE133" s="787">
        <f t="shared" si="41"/>
        <v>0</v>
      </c>
    </row>
    <row r="134" spans="1:57" x14ac:dyDescent="0.25">
      <c r="A134" s="750">
        <v>12</v>
      </c>
      <c r="B134" s="740">
        <f>IF(Knoten!Q14&gt;0,1,0)</f>
        <v>0</v>
      </c>
      <c r="C134" s="785">
        <f>IF(ISNUMBER(Knoten!C14),(Knoten!C14-$U$1)*B134,0)</f>
        <v>0</v>
      </c>
      <c r="D134" s="786">
        <f>(C134-$C$143/4*COS(Knoten!W14*PI()/180)+$C$143/2*SIN(Knoten!W14*PI()/180))*B134</f>
        <v>0</v>
      </c>
      <c r="E134" s="786">
        <f>(D134-$C$143/2*COS(Knoten!W14*PI()/180)-$C$143*SIN(Knoten!W14*PI()/180))*B134</f>
        <v>0</v>
      </c>
      <c r="F134" s="786">
        <f>(E134-$C$143/2*COS(Knoten!W14*PI()/180)+$C$143*SIN(Knoten!W14*PI()/180))*B134</f>
        <v>0</v>
      </c>
      <c r="G134" s="786">
        <f>(F134-$C$143/2*COS(Knoten!W14*PI()/180)-$C$143*SIN(Knoten!W14*PI()/180))*B134</f>
        <v>0</v>
      </c>
      <c r="H134" s="786">
        <f>(G134-$C$143/4*COS(Knoten!W14*PI()/180)+$C$143/2*SIN(Knoten!W14*PI()/180))*B134</f>
        <v>0</v>
      </c>
      <c r="I134" s="787">
        <f>(H134-$C$143/4*COS(Knoten!W14*PI()/180))*B134</f>
        <v>0</v>
      </c>
      <c r="J134" s="785">
        <f t="shared" si="34"/>
        <v>0</v>
      </c>
      <c r="K134" s="786">
        <f>(J134-$E$143/2*SIN(Knoten!W14*PI()/180))*B134</f>
        <v>0</v>
      </c>
      <c r="L134" s="786">
        <f>(J134-$E$143/2*SIN(Knoten!W14*PI()/180)-$E$143*COS(Knoten!W14*PI()/180))*B134</f>
        <v>0</v>
      </c>
      <c r="M134" s="786">
        <f>(J134+$E$143/2*SIN(Knoten!W14*PI()/180)-$E$143*COS(Knoten!W14*PI()/180))*B134</f>
        <v>0</v>
      </c>
      <c r="N134" s="786">
        <f>(J134+$E$143/2*SIN(Knoten!W14*PI()/180))*B134</f>
        <v>0</v>
      </c>
      <c r="O134" s="786">
        <f t="shared" si="35"/>
        <v>0</v>
      </c>
      <c r="P134" s="785">
        <f>IF(ISNUMBER(Knoten!D14),(Knoten!D14-$X$1)*B134,0)</f>
        <v>0</v>
      </c>
      <c r="Q134" s="786">
        <f>(P134+$C$143/2*COS(Knoten!W14*PI()/180)+$C$143/4*SIN(Knoten!W14*PI()/180))*B134</f>
        <v>0</v>
      </c>
      <c r="R134" s="786">
        <f>(Q134-$C$143*COS(Knoten!W14*PI()/180)+$C$143/2*SIN(Knoten!W14*PI()/180))*B134</f>
        <v>0</v>
      </c>
      <c r="S134" s="786">
        <f>(R134+$C$143*COS(Knoten!W14*PI()/180)+$C$143/2*SIN(Knoten!W14*PI()/180))*B134</f>
        <v>0</v>
      </c>
      <c r="T134" s="786">
        <f>(S134-$C$143*COS(Knoten!W14*PI()/180)+$C$143/2*SIN(Knoten!W14*PI()/180))*B134</f>
        <v>0</v>
      </c>
      <c r="U134" s="786">
        <f>(T134+$C$143/2*COS(Knoten!W14*PI()/180)+$C$143/4*SIN(Knoten!W14*PI()/180))*B134</f>
        <v>0</v>
      </c>
      <c r="V134" s="787">
        <f>(U134+$C$143/4*SIN(Knoten!W14*PI()/180))*B134</f>
        <v>0</v>
      </c>
      <c r="W134" s="785">
        <f t="shared" si="36"/>
        <v>0</v>
      </c>
      <c r="X134" s="786">
        <f>(W134-$E$143/2*COS(Knoten!W14*PI()/180))*B134</f>
        <v>0</v>
      </c>
      <c r="Y134" s="786">
        <f>(W134+$E$143*SIN(Knoten!W14*PI()/180)-$E$143/2*COS(Knoten!W14*PI()/180))*B134</f>
        <v>0</v>
      </c>
      <c r="Z134" s="786">
        <f>(W134+$E$143*SIN(Knoten!W14*PI()/180)+$E$143/2*COS(Knoten!W14*PI()/180))*B134</f>
        <v>0</v>
      </c>
      <c r="AA134" s="786">
        <f>(W134+$E$143/2*COS(Knoten!W14*PI()/180))*B134</f>
        <v>0</v>
      </c>
      <c r="AB134" s="787">
        <f t="shared" si="37"/>
        <v>0</v>
      </c>
      <c r="AD134" s="750">
        <v>12</v>
      </c>
      <c r="AE134" s="740">
        <f>IF(Knoten!Q14&gt;0,1,0)</f>
        <v>0</v>
      </c>
      <c r="AF134" s="786">
        <f>IF(ISNUMBER(Knoten!C14),Z17*B134,0)</f>
        <v>0</v>
      </c>
      <c r="AG134" s="786">
        <f>(AF134-$C$143/4*COS(Knoten!W14*PI()/180)+$C$143/2*SIN(Knoten!W14*PI()/180))*B134</f>
        <v>0</v>
      </c>
      <c r="AH134" s="786">
        <f>(AG134-$C$143/2*COS(Knoten!W14*PI()/180)-$C$143*SIN(Knoten!W14*PI()/180))*B134</f>
        <v>0</v>
      </c>
      <c r="AI134" s="786">
        <f>(AH134-$C$143/2*COS(Knoten!W14*PI()/180)+$C$143*SIN(Knoten!W14*PI()/180))*B134</f>
        <v>0</v>
      </c>
      <c r="AJ134" s="786">
        <f>(AI134-$C$143/2*COS(Knoten!W14*PI()/180)-$C$143*SIN(Knoten!W14*PI()/180))*B134</f>
        <v>0</v>
      </c>
      <c r="AK134" s="786">
        <f>(AJ134-$C$143/4*COS(Knoten!W14*PI()/180)+$C$143/2*SIN(Knoten!W14*PI()/180))*B134</f>
        <v>0</v>
      </c>
      <c r="AL134" s="787">
        <f>(AK134-$C$143/4*COS(Knoten!W14*PI()/180))*B134</f>
        <v>0</v>
      </c>
      <c r="AM134" s="785">
        <f t="shared" si="38"/>
        <v>0</v>
      </c>
      <c r="AN134" s="786">
        <f>(AM134-$E$143/2*SIN(Knoten!W14*PI()/180))*B134</f>
        <v>0</v>
      </c>
      <c r="AO134" s="786">
        <f>(AM134-$E$143/2*SIN(Knoten!W14*PI()/180)-$E$143*COS(Knoten!W14*PI()/180))*B134</f>
        <v>0</v>
      </c>
      <c r="AP134" s="786">
        <f>(AM134+$E$143/2*SIN(Knoten!W14*PI()/180)-$E$143*COS(Knoten!W14*PI()/180))*B134</f>
        <v>0</v>
      </c>
      <c r="AQ134" s="786">
        <f>(AM134+$E$143/2*SIN(Knoten!W14*PI()/180))*B134</f>
        <v>0</v>
      </c>
      <c r="AR134" s="786">
        <f t="shared" si="39"/>
        <v>0</v>
      </c>
      <c r="AS134" s="785">
        <f>IF(ISNUMBER(Knoten!D14),AA17*B134,0)</f>
        <v>0</v>
      </c>
      <c r="AT134" s="786">
        <f>(AS134+$C$143/2*COS(Knoten!W14*PI()/180)+$C$143/4*SIN(Knoten!W14*PI()/180))*B134</f>
        <v>0</v>
      </c>
      <c r="AU134" s="786">
        <f>(AT134-$C$143*COS(Knoten!W14*PI()/180)+$C$143/2*SIN(Knoten!W14*PI()/180))*B134</f>
        <v>0</v>
      </c>
      <c r="AV134" s="786">
        <f>(AU134+$C$143*COS(Knoten!W14*PI()/180)+$C$143/2*SIN(Knoten!W14*PI()/180))*B134</f>
        <v>0</v>
      </c>
      <c r="AW134" s="786">
        <f>(AV134-$C$143*COS(Knoten!W14*PI()/180)+$C$143/2*SIN(Knoten!W14*PI()/180))*B134</f>
        <v>0</v>
      </c>
      <c r="AX134" s="786">
        <f>(AW134+$C$143/2*COS(Knoten!W14*PI()/180)+$C$143/4*SIN(Knoten!W14*PI()/180))*B134</f>
        <v>0</v>
      </c>
      <c r="AY134" s="787">
        <f>(AX134+$C$143/4*SIN(Knoten!W14*PI()/180))*B134</f>
        <v>0</v>
      </c>
      <c r="AZ134" s="785">
        <f t="shared" si="40"/>
        <v>0</v>
      </c>
      <c r="BA134" s="786">
        <f>(AZ134-$E$143/2*COS(Knoten!W14*PI()/180))*B134</f>
        <v>0</v>
      </c>
      <c r="BB134" s="786">
        <f>(AZ134+$E$143*SIN(Knoten!W14*PI()/180)-$E$143/2*COS(Knoten!W14*PI()/180))*B134</f>
        <v>0</v>
      </c>
      <c r="BC134" s="786">
        <f>(AZ134+$E$143*SIN(Knoten!W14*PI()/180)+$E$143/2*COS(Knoten!W14*PI()/180))*B134</f>
        <v>0</v>
      </c>
      <c r="BD134" s="786">
        <f>(AZ134+$E$143/2*COS(Knoten!W14*PI()/180))*B134</f>
        <v>0</v>
      </c>
      <c r="BE134" s="787">
        <f t="shared" si="41"/>
        <v>0</v>
      </c>
    </row>
    <row r="135" spans="1:57" x14ac:dyDescent="0.25">
      <c r="A135" s="750">
        <v>13</v>
      </c>
      <c r="B135" s="740">
        <f>IF(Knoten!Q15&gt;0,1,0)</f>
        <v>0</v>
      </c>
      <c r="C135" s="785">
        <f>IF(ISNUMBER(Knoten!C15),(Knoten!C15-$U$1)*B135,0)</f>
        <v>0</v>
      </c>
      <c r="D135" s="786">
        <f>(C135-$C$143/4*COS(Knoten!W15*PI()/180)+$C$143/2*SIN(Knoten!W15*PI()/180))*B135</f>
        <v>0</v>
      </c>
      <c r="E135" s="786">
        <f>(D135-$C$143/2*COS(Knoten!W15*PI()/180)-$C$143*SIN(Knoten!W15*PI()/180))*B135</f>
        <v>0</v>
      </c>
      <c r="F135" s="786">
        <f>(E135-$C$143/2*COS(Knoten!W15*PI()/180)+$C$143*SIN(Knoten!W15*PI()/180))*B135</f>
        <v>0</v>
      </c>
      <c r="G135" s="786">
        <f>(F135-$C$143/2*COS(Knoten!W15*PI()/180)-$C$143*SIN(Knoten!W15*PI()/180))*B135</f>
        <v>0</v>
      </c>
      <c r="H135" s="786">
        <f>(G135-$C$143/4*COS(Knoten!W15*PI()/180)+$C$143/2*SIN(Knoten!W15*PI()/180))*B135</f>
        <v>0</v>
      </c>
      <c r="I135" s="787">
        <f>(H135-$C$143/4*COS(Knoten!W15*PI()/180))*B135</f>
        <v>0</v>
      </c>
      <c r="J135" s="785">
        <f t="shared" si="34"/>
        <v>0</v>
      </c>
      <c r="K135" s="786">
        <f>(J135-$E$143/2*SIN(Knoten!W15*PI()/180))*B135</f>
        <v>0</v>
      </c>
      <c r="L135" s="786">
        <f>(J135-$E$143/2*SIN(Knoten!W15*PI()/180)-$E$143*COS(Knoten!W15*PI()/180))*B135</f>
        <v>0</v>
      </c>
      <c r="M135" s="786">
        <f>(J135+$E$143/2*SIN(Knoten!W15*PI()/180)-$E$143*COS(Knoten!W15*PI()/180))*B135</f>
        <v>0</v>
      </c>
      <c r="N135" s="786">
        <f>(J135+$E$143/2*SIN(Knoten!W15*PI()/180))*B135</f>
        <v>0</v>
      </c>
      <c r="O135" s="786">
        <f t="shared" si="35"/>
        <v>0</v>
      </c>
      <c r="P135" s="785">
        <f>IF(ISNUMBER(Knoten!D15),(Knoten!D15-$X$1)*B135,0)</f>
        <v>0</v>
      </c>
      <c r="Q135" s="786">
        <f>(P135+$C$143/2*COS(Knoten!W15*PI()/180)+$C$143/4*SIN(Knoten!W15*PI()/180))*B135</f>
        <v>0</v>
      </c>
      <c r="R135" s="786">
        <f>(Q135-$C$143*COS(Knoten!W15*PI()/180)+$C$143/2*SIN(Knoten!W15*PI()/180))*B135</f>
        <v>0</v>
      </c>
      <c r="S135" s="786">
        <f>(R135+$C$143*COS(Knoten!W15*PI()/180)+$C$143/2*SIN(Knoten!W15*PI()/180))*B135</f>
        <v>0</v>
      </c>
      <c r="T135" s="786">
        <f>(S135-$C$143*COS(Knoten!W15*PI()/180)+$C$143/2*SIN(Knoten!W15*PI()/180))*B135</f>
        <v>0</v>
      </c>
      <c r="U135" s="786">
        <f>(T135+$C$143/2*COS(Knoten!W15*PI()/180)+$C$143/4*SIN(Knoten!W15*PI()/180))*B135</f>
        <v>0</v>
      </c>
      <c r="V135" s="787">
        <f>(U135+$C$143/4*SIN(Knoten!W15*PI()/180))*B135</f>
        <v>0</v>
      </c>
      <c r="W135" s="785">
        <f t="shared" si="36"/>
        <v>0</v>
      </c>
      <c r="X135" s="786">
        <f>(W135-$E$143/2*COS(Knoten!W15*PI()/180))*B135</f>
        <v>0</v>
      </c>
      <c r="Y135" s="786">
        <f>(W135+$E$143*SIN(Knoten!W15*PI()/180)-$E$143/2*COS(Knoten!W15*PI()/180))*B135</f>
        <v>0</v>
      </c>
      <c r="Z135" s="786">
        <f>(W135+$E$143*SIN(Knoten!W15*PI()/180)+$E$143/2*COS(Knoten!W15*PI()/180))*B135</f>
        <v>0</v>
      </c>
      <c r="AA135" s="786">
        <f>(W135+$E$143/2*COS(Knoten!W15*PI()/180))*B135</f>
        <v>0</v>
      </c>
      <c r="AB135" s="787">
        <f t="shared" si="37"/>
        <v>0</v>
      </c>
      <c r="AD135" s="750">
        <v>13</v>
      </c>
      <c r="AE135" s="740">
        <f>IF(Knoten!Q15&gt;0,1,0)</f>
        <v>0</v>
      </c>
      <c r="AF135" s="786">
        <f>IF(ISNUMBER(Knoten!C15),Z18*B135,0)</f>
        <v>0</v>
      </c>
      <c r="AG135" s="786">
        <f>(AF135-$C$143/4*COS(Knoten!W15*PI()/180)+$C$143/2*SIN(Knoten!W15*PI()/180))*B135</f>
        <v>0</v>
      </c>
      <c r="AH135" s="786">
        <f>(AG135-$C$143/2*COS(Knoten!W15*PI()/180)-$C$143*SIN(Knoten!W15*PI()/180))*B135</f>
        <v>0</v>
      </c>
      <c r="AI135" s="786">
        <f>(AH135-$C$143/2*COS(Knoten!W15*PI()/180)+$C$143*SIN(Knoten!W15*PI()/180))*B135</f>
        <v>0</v>
      </c>
      <c r="AJ135" s="786">
        <f>(AI135-$C$143/2*COS(Knoten!W15*PI()/180)-$C$143*SIN(Knoten!W15*PI()/180))*B135</f>
        <v>0</v>
      </c>
      <c r="AK135" s="786">
        <f>(AJ135-$C$143/4*COS(Knoten!W15*PI()/180)+$C$143/2*SIN(Knoten!W15*PI()/180))*B135</f>
        <v>0</v>
      </c>
      <c r="AL135" s="787">
        <f>(AK135-$C$143/4*COS(Knoten!W15*PI()/180))*B135</f>
        <v>0</v>
      </c>
      <c r="AM135" s="785">
        <f t="shared" si="38"/>
        <v>0</v>
      </c>
      <c r="AN135" s="786">
        <f>(AM135-$E$143/2*SIN(Knoten!W15*PI()/180))*B135</f>
        <v>0</v>
      </c>
      <c r="AO135" s="786">
        <f>(AM135-$E$143/2*SIN(Knoten!W15*PI()/180)-$E$143*COS(Knoten!W15*PI()/180))*B135</f>
        <v>0</v>
      </c>
      <c r="AP135" s="786">
        <f>(AM135+$E$143/2*SIN(Knoten!W15*PI()/180)-$E$143*COS(Knoten!W15*PI()/180))*B135</f>
        <v>0</v>
      </c>
      <c r="AQ135" s="786">
        <f>(AM135+$E$143/2*SIN(Knoten!W15*PI()/180))*B135</f>
        <v>0</v>
      </c>
      <c r="AR135" s="786">
        <f t="shared" si="39"/>
        <v>0</v>
      </c>
      <c r="AS135" s="785">
        <f>IF(ISNUMBER(Knoten!D15),AA18*B135,0)</f>
        <v>0</v>
      </c>
      <c r="AT135" s="786">
        <f>(AS135+$C$143/2*COS(Knoten!W15*PI()/180)+$C$143/4*SIN(Knoten!W15*PI()/180))*B135</f>
        <v>0</v>
      </c>
      <c r="AU135" s="786">
        <f>(AT135-$C$143*COS(Knoten!W15*PI()/180)+$C$143/2*SIN(Knoten!W15*PI()/180))*B135</f>
        <v>0</v>
      </c>
      <c r="AV135" s="786">
        <f>(AU135+$C$143*COS(Knoten!W15*PI()/180)+$C$143/2*SIN(Knoten!W15*PI()/180))*B135</f>
        <v>0</v>
      </c>
      <c r="AW135" s="786">
        <f>(AV135-$C$143*COS(Knoten!W15*PI()/180)+$C$143/2*SIN(Knoten!W15*PI()/180))*B135</f>
        <v>0</v>
      </c>
      <c r="AX135" s="786">
        <f>(AW135+$C$143/2*COS(Knoten!W15*PI()/180)+$C$143/4*SIN(Knoten!W15*PI()/180))*B135</f>
        <v>0</v>
      </c>
      <c r="AY135" s="787">
        <f>(AX135+$C$143/4*SIN(Knoten!W15*PI()/180))*B135</f>
        <v>0</v>
      </c>
      <c r="AZ135" s="785">
        <f t="shared" si="40"/>
        <v>0</v>
      </c>
      <c r="BA135" s="786">
        <f>(AZ135-$E$143/2*COS(Knoten!W15*PI()/180))*B135</f>
        <v>0</v>
      </c>
      <c r="BB135" s="786">
        <f>(AZ135+$E$143*SIN(Knoten!W15*PI()/180)-$E$143/2*COS(Knoten!W15*PI()/180))*B135</f>
        <v>0</v>
      </c>
      <c r="BC135" s="786">
        <f>(AZ135+$E$143*SIN(Knoten!W15*PI()/180)+$E$143/2*COS(Knoten!W15*PI()/180))*B135</f>
        <v>0</v>
      </c>
      <c r="BD135" s="786">
        <f>(AZ135+$E$143/2*COS(Knoten!W15*PI()/180))*B135</f>
        <v>0</v>
      </c>
      <c r="BE135" s="787">
        <f t="shared" si="41"/>
        <v>0</v>
      </c>
    </row>
    <row r="136" spans="1:57" x14ac:dyDescent="0.25">
      <c r="A136" s="750">
        <v>14</v>
      </c>
      <c r="B136" s="740">
        <f>IF(Knoten!Q16&gt;0,1,0)</f>
        <v>0</v>
      </c>
      <c r="C136" s="785">
        <f>IF(ISNUMBER(Knoten!C16),(Knoten!C16-$U$1)*B136,0)</f>
        <v>0</v>
      </c>
      <c r="D136" s="786">
        <f>(C136-$C$143/4*COS(Knoten!W16*PI()/180)+$C$143/2*SIN(Knoten!W16*PI()/180))*B136</f>
        <v>0</v>
      </c>
      <c r="E136" s="786">
        <f>(D136-$C$143/2*COS(Knoten!W16*PI()/180)-$C$143*SIN(Knoten!W16*PI()/180))*B136</f>
        <v>0</v>
      </c>
      <c r="F136" s="786">
        <f>(E136-$C$143/2*COS(Knoten!W16*PI()/180)+$C$143*SIN(Knoten!W16*PI()/180))*B136</f>
        <v>0</v>
      </c>
      <c r="G136" s="786">
        <f>(F136-$C$143/2*COS(Knoten!W16*PI()/180)-$C$143*SIN(Knoten!W16*PI()/180))*B136</f>
        <v>0</v>
      </c>
      <c r="H136" s="786">
        <f>(G136-$C$143/4*COS(Knoten!W16*PI()/180)+$C$143/2*SIN(Knoten!W16*PI()/180))*B136</f>
        <v>0</v>
      </c>
      <c r="I136" s="787">
        <f>(H136-$C$143/4*COS(Knoten!W16*PI()/180))*B136</f>
        <v>0</v>
      </c>
      <c r="J136" s="785">
        <f t="shared" si="34"/>
        <v>0</v>
      </c>
      <c r="K136" s="786">
        <f>(J136-$E$143/2*SIN(Knoten!W16*PI()/180))*B136</f>
        <v>0</v>
      </c>
      <c r="L136" s="786">
        <f>(J136-$E$143/2*SIN(Knoten!W16*PI()/180)-$E$143*COS(Knoten!W16*PI()/180))*B136</f>
        <v>0</v>
      </c>
      <c r="M136" s="786">
        <f>(J136+$E$143/2*SIN(Knoten!W16*PI()/180)-$E$143*COS(Knoten!W16*PI()/180))*B136</f>
        <v>0</v>
      </c>
      <c r="N136" s="786">
        <f>(J136+$E$143/2*SIN(Knoten!W16*PI()/180))*B136</f>
        <v>0</v>
      </c>
      <c r="O136" s="786">
        <f t="shared" si="35"/>
        <v>0</v>
      </c>
      <c r="P136" s="785">
        <f>IF(ISNUMBER(Knoten!D16),(Knoten!D16-$X$1)*B136,0)</f>
        <v>0</v>
      </c>
      <c r="Q136" s="786">
        <f>(P136+$C$143/2*COS(Knoten!W16*PI()/180)+$C$143/4*SIN(Knoten!W16*PI()/180))*B136</f>
        <v>0</v>
      </c>
      <c r="R136" s="786">
        <f>(Q136-$C$143*COS(Knoten!W16*PI()/180)+$C$143/2*SIN(Knoten!W16*PI()/180))*B136</f>
        <v>0</v>
      </c>
      <c r="S136" s="786">
        <f>(R136+$C$143*COS(Knoten!W16*PI()/180)+$C$143/2*SIN(Knoten!W16*PI()/180))*B136</f>
        <v>0</v>
      </c>
      <c r="T136" s="786">
        <f>(S136-$C$143*COS(Knoten!W16*PI()/180)+$C$143/2*SIN(Knoten!W16*PI()/180))*B136</f>
        <v>0</v>
      </c>
      <c r="U136" s="786">
        <f>(T136+$C$143/2*COS(Knoten!W16*PI()/180)+$C$143/4*SIN(Knoten!W16*PI()/180))*B136</f>
        <v>0</v>
      </c>
      <c r="V136" s="787">
        <f>(U136+$C$143/4*SIN(Knoten!W16*PI()/180))*B136</f>
        <v>0</v>
      </c>
      <c r="W136" s="785">
        <f t="shared" si="36"/>
        <v>0</v>
      </c>
      <c r="X136" s="786">
        <f>(W136-$E$143/2*COS(Knoten!W16*PI()/180))*B136</f>
        <v>0</v>
      </c>
      <c r="Y136" s="786">
        <f>(W136+$E$143*SIN(Knoten!W16*PI()/180)-$E$143/2*COS(Knoten!W16*PI()/180))*B136</f>
        <v>0</v>
      </c>
      <c r="Z136" s="786">
        <f>(W136+$E$143*SIN(Knoten!W16*PI()/180)+$E$143/2*COS(Knoten!W16*PI()/180))*B136</f>
        <v>0</v>
      </c>
      <c r="AA136" s="786">
        <f>(W136+$E$143/2*COS(Knoten!W16*PI()/180))*B136</f>
        <v>0</v>
      </c>
      <c r="AB136" s="787">
        <f t="shared" si="37"/>
        <v>0</v>
      </c>
      <c r="AD136" s="750">
        <v>14</v>
      </c>
      <c r="AE136" s="740">
        <f>IF(Knoten!Q16&gt;0,1,0)</f>
        <v>0</v>
      </c>
      <c r="AF136" s="786">
        <f>IF(ISNUMBER(Knoten!C16),Z19*B136,0)</f>
        <v>0</v>
      </c>
      <c r="AG136" s="786">
        <f>(AF136-$C$143/4*COS(Knoten!W16*PI()/180)+$C$143/2*SIN(Knoten!W16*PI()/180))*B136</f>
        <v>0</v>
      </c>
      <c r="AH136" s="786">
        <f>(AG136-$C$143/2*COS(Knoten!W16*PI()/180)-$C$143*SIN(Knoten!W16*PI()/180))*B136</f>
        <v>0</v>
      </c>
      <c r="AI136" s="786">
        <f>(AH136-$C$143/2*COS(Knoten!W16*PI()/180)+$C$143*SIN(Knoten!W16*PI()/180))*B136</f>
        <v>0</v>
      </c>
      <c r="AJ136" s="786">
        <f>(AI136-$C$143/2*COS(Knoten!W16*PI()/180)-$C$143*SIN(Knoten!W16*PI()/180))*B136</f>
        <v>0</v>
      </c>
      <c r="AK136" s="786">
        <f>(AJ136-$C$143/4*COS(Knoten!W16*PI()/180)+$C$143/2*SIN(Knoten!W16*PI()/180))*B136</f>
        <v>0</v>
      </c>
      <c r="AL136" s="787">
        <f>(AK136-$C$143/4*COS(Knoten!W16*PI()/180))*B136</f>
        <v>0</v>
      </c>
      <c r="AM136" s="785">
        <f t="shared" si="38"/>
        <v>0</v>
      </c>
      <c r="AN136" s="786">
        <f>(AM136-$E$143/2*SIN(Knoten!W16*PI()/180))*B136</f>
        <v>0</v>
      </c>
      <c r="AO136" s="786">
        <f>(AM136-$E$143/2*SIN(Knoten!W16*PI()/180)-$E$143*COS(Knoten!W16*PI()/180))*B136</f>
        <v>0</v>
      </c>
      <c r="AP136" s="786">
        <f>(AM136+$E$143/2*SIN(Knoten!W16*PI()/180)-$E$143*COS(Knoten!W16*PI()/180))*B136</f>
        <v>0</v>
      </c>
      <c r="AQ136" s="786">
        <f>(AM136+$E$143/2*SIN(Knoten!W16*PI()/180))*B136</f>
        <v>0</v>
      </c>
      <c r="AR136" s="786">
        <f t="shared" si="39"/>
        <v>0</v>
      </c>
      <c r="AS136" s="785">
        <f>IF(ISNUMBER(Knoten!D16),AA19*B136,0)</f>
        <v>0</v>
      </c>
      <c r="AT136" s="786">
        <f>(AS136+$C$143/2*COS(Knoten!W16*PI()/180)+$C$143/4*SIN(Knoten!W16*PI()/180))*B136</f>
        <v>0</v>
      </c>
      <c r="AU136" s="786">
        <f>(AT136-$C$143*COS(Knoten!W16*PI()/180)+$C$143/2*SIN(Knoten!W16*PI()/180))*B136</f>
        <v>0</v>
      </c>
      <c r="AV136" s="786">
        <f>(AU136+$C$143*COS(Knoten!W16*PI()/180)+$C$143/2*SIN(Knoten!W16*PI()/180))*B136</f>
        <v>0</v>
      </c>
      <c r="AW136" s="786">
        <f>(AV136-$C$143*COS(Knoten!W16*PI()/180)+$C$143/2*SIN(Knoten!W16*PI()/180))*B136</f>
        <v>0</v>
      </c>
      <c r="AX136" s="786">
        <f>(AW136+$C$143/2*COS(Knoten!W16*PI()/180)+$C$143/4*SIN(Knoten!W16*PI()/180))*B136</f>
        <v>0</v>
      </c>
      <c r="AY136" s="787">
        <f>(AX136+$C$143/4*SIN(Knoten!W16*PI()/180))*B136</f>
        <v>0</v>
      </c>
      <c r="AZ136" s="785">
        <f t="shared" si="40"/>
        <v>0</v>
      </c>
      <c r="BA136" s="786">
        <f>(AZ136-$E$143/2*COS(Knoten!W16*PI()/180))*B136</f>
        <v>0</v>
      </c>
      <c r="BB136" s="786">
        <f>(AZ136+$E$143*SIN(Knoten!W16*PI()/180)-$E$143/2*COS(Knoten!W16*PI()/180))*B136</f>
        <v>0</v>
      </c>
      <c r="BC136" s="786">
        <f>(AZ136+$E$143*SIN(Knoten!W16*PI()/180)+$E$143/2*COS(Knoten!W16*PI()/180))*B136</f>
        <v>0</v>
      </c>
      <c r="BD136" s="786">
        <f>(AZ136+$E$143/2*COS(Knoten!W16*PI()/180))*B136</f>
        <v>0</v>
      </c>
      <c r="BE136" s="787">
        <f t="shared" si="41"/>
        <v>0</v>
      </c>
    </row>
    <row r="137" spans="1:57" x14ac:dyDescent="0.25">
      <c r="A137" s="750">
        <v>15</v>
      </c>
      <c r="B137" s="740">
        <f>IF(Knoten!Q17&gt;0,1,0)</f>
        <v>0</v>
      </c>
      <c r="C137" s="785">
        <f>IF(ISNUMBER(Knoten!C17),(Knoten!C17-$U$1)*B137,0)</f>
        <v>0</v>
      </c>
      <c r="D137" s="786">
        <f>(C137-$C$143/4*COS(Knoten!W17*PI()/180)+$C$143/2*SIN(Knoten!W17*PI()/180))*B137</f>
        <v>0</v>
      </c>
      <c r="E137" s="786">
        <f>(D137-$C$143/2*COS(Knoten!W17*PI()/180)-$C$143*SIN(Knoten!W17*PI()/180))*B137</f>
        <v>0</v>
      </c>
      <c r="F137" s="786">
        <f>(E137-$C$143/2*COS(Knoten!W17*PI()/180)+$C$143*SIN(Knoten!W17*PI()/180))*B137</f>
        <v>0</v>
      </c>
      <c r="G137" s="786">
        <f>(F137-$C$143/2*COS(Knoten!W17*PI()/180)-$C$143*SIN(Knoten!W17*PI()/180))*B137</f>
        <v>0</v>
      </c>
      <c r="H137" s="786">
        <f>(G137-$C$143/4*COS(Knoten!W17*PI()/180)+$C$143/2*SIN(Knoten!W17*PI()/180))*B137</f>
        <v>0</v>
      </c>
      <c r="I137" s="787">
        <f>(H137-$C$143/4*COS(Knoten!W17*PI()/180))*B137</f>
        <v>0</v>
      </c>
      <c r="J137" s="785">
        <f t="shared" si="34"/>
        <v>0</v>
      </c>
      <c r="K137" s="786">
        <f>(J137-$E$143/2*SIN(Knoten!W17*PI()/180))*B137</f>
        <v>0</v>
      </c>
      <c r="L137" s="786">
        <f>(J137-$E$143/2*SIN(Knoten!W17*PI()/180)-$E$143*COS(Knoten!W17*PI()/180))*B137</f>
        <v>0</v>
      </c>
      <c r="M137" s="786">
        <f>(J137+$E$143/2*SIN(Knoten!W17*PI()/180)-$E$143*COS(Knoten!W17*PI()/180))*B137</f>
        <v>0</v>
      </c>
      <c r="N137" s="786">
        <f>(J137+$E$143/2*SIN(Knoten!W17*PI()/180))*B137</f>
        <v>0</v>
      </c>
      <c r="O137" s="786">
        <f t="shared" si="35"/>
        <v>0</v>
      </c>
      <c r="P137" s="785">
        <f>IF(ISNUMBER(Knoten!D17),(Knoten!D17-$X$1)*B137,0)</f>
        <v>0</v>
      </c>
      <c r="Q137" s="786">
        <f>(P137+$C$143/2*COS(Knoten!W17*PI()/180)+$C$143/4*SIN(Knoten!W17*PI()/180))*B137</f>
        <v>0</v>
      </c>
      <c r="R137" s="786">
        <f>(Q137-$C$143*COS(Knoten!W17*PI()/180)+$C$143/2*SIN(Knoten!W17*PI()/180))*B137</f>
        <v>0</v>
      </c>
      <c r="S137" s="786">
        <f>(R137+$C$143*COS(Knoten!W17*PI()/180)+$C$143/2*SIN(Knoten!W17*PI()/180))*B137</f>
        <v>0</v>
      </c>
      <c r="T137" s="786">
        <f>(S137-$C$143*COS(Knoten!W17*PI()/180)+$C$143/2*SIN(Knoten!W17*PI()/180))*B137</f>
        <v>0</v>
      </c>
      <c r="U137" s="786">
        <f>(T137+$C$143/2*COS(Knoten!W17*PI()/180)+$C$143/4*SIN(Knoten!W17*PI()/180))*B137</f>
        <v>0</v>
      </c>
      <c r="V137" s="787">
        <f>(U137+$C$143/4*SIN(Knoten!W17*PI()/180))*B137</f>
        <v>0</v>
      </c>
      <c r="W137" s="785">
        <f t="shared" si="36"/>
        <v>0</v>
      </c>
      <c r="X137" s="786">
        <f>(W137-$E$143/2*COS(Knoten!W17*PI()/180))*B137</f>
        <v>0</v>
      </c>
      <c r="Y137" s="786">
        <f>(W137+$E$143*SIN(Knoten!W17*PI()/180)-$E$143/2*COS(Knoten!W17*PI()/180))*B137</f>
        <v>0</v>
      </c>
      <c r="Z137" s="786">
        <f>(W137+$E$143*SIN(Knoten!W17*PI()/180)+$E$143/2*COS(Knoten!W17*PI()/180))*B137</f>
        <v>0</v>
      </c>
      <c r="AA137" s="786">
        <f>(W137+$E$143/2*COS(Knoten!W17*PI()/180))*B137</f>
        <v>0</v>
      </c>
      <c r="AB137" s="787">
        <f t="shared" si="37"/>
        <v>0</v>
      </c>
      <c r="AD137" s="750">
        <v>15</v>
      </c>
      <c r="AE137" s="740">
        <f>IF(Knoten!Q17&gt;0,1,0)</f>
        <v>0</v>
      </c>
      <c r="AF137" s="786">
        <f>IF(ISNUMBER(Knoten!C17),Z20*B137,0)</f>
        <v>0</v>
      </c>
      <c r="AG137" s="786">
        <f>(AF137-$C$143/4*COS(Knoten!W17*PI()/180)+$C$143/2*SIN(Knoten!W17*PI()/180))*B137</f>
        <v>0</v>
      </c>
      <c r="AH137" s="786">
        <f>(AG137-$C$143/2*COS(Knoten!W17*PI()/180)-$C$143*SIN(Knoten!W17*PI()/180))*B137</f>
        <v>0</v>
      </c>
      <c r="AI137" s="786">
        <f>(AH137-$C$143/2*COS(Knoten!W17*PI()/180)+$C$143*SIN(Knoten!W17*PI()/180))*B137</f>
        <v>0</v>
      </c>
      <c r="AJ137" s="786">
        <f>(AI137-$C$143/2*COS(Knoten!W17*PI()/180)-$C$143*SIN(Knoten!W17*PI()/180))*B137</f>
        <v>0</v>
      </c>
      <c r="AK137" s="786">
        <f>(AJ137-$C$143/4*COS(Knoten!W17*PI()/180)+$C$143/2*SIN(Knoten!W17*PI()/180))*B137</f>
        <v>0</v>
      </c>
      <c r="AL137" s="787">
        <f>(AK137-$C$143/4*COS(Knoten!W17*PI()/180))*B137</f>
        <v>0</v>
      </c>
      <c r="AM137" s="785">
        <f t="shared" si="38"/>
        <v>0</v>
      </c>
      <c r="AN137" s="786">
        <f>(AM137-$E$143/2*SIN(Knoten!W17*PI()/180))*B137</f>
        <v>0</v>
      </c>
      <c r="AO137" s="786">
        <f>(AM137-$E$143/2*SIN(Knoten!W17*PI()/180)-$E$143*COS(Knoten!W17*PI()/180))*B137</f>
        <v>0</v>
      </c>
      <c r="AP137" s="786">
        <f>(AM137+$E$143/2*SIN(Knoten!W17*PI()/180)-$E$143*COS(Knoten!W17*PI()/180))*B137</f>
        <v>0</v>
      </c>
      <c r="AQ137" s="786">
        <f>(AM137+$E$143/2*SIN(Knoten!W17*PI()/180))*B137</f>
        <v>0</v>
      </c>
      <c r="AR137" s="786">
        <f t="shared" si="39"/>
        <v>0</v>
      </c>
      <c r="AS137" s="785">
        <f>IF(ISNUMBER(Knoten!D17),AA20*B137,0)</f>
        <v>0</v>
      </c>
      <c r="AT137" s="786">
        <f>(AS137+$C$143/2*COS(Knoten!W17*PI()/180)+$C$143/4*SIN(Knoten!W17*PI()/180))*B137</f>
        <v>0</v>
      </c>
      <c r="AU137" s="786">
        <f>(AT137-$C$143*COS(Knoten!W17*PI()/180)+$C$143/2*SIN(Knoten!W17*PI()/180))*B137</f>
        <v>0</v>
      </c>
      <c r="AV137" s="786">
        <f>(AU137+$C$143*COS(Knoten!W17*PI()/180)+$C$143/2*SIN(Knoten!W17*PI()/180))*B137</f>
        <v>0</v>
      </c>
      <c r="AW137" s="786">
        <f>(AV137-$C$143*COS(Knoten!W17*PI()/180)+$C$143/2*SIN(Knoten!W17*PI()/180))*B137</f>
        <v>0</v>
      </c>
      <c r="AX137" s="786">
        <f>(AW137+$C$143/2*COS(Knoten!W17*PI()/180)+$C$143/4*SIN(Knoten!W17*PI()/180))*B137</f>
        <v>0</v>
      </c>
      <c r="AY137" s="787">
        <f>(AX137+$C$143/4*SIN(Knoten!W17*PI()/180))*B137</f>
        <v>0</v>
      </c>
      <c r="AZ137" s="785">
        <f t="shared" si="40"/>
        <v>0</v>
      </c>
      <c r="BA137" s="786">
        <f>(AZ137-$E$143/2*COS(Knoten!W17*PI()/180))*B137</f>
        <v>0</v>
      </c>
      <c r="BB137" s="786">
        <f>(AZ137+$E$143*SIN(Knoten!W17*PI()/180)-$E$143/2*COS(Knoten!W17*PI()/180))*B137</f>
        <v>0</v>
      </c>
      <c r="BC137" s="786">
        <f>(AZ137+$E$143*SIN(Knoten!W17*PI()/180)+$E$143/2*COS(Knoten!W17*PI()/180))*B137</f>
        <v>0</v>
      </c>
      <c r="BD137" s="786">
        <f>(AZ137+$E$143/2*COS(Knoten!W17*PI()/180))*B137</f>
        <v>0</v>
      </c>
      <c r="BE137" s="787">
        <f t="shared" si="41"/>
        <v>0</v>
      </c>
    </row>
    <row r="138" spans="1:57" x14ac:dyDescent="0.25">
      <c r="A138" s="750">
        <v>16</v>
      </c>
      <c r="B138" s="740">
        <f>IF(Knoten!Q18&gt;0,1,0)</f>
        <v>0</v>
      </c>
      <c r="C138" s="785">
        <f>IF(ISNUMBER(Knoten!C18),(Knoten!C18-$U$1)*B138,0)</f>
        <v>0</v>
      </c>
      <c r="D138" s="786">
        <f>(C138-$C$143/4*COS(Knoten!W18*PI()/180)+$C$143/2*SIN(Knoten!W18*PI()/180))*B138</f>
        <v>0</v>
      </c>
      <c r="E138" s="786">
        <f>(D138-$C$143/2*COS(Knoten!W18*PI()/180)-$C$143*SIN(Knoten!W18*PI()/180))*B138</f>
        <v>0</v>
      </c>
      <c r="F138" s="786">
        <f>(E138-$C$143/2*COS(Knoten!W18*PI()/180)+$C$143*SIN(Knoten!W18*PI()/180))*B138</f>
        <v>0</v>
      </c>
      <c r="G138" s="786">
        <f>(F138-$C$143/2*COS(Knoten!W18*PI()/180)-$C$143*SIN(Knoten!W18*PI()/180))*B138</f>
        <v>0</v>
      </c>
      <c r="H138" s="786">
        <f>(G138-$C$143/4*COS(Knoten!W18*PI()/180)+$C$143/2*SIN(Knoten!W18*PI()/180))*B138</f>
        <v>0</v>
      </c>
      <c r="I138" s="787">
        <f>(H138-$C$143/4*COS(Knoten!W18*PI()/180))*B138</f>
        <v>0</v>
      </c>
      <c r="J138" s="785">
        <f t="shared" si="34"/>
        <v>0</v>
      </c>
      <c r="K138" s="786">
        <f>(J138-$E$143/2*SIN(Knoten!W18*PI()/180))*B138</f>
        <v>0</v>
      </c>
      <c r="L138" s="786">
        <f>(J138-$E$143/2*SIN(Knoten!W18*PI()/180)-$E$143*COS(Knoten!W18*PI()/180))*B138</f>
        <v>0</v>
      </c>
      <c r="M138" s="786">
        <f>(J138+$E$143/2*SIN(Knoten!W18*PI()/180)-$E$143*COS(Knoten!W18*PI()/180))*B138</f>
        <v>0</v>
      </c>
      <c r="N138" s="786">
        <f>(J138+$E$143/2*SIN(Knoten!W18*PI()/180))*B138</f>
        <v>0</v>
      </c>
      <c r="O138" s="786">
        <f t="shared" si="35"/>
        <v>0</v>
      </c>
      <c r="P138" s="785">
        <f>IF(ISNUMBER(Knoten!D18),(Knoten!D18-$X$1)*B138,0)</f>
        <v>0</v>
      </c>
      <c r="Q138" s="786">
        <f>(P138+$C$143/2*COS(Knoten!W18*PI()/180)+$C$143/4*SIN(Knoten!W18*PI()/180))*B138</f>
        <v>0</v>
      </c>
      <c r="R138" s="786">
        <f>(Q138-$C$143*COS(Knoten!W18*PI()/180)+$C$143/2*SIN(Knoten!W18*PI()/180))*B138</f>
        <v>0</v>
      </c>
      <c r="S138" s="786">
        <f>(R138+$C$143*COS(Knoten!W18*PI()/180)+$C$143/2*SIN(Knoten!W18*PI()/180))*B138</f>
        <v>0</v>
      </c>
      <c r="T138" s="786">
        <f>(S138-$C$143*COS(Knoten!W18*PI()/180)+$C$143/2*SIN(Knoten!W18*PI()/180))*B138</f>
        <v>0</v>
      </c>
      <c r="U138" s="786">
        <f>(T138+$C$143/2*COS(Knoten!W18*PI()/180)+$C$143/4*SIN(Knoten!W18*PI()/180))*B138</f>
        <v>0</v>
      </c>
      <c r="V138" s="787">
        <f>(U138+$C$143/4*SIN(Knoten!W18*PI()/180))*B138</f>
        <v>0</v>
      </c>
      <c r="W138" s="785">
        <f t="shared" si="36"/>
        <v>0</v>
      </c>
      <c r="X138" s="786">
        <f>(W138-$E$143/2*COS(Knoten!W18*PI()/180))*B138</f>
        <v>0</v>
      </c>
      <c r="Y138" s="786">
        <f>(W138+$E$143*SIN(Knoten!W18*PI()/180)-$E$143/2*COS(Knoten!W18*PI()/180))*B138</f>
        <v>0</v>
      </c>
      <c r="Z138" s="786">
        <f>(W138+$E$143*SIN(Knoten!W18*PI()/180)+$E$143/2*COS(Knoten!W18*PI()/180))*B138</f>
        <v>0</v>
      </c>
      <c r="AA138" s="786">
        <f>(W138+$E$143/2*COS(Knoten!W18*PI()/180))*B138</f>
        <v>0</v>
      </c>
      <c r="AB138" s="787">
        <f t="shared" si="37"/>
        <v>0</v>
      </c>
      <c r="AD138" s="750">
        <v>16</v>
      </c>
      <c r="AE138" s="740">
        <f>IF(Knoten!Q18&gt;0,1,0)</f>
        <v>0</v>
      </c>
      <c r="AF138" s="786">
        <f>IF(ISNUMBER(Knoten!C18),Z21*B138,0)</f>
        <v>0</v>
      </c>
      <c r="AG138" s="786">
        <f>(AF138-$C$143/4*COS(Knoten!W18*PI()/180)+$C$143/2*SIN(Knoten!W18*PI()/180))*B138</f>
        <v>0</v>
      </c>
      <c r="AH138" s="786">
        <f>(AG138-$C$143/2*COS(Knoten!W18*PI()/180)-$C$143*SIN(Knoten!W18*PI()/180))*B138</f>
        <v>0</v>
      </c>
      <c r="AI138" s="786">
        <f>(AH138-$C$143/2*COS(Knoten!W18*PI()/180)+$C$143*SIN(Knoten!W18*PI()/180))*B138</f>
        <v>0</v>
      </c>
      <c r="AJ138" s="786">
        <f>(AI138-$C$143/2*COS(Knoten!W18*PI()/180)-$C$143*SIN(Knoten!W18*PI()/180))*B138</f>
        <v>0</v>
      </c>
      <c r="AK138" s="786">
        <f>(AJ138-$C$143/4*COS(Knoten!W18*PI()/180)+$C$143/2*SIN(Knoten!W18*PI()/180))*B138</f>
        <v>0</v>
      </c>
      <c r="AL138" s="787">
        <f>(AK138-$C$143/4*COS(Knoten!W18*PI()/180))*B138</f>
        <v>0</v>
      </c>
      <c r="AM138" s="785">
        <f t="shared" si="38"/>
        <v>0</v>
      </c>
      <c r="AN138" s="786">
        <f>(AM138-$E$143/2*SIN(Knoten!W18*PI()/180))*B138</f>
        <v>0</v>
      </c>
      <c r="AO138" s="786">
        <f>(AM138-$E$143/2*SIN(Knoten!W18*PI()/180)-$E$143*COS(Knoten!W18*PI()/180))*B138</f>
        <v>0</v>
      </c>
      <c r="AP138" s="786">
        <f>(AM138+$E$143/2*SIN(Knoten!W18*PI()/180)-$E$143*COS(Knoten!W18*PI()/180))*B138</f>
        <v>0</v>
      </c>
      <c r="AQ138" s="786">
        <f>(AM138+$E$143/2*SIN(Knoten!W18*PI()/180))*B138</f>
        <v>0</v>
      </c>
      <c r="AR138" s="786">
        <f t="shared" si="39"/>
        <v>0</v>
      </c>
      <c r="AS138" s="785">
        <f>IF(ISNUMBER(Knoten!D18),AA21*B138,0)</f>
        <v>0</v>
      </c>
      <c r="AT138" s="786">
        <f>(AS138+$C$143/2*COS(Knoten!W18*PI()/180)+$C$143/4*SIN(Knoten!W18*PI()/180))*B138</f>
        <v>0</v>
      </c>
      <c r="AU138" s="786">
        <f>(AT138-$C$143*COS(Knoten!W18*PI()/180)+$C$143/2*SIN(Knoten!W18*PI()/180))*B138</f>
        <v>0</v>
      </c>
      <c r="AV138" s="786">
        <f>(AU138+$C$143*COS(Knoten!W18*PI()/180)+$C$143/2*SIN(Knoten!W18*PI()/180))*B138</f>
        <v>0</v>
      </c>
      <c r="AW138" s="786">
        <f>(AV138-$C$143*COS(Knoten!W18*PI()/180)+$C$143/2*SIN(Knoten!W18*PI()/180))*B138</f>
        <v>0</v>
      </c>
      <c r="AX138" s="786">
        <f>(AW138+$C$143/2*COS(Knoten!W18*PI()/180)+$C$143/4*SIN(Knoten!W18*PI()/180))*B138</f>
        <v>0</v>
      </c>
      <c r="AY138" s="787">
        <f>(AX138+$C$143/4*SIN(Knoten!W18*PI()/180))*B138</f>
        <v>0</v>
      </c>
      <c r="AZ138" s="785">
        <f t="shared" si="40"/>
        <v>0</v>
      </c>
      <c r="BA138" s="786">
        <f>(AZ138-$E$143/2*COS(Knoten!W18*PI()/180))*B138</f>
        <v>0</v>
      </c>
      <c r="BB138" s="786">
        <f>(AZ138+$E$143*SIN(Knoten!W18*PI()/180)-$E$143/2*COS(Knoten!W18*PI()/180))*B138</f>
        <v>0</v>
      </c>
      <c r="BC138" s="786">
        <f>(AZ138+$E$143*SIN(Knoten!W18*PI()/180)+$E$143/2*COS(Knoten!W18*PI()/180))*B138</f>
        <v>0</v>
      </c>
      <c r="BD138" s="786">
        <f>(AZ138+$E$143/2*COS(Knoten!W18*PI()/180))*B138</f>
        <v>0</v>
      </c>
      <c r="BE138" s="787">
        <f t="shared" si="41"/>
        <v>0</v>
      </c>
    </row>
    <row r="139" spans="1:57" x14ac:dyDescent="0.25">
      <c r="A139" s="750">
        <v>17</v>
      </c>
      <c r="B139" s="740">
        <f>IF(Knoten!Q19&gt;0,1,0)</f>
        <v>0</v>
      </c>
      <c r="C139" s="785">
        <f>IF(ISNUMBER(Knoten!C19),(Knoten!C19-$U$1)*B139,0)</f>
        <v>0</v>
      </c>
      <c r="D139" s="786">
        <f>(C139-$C$143/4*COS(Knoten!W19*PI()/180)+$C$143/2*SIN(Knoten!W19*PI()/180))*B139</f>
        <v>0</v>
      </c>
      <c r="E139" s="786">
        <f>(D139-$C$143/2*COS(Knoten!W19*PI()/180)-$C$143*SIN(Knoten!W19*PI()/180))*B139</f>
        <v>0</v>
      </c>
      <c r="F139" s="786">
        <f>(E139-$C$143/2*COS(Knoten!W19*PI()/180)+$C$143*SIN(Knoten!W19*PI()/180))*B139</f>
        <v>0</v>
      </c>
      <c r="G139" s="786">
        <f>(F139-$C$143/2*COS(Knoten!W19*PI()/180)-$C$143*SIN(Knoten!W19*PI()/180))*B139</f>
        <v>0</v>
      </c>
      <c r="H139" s="786">
        <f>(G139-$C$143/4*COS(Knoten!W19*PI()/180)+$C$143/2*SIN(Knoten!W19*PI()/180))*B139</f>
        <v>0</v>
      </c>
      <c r="I139" s="787">
        <f>(H139-$C$143/4*COS(Knoten!W19*PI()/180))*B139</f>
        <v>0</v>
      </c>
      <c r="J139" s="785">
        <f t="shared" si="34"/>
        <v>0</v>
      </c>
      <c r="K139" s="786">
        <f>(J139-$E$143/2*SIN(Knoten!W19*PI()/180))*B139</f>
        <v>0</v>
      </c>
      <c r="L139" s="786">
        <f>(J139-$E$143/2*SIN(Knoten!W19*PI()/180)-$E$143*COS(Knoten!W19*PI()/180))*B139</f>
        <v>0</v>
      </c>
      <c r="M139" s="786">
        <f>(J139+$E$143/2*SIN(Knoten!W19*PI()/180)-$E$143*COS(Knoten!W19*PI()/180))*B139</f>
        <v>0</v>
      </c>
      <c r="N139" s="786">
        <f>(J139+$E$143/2*SIN(Knoten!W19*PI()/180))*B139</f>
        <v>0</v>
      </c>
      <c r="O139" s="786">
        <f t="shared" si="35"/>
        <v>0</v>
      </c>
      <c r="P139" s="785">
        <f>IF(ISNUMBER(Knoten!D19),(Knoten!D19-$X$1)*B139,0)</f>
        <v>0</v>
      </c>
      <c r="Q139" s="786">
        <f>(P139+$C$143/2*COS(Knoten!W19*PI()/180)+$C$143/4*SIN(Knoten!W19*PI()/180))*B139</f>
        <v>0</v>
      </c>
      <c r="R139" s="786">
        <f>(Q139-$C$143*COS(Knoten!W19*PI()/180)+$C$143/2*SIN(Knoten!W19*PI()/180))*B139</f>
        <v>0</v>
      </c>
      <c r="S139" s="786">
        <f>(R139+$C$143*COS(Knoten!W19*PI()/180)+$C$143/2*SIN(Knoten!W19*PI()/180))*B139</f>
        <v>0</v>
      </c>
      <c r="T139" s="786">
        <f>(S139-$C$143*COS(Knoten!W19*PI()/180)+$C$143/2*SIN(Knoten!W19*PI()/180))*B139</f>
        <v>0</v>
      </c>
      <c r="U139" s="786">
        <f>(T139+$C$143/2*COS(Knoten!W19*PI()/180)+$C$143/4*SIN(Knoten!W19*PI()/180))*B139</f>
        <v>0</v>
      </c>
      <c r="V139" s="787">
        <f>(U139+$C$143/4*SIN(Knoten!W19*PI()/180))*B139</f>
        <v>0</v>
      </c>
      <c r="W139" s="785">
        <f t="shared" si="36"/>
        <v>0</v>
      </c>
      <c r="X139" s="786">
        <f>(W139-$E$143/2*COS(Knoten!W19*PI()/180))*B139</f>
        <v>0</v>
      </c>
      <c r="Y139" s="786">
        <f>(W139+$E$143*SIN(Knoten!W19*PI()/180)-$E$143/2*COS(Knoten!W19*PI()/180))*B139</f>
        <v>0</v>
      </c>
      <c r="Z139" s="786">
        <f>(W139+$E$143*SIN(Knoten!W19*PI()/180)+$E$143/2*COS(Knoten!W19*PI()/180))*B139</f>
        <v>0</v>
      </c>
      <c r="AA139" s="786">
        <f>(W139+$E$143/2*COS(Knoten!W19*PI()/180))*B139</f>
        <v>0</v>
      </c>
      <c r="AB139" s="787">
        <f t="shared" si="37"/>
        <v>0</v>
      </c>
      <c r="AD139" s="750">
        <v>17</v>
      </c>
      <c r="AE139" s="740">
        <f>IF(Knoten!Q19&gt;0,1,0)</f>
        <v>0</v>
      </c>
      <c r="AF139" s="786">
        <f>IF(ISNUMBER(Knoten!C19),Z22*B139,0)</f>
        <v>0</v>
      </c>
      <c r="AG139" s="786">
        <f>(AF139-$C$143/4*COS(Knoten!W19*PI()/180)+$C$143/2*SIN(Knoten!W19*PI()/180))*B139</f>
        <v>0</v>
      </c>
      <c r="AH139" s="786">
        <f>(AG139-$C$143/2*COS(Knoten!W19*PI()/180)-$C$143*SIN(Knoten!W19*PI()/180))*B139</f>
        <v>0</v>
      </c>
      <c r="AI139" s="786">
        <f>(AH139-$C$143/2*COS(Knoten!W19*PI()/180)+$C$143*SIN(Knoten!W19*PI()/180))*B139</f>
        <v>0</v>
      </c>
      <c r="AJ139" s="786">
        <f>(AI139-$C$143/2*COS(Knoten!W19*PI()/180)-$C$143*SIN(Knoten!W19*PI()/180))*B139</f>
        <v>0</v>
      </c>
      <c r="AK139" s="786">
        <f>(AJ139-$C$143/4*COS(Knoten!W19*PI()/180)+$C$143/2*SIN(Knoten!W19*PI()/180))*B139</f>
        <v>0</v>
      </c>
      <c r="AL139" s="787">
        <f>(AK139-$C$143/4*COS(Knoten!W19*PI()/180))*B139</f>
        <v>0</v>
      </c>
      <c r="AM139" s="785">
        <f t="shared" si="38"/>
        <v>0</v>
      </c>
      <c r="AN139" s="786">
        <f>(AM139-$E$143/2*SIN(Knoten!W19*PI()/180))*B139</f>
        <v>0</v>
      </c>
      <c r="AO139" s="786">
        <f>(AM139-$E$143/2*SIN(Knoten!W19*PI()/180)-$E$143*COS(Knoten!W19*PI()/180))*B139</f>
        <v>0</v>
      </c>
      <c r="AP139" s="786">
        <f>(AM139+$E$143/2*SIN(Knoten!W19*PI()/180)-$E$143*COS(Knoten!W19*PI()/180))*B139</f>
        <v>0</v>
      </c>
      <c r="AQ139" s="786">
        <f>(AM139+$E$143/2*SIN(Knoten!W19*PI()/180))*B139</f>
        <v>0</v>
      </c>
      <c r="AR139" s="786">
        <f t="shared" si="39"/>
        <v>0</v>
      </c>
      <c r="AS139" s="785">
        <f>IF(ISNUMBER(Knoten!D19),AA22*B139,0)</f>
        <v>0</v>
      </c>
      <c r="AT139" s="786">
        <f>(AS139+$C$143/2*COS(Knoten!W19*PI()/180)+$C$143/4*SIN(Knoten!W19*PI()/180))*B139</f>
        <v>0</v>
      </c>
      <c r="AU139" s="786">
        <f>(AT139-$C$143*COS(Knoten!W19*PI()/180)+$C$143/2*SIN(Knoten!W19*PI()/180))*B139</f>
        <v>0</v>
      </c>
      <c r="AV139" s="786">
        <f>(AU139+$C$143*COS(Knoten!W19*PI()/180)+$C$143/2*SIN(Knoten!W19*PI()/180))*B139</f>
        <v>0</v>
      </c>
      <c r="AW139" s="786">
        <f>(AV139-$C$143*COS(Knoten!W19*PI()/180)+$C$143/2*SIN(Knoten!W19*PI()/180))*B139</f>
        <v>0</v>
      </c>
      <c r="AX139" s="786">
        <f>(AW139+$C$143/2*COS(Knoten!W19*PI()/180)+$C$143/4*SIN(Knoten!W19*PI()/180))*B139</f>
        <v>0</v>
      </c>
      <c r="AY139" s="787">
        <f>(AX139+$C$143/4*SIN(Knoten!W19*PI()/180))*B139</f>
        <v>0</v>
      </c>
      <c r="AZ139" s="785">
        <f t="shared" si="40"/>
        <v>0</v>
      </c>
      <c r="BA139" s="786">
        <f>(AZ139-$E$143/2*COS(Knoten!W19*PI()/180))*B139</f>
        <v>0</v>
      </c>
      <c r="BB139" s="786">
        <f>(AZ139+$E$143*SIN(Knoten!W19*PI()/180)-$E$143/2*COS(Knoten!W19*PI()/180))*B139</f>
        <v>0</v>
      </c>
      <c r="BC139" s="786">
        <f>(AZ139+$E$143*SIN(Knoten!W19*PI()/180)+$E$143/2*COS(Knoten!W19*PI()/180))*B139</f>
        <v>0</v>
      </c>
      <c r="BD139" s="786">
        <f>(AZ139+$E$143/2*COS(Knoten!W19*PI()/180))*B139</f>
        <v>0</v>
      </c>
      <c r="BE139" s="787">
        <f t="shared" si="41"/>
        <v>0</v>
      </c>
    </row>
    <row r="140" spans="1:57" x14ac:dyDescent="0.25">
      <c r="A140" s="750">
        <v>18</v>
      </c>
      <c r="B140" s="740">
        <f>IF(Knoten!Q20&gt;0,1,0)</f>
        <v>0</v>
      </c>
      <c r="C140" s="785">
        <f>IF(ISNUMBER(Knoten!C20),(Knoten!C20-$U$1)*B140,0)</f>
        <v>0</v>
      </c>
      <c r="D140" s="786">
        <f>(C140-$C$143/4*COS(Knoten!W20*PI()/180)+$C$143/2*SIN(Knoten!W20*PI()/180))*B140</f>
        <v>0</v>
      </c>
      <c r="E140" s="786">
        <f>(D140-$C$143/2*COS(Knoten!W20*PI()/180)-$C$143*SIN(Knoten!W20*PI()/180))*B140</f>
        <v>0</v>
      </c>
      <c r="F140" s="786">
        <f>(E140-$C$143/2*COS(Knoten!W20*PI()/180)+$C$143*SIN(Knoten!W20*PI()/180))*B140</f>
        <v>0</v>
      </c>
      <c r="G140" s="786">
        <f>(F140-$C$143/2*COS(Knoten!W20*PI()/180)-$C$143*SIN(Knoten!W20*PI()/180))*B140</f>
        <v>0</v>
      </c>
      <c r="H140" s="786">
        <f>(G140-$C$143/4*COS(Knoten!W20*PI()/180)+$C$143/2*SIN(Knoten!W20*PI()/180))*B140</f>
        <v>0</v>
      </c>
      <c r="I140" s="787">
        <f>(H140-$C$143/4*COS(Knoten!W20*PI()/180))*B140</f>
        <v>0</v>
      </c>
      <c r="J140" s="785">
        <f t="shared" si="34"/>
        <v>0</v>
      </c>
      <c r="K140" s="786">
        <f>(J140-$E$143/2*SIN(Knoten!W20*PI()/180))*B140</f>
        <v>0</v>
      </c>
      <c r="L140" s="786">
        <f>(J140-$E$143/2*SIN(Knoten!W20*PI()/180)-$E$143*COS(Knoten!W20*PI()/180))*B140</f>
        <v>0</v>
      </c>
      <c r="M140" s="786">
        <f>(J140+$E$143/2*SIN(Knoten!W20*PI()/180)-$E$143*COS(Knoten!W20*PI()/180))*B140</f>
        <v>0</v>
      </c>
      <c r="N140" s="786">
        <f>(J140+$E$143/2*SIN(Knoten!W20*PI()/180))*B140</f>
        <v>0</v>
      </c>
      <c r="O140" s="786">
        <f t="shared" si="35"/>
        <v>0</v>
      </c>
      <c r="P140" s="785">
        <f>IF(ISNUMBER(Knoten!D20),(Knoten!D20-$X$1)*B140,0)</f>
        <v>0</v>
      </c>
      <c r="Q140" s="786">
        <f>(P140+$C$143/2*COS(Knoten!W20*PI()/180)+$C$143/4*SIN(Knoten!W20*PI()/180))*B140</f>
        <v>0</v>
      </c>
      <c r="R140" s="786">
        <f>(Q140-$C$143*COS(Knoten!W20*PI()/180)+$C$143/2*SIN(Knoten!W20*PI()/180))*B140</f>
        <v>0</v>
      </c>
      <c r="S140" s="786">
        <f>(R140+$C$143*COS(Knoten!W20*PI()/180)+$C$143/2*SIN(Knoten!W20*PI()/180))*B140</f>
        <v>0</v>
      </c>
      <c r="T140" s="786">
        <f>(S140-$C$143*COS(Knoten!W20*PI()/180)+$C$143/2*SIN(Knoten!W20*PI()/180))*B140</f>
        <v>0</v>
      </c>
      <c r="U140" s="786">
        <f>(T140+$C$143/2*COS(Knoten!W20*PI()/180)+$C$143/4*SIN(Knoten!W20*PI()/180))*B140</f>
        <v>0</v>
      </c>
      <c r="V140" s="787">
        <f>(U140+$C$143/4*SIN(Knoten!W20*PI()/180))*B140</f>
        <v>0</v>
      </c>
      <c r="W140" s="785">
        <f t="shared" si="36"/>
        <v>0</v>
      </c>
      <c r="X140" s="786">
        <f>(W140-$E$143/2*COS(Knoten!W20*PI()/180))*B140</f>
        <v>0</v>
      </c>
      <c r="Y140" s="786">
        <f>(W140+$E$143*SIN(Knoten!W20*PI()/180)-$E$143/2*COS(Knoten!W20*PI()/180))*B140</f>
        <v>0</v>
      </c>
      <c r="Z140" s="786">
        <f>(W140+$E$143*SIN(Knoten!W20*PI()/180)+$E$143/2*COS(Knoten!W20*PI()/180))*B140</f>
        <v>0</v>
      </c>
      <c r="AA140" s="786">
        <f>(W140+$E$143/2*COS(Knoten!W20*PI()/180))*B140</f>
        <v>0</v>
      </c>
      <c r="AB140" s="787">
        <f t="shared" si="37"/>
        <v>0</v>
      </c>
      <c r="AD140" s="750">
        <v>18</v>
      </c>
      <c r="AE140" s="740">
        <f>IF(Knoten!Q20&gt;0,1,0)</f>
        <v>0</v>
      </c>
      <c r="AF140" s="786">
        <f>IF(ISNUMBER(Knoten!C20),Z23*B140,0)</f>
        <v>0</v>
      </c>
      <c r="AG140" s="786">
        <f>(AF140-$C$143/4*COS(Knoten!W20*PI()/180)+$C$143/2*SIN(Knoten!W20*PI()/180))*B140</f>
        <v>0</v>
      </c>
      <c r="AH140" s="786">
        <f>(AG140-$C$143/2*COS(Knoten!W20*PI()/180)-$C$143*SIN(Knoten!W20*PI()/180))*B140</f>
        <v>0</v>
      </c>
      <c r="AI140" s="786">
        <f>(AH140-$C$143/2*COS(Knoten!W20*PI()/180)+$C$143*SIN(Knoten!W20*PI()/180))*B140</f>
        <v>0</v>
      </c>
      <c r="AJ140" s="786">
        <f>(AI140-$C$143/2*COS(Knoten!W20*PI()/180)-$C$143*SIN(Knoten!W20*PI()/180))*B140</f>
        <v>0</v>
      </c>
      <c r="AK140" s="786">
        <f>(AJ140-$C$143/4*COS(Knoten!W20*PI()/180)+$C$143/2*SIN(Knoten!W20*PI()/180))*B140</f>
        <v>0</v>
      </c>
      <c r="AL140" s="787">
        <f>(AK140-$C$143/4*COS(Knoten!W20*PI()/180))*B140</f>
        <v>0</v>
      </c>
      <c r="AM140" s="785">
        <f t="shared" si="38"/>
        <v>0</v>
      </c>
      <c r="AN140" s="786">
        <f>(AM140-$E$143/2*SIN(Knoten!W20*PI()/180))*B140</f>
        <v>0</v>
      </c>
      <c r="AO140" s="786">
        <f>(AM140-$E$143/2*SIN(Knoten!W20*PI()/180)-$E$143*COS(Knoten!W20*PI()/180))*B140</f>
        <v>0</v>
      </c>
      <c r="AP140" s="786">
        <f>(AM140+$E$143/2*SIN(Knoten!W20*PI()/180)-$E$143*COS(Knoten!W20*PI()/180))*B140</f>
        <v>0</v>
      </c>
      <c r="AQ140" s="786">
        <f>(AM140+$E$143/2*SIN(Knoten!W20*PI()/180))*B140</f>
        <v>0</v>
      </c>
      <c r="AR140" s="786">
        <f t="shared" si="39"/>
        <v>0</v>
      </c>
      <c r="AS140" s="785">
        <f>IF(ISNUMBER(Knoten!D20),AA23*B140,0)</f>
        <v>0</v>
      </c>
      <c r="AT140" s="786">
        <f>(AS140+$C$143/2*COS(Knoten!W20*PI()/180)+$C$143/4*SIN(Knoten!W20*PI()/180))*B140</f>
        <v>0</v>
      </c>
      <c r="AU140" s="786">
        <f>(AT140-$C$143*COS(Knoten!W20*PI()/180)+$C$143/2*SIN(Knoten!W20*PI()/180))*B140</f>
        <v>0</v>
      </c>
      <c r="AV140" s="786">
        <f>(AU140+$C$143*COS(Knoten!W20*PI()/180)+$C$143/2*SIN(Knoten!W20*PI()/180))*B140</f>
        <v>0</v>
      </c>
      <c r="AW140" s="786">
        <f>(AV140-$C$143*COS(Knoten!W20*PI()/180)+$C$143/2*SIN(Knoten!W20*PI()/180))*B140</f>
        <v>0</v>
      </c>
      <c r="AX140" s="786">
        <f>(AW140+$C$143/2*COS(Knoten!W20*PI()/180)+$C$143/4*SIN(Knoten!W20*PI()/180))*B140</f>
        <v>0</v>
      </c>
      <c r="AY140" s="787">
        <f>(AX140+$C$143/4*SIN(Knoten!W20*PI()/180))*B140</f>
        <v>0</v>
      </c>
      <c r="AZ140" s="785">
        <f t="shared" si="40"/>
        <v>0</v>
      </c>
      <c r="BA140" s="786">
        <f>(AZ140-$E$143/2*COS(Knoten!W20*PI()/180))*B140</f>
        <v>0</v>
      </c>
      <c r="BB140" s="786">
        <f>(AZ140+$E$143*SIN(Knoten!W20*PI()/180)-$E$143/2*COS(Knoten!W20*PI()/180))*B140</f>
        <v>0</v>
      </c>
      <c r="BC140" s="786">
        <f>(AZ140+$E$143*SIN(Knoten!W20*PI()/180)+$E$143/2*COS(Knoten!W20*PI()/180))*B140</f>
        <v>0</v>
      </c>
      <c r="BD140" s="786">
        <f>(AZ140+$E$143/2*COS(Knoten!W20*PI()/180))*B140</f>
        <v>0</v>
      </c>
      <c r="BE140" s="787">
        <f t="shared" si="41"/>
        <v>0</v>
      </c>
    </row>
    <row r="141" spans="1:57" x14ac:dyDescent="0.25">
      <c r="A141" s="750">
        <v>19</v>
      </c>
      <c r="B141" s="740">
        <f>IF(Knoten!Q21&gt;0,1,0)</f>
        <v>0</v>
      </c>
      <c r="C141" s="785">
        <f>IF(ISNUMBER(Knoten!C21),(Knoten!C21-$U$1)*B141,0)</f>
        <v>0</v>
      </c>
      <c r="D141" s="786">
        <f>(C141-$C$143/4*COS(Knoten!W21*PI()/180)+$C$143/2*SIN(Knoten!W21*PI()/180))*B141</f>
        <v>0</v>
      </c>
      <c r="E141" s="786">
        <f>(D141-$C$143/2*COS(Knoten!W21*PI()/180)-$C$143*SIN(Knoten!W21*PI()/180))*B141</f>
        <v>0</v>
      </c>
      <c r="F141" s="786">
        <f>(E141-$C$143/2*COS(Knoten!W21*PI()/180)+$C$143*SIN(Knoten!W21*PI()/180))*B141</f>
        <v>0</v>
      </c>
      <c r="G141" s="786">
        <f>(F141-$C$143/2*COS(Knoten!W21*PI()/180)-$C$143*SIN(Knoten!W21*PI()/180))*B141</f>
        <v>0</v>
      </c>
      <c r="H141" s="786">
        <f>(G141-$C$143/4*COS(Knoten!W21*PI()/180)+$C$143/2*SIN(Knoten!W21*PI()/180))*B141</f>
        <v>0</v>
      </c>
      <c r="I141" s="787">
        <f>(H141-$C$143/4*COS(Knoten!W21*PI()/180))*B141</f>
        <v>0</v>
      </c>
      <c r="J141" s="785">
        <f>I141</f>
        <v>0</v>
      </c>
      <c r="K141" s="786">
        <f>(J141-$E$143/2*SIN(Knoten!W21*PI()/180))*B141</f>
        <v>0</v>
      </c>
      <c r="L141" s="786">
        <f>(J141-$E$143/2*SIN(Knoten!W21*PI()/180)-$E$143*COS(Knoten!W21*PI()/180))*B141</f>
        <v>0</v>
      </c>
      <c r="M141" s="786">
        <f>(J141+$E$143/2*SIN(Knoten!W21*PI()/180)-$E$143*COS(Knoten!W21*PI()/180))*B141</f>
        <v>0</v>
      </c>
      <c r="N141" s="786">
        <f>(J141+$E$143/2*SIN(Knoten!W21*PI()/180))*B141</f>
        <v>0</v>
      </c>
      <c r="O141" s="786">
        <f>J141</f>
        <v>0</v>
      </c>
      <c r="P141" s="785">
        <f>IF(ISNUMBER(Knoten!D21),(Knoten!D21-$X$1)*B141,0)</f>
        <v>0</v>
      </c>
      <c r="Q141" s="786">
        <f>(P141+$C$143/2*COS(Knoten!W21*PI()/180)+$C$143/4*SIN(Knoten!W21*PI()/180))*B141</f>
        <v>0</v>
      </c>
      <c r="R141" s="786">
        <f>(Q141-$C$143*COS(Knoten!W21*PI()/180)+$C$143/2*SIN(Knoten!W21*PI()/180))*B141</f>
        <v>0</v>
      </c>
      <c r="S141" s="786">
        <f>(R141+$C$143*COS(Knoten!W21*PI()/180)+$C$143/2*SIN(Knoten!W21*PI()/180))*B141</f>
        <v>0</v>
      </c>
      <c r="T141" s="786">
        <f>(S141-$C$143*COS(Knoten!W21*PI()/180)+$C$143/2*SIN(Knoten!W21*PI()/180))*B141</f>
        <v>0</v>
      </c>
      <c r="U141" s="786">
        <f>(T141+$C$143/2*COS(Knoten!W21*PI()/180)+$C$143/4*SIN(Knoten!W21*PI()/180))*B141</f>
        <v>0</v>
      </c>
      <c r="V141" s="787">
        <f>(U141+$C$143/4*SIN(Knoten!W21*PI()/180))*B141</f>
        <v>0</v>
      </c>
      <c r="W141" s="785">
        <f>V141</f>
        <v>0</v>
      </c>
      <c r="X141" s="786">
        <f>(W141-$E$143/2*COS(Knoten!W21*PI()/180))*B141</f>
        <v>0</v>
      </c>
      <c r="Y141" s="786">
        <f>(W141+$E$143*SIN(Knoten!W21*PI()/180)-$E$143/2*COS(Knoten!W21*PI()/180))*B141</f>
        <v>0</v>
      </c>
      <c r="Z141" s="786">
        <f>(W141+$E$143*SIN(Knoten!W21*PI()/180)+$E$143/2*COS(Knoten!W21*PI()/180))*B141</f>
        <v>0</v>
      </c>
      <c r="AA141" s="786">
        <f>(W141+$E$143/2*COS(Knoten!W21*PI()/180))*B141</f>
        <v>0</v>
      </c>
      <c r="AB141" s="787">
        <f>W141</f>
        <v>0</v>
      </c>
      <c r="AD141" s="750">
        <v>19</v>
      </c>
      <c r="AE141" s="740">
        <f>IF(Knoten!Q21&gt;0,1,0)</f>
        <v>0</v>
      </c>
      <c r="AF141" s="786">
        <f>IF(ISNUMBER(Knoten!C21),Z24*B141,0)</f>
        <v>0</v>
      </c>
      <c r="AG141" s="786">
        <f>(AF141-$C$143/4*COS(Knoten!W21*PI()/180)+$C$143/2*SIN(Knoten!W21*PI()/180))*B141</f>
        <v>0</v>
      </c>
      <c r="AH141" s="786">
        <f>(AG141-$C$143/2*COS(Knoten!W21*PI()/180)-$C$143*SIN(Knoten!W21*PI()/180))*B141</f>
        <v>0</v>
      </c>
      <c r="AI141" s="786">
        <f>(AH141-$C$143/2*COS(Knoten!W21*PI()/180)+$C$143*SIN(Knoten!W21*PI()/180))*B141</f>
        <v>0</v>
      </c>
      <c r="AJ141" s="786">
        <f>(AI141-$C$143/2*COS(Knoten!W21*PI()/180)-$C$143*SIN(Knoten!W21*PI()/180))*B141</f>
        <v>0</v>
      </c>
      <c r="AK141" s="786">
        <f>(AJ141-$C$143/4*COS(Knoten!W21*PI()/180)+$C$143/2*SIN(Knoten!W21*PI()/180))*B141</f>
        <v>0</v>
      </c>
      <c r="AL141" s="787">
        <f>(AK141-$C$143/4*COS(Knoten!W21*PI()/180))*B141</f>
        <v>0</v>
      </c>
      <c r="AM141" s="785">
        <f>AL141</f>
        <v>0</v>
      </c>
      <c r="AN141" s="786">
        <f>(AM141-$E$143/2*SIN(Knoten!W21*PI()/180))*B141</f>
        <v>0</v>
      </c>
      <c r="AO141" s="786">
        <f>(AM141-$E$143/2*SIN(Knoten!W21*PI()/180)-$E$143*COS(Knoten!W21*PI()/180))*B141</f>
        <v>0</v>
      </c>
      <c r="AP141" s="786">
        <f>(AM141+$E$143/2*SIN(Knoten!W21*PI()/180)-$E$143*COS(Knoten!W21*PI()/180))*B141</f>
        <v>0</v>
      </c>
      <c r="AQ141" s="786">
        <f>(AM141+$E$143/2*SIN(Knoten!W21*PI()/180))*B141</f>
        <v>0</v>
      </c>
      <c r="AR141" s="786">
        <f>AM141</f>
        <v>0</v>
      </c>
      <c r="AS141" s="785">
        <f>IF(ISNUMBER(Knoten!D21),AA24*B141,0)</f>
        <v>0</v>
      </c>
      <c r="AT141" s="786">
        <f>(AS141+$C$143/2*COS(Knoten!W21*PI()/180)+$C$143/4*SIN(Knoten!W21*PI()/180))*B141</f>
        <v>0</v>
      </c>
      <c r="AU141" s="786">
        <f>(AT141-$C$143*COS(Knoten!W21*PI()/180)+$C$143/2*SIN(Knoten!W21*PI()/180))*B141</f>
        <v>0</v>
      </c>
      <c r="AV141" s="786">
        <f>(AU141+$C$143*COS(Knoten!W21*PI()/180)+$C$143/2*SIN(Knoten!W21*PI()/180))*B141</f>
        <v>0</v>
      </c>
      <c r="AW141" s="786">
        <f>(AV141-$C$143*COS(Knoten!W21*PI()/180)+$C$143/2*SIN(Knoten!W21*PI()/180))*B141</f>
        <v>0</v>
      </c>
      <c r="AX141" s="786">
        <f>(AW141+$C$143/2*COS(Knoten!W21*PI()/180)+$C$143/4*SIN(Knoten!W21*PI()/180))*B141</f>
        <v>0</v>
      </c>
      <c r="AY141" s="787">
        <f>(AX141+$C$143/4*SIN(Knoten!W21*PI()/180))*B141</f>
        <v>0</v>
      </c>
      <c r="AZ141" s="785">
        <f>AY141</f>
        <v>0</v>
      </c>
      <c r="BA141" s="786">
        <f>(AZ141-$E$143/2*COS(Knoten!W21*PI()/180))*B141</f>
        <v>0</v>
      </c>
      <c r="BB141" s="786">
        <f>(AZ141+$E$143*SIN(Knoten!W21*PI()/180)-$E$143/2*COS(Knoten!W21*PI()/180))*B141</f>
        <v>0</v>
      </c>
      <c r="BC141" s="786">
        <f>(AZ141+$E$143*SIN(Knoten!W21*PI()/180)+$E$143/2*COS(Knoten!W21*PI()/180))*B141</f>
        <v>0</v>
      </c>
      <c r="BD141" s="786">
        <f>(AZ141+$E$143/2*COS(Knoten!W21*PI()/180))*B141</f>
        <v>0</v>
      </c>
      <c r="BE141" s="787">
        <f>AZ141</f>
        <v>0</v>
      </c>
    </row>
    <row r="142" spans="1:57" ht="13.8" thickBot="1" x14ac:dyDescent="0.3">
      <c r="A142" s="761">
        <v>20</v>
      </c>
      <c r="B142" s="758">
        <f>IF(Knoten!Q22&gt;0,1,0)</f>
        <v>0</v>
      </c>
      <c r="C142" s="788">
        <f>IF(ISNUMBER(Knoten!C22),(Knoten!C22-$U$1)*B142,0)</f>
        <v>0</v>
      </c>
      <c r="D142" s="789">
        <f>(C142-$C$143/4*COS(Knoten!W22*PI()/180)+$C$143/2*SIN(Knoten!W22*PI()/180))*B142</f>
        <v>0</v>
      </c>
      <c r="E142" s="789">
        <f>(D142-$C$143/2*COS(Knoten!W22*PI()/180)-$C$143*SIN(Knoten!W22*PI()/180))*B142</f>
        <v>0</v>
      </c>
      <c r="F142" s="789">
        <f>(E142-$C$143/2*COS(Knoten!W22*PI()/180)+$C$143*SIN(Knoten!W22*PI()/180))*B142</f>
        <v>0</v>
      </c>
      <c r="G142" s="789">
        <f>(F142-$C$143/2*COS(Knoten!W22*PI()/180)-$C$143*SIN(Knoten!W22*PI()/180))*B142</f>
        <v>0</v>
      </c>
      <c r="H142" s="789">
        <f>(G142-$C$143/4*COS(Knoten!W22*PI()/180)+$C$143/2*SIN(Knoten!W22*PI()/180))*B142</f>
        <v>0</v>
      </c>
      <c r="I142" s="790">
        <f>(H142-$C$143/4*COS(Knoten!W22*PI()/180))*B142</f>
        <v>0</v>
      </c>
      <c r="J142" s="788">
        <f>I142</f>
        <v>0</v>
      </c>
      <c r="K142" s="789">
        <f>(J142-$E$143/2*SIN(Knoten!W22*PI()/180))*B142</f>
        <v>0</v>
      </c>
      <c r="L142" s="789">
        <f>(J142-$E$143/2*SIN(Knoten!W22*PI()/180)-$E$143*COS(Knoten!W22*PI()/180))*B142</f>
        <v>0</v>
      </c>
      <c r="M142" s="789">
        <f>(J142+$E$143/2*SIN(Knoten!W22*PI()/180)-$E$143*COS(Knoten!W22*PI()/180))*B142</f>
        <v>0</v>
      </c>
      <c r="N142" s="789">
        <f>(J142+$E$143/2*SIN(Knoten!W22*PI()/180))*B142</f>
        <v>0</v>
      </c>
      <c r="O142" s="789">
        <f>J142</f>
        <v>0</v>
      </c>
      <c r="P142" s="788">
        <f>IF(ISNUMBER(Knoten!D22),(Knoten!D22-$X$1)*B142,0)</f>
        <v>0</v>
      </c>
      <c r="Q142" s="789">
        <f>(P142+$C$143/2*COS(Knoten!W22*PI()/180)+$C$143/4*SIN(Knoten!W22*PI()/180))*B142</f>
        <v>0</v>
      </c>
      <c r="R142" s="789">
        <f>(Q142-$C$143*COS(Knoten!W22*PI()/180)+$C$143/2*SIN(Knoten!W22*PI()/180))*B142</f>
        <v>0</v>
      </c>
      <c r="S142" s="789">
        <f>(R142+$C$143*COS(Knoten!W22*PI()/180)+$C$143/2*SIN(Knoten!W22*PI()/180))*B142</f>
        <v>0</v>
      </c>
      <c r="T142" s="789">
        <f>(S142-$C$143*COS(Knoten!W22*PI()/180)+$C$143/2*SIN(Knoten!W22*PI()/180))*B142</f>
        <v>0</v>
      </c>
      <c r="U142" s="789">
        <f>(T142+$C$143/2*COS(Knoten!W22*PI()/180)+$C$143/4*SIN(Knoten!W22*PI()/180))*B142</f>
        <v>0</v>
      </c>
      <c r="V142" s="790">
        <f>(U142+$C$143/4*SIN(Knoten!W22*PI()/180))*B142</f>
        <v>0</v>
      </c>
      <c r="W142" s="788">
        <f>V142</f>
        <v>0</v>
      </c>
      <c r="X142" s="789">
        <f>(W142-$E$143/2*COS(Knoten!W22*PI()/180))*B142</f>
        <v>0</v>
      </c>
      <c r="Y142" s="789">
        <f>(W142+$E$143*SIN(Knoten!W22*PI()/180)-$E$143/2*COS(Knoten!W22*PI()/180))*B142</f>
        <v>0</v>
      </c>
      <c r="Z142" s="789">
        <f>(W142+$E$143*SIN(Knoten!W22*PI()/180)+$E$143/2*COS(Knoten!W22*PI()/180))*B142</f>
        <v>0</v>
      </c>
      <c r="AA142" s="789">
        <f>(W142+$E$143/2*COS(Knoten!W22*PI()/180))*B142</f>
        <v>0</v>
      </c>
      <c r="AB142" s="790">
        <f>W142</f>
        <v>0</v>
      </c>
      <c r="AD142" s="761">
        <v>20</v>
      </c>
      <c r="AE142" s="758">
        <f>IF(Knoten!Q22&gt;0,1,0)</f>
        <v>0</v>
      </c>
      <c r="AF142" s="789">
        <f>IF(ISNUMBER(Knoten!C22),Z25*B142,0)</f>
        <v>0</v>
      </c>
      <c r="AG142" s="789">
        <f>(AF142-$C$143/4*COS(Knoten!W22*PI()/180)+$C$143/2*SIN(Knoten!W22*PI()/180))*B142</f>
        <v>0</v>
      </c>
      <c r="AH142" s="789">
        <f>(AG142-$C$143/2*COS(Knoten!W22*PI()/180)-$C$143*SIN(Knoten!W22*PI()/180))*B142</f>
        <v>0</v>
      </c>
      <c r="AI142" s="789">
        <f>(AH142-$C$143/2*COS(Knoten!W22*PI()/180)+$C$143*SIN(Knoten!W22*PI()/180))*B142</f>
        <v>0</v>
      </c>
      <c r="AJ142" s="789">
        <f>(AI142-$C$143/2*COS(Knoten!W22*PI()/180)-$C$143*SIN(Knoten!W22*PI()/180))*B142</f>
        <v>0</v>
      </c>
      <c r="AK142" s="789">
        <f>(AJ142-$C$143/4*COS(Knoten!W22*PI()/180)+$C$143/2*SIN(Knoten!W22*PI()/180))*B142</f>
        <v>0</v>
      </c>
      <c r="AL142" s="790">
        <f>(AK142-$C$143/4*COS(Knoten!W22*PI()/180))*B142</f>
        <v>0</v>
      </c>
      <c r="AM142" s="788">
        <f>AL142</f>
        <v>0</v>
      </c>
      <c r="AN142" s="789">
        <f>(AM142-$E$143/2*SIN(Knoten!W22*PI()/180))*B142</f>
        <v>0</v>
      </c>
      <c r="AO142" s="789">
        <f>(AM142-$E$143/2*SIN(Knoten!W22*PI()/180)-$E$143*COS(Knoten!W22*PI()/180))*B142</f>
        <v>0</v>
      </c>
      <c r="AP142" s="789">
        <f>(AM142+$E$143/2*SIN(Knoten!W22*PI()/180)-$E$143*COS(Knoten!W22*PI()/180))*B142</f>
        <v>0</v>
      </c>
      <c r="AQ142" s="789">
        <f>(AM142+$E$143/2*SIN(Knoten!W22*PI()/180))*B142</f>
        <v>0</v>
      </c>
      <c r="AR142" s="789">
        <f>AM142</f>
        <v>0</v>
      </c>
      <c r="AS142" s="788">
        <f>IF(ISNUMBER(Knoten!D22),AA25*B142,0)</f>
        <v>0</v>
      </c>
      <c r="AT142" s="789">
        <f>(AS142+$C$143/2*COS(Knoten!W22*PI()/180)+$C$143/4*SIN(Knoten!W22*PI()/180))*B142</f>
        <v>0</v>
      </c>
      <c r="AU142" s="789">
        <f>(AT142-$C$143*COS(Knoten!W22*PI()/180)+$C$143/2*SIN(Knoten!W22*PI()/180))*B142</f>
        <v>0</v>
      </c>
      <c r="AV142" s="789">
        <f>(AU142+$C$143*COS(Knoten!W22*PI()/180)+$C$143/2*SIN(Knoten!W22*PI()/180))*B142</f>
        <v>0</v>
      </c>
      <c r="AW142" s="789">
        <f>(AV142-$C$143*COS(Knoten!W22*PI()/180)+$C$143/2*SIN(Knoten!W22*PI()/180))*B142</f>
        <v>0</v>
      </c>
      <c r="AX142" s="789">
        <f>(AW142+$C$143/2*COS(Knoten!W22*PI()/180)+$C$143/4*SIN(Knoten!W22*PI()/180))*B142</f>
        <v>0</v>
      </c>
      <c r="AY142" s="790">
        <f>(AX142+$C$143/4*SIN(Knoten!W22*PI()/180))*B142</f>
        <v>0</v>
      </c>
      <c r="AZ142" s="788">
        <f>AY142</f>
        <v>0</v>
      </c>
      <c r="BA142" s="789">
        <f>(AZ142-$E$143/2*COS(Knoten!W22*PI()/180))*B142</f>
        <v>0</v>
      </c>
      <c r="BB142" s="789">
        <f>(AZ142+$E$143*SIN(Knoten!W22*PI()/180)-$E$143/2*COS(Knoten!W22*PI()/180))*B142</f>
        <v>0</v>
      </c>
      <c r="BC142" s="789">
        <f>(AZ142+$E$143*SIN(Knoten!W22*PI()/180)+$E$143/2*COS(Knoten!W22*PI()/180))*B142</f>
        <v>0</v>
      </c>
      <c r="BD142" s="789">
        <f>(AZ142+$E$143/2*COS(Knoten!W22*PI()/180))*B142</f>
        <v>0</v>
      </c>
      <c r="BE142" s="790">
        <f>AZ142</f>
        <v>0</v>
      </c>
    </row>
    <row r="143" spans="1:57" ht="13.8" thickBot="1" x14ac:dyDescent="0.3">
      <c r="B143" s="758" t="s">
        <v>244</v>
      </c>
      <c r="C143" s="758">
        <f>4*$E$1*$H$1</f>
        <v>16.970562748477143</v>
      </c>
      <c r="D143" s="789" t="s">
        <v>245</v>
      </c>
      <c r="E143" s="758">
        <f>2*$E$1*$H$1</f>
        <v>8.4852813742385713</v>
      </c>
      <c r="F143" s="148"/>
    </row>
    <row r="145" spans="1:69" ht="25.5" customHeight="1" thickBot="1" x14ac:dyDescent="0.3">
      <c r="B145" s="780" t="s">
        <v>225</v>
      </c>
      <c r="AK145" s="780" t="s">
        <v>226</v>
      </c>
    </row>
    <row r="146" spans="1:69" ht="22.5" customHeight="1" thickBot="1" x14ac:dyDescent="0.3">
      <c r="A146" s="1331" t="s">
        <v>247</v>
      </c>
      <c r="B146" s="1333"/>
      <c r="C146" s="1328" t="s">
        <v>248</v>
      </c>
      <c r="D146" s="1329"/>
      <c r="E146" s="1329"/>
      <c r="F146" s="1329"/>
      <c r="G146" s="1329"/>
      <c r="H146" s="1329"/>
      <c r="I146" s="1329"/>
      <c r="J146" s="1329"/>
      <c r="K146" s="1329"/>
      <c r="L146" s="1329"/>
      <c r="M146" s="1329"/>
      <c r="N146" s="1329"/>
      <c r="O146" s="1329"/>
      <c r="P146" s="1329"/>
      <c r="Q146" s="1329"/>
      <c r="R146" s="1329"/>
      <c r="S146" s="1329"/>
      <c r="T146" s="1329"/>
      <c r="U146" s="1329"/>
      <c r="V146" s="1329"/>
      <c r="W146" s="1329"/>
      <c r="X146" s="1329"/>
      <c r="Y146" s="1329"/>
      <c r="Z146" s="1329"/>
      <c r="AA146" s="1329"/>
      <c r="AB146" s="1329"/>
      <c r="AC146" s="1330"/>
      <c r="AD146" s="1328" t="s">
        <v>249</v>
      </c>
      <c r="AE146" s="1329"/>
      <c r="AF146" s="1329"/>
      <c r="AG146" s="1329"/>
      <c r="AH146" s="1330"/>
      <c r="AJ146" s="1331" t="s">
        <v>247</v>
      </c>
      <c r="AK146" s="1333"/>
      <c r="AL146" s="1328" t="s">
        <v>248</v>
      </c>
      <c r="AM146" s="1329"/>
      <c r="AN146" s="1329"/>
      <c r="AO146" s="1329"/>
      <c r="AP146" s="1329"/>
      <c r="AQ146" s="1329"/>
      <c r="AR146" s="1329"/>
      <c r="AS146" s="1329"/>
      <c r="AT146" s="1329"/>
      <c r="AU146" s="1329"/>
      <c r="AV146" s="1329"/>
      <c r="AW146" s="1329"/>
      <c r="AX146" s="1329"/>
      <c r="AY146" s="1329"/>
      <c r="AZ146" s="1329"/>
      <c r="BA146" s="1329"/>
      <c r="BB146" s="1329"/>
      <c r="BC146" s="1329"/>
      <c r="BD146" s="1329"/>
      <c r="BE146" s="1329"/>
      <c r="BF146" s="1329"/>
      <c r="BG146" s="1329"/>
      <c r="BH146" s="1329"/>
      <c r="BI146" s="1329"/>
      <c r="BJ146" s="1329"/>
      <c r="BK146" s="1329"/>
      <c r="BL146" s="1330"/>
      <c r="BM146" s="1328" t="s">
        <v>249</v>
      </c>
      <c r="BN146" s="1329"/>
      <c r="BO146" s="1329"/>
      <c r="BP146" s="1329"/>
      <c r="BQ146" s="1330"/>
    </row>
    <row r="147" spans="1:69" x14ac:dyDescent="0.25">
      <c r="A147" s="750">
        <v>1</v>
      </c>
      <c r="B147" s="740">
        <f>IF(Knoten!S3&gt;0,1,0)</f>
        <v>0</v>
      </c>
      <c r="C147" s="782">
        <f>IF(ISNUMBER(Knoten!C3),Knoten!C3-$U$1,PlotData!$CB$3)</f>
        <v>20</v>
      </c>
      <c r="D147" s="783">
        <f t="shared" ref="D147:D164" si="42">C147+$D$167*COS($D$168*PI()/180)*B147</f>
        <v>20</v>
      </c>
      <c r="E147" s="783">
        <f t="shared" ref="E147:E164" si="43">C147+$E$167*COS($E$168*PI()/180)*B147</f>
        <v>20</v>
      </c>
      <c r="F147" s="783">
        <f t="shared" ref="F147:F164" si="44">C147+$F$167*COS($F$168*PI()/180)*B147</f>
        <v>20</v>
      </c>
      <c r="G147" s="783">
        <f t="shared" ref="G147:G164" si="45">C147+$G$167*COS($G$168*PI()/180)*B147</f>
        <v>20</v>
      </c>
      <c r="H147" s="783">
        <f t="shared" ref="H147:H164" si="46">C147+$H$167*COS($H$168*PI()/180)*B147</f>
        <v>20</v>
      </c>
      <c r="I147" s="783">
        <f t="shared" ref="I147:I164" si="47">C147+$I$167*COS($I$168*PI()/180)*B147</f>
        <v>20</v>
      </c>
      <c r="J147" s="783">
        <f t="shared" ref="J147:J164" si="48">C147+$J$167*COS($J$168*PI()/180)*B147</f>
        <v>20</v>
      </c>
      <c r="K147" s="783">
        <f t="shared" ref="K147:K164" si="49">C147+$K$167*COS($K$168*PI()/180)*B147</f>
        <v>20</v>
      </c>
      <c r="L147" s="783">
        <f t="shared" ref="L147:L164" si="50">C147+$L$167*COS($L$168*PI()/180)*B147</f>
        <v>20</v>
      </c>
      <c r="M147" s="783">
        <f t="shared" ref="M147:M164" si="51">C147+$M$167*COS($M$168*PI()/180)*B147</f>
        <v>20</v>
      </c>
      <c r="N147" s="783">
        <f t="shared" ref="N147:N164" si="52">C147+$N$167*COS($N$168*PI()/180)*B147</f>
        <v>20</v>
      </c>
      <c r="O147" s="783">
        <f t="shared" ref="O147:O164" si="53">C147+$O$167*COS($O$168*PI()/180)*B147</f>
        <v>20</v>
      </c>
      <c r="P147" s="783">
        <f t="shared" ref="P147:P164" si="54">C147+$P$167*COS($P$168*PI()/180)*B147</f>
        <v>20</v>
      </c>
      <c r="Q147" s="783">
        <f t="shared" ref="Q147:Q164" si="55">C147+$Q$167*COS($Q$168*PI()/180)*B147</f>
        <v>20</v>
      </c>
      <c r="R147" s="783">
        <f t="shared" ref="R147:R164" si="56">C147+$R$167*COS($R$168*PI()/180)*B147</f>
        <v>20</v>
      </c>
      <c r="S147" s="783">
        <f t="shared" ref="S147:S164" si="57">C147+$S$167*COS($S$168*PI()/180)*B147</f>
        <v>20</v>
      </c>
      <c r="T147" s="783">
        <f t="shared" ref="T147:T164" si="58">C147+$T$167*COS($T$168*PI()/180)*B147</f>
        <v>20</v>
      </c>
      <c r="U147" s="783">
        <f t="shared" ref="U147:U164" si="59">C147+$U$167*COS($U$168*PI()/180)*B147</f>
        <v>20</v>
      </c>
      <c r="V147" s="783">
        <f t="shared" ref="V147:V164" si="60">C147+$V$167*COS($V$168*PI()/180)*B147</f>
        <v>20</v>
      </c>
      <c r="W147" s="783">
        <f t="shared" ref="W147:W164" si="61">C147+$W$167*COS($W$168*PI()/180)*B147</f>
        <v>20</v>
      </c>
      <c r="X147" s="783">
        <f t="shared" ref="X147:X164" si="62">C147+$X$167*COS($X$168*PI()/180)*B147</f>
        <v>20</v>
      </c>
      <c r="Y147" s="783">
        <f t="shared" ref="Y147:Y164" si="63">C147+$Y$167*COS($Y$168*PI()/180)*B147</f>
        <v>20</v>
      </c>
      <c r="Z147" s="783">
        <f t="shared" ref="Z147:Z164" si="64">C147+$Z$167*COS($Z$168*PI()/180)*B147</f>
        <v>20</v>
      </c>
      <c r="AA147" s="783">
        <f t="shared" ref="AA147:AA164" si="65">C147+$AA$167*COS($AA$168*PI()/180)*B147</f>
        <v>20</v>
      </c>
      <c r="AB147" s="783">
        <f t="shared" ref="AB147:AB164" si="66">C147+$AB$167*COS($AB$168*PI()/180)*B147</f>
        <v>20</v>
      </c>
      <c r="AC147" s="784">
        <f t="shared" ref="AC147:AC164" si="67">C147+$AC$167*COS($AC$168*PI()/180)*B147</f>
        <v>20</v>
      </c>
      <c r="AD147" s="782">
        <f>AC147+$H$1*$E$1*B147</f>
        <v>20</v>
      </c>
      <c r="AE147" s="783">
        <f>AD147</f>
        <v>20</v>
      </c>
      <c r="AF147" s="783">
        <f>AE147-2*$H$1*$E$1*B147</f>
        <v>20</v>
      </c>
      <c r="AG147" s="783">
        <f>AF147</f>
        <v>20</v>
      </c>
      <c r="AH147" s="784">
        <f>AD147</f>
        <v>20</v>
      </c>
      <c r="AJ147" s="750">
        <v>1</v>
      </c>
      <c r="AK147" s="740">
        <f>IF(Knoten!S3&gt;0,1,0)</f>
        <v>0</v>
      </c>
      <c r="AL147" s="786">
        <f>IF(ISNUMBER(Knoten!C3),Z6,PlotData!$CB$3)</f>
        <v>23.626678459402886</v>
      </c>
      <c r="AM147" s="786">
        <f t="shared" ref="AM147:AM164" si="68">AL147+$D$167*COS($D$168*PI()/180)*AK147</f>
        <v>23.626678459402886</v>
      </c>
      <c r="AN147" s="786">
        <f t="shared" ref="AN147:AN164" si="69">AL147+$E$167*COS($E$168*PI()/180)*AK147</f>
        <v>23.626678459402886</v>
      </c>
      <c r="AO147" s="786">
        <f t="shared" ref="AO147:AO164" si="70">AL147+$F$167*COS($F$168*PI()/180)*AK147</f>
        <v>23.626678459402886</v>
      </c>
      <c r="AP147" s="786">
        <f t="shared" ref="AP147:AP164" si="71">AL147+$G$167*COS($G$168*PI()/180)*AK147</f>
        <v>23.626678459402886</v>
      </c>
      <c r="AQ147" s="786">
        <f t="shared" ref="AQ147:AQ164" si="72">AL147+$H$167*COS($H$168*PI()/180)*AK147</f>
        <v>23.626678459402886</v>
      </c>
      <c r="AR147" s="786">
        <f t="shared" ref="AR147:AR164" si="73">AL147+$I$167*COS($I$168*PI()/180)*AK147</f>
        <v>23.626678459402886</v>
      </c>
      <c r="AS147" s="786">
        <f t="shared" ref="AS147:AS164" si="74">AL147+$J$167*COS($J$168*PI()/180)*AK147</f>
        <v>23.626678459402886</v>
      </c>
      <c r="AT147" s="786">
        <f t="shared" ref="AT147:AT164" si="75">AL147+$K$167*COS($K$168*PI()/180)*AK147</f>
        <v>23.626678459402886</v>
      </c>
      <c r="AU147" s="786">
        <f t="shared" ref="AU147:AU164" si="76">AL147+$L$167*COS($L$168*PI()/180)*AK147</f>
        <v>23.626678459402886</v>
      </c>
      <c r="AV147" s="786">
        <f t="shared" ref="AV147:AV164" si="77">AL147+$M$167*COS($M$168*PI()/180)*AK147</f>
        <v>23.626678459402886</v>
      </c>
      <c r="AW147" s="786">
        <f t="shared" ref="AW147:AW164" si="78">AL147+$N$167*COS($N$168*PI()/180)*AK147</f>
        <v>23.626678459402886</v>
      </c>
      <c r="AX147" s="786">
        <f t="shared" ref="AX147:AX164" si="79">AL147+$O$167*COS($O$168*PI()/180)*AK147</f>
        <v>23.626678459402886</v>
      </c>
      <c r="AY147" s="786">
        <f t="shared" ref="AY147:AY164" si="80">AL147+$P$167*COS($P$168*PI()/180)*AK147</f>
        <v>23.626678459402886</v>
      </c>
      <c r="AZ147" s="786">
        <f t="shared" ref="AZ147:AZ164" si="81">AL147+$Q$167*COS($Q$168*PI()/180)*AK147</f>
        <v>23.626678459402886</v>
      </c>
      <c r="BA147" s="786">
        <f t="shared" ref="BA147:BA164" si="82">AL147+$R$167*COS($R$168*PI()/180)*AK147</f>
        <v>23.626678459402886</v>
      </c>
      <c r="BB147" s="786">
        <f t="shared" ref="BB147:BB164" si="83">AL147+$S$167*COS($S$168*PI()/180)*AK147</f>
        <v>23.626678459402886</v>
      </c>
      <c r="BC147" s="786">
        <f t="shared" ref="BC147:BC164" si="84">AL147+$T$167*COS($T$168*PI()/180)*AK147</f>
        <v>23.626678459402886</v>
      </c>
      <c r="BD147" s="786">
        <f t="shared" ref="BD147:BD164" si="85">AL147+$U$167*COS($U$168*PI()/180)*AK147</f>
        <v>23.626678459402886</v>
      </c>
      <c r="BE147" s="786">
        <f t="shared" ref="BE147:BE164" si="86">AL147+$V$167*COS($V$168*PI()/180)*AK147</f>
        <v>23.626678459402886</v>
      </c>
      <c r="BF147" s="786">
        <f t="shared" ref="BF147:BF164" si="87">AL147+$W$167*COS($W$168*PI()/180)*AK147</f>
        <v>23.626678459402886</v>
      </c>
      <c r="BG147" s="786">
        <f t="shared" ref="BG147:BG164" si="88">AL147+$X$167*COS($X$168*PI()/180)*AK147</f>
        <v>23.626678459402886</v>
      </c>
      <c r="BH147" s="786">
        <f t="shared" ref="BH147:BH164" si="89">AL147+$Y$167*COS($Y$168*PI()/180)*AK147</f>
        <v>23.626678459402886</v>
      </c>
      <c r="BI147" s="786">
        <f t="shared" ref="BI147:BI164" si="90">AL147+$Z$167*COS($Z$168*PI()/180)*AK147</f>
        <v>23.626678459402886</v>
      </c>
      <c r="BJ147" s="786">
        <f t="shared" ref="BJ147:BJ164" si="91">AL147+$AA$167*COS($AA$168*PI()/180)*AK147</f>
        <v>23.626678459402886</v>
      </c>
      <c r="BK147" s="786">
        <f t="shared" ref="BK147:BK164" si="92">AL147+$AB$167*COS($AB$168*PI()/180)*AK147</f>
        <v>23.626678459402886</v>
      </c>
      <c r="BL147" s="786">
        <f t="shared" ref="BL147:BL164" si="93">AL147+$AC$167*COS($AC$168*PI()/180)*AK147</f>
        <v>23.626678459402886</v>
      </c>
      <c r="BM147" s="782">
        <f>BL147+$H$1*$E$1*B147</f>
        <v>23.626678459402886</v>
      </c>
      <c r="BN147" s="783">
        <f>BM147</f>
        <v>23.626678459402886</v>
      </c>
      <c r="BO147" s="783">
        <f>BN147-2*$H$1*$E$1*B147</f>
        <v>23.626678459402886</v>
      </c>
      <c r="BP147" s="783">
        <f>BO147</f>
        <v>23.626678459402886</v>
      </c>
      <c r="BQ147" s="784">
        <f>BM147</f>
        <v>23.626678459402886</v>
      </c>
    </row>
    <row r="148" spans="1:69" x14ac:dyDescent="0.25">
      <c r="A148" s="750">
        <v>2</v>
      </c>
      <c r="B148" s="740">
        <f>IF(Knoten!S4&gt;0,1,0)</f>
        <v>0</v>
      </c>
      <c r="C148" s="785">
        <f>IF(ISNUMBER(Knoten!C4),Knoten!C4-$U$1,PlotData!$CB$3)</f>
        <v>100</v>
      </c>
      <c r="D148" s="786">
        <f t="shared" si="42"/>
        <v>100</v>
      </c>
      <c r="E148" s="786">
        <f t="shared" si="43"/>
        <v>100</v>
      </c>
      <c r="F148" s="786">
        <f t="shared" si="44"/>
        <v>100</v>
      </c>
      <c r="G148" s="786">
        <f t="shared" si="45"/>
        <v>100</v>
      </c>
      <c r="H148" s="786">
        <f t="shared" si="46"/>
        <v>100</v>
      </c>
      <c r="I148" s="786">
        <f t="shared" si="47"/>
        <v>100</v>
      </c>
      <c r="J148" s="786">
        <f t="shared" si="48"/>
        <v>100</v>
      </c>
      <c r="K148" s="786">
        <f t="shared" si="49"/>
        <v>100</v>
      </c>
      <c r="L148" s="786">
        <f t="shared" si="50"/>
        <v>100</v>
      </c>
      <c r="M148" s="786">
        <f t="shared" si="51"/>
        <v>100</v>
      </c>
      <c r="N148" s="786">
        <f t="shared" si="52"/>
        <v>100</v>
      </c>
      <c r="O148" s="786">
        <f t="shared" si="53"/>
        <v>100</v>
      </c>
      <c r="P148" s="786">
        <f t="shared" si="54"/>
        <v>100</v>
      </c>
      <c r="Q148" s="786">
        <f t="shared" si="55"/>
        <v>100</v>
      </c>
      <c r="R148" s="786">
        <f t="shared" si="56"/>
        <v>100</v>
      </c>
      <c r="S148" s="786">
        <f t="shared" si="57"/>
        <v>100</v>
      </c>
      <c r="T148" s="786">
        <f t="shared" si="58"/>
        <v>100</v>
      </c>
      <c r="U148" s="786">
        <f t="shared" si="59"/>
        <v>100</v>
      </c>
      <c r="V148" s="786">
        <f t="shared" si="60"/>
        <v>100</v>
      </c>
      <c r="W148" s="786">
        <f t="shared" si="61"/>
        <v>100</v>
      </c>
      <c r="X148" s="786">
        <f t="shared" si="62"/>
        <v>100</v>
      </c>
      <c r="Y148" s="786">
        <f t="shared" si="63"/>
        <v>100</v>
      </c>
      <c r="Z148" s="786">
        <f t="shared" si="64"/>
        <v>100</v>
      </c>
      <c r="AA148" s="786">
        <f t="shared" si="65"/>
        <v>100</v>
      </c>
      <c r="AB148" s="786">
        <f t="shared" si="66"/>
        <v>100</v>
      </c>
      <c r="AC148" s="787">
        <f t="shared" si="67"/>
        <v>100</v>
      </c>
      <c r="AD148" s="785">
        <f t="shared" ref="AD148:AD166" si="94">AC148+$H$1*$E$1*B148</f>
        <v>100</v>
      </c>
      <c r="AE148" s="786">
        <f t="shared" ref="AE148:AE166" si="95">AD148</f>
        <v>100</v>
      </c>
      <c r="AF148" s="786">
        <f t="shared" ref="AF148:AF166" si="96">AE148-2*$H$1*$E$1*B148</f>
        <v>100</v>
      </c>
      <c r="AG148" s="786">
        <f t="shared" ref="AG148:AG166" si="97">AF148</f>
        <v>100</v>
      </c>
      <c r="AH148" s="787">
        <f t="shared" ref="AH148:AH166" si="98">AD148</f>
        <v>100</v>
      </c>
      <c r="AJ148" s="750">
        <v>2</v>
      </c>
      <c r="AK148" s="740">
        <f>IF(Knoten!S4&gt;0,1,0)</f>
        <v>0</v>
      </c>
      <c r="AL148" s="786">
        <f>IF(ISNUMBER(Knoten!C4),Z7,PlotData!$CB$3)</f>
        <v>100</v>
      </c>
      <c r="AM148" s="786">
        <f t="shared" si="68"/>
        <v>100</v>
      </c>
      <c r="AN148" s="786">
        <f t="shared" si="69"/>
        <v>100</v>
      </c>
      <c r="AO148" s="786">
        <f t="shared" si="70"/>
        <v>100</v>
      </c>
      <c r="AP148" s="786">
        <f t="shared" si="71"/>
        <v>100</v>
      </c>
      <c r="AQ148" s="786">
        <f t="shared" si="72"/>
        <v>100</v>
      </c>
      <c r="AR148" s="786">
        <f t="shared" si="73"/>
        <v>100</v>
      </c>
      <c r="AS148" s="786">
        <f t="shared" si="74"/>
        <v>100</v>
      </c>
      <c r="AT148" s="786">
        <f t="shared" si="75"/>
        <v>100</v>
      </c>
      <c r="AU148" s="786">
        <f t="shared" si="76"/>
        <v>100</v>
      </c>
      <c r="AV148" s="786">
        <f t="shared" si="77"/>
        <v>100</v>
      </c>
      <c r="AW148" s="786">
        <f t="shared" si="78"/>
        <v>100</v>
      </c>
      <c r="AX148" s="786">
        <f t="shared" si="79"/>
        <v>100</v>
      </c>
      <c r="AY148" s="786">
        <f t="shared" si="80"/>
        <v>100</v>
      </c>
      <c r="AZ148" s="786">
        <f t="shared" si="81"/>
        <v>100</v>
      </c>
      <c r="BA148" s="786">
        <f t="shared" si="82"/>
        <v>100</v>
      </c>
      <c r="BB148" s="786">
        <f t="shared" si="83"/>
        <v>100</v>
      </c>
      <c r="BC148" s="786">
        <f t="shared" si="84"/>
        <v>100</v>
      </c>
      <c r="BD148" s="786">
        <f t="shared" si="85"/>
        <v>100</v>
      </c>
      <c r="BE148" s="786">
        <f t="shared" si="86"/>
        <v>100</v>
      </c>
      <c r="BF148" s="786">
        <f t="shared" si="87"/>
        <v>100</v>
      </c>
      <c r="BG148" s="786">
        <f t="shared" si="88"/>
        <v>100</v>
      </c>
      <c r="BH148" s="786">
        <f t="shared" si="89"/>
        <v>100</v>
      </c>
      <c r="BI148" s="786">
        <f t="shared" si="90"/>
        <v>100</v>
      </c>
      <c r="BJ148" s="786">
        <f t="shared" si="91"/>
        <v>100</v>
      </c>
      <c r="BK148" s="786">
        <f t="shared" si="92"/>
        <v>100</v>
      </c>
      <c r="BL148" s="786">
        <f t="shared" si="93"/>
        <v>100</v>
      </c>
      <c r="BM148" s="785">
        <f t="shared" ref="BM148:BM166" si="99">BL148+$H$1*$E$1*B148</f>
        <v>100</v>
      </c>
      <c r="BN148" s="786">
        <f t="shared" ref="BN148:BN166" si="100">BM148</f>
        <v>100</v>
      </c>
      <c r="BO148" s="786">
        <f t="shared" ref="BO148:BO166" si="101">BN148-2*$H$1*$E$1*B148</f>
        <v>100</v>
      </c>
      <c r="BP148" s="786">
        <f t="shared" ref="BP148:BP166" si="102">BO148</f>
        <v>100</v>
      </c>
      <c r="BQ148" s="787">
        <f t="shared" ref="BQ148:BQ166" si="103">BM148</f>
        <v>100</v>
      </c>
    </row>
    <row r="149" spans="1:69" x14ac:dyDescent="0.25">
      <c r="A149" s="750">
        <v>3</v>
      </c>
      <c r="B149" s="740">
        <f>IF(Knoten!S5&gt;0,1,0)</f>
        <v>0</v>
      </c>
      <c r="C149" s="785">
        <f>IF(ISNUMBER(Knoten!C5),Knoten!C5-$U$1,PlotData!$CB$3)</f>
        <v>20</v>
      </c>
      <c r="D149" s="786">
        <f t="shared" si="42"/>
        <v>20</v>
      </c>
      <c r="E149" s="786">
        <f t="shared" si="43"/>
        <v>20</v>
      </c>
      <c r="F149" s="786">
        <f t="shared" si="44"/>
        <v>20</v>
      </c>
      <c r="G149" s="786">
        <f t="shared" si="45"/>
        <v>20</v>
      </c>
      <c r="H149" s="786">
        <f t="shared" si="46"/>
        <v>20</v>
      </c>
      <c r="I149" s="786">
        <f t="shared" si="47"/>
        <v>20</v>
      </c>
      <c r="J149" s="786">
        <f t="shared" si="48"/>
        <v>20</v>
      </c>
      <c r="K149" s="786">
        <f t="shared" si="49"/>
        <v>20</v>
      </c>
      <c r="L149" s="786">
        <f t="shared" si="50"/>
        <v>20</v>
      </c>
      <c r="M149" s="786">
        <f t="shared" si="51"/>
        <v>20</v>
      </c>
      <c r="N149" s="786">
        <f t="shared" si="52"/>
        <v>20</v>
      </c>
      <c r="O149" s="786">
        <f t="shared" si="53"/>
        <v>20</v>
      </c>
      <c r="P149" s="786">
        <f t="shared" si="54"/>
        <v>20</v>
      </c>
      <c r="Q149" s="786">
        <f t="shared" si="55"/>
        <v>20</v>
      </c>
      <c r="R149" s="786">
        <f t="shared" si="56"/>
        <v>20</v>
      </c>
      <c r="S149" s="786">
        <f t="shared" si="57"/>
        <v>20</v>
      </c>
      <c r="T149" s="786">
        <f t="shared" si="58"/>
        <v>20</v>
      </c>
      <c r="U149" s="786">
        <f t="shared" si="59"/>
        <v>20</v>
      </c>
      <c r="V149" s="786">
        <f t="shared" si="60"/>
        <v>20</v>
      </c>
      <c r="W149" s="786">
        <f t="shared" si="61"/>
        <v>20</v>
      </c>
      <c r="X149" s="786">
        <f t="shared" si="62"/>
        <v>20</v>
      </c>
      <c r="Y149" s="786">
        <f t="shared" si="63"/>
        <v>20</v>
      </c>
      <c r="Z149" s="786">
        <f t="shared" si="64"/>
        <v>20</v>
      </c>
      <c r="AA149" s="786">
        <f t="shared" si="65"/>
        <v>20</v>
      </c>
      <c r="AB149" s="786">
        <f t="shared" si="66"/>
        <v>20</v>
      </c>
      <c r="AC149" s="787">
        <f t="shared" si="67"/>
        <v>20</v>
      </c>
      <c r="AD149" s="785">
        <f t="shared" si="94"/>
        <v>20</v>
      </c>
      <c r="AE149" s="786">
        <f t="shared" si="95"/>
        <v>20</v>
      </c>
      <c r="AF149" s="786">
        <f t="shared" si="96"/>
        <v>20</v>
      </c>
      <c r="AG149" s="786">
        <f t="shared" si="97"/>
        <v>20</v>
      </c>
      <c r="AH149" s="787">
        <f t="shared" si="98"/>
        <v>20</v>
      </c>
      <c r="AJ149" s="750">
        <v>3</v>
      </c>
      <c r="AK149" s="740">
        <f>IF(Knoten!S5&gt;0,1,0)</f>
        <v>0</v>
      </c>
      <c r="AL149" s="786">
        <f>IF(ISNUMBER(Knoten!C5),Z8,PlotData!$CB$3)</f>
        <v>20</v>
      </c>
      <c r="AM149" s="786">
        <f t="shared" si="68"/>
        <v>20</v>
      </c>
      <c r="AN149" s="786">
        <f t="shared" si="69"/>
        <v>20</v>
      </c>
      <c r="AO149" s="786">
        <f t="shared" si="70"/>
        <v>20</v>
      </c>
      <c r="AP149" s="786">
        <f t="shared" si="71"/>
        <v>20</v>
      </c>
      <c r="AQ149" s="786">
        <f t="shared" si="72"/>
        <v>20</v>
      </c>
      <c r="AR149" s="786">
        <f t="shared" si="73"/>
        <v>20</v>
      </c>
      <c r="AS149" s="786">
        <f t="shared" si="74"/>
        <v>20</v>
      </c>
      <c r="AT149" s="786">
        <f t="shared" si="75"/>
        <v>20</v>
      </c>
      <c r="AU149" s="786">
        <f t="shared" si="76"/>
        <v>20</v>
      </c>
      <c r="AV149" s="786">
        <f t="shared" si="77"/>
        <v>20</v>
      </c>
      <c r="AW149" s="786">
        <f t="shared" si="78"/>
        <v>20</v>
      </c>
      <c r="AX149" s="786">
        <f t="shared" si="79"/>
        <v>20</v>
      </c>
      <c r="AY149" s="786">
        <f t="shared" si="80"/>
        <v>20</v>
      </c>
      <c r="AZ149" s="786">
        <f t="shared" si="81"/>
        <v>20</v>
      </c>
      <c r="BA149" s="786">
        <f t="shared" si="82"/>
        <v>20</v>
      </c>
      <c r="BB149" s="786">
        <f t="shared" si="83"/>
        <v>20</v>
      </c>
      <c r="BC149" s="786">
        <f t="shared" si="84"/>
        <v>20</v>
      </c>
      <c r="BD149" s="786">
        <f t="shared" si="85"/>
        <v>20</v>
      </c>
      <c r="BE149" s="786">
        <f t="shared" si="86"/>
        <v>20</v>
      </c>
      <c r="BF149" s="786">
        <f t="shared" si="87"/>
        <v>20</v>
      </c>
      <c r="BG149" s="786">
        <f t="shared" si="88"/>
        <v>20</v>
      </c>
      <c r="BH149" s="786">
        <f t="shared" si="89"/>
        <v>20</v>
      </c>
      <c r="BI149" s="786">
        <f t="shared" si="90"/>
        <v>20</v>
      </c>
      <c r="BJ149" s="786">
        <f t="shared" si="91"/>
        <v>20</v>
      </c>
      <c r="BK149" s="786">
        <f t="shared" si="92"/>
        <v>20</v>
      </c>
      <c r="BL149" s="786">
        <f t="shared" si="93"/>
        <v>20</v>
      </c>
      <c r="BM149" s="785">
        <f t="shared" si="99"/>
        <v>20</v>
      </c>
      <c r="BN149" s="786">
        <f t="shared" si="100"/>
        <v>20</v>
      </c>
      <c r="BO149" s="786">
        <f t="shared" si="101"/>
        <v>20</v>
      </c>
      <c r="BP149" s="786">
        <f t="shared" si="102"/>
        <v>20</v>
      </c>
      <c r="BQ149" s="787">
        <f t="shared" si="103"/>
        <v>20</v>
      </c>
    </row>
    <row r="150" spans="1:69" x14ac:dyDescent="0.25">
      <c r="A150" s="750">
        <v>4</v>
      </c>
      <c r="B150" s="740">
        <f>IF(Knoten!S6&gt;0,1,0)</f>
        <v>0</v>
      </c>
      <c r="C150" s="785">
        <f>IF(ISNUMBER(Knoten!C6),Knoten!C6-$U$1,PlotData!$CB$3)</f>
        <v>60</v>
      </c>
      <c r="D150" s="786">
        <f t="shared" si="42"/>
        <v>60</v>
      </c>
      <c r="E150" s="786">
        <f t="shared" si="43"/>
        <v>60</v>
      </c>
      <c r="F150" s="786">
        <f t="shared" si="44"/>
        <v>60</v>
      </c>
      <c r="G150" s="786">
        <f t="shared" si="45"/>
        <v>60</v>
      </c>
      <c r="H150" s="786">
        <f t="shared" si="46"/>
        <v>60</v>
      </c>
      <c r="I150" s="786">
        <f t="shared" si="47"/>
        <v>60</v>
      </c>
      <c r="J150" s="786">
        <f t="shared" si="48"/>
        <v>60</v>
      </c>
      <c r="K150" s="786">
        <f t="shared" si="49"/>
        <v>60</v>
      </c>
      <c r="L150" s="786">
        <f t="shared" si="50"/>
        <v>60</v>
      </c>
      <c r="M150" s="786">
        <f t="shared" si="51"/>
        <v>60</v>
      </c>
      <c r="N150" s="786">
        <f t="shared" si="52"/>
        <v>60</v>
      </c>
      <c r="O150" s="786">
        <f t="shared" si="53"/>
        <v>60</v>
      </c>
      <c r="P150" s="786">
        <f t="shared" si="54"/>
        <v>60</v>
      </c>
      <c r="Q150" s="786">
        <f t="shared" si="55"/>
        <v>60</v>
      </c>
      <c r="R150" s="786">
        <f t="shared" si="56"/>
        <v>60</v>
      </c>
      <c r="S150" s="786">
        <f t="shared" si="57"/>
        <v>60</v>
      </c>
      <c r="T150" s="786">
        <f t="shared" si="58"/>
        <v>60</v>
      </c>
      <c r="U150" s="786">
        <f t="shared" si="59"/>
        <v>60</v>
      </c>
      <c r="V150" s="786">
        <f t="shared" si="60"/>
        <v>60</v>
      </c>
      <c r="W150" s="786">
        <f t="shared" si="61"/>
        <v>60</v>
      </c>
      <c r="X150" s="786">
        <f t="shared" si="62"/>
        <v>60</v>
      </c>
      <c r="Y150" s="786">
        <f t="shared" si="63"/>
        <v>60</v>
      </c>
      <c r="Z150" s="786">
        <f t="shared" si="64"/>
        <v>60</v>
      </c>
      <c r="AA150" s="786">
        <f t="shared" si="65"/>
        <v>60</v>
      </c>
      <c r="AB150" s="786">
        <f t="shared" si="66"/>
        <v>60</v>
      </c>
      <c r="AC150" s="787">
        <f t="shared" si="67"/>
        <v>60</v>
      </c>
      <c r="AD150" s="785">
        <f t="shared" si="94"/>
        <v>60</v>
      </c>
      <c r="AE150" s="786">
        <f t="shared" si="95"/>
        <v>60</v>
      </c>
      <c r="AF150" s="786">
        <f t="shared" si="96"/>
        <v>60</v>
      </c>
      <c r="AG150" s="786">
        <f t="shared" si="97"/>
        <v>60</v>
      </c>
      <c r="AH150" s="787">
        <f t="shared" si="98"/>
        <v>60</v>
      </c>
      <c r="AJ150" s="750">
        <v>4</v>
      </c>
      <c r="AK150" s="740">
        <f>IF(Knoten!S6&gt;0,1,0)</f>
        <v>0</v>
      </c>
      <c r="AL150" s="786">
        <f>IF(ISNUMBER(Knoten!C6),Z9,PlotData!$CB$3)</f>
        <v>60</v>
      </c>
      <c r="AM150" s="786">
        <f t="shared" si="68"/>
        <v>60</v>
      </c>
      <c r="AN150" s="786">
        <f t="shared" si="69"/>
        <v>60</v>
      </c>
      <c r="AO150" s="786">
        <f t="shared" si="70"/>
        <v>60</v>
      </c>
      <c r="AP150" s="786">
        <f t="shared" si="71"/>
        <v>60</v>
      </c>
      <c r="AQ150" s="786">
        <f t="shared" si="72"/>
        <v>60</v>
      </c>
      <c r="AR150" s="786">
        <f t="shared" si="73"/>
        <v>60</v>
      </c>
      <c r="AS150" s="786">
        <f t="shared" si="74"/>
        <v>60</v>
      </c>
      <c r="AT150" s="786">
        <f t="shared" si="75"/>
        <v>60</v>
      </c>
      <c r="AU150" s="786">
        <f t="shared" si="76"/>
        <v>60</v>
      </c>
      <c r="AV150" s="786">
        <f t="shared" si="77"/>
        <v>60</v>
      </c>
      <c r="AW150" s="786">
        <f t="shared" si="78"/>
        <v>60</v>
      </c>
      <c r="AX150" s="786">
        <f t="shared" si="79"/>
        <v>60</v>
      </c>
      <c r="AY150" s="786">
        <f t="shared" si="80"/>
        <v>60</v>
      </c>
      <c r="AZ150" s="786">
        <f t="shared" si="81"/>
        <v>60</v>
      </c>
      <c r="BA150" s="786">
        <f t="shared" si="82"/>
        <v>60</v>
      </c>
      <c r="BB150" s="786">
        <f t="shared" si="83"/>
        <v>60</v>
      </c>
      <c r="BC150" s="786">
        <f t="shared" si="84"/>
        <v>60</v>
      </c>
      <c r="BD150" s="786">
        <f t="shared" si="85"/>
        <v>60</v>
      </c>
      <c r="BE150" s="786">
        <f t="shared" si="86"/>
        <v>60</v>
      </c>
      <c r="BF150" s="786">
        <f t="shared" si="87"/>
        <v>60</v>
      </c>
      <c r="BG150" s="786">
        <f t="shared" si="88"/>
        <v>60</v>
      </c>
      <c r="BH150" s="786">
        <f t="shared" si="89"/>
        <v>60</v>
      </c>
      <c r="BI150" s="786">
        <f t="shared" si="90"/>
        <v>60</v>
      </c>
      <c r="BJ150" s="786">
        <f t="shared" si="91"/>
        <v>60</v>
      </c>
      <c r="BK150" s="786">
        <f t="shared" si="92"/>
        <v>60</v>
      </c>
      <c r="BL150" s="786">
        <f t="shared" si="93"/>
        <v>60</v>
      </c>
      <c r="BM150" s="785">
        <f t="shared" si="99"/>
        <v>60</v>
      </c>
      <c r="BN150" s="786">
        <f t="shared" si="100"/>
        <v>60</v>
      </c>
      <c r="BO150" s="786">
        <f t="shared" si="101"/>
        <v>60</v>
      </c>
      <c r="BP150" s="786">
        <f t="shared" si="102"/>
        <v>60</v>
      </c>
      <c r="BQ150" s="787">
        <f t="shared" si="103"/>
        <v>60</v>
      </c>
    </row>
    <row r="151" spans="1:69" x14ac:dyDescent="0.25">
      <c r="A151" s="750">
        <v>5</v>
      </c>
      <c r="B151" s="740">
        <f>IF(Knoten!S7&gt;0,1,0)</f>
        <v>0</v>
      </c>
      <c r="C151" s="785">
        <f>IF(ISNUMBER(Knoten!C7),Knoten!C7-$U$1,PlotData!$CB$3)</f>
        <v>-50</v>
      </c>
      <c r="D151" s="786">
        <f t="shared" si="42"/>
        <v>-50</v>
      </c>
      <c r="E151" s="786">
        <f t="shared" si="43"/>
        <v>-50</v>
      </c>
      <c r="F151" s="786">
        <f t="shared" si="44"/>
        <v>-50</v>
      </c>
      <c r="G151" s="786">
        <f t="shared" si="45"/>
        <v>-50</v>
      </c>
      <c r="H151" s="786">
        <f t="shared" si="46"/>
        <v>-50</v>
      </c>
      <c r="I151" s="786">
        <f t="shared" si="47"/>
        <v>-50</v>
      </c>
      <c r="J151" s="786">
        <f t="shared" si="48"/>
        <v>-50</v>
      </c>
      <c r="K151" s="786">
        <f t="shared" si="49"/>
        <v>-50</v>
      </c>
      <c r="L151" s="786">
        <f t="shared" si="50"/>
        <v>-50</v>
      </c>
      <c r="M151" s="786">
        <f t="shared" si="51"/>
        <v>-50</v>
      </c>
      <c r="N151" s="786">
        <f t="shared" si="52"/>
        <v>-50</v>
      </c>
      <c r="O151" s="786">
        <f t="shared" si="53"/>
        <v>-50</v>
      </c>
      <c r="P151" s="786">
        <f t="shared" si="54"/>
        <v>-50</v>
      </c>
      <c r="Q151" s="786">
        <f t="shared" si="55"/>
        <v>-50</v>
      </c>
      <c r="R151" s="786">
        <f t="shared" si="56"/>
        <v>-50</v>
      </c>
      <c r="S151" s="786">
        <f t="shared" si="57"/>
        <v>-50</v>
      </c>
      <c r="T151" s="786">
        <f t="shared" si="58"/>
        <v>-50</v>
      </c>
      <c r="U151" s="786">
        <f t="shared" si="59"/>
        <v>-50</v>
      </c>
      <c r="V151" s="786">
        <f t="shared" si="60"/>
        <v>-50</v>
      </c>
      <c r="W151" s="786">
        <f t="shared" si="61"/>
        <v>-50</v>
      </c>
      <c r="X151" s="786">
        <f t="shared" si="62"/>
        <v>-50</v>
      </c>
      <c r="Y151" s="786">
        <f t="shared" si="63"/>
        <v>-50</v>
      </c>
      <c r="Z151" s="786">
        <f t="shared" si="64"/>
        <v>-50</v>
      </c>
      <c r="AA151" s="786">
        <f t="shared" si="65"/>
        <v>-50</v>
      </c>
      <c r="AB151" s="786">
        <f t="shared" si="66"/>
        <v>-50</v>
      </c>
      <c r="AC151" s="787">
        <f t="shared" si="67"/>
        <v>-50</v>
      </c>
      <c r="AD151" s="785">
        <f t="shared" si="94"/>
        <v>-50</v>
      </c>
      <c r="AE151" s="786">
        <f t="shared" si="95"/>
        <v>-50</v>
      </c>
      <c r="AF151" s="786">
        <f t="shared" si="96"/>
        <v>-50</v>
      </c>
      <c r="AG151" s="786">
        <f t="shared" si="97"/>
        <v>-50</v>
      </c>
      <c r="AH151" s="787">
        <f t="shared" si="98"/>
        <v>-50</v>
      </c>
      <c r="AJ151" s="750">
        <v>5</v>
      </c>
      <c r="AK151" s="740">
        <f>IF(Knoten!S7&gt;0,1,0)</f>
        <v>0</v>
      </c>
      <c r="AL151" s="786">
        <f>IF(ISNUMBER(Knoten!C7),Z10,PlotData!$CB$3)</f>
        <v>-50</v>
      </c>
      <c r="AM151" s="786">
        <f t="shared" si="68"/>
        <v>-50</v>
      </c>
      <c r="AN151" s="786">
        <f t="shared" si="69"/>
        <v>-50</v>
      </c>
      <c r="AO151" s="786">
        <f t="shared" si="70"/>
        <v>-50</v>
      </c>
      <c r="AP151" s="786">
        <f t="shared" si="71"/>
        <v>-50</v>
      </c>
      <c r="AQ151" s="786">
        <f t="shared" si="72"/>
        <v>-50</v>
      </c>
      <c r="AR151" s="786">
        <f t="shared" si="73"/>
        <v>-50</v>
      </c>
      <c r="AS151" s="786">
        <f t="shared" si="74"/>
        <v>-50</v>
      </c>
      <c r="AT151" s="786">
        <f t="shared" si="75"/>
        <v>-50</v>
      </c>
      <c r="AU151" s="786">
        <f t="shared" si="76"/>
        <v>-50</v>
      </c>
      <c r="AV151" s="786">
        <f t="shared" si="77"/>
        <v>-50</v>
      </c>
      <c r="AW151" s="786">
        <f t="shared" si="78"/>
        <v>-50</v>
      </c>
      <c r="AX151" s="786">
        <f t="shared" si="79"/>
        <v>-50</v>
      </c>
      <c r="AY151" s="786">
        <f t="shared" si="80"/>
        <v>-50</v>
      </c>
      <c r="AZ151" s="786">
        <f t="shared" si="81"/>
        <v>-50</v>
      </c>
      <c r="BA151" s="786">
        <f t="shared" si="82"/>
        <v>-50</v>
      </c>
      <c r="BB151" s="786">
        <f t="shared" si="83"/>
        <v>-50</v>
      </c>
      <c r="BC151" s="786">
        <f t="shared" si="84"/>
        <v>-50</v>
      </c>
      <c r="BD151" s="786">
        <f t="shared" si="85"/>
        <v>-50</v>
      </c>
      <c r="BE151" s="786">
        <f t="shared" si="86"/>
        <v>-50</v>
      </c>
      <c r="BF151" s="786">
        <f t="shared" si="87"/>
        <v>-50</v>
      </c>
      <c r="BG151" s="786">
        <f t="shared" si="88"/>
        <v>-50</v>
      </c>
      <c r="BH151" s="786">
        <f t="shared" si="89"/>
        <v>-50</v>
      </c>
      <c r="BI151" s="786">
        <f t="shared" si="90"/>
        <v>-50</v>
      </c>
      <c r="BJ151" s="786">
        <f t="shared" si="91"/>
        <v>-50</v>
      </c>
      <c r="BK151" s="786">
        <f t="shared" si="92"/>
        <v>-50</v>
      </c>
      <c r="BL151" s="786">
        <f t="shared" si="93"/>
        <v>-50</v>
      </c>
      <c r="BM151" s="785">
        <f t="shared" si="99"/>
        <v>-50</v>
      </c>
      <c r="BN151" s="786">
        <f t="shared" si="100"/>
        <v>-50</v>
      </c>
      <c r="BO151" s="786">
        <f t="shared" si="101"/>
        <v>-50</v>
      </c>
      <c r="BP151" s="786">
        <f t="shared" si="102"/>
        <v>-50</v>
      </c>
      <c r="BQ151" s="787">
        <f t="shared" si="103"/>
        <v>-50</v>
      </c>
    </row>
    <row r="152" spans="1:69" x14ac:dyDescent="0.25">
      <c r="A152" s="750">
        <v>6</v>
      </c>
      <c r="B152" s="740">
        <f>IF(Knoten!S8&gt;0,1,0)</f>
        <v>0</v>
      </c>
      <c r="C152" s="785">
        <f>IF(ISNUMBER(Knoten!C8),Knoten!C8-$U$1,PlotData!$CB$3)</f>
        <v>-100</v>
      </c>
      <c r="D152" s="786">
        <f t="shared" si="42"/>
        <v>-100</v>
      </c>
      <c r="E152" s="786">
        <f t="shared" si="43"/>
        <v>-100</v>
      </c>
      <c r="F152" s="786">
        <f t="shared" si="44"/>
        <v>-100</v>
      </c>
      <c r="G152" s="786">
        <f t="shared" si="45"/>
        <v>-100</v>
      </c>
      <c r="H152" s="786">
        <f t="shared" si="46"/>
        <v>-100</v>
      </c>
      <c r="I152" s="786">
        <f t="shared" si="47"/>
        <v>-100</v>
      </c>
      <c r="J152" s="786">
        <f t="shared" si="48"/>
        <v>-100</v>
      </c>
      <c r="K152" s="786">
        <f t="shared" si="49"/>
        <v>-100</v>
      </c>
      <c r="L152" s="786">
        <f t="shared" si="50"/>
        <v>-100</v>
      </c>
      <c r="M152" s="786">
        <f t="shared" si="51"/>
        <v>-100</v>
      </c>
      <c r="N152" s="786">
        <f t="shared" si="52"/>
        <v>-100</v>
      </c>
      <c r="O152" s="786">
        <f t="shared" si="53"/>
        <v>-100</v>
      </c>
      <c r="P152" s="786">
        <f t="shared" si="54"/>
        <v>-100</v>
      </c>
      <c r="Q152" s="786">
        <f t="shared" si="55"/>
        <v>-100</v>
      </c>
      <c r="R152" s="786">
        <f t="shared" si="56"/>
        <v>-100</v>
      </c>
      <c r="S152" s="786">
        <f t="shared" si="57"/>
        <v>-100</v>
      </c>
      <c r="T152" s="786">
        <f t="shared" si="58"/>
        <v>-100</v>
      </c>
      <c r="U152" s="786">
        <f t="shared" si="59"/>
        <v>-100</v>
      </c>
      <c r="V152" s="786">
        <f t="shared" si="60"/>
        <v>-100</v>
      </c>
      <c r="W152" s="786">
        <f t="shared" si="61"/>
        <v>-100</v>
      </c>
      <c r="X152" s="786">
        <f t="shared" si="62"/>
        <v>-100</v>
      </c>
      <c r="Y152" s="786">
        <f t="shared" si="63"/>
        <v>-100</v>
      </c>
      <c r="Z152" s="786">
        <f t="shared" si="64"/>
        <v>-100</v>
      </c>
      <c r="AA152" s="786">
        <f t="shared" si="65"/>
        <v>-100</v>
      </c>
      <c r="AB152" s="786">
        <f t="shared" si="66"/>
        <v>-100</v>
      </c>
      <c r="AC152" s="787">
        <f t="shared" si="67"/>
        <v>-100</v>
      </c>
      <c r="AD152" s="785">
        <f t="shared" si="94"/>
        <v>-100</v>
      </c>
      <c r="AE152" s="786">
        <f t="shared" si="95"/>
        <v>-100</v>
      </c>
      <c r="AF152" s="786">
        <f t="shared" si="96"/>
        <v>-100</v>
      </c>
      <c r="AG152" s="786">
        <f t="shared" si="97"/>
        <v>-100</v>
      </c>
      <c r="AH152" s="787">
        <f t="shared" si="98"/>
        <v>-100</v>
      </c>
      <c r="AJ152" s="750">
        <v>6</v>
      </c>
      <c r="AK152" s="740">
        <f>IF(Knoten!S8&gt;0,1,0)</f>
        <v>0</v>
      </c>
      <c r="AL152" s="786">
        <f>IF(ISNUMBER(Knoten!C8),Z11,PlotData!$CB$3)</f>
        <v>-100</v>
      </c>
      <c r="AM152" s="786">
        <f t="shared" si="68"/>
        <v>-100</v>
      </c>
      <c r="AN152" s="786">
        <f t="shared" si="69"/>
        <v>-100</v>
      </c>
      <c r="AO152" s="786">
        <f t="shared" si="70"/>
        <v>-100</v>
      </c>
      <c r="AP152" s="786">
        <f t="shared" si="71"/>
        <v>-100</v>
      </c>
      <c r="AQ152" s="786">
        <f t="shared" si="72"/>
        <v>-100</v>
      </c>
      <c r="AR152" s="786">
        <f t="shared" si="73"/>
        <v>-100</v>
      </c>
      <c r="AS152" s="786">
        <f t="shared" si="74"/>
        <v>-100</v>
      </c>
      <c r="AT152" s="786">
        <f t="shared" si="75"/>
        <v>-100</v>
      </c>
      <c r="AU152" s="786">
        <f t="shared" si="76"/>
        <v>-100</v>
      </c>
      <c r="AV152" s="786">
        <f t="shared" si="77"/>
        <v>-100</v>
      </c>
      <c r="AW152" s="786">
        <f t="shared" si="78"/>
        <v>-100</v>
      </c>
      <c r="AX152" s="786">
        <f t="shared" si="79"/>
        <v>-100</v>
      </c>
      <c r="AY152" s="786">
        <f t="shared" si="80"/>
        <v>-100</v>
      </c>
      <c r="AZ152" s="786">
        <f t="shared" si="81"/>
        <v>-100</v>
      </c>
      <c r="BA152" s="786">
        <f t="shared" si="82"/>
        <v>-100</v>
      </c>
      <c r="BB152" s="786">
        <f t="shared" si="83"/>
        <v>-100</v>
      </c>
      <c r="BC152" s="786">
        <f t="shared" si="84"/>
        <v>-100</v>
      </c>
      <c r="BD152" s="786">
        <f t="shared" si="85"/>
        <v>-100</v>
      </c>
      <c r="BE152" s="786">
        <f t="shared" si="86"/>
        <v>-100</v>
      </c>
      <c r="BF152" s="786">
        <f t="shared" si="87"/>
        <v>-100</v>
      </c>
      <c r="BG152" s="786">
        <f t="shared" si="88"/>
        <v>-100</v>
      </c>
      <c r="BH152" s="786">
        <f t="shared" si="89"/>
        <v>-100</v>
      </c>
      <c r="BI152" s="786">
        <f t="shared" si="90"/>
        <v>-100</v>
      </c>
      <c r="BJ152" s="786">
        <f t="shared" si="91"/>
        <v>-100</v>
      </c>
      <c r="BK152" s="786">
        <f t="shared" si="92"/>
        <v>-100</v>
      </c>
      <c r="BL152" s="786">
        <f t="shared" si="93"/>
        <v>-100</v>
      </c>
      <c r="BM152" s="785">
        <f t="shared" si="99"/>
        <v>-100</v>
      </c>
      <c r="BN152" s="786">
        <f t="shared" si="100"/>
        <v>-100</v>
      </c>
      <c r="BO152" s="786">
        <f t="shared" si="101"/>
        <v>-100</v>
      </c>
      <c r="BP152" s="786">
        <f t="shared" si="102"/>
        <v>-100</v>
      </c>
      <c r="BQ152" s="787">
        <f t="shared" si="103"/>
        <v>-100</v>
      </c>
    </row>
    <row r="153" spans="1:69" x14ac:dyDescent="0.25">
      <c r="A153" s="750">
        <v>7</v>
      </c>
      <c r="B153" s="740">
        <f>IF(Knoten!S9&gt;0,1,0)</f>
        <v>0</v>
      </c>
      <c r="C153" s="785">
        <f>IF(ISNUMBER(Knoten!C9),Knoten!C9-$U$1,PlotData!$CB$3)</f>
        <v>0</v>
      </c>
      <c r="D153" s="786">
        <f t="shared" si="42"/>
        <v>0</v>
      </c>
      <c r="E153" s="786">
        <f t="shared" si="43"/>
        <v>0</v>
      </c>
      <c r="F153" s="786">
        <f t="shared" si="44"/>
        <v>0</v>
      </c>
      <c r="G153" s="786">
        <f t="shared" si="45"/>
        <v>0</v>
      </c>
      <c r="H153" s="786">
        <f t="shared" si="46"/>
        <v>0</v>
      </c>
      <c r="I153" s="786">
        <f t="shared" si="47"/>
        <v>0</v>
      </c>
      <c r="J153" s="786">
        <f t="shared" si="48"/>
        <v>0</v>
      </c>
      <c r="K153" s="786">
        <f t="shared" si="49"/>
        <v>0</v>
      </c>
      <c r="L153" s="786">
        <f t="shared" si="50"/>
        <v>0</v>
      </c>
      <c r="M153" s="786">
        <f t="shared" si="51"/>
        <v>0</v>
      </c>
      <c r="N153" s="786">
        <f t="shared" si="52"/>
        <v>0</v>
      </c>
      <c r="O153" s="786">
        <f t="shared" si="53"/>
        <v>0</v>
      </c>
      <c r="P153" s="786">
        <f t="shared" si="54"/>
        <v>0</v>
      </c>
      <c r="Q153" s="786">
        <f t="shared" si="55"/>
        <v>0</v>
      </c>
      <c r="R153" s="786">
        <f t="shared" si="56"/>
        <v>0</v>
      </c>
      <c r="S153" s="786">
        <f t="shared" si="57"/>
        <v>0</v>
      </c>
      <c r="T153" s="786">
        <f t="shared" si="58"/>
        <v>0</v>
      </c>
      <c r="U153" s="786">
        <f t="shared" si="59"/>
        <v>0</v>
      </c>
      <c r="V153" s="786">
        <f t="shared" si="60"/>
        <v>0</v>
      </c>
      <c r="W153" s="786">
        <f t="shared" si="61"/>
        <v>0</v>
      </c>
      <c r="X153" s="786">
        <f t="shared" si="62"/>
        <v>0</v>
      </c>
      <c r="Y153" s="786">
        <f t="shared" si="63"/>
        <v>0</v>
      </c>
      <c r="Z153" s="786">
        <f t="shared" si="64"/>
        <v>0</v>
      </c>
      <c r="AA153" s="786">
        <f t="shared" si="65"/>
        <v>0</v>
      </c>
      <c r="AB153" s="786">
        <f t="shared" si="66"/>
        <v>0</v>
      </c>
      <c r="AC153" s="787">
        <f t="shared" si="67"/>
        <v>0</v>
      </c>
      <c r="AD153" s="785">
        <f t="shared" si="94"/>
        <v>0</v>
      </c>
      <c r="AE153" s="786">
        <f t="shared" si="95"/>
        <v>0</v>
      </c>
      <c r="AF153" s="786">
        <f t="shared" si="96"/>
        <v>0</v>
      </c>
      <c r="AG153" s="786">
        <f t="shared" si="97"/>
        <v>0</v>
      </c>
      <c r="AH153" s="787">
        <f t="shared" si="98"/>
        <v>0</v>
      </c>
      <c r="AJ153" s="750">
        <v>7</v>
      </c>
      <c r="AK153" s="740">
        <f>IF(Knoten!S9&gt;0,1,0)</f>
        <v>0</v>
      </c>
      <c r="AL153" s="786">
        <f>IF(ISNUMBER(Knoten!C9),Z12,PlotData!$CB$3)</f>
        <v>0</v>
      </c>
      <c r="AM153" s="786">
        <f t="shared" si="68"/>
        <v>0</v>
      </c>
      <c r="AN153" s="786">
        <f t="shared" si="69"/>
        <v>0</v>
      </c>
      <c r="AO153" s="786">
        <f t="shared" si="70"/>
        <v>0</v>
      </c>
      <c r="AP153" s="786">
        <f t="shared" si="71"/>
        <v>0</v>
      </c>
      <c r="AQ153" s="786">
        <f t="shared" si="72"/>
        <v>0</v>
      </c>
      <c r="AR153" s="786">
        <f t="shared" si="73"/>
        <v>0</v>
      </c>
      <c r="AS153" s="786">
        <f t="shared" si="74"/>
        <v>0</v>
      </c>
      <c r="AT153" s="786">
        <f t="shared" si="75"/>
        <v>0</v>
      </c>
      <c r="AU153" s="786">
        <f t="shared" si="76"/>
        <v>0</v>
      </c>
      <c r="AV153" s="786">
        <f t="shared" si="77"/>
        <v>0</v>
      </c>
      <c r="AW153" s="786">
        <f t="shared" si="78"/>
        <v>0</v>
      </c>
      <c r="AX153" s="786">
        <f t="shared" si="79"/>
        <v>0</v>
      </c>
      <c r="AY153" s="786">
        <f t="shared" si="80"/>
        <v>0</v>
      </c>
      <c r="AZ153" s="786">
        <f t="shared" si="81"/>
        <v>0</v>
      </c>
      <c r="BA153" s="786">
        <f t="shared" si="82"/>
        <v>0</v>
      </c>
      <c r="BB153" s="786">
        <f t="shared" si="83"/>
        <v>0</v>
      </c>
      <c r="BC153" s="786">
        <f t="shared" si="84"/>
        <v>0</v>
      </c>
      <c r="BD153" s="786">
        <f t="shared" si="85"/>
        <v>0</v>
      </c>
      <c r="BE153" s="786">
        <f t="shared" si="86"/>
        <v>0</v>
      </c>
      <c r="BF153" s="786">
        <f t="shared" si="87"/>
        <v>0</v>
      </c>
      <c r="BG153" s="786">
        <f t="shared" si="88"/>
        <v>0</v>
      </c>
      <c r="BH153" s="786">
        <f t="shared" si="89"/>
        <v>0</v>
      </c>
      <c r="BI153" s="786">
        <f t="shared" si="90"/>
        <v>0</v>
      </c>
      <c r="BJ153" s="786">
        <f t="shared" si="91"/>
        <v>0</v>
      </c>
      <c r="BK153" s="786">
        <f t="shared" si="92"/>
        <v>0</v>
      </c>
      <c r="BL153" s="786">
        <f t="shared" si="93"/>
        <v>0</v>
      </c>
      <c r="BM153" s="785">
        <f t="shared" si="99"/>
        <v>0</v>
      </c>
      <c r="BN153" s="786">
        <f t="shared" si="100"/>
        <v>0</v>
      </c>
      <c r="BO153" s="786">
        <f t="shared" si="101"/>
        <v>0</v>
      </c>
      <c r="BP153" s="786">
        <f t="shared" si="102"/>
        <v>0</v>
      </c>
      <c r="BQ153" s="787">
        <f t="shared" si="103"/>
        <v>0</v>
      </c>
    </row>
    <row r="154" spans="1:69" x14ac:dyDescent="0.25">
      <c r="A154" s="750">
        <v>8</v>
      </c>
      <c r="B154" s="740">
        <f>IF(Knoten!S10&gt;0,1,0)</f>
        <v>0</v>
      </c>
      <c r="C154" s="785">
        <f>IF(ISNUMBER(Knoten!C10),Knoten!C10-$U$1,PlotData!$CB$3)</f>
        <v>0</v>
      </c>
      <c r="D154" s="786">
        <f t="shared" si="42"/>
        <v>0</v>
      </c>
      <c r="E154" s="786">
        <f t="shared" si="43"/>
        <v>0</v>
      </c>
      <c r="F154" s="786">
        <f t="shared" si="44"/>
        <v>0</v>
      </c>
      <c r="G154" s="786">
        <f t="shared" si="45"/>
        <v>0</v>
      </c>
      <c r="H154" s="786">
        <f t="shared" si="46"/>
        <v>0</v>
      </c>
      <c r="I154" s="786">
        <f t="shared" si="47"/>
        <v>0</v>
      </c>
      <c r="J154" s="786">
        <f t="shared" si="48"/>
        <v>0</v>
      </c>
      <c r="K154" s="786">
        <f t="shared" si="49"/>
        <v>0</v>
      </c>
      <c r="L154" s="786">
        <f t="shared" si="50"/>
        <v>0</v>
      </c>
      <c r="M154" s="786">
        <f t="shared" si="51"/>
        <v>0</v>
      </c>
      <c r="N154" s="786">
        <f t="shared" si="52"/>
        <v>0</v>
      </c>
      <c r="O154" s="786">
        <f t="shared" si="53"/>
        <v>0</v>
      </c>
      <c r="P154" s="786">
        <f t="shared" si="54"/>
        <v>0</v>
      </c>
      <c r="Q154" s="786">
        <f t="shared" si="55"/>
        <v>0</v>
      </c>
      <c r="R154" s="786">
        <f t="shared" si="56"/>
        <v>0</v>
      </c>
      <c r="S154" s="786">
        <f t="shared" si="57"/>
        <v>0</v>
      </c>
      <c r="T154" s="786">
        <f t="shared" si="58"/>
        <v>0</v>
      </c>
      <c r="U154" s="786">
        <f t="shared" si="59"/>
        <v>0</v>
      </c>
      <c r="V154" s="786">
        <f t="shared" si="60"/>
        <v>0</v>
      </c>
      <c r="W154" s="786">
        <f t="shared" si="61"/>
        <v>0</v>
      </c>
      <c r="X154" s="786">
        <f t="shared" si="62"/>
        <v>0</v>
      </c>
      <c r="Y154" s="786">
        <f t="shared" si="63"/>
        <v>0</v>
      </c>
      <c r="Z154" s="786">
        <f t="shared" si="64"/>
        <v>0</v>
      </c>
      <c r="AA154" s="786">
        <f t="shared" si="65"/>
        <v>0</v>
      </c>
      <c r="AB154" s="786">
        <f t="shared" si="66"/>
        <v>0</v>
      </c>
      <c r="AC154" s="787">
        <f t="shared" si="67"/>
        <v>0</v>
      </c>
      <c r="AD154" s="785">
        <f t="shared" si="94"/>
        <v>0</v>
      </c>
      <c r="AE154" s="786">
        <f t="shared" si="95"/>
        <v>0</v>
      </c>
      <c r="AF154" s="786">
        <f t="shared" si="96"/>
        <v>0</v>
      </c>
      <c r="AG154" s="786">
        <f t="shared" si="97"/>
        <v>0</v>
      </c>
      <c r="AH154" s="787">
        <f t="shared" si="98"/>
        <v>0</v>
      </c>
      <c r="AJ154" s="750">
        <v>8</v>
      </c>
      <c r="AK154" s="740">
        <f>IF(Knoten!S10&gt;0,1,0)</f>
        <v>0</v>
      </c>
      <c r="AL154" s="786">
        <f>IF(ISNUMBER(Knoten!C10),Z13,PlotData!$CB$3)</f>
        <v>0</v>
      </c>
      <c r="AM154" s="786">
        <f t="shared" si="68"/>
        <v>0</v>
      </c>
      <c r="AN154" s="786">
        <f t="shared" si="69"/>
        <v>0</v>
      </c>
      <c r="AO154" s="786">
        <f t="shared" si="70"/>
        <v>0</v>
      </c>
      <c r="AP154" s="786">
        <f t="shared" si="71"/>
        <v>0</v>
      </c>
      <c r="AQ154" s="786">
        <f t="shared" si="72"/>
        <v>0</v>
      </c>
      <c r="AR154" s="786">
        <f t="shared" si="73"/>
        <v>0</v>
      </c>
      <c r="AS154" s="786">
        <f t="shared" si="74"/>
        <v>0</v>
      </c>
      <c r="AT154" s="786">
        <f t="shared" si="75"/>
        <v>0</v>
      </c>
      <c r="AU154" s="786">
        <f t="shared" si="76"/>
        <v>0</v>
      </c>
      <c r="AV154" s="786">
        <f t="shared" si="77"/>
        <v>0</v>
      </c>
      <c r="AW154" s="786">
        <f t="shared" si="78"/>
        <v>0</v>
      </c>
      <c r="AX154" s="786">
        <f t="shared" si="79"/>
        <v>0</v>
      </c>
      <c r="AY154" s="786">
        <f t="shared" si="80"/>
        <v>0</v>
      </c>
      <c r="AZ154" s="786">
        <f t="shared" si="81"/>
        <v>0</v>
      </c>
      <c r="BA154" s="786">
        <f t="shared" si="82"/>
        <v>0</v>
      </c>
      <c r="BB154" s="786">
        <f t="shared" si="83"/>
        <v>0</v>
      </c>
      <c r="BC154" s="786">
        <f t="shared" si="84"/>
        <v>0</v>
      </c>
      <c r="BD154" s="786">
        <f t="shared" si="85"/>
        <v>0</v>
      </c>
      <c r="BE154" s="786">
        <f t="shared" si="86"/>
        <v>0</v>
      </c>
      <c r="BF154" s="786">
        <f t="shared" si="87"/>
        <v>0</v>
      </c>
      <c r="BG154" s="786">
        <f t="shared" si="88"/>
        <v>0</v>
      </c>
      <c r="BH154" s="786">
        <f t="shared" si="89"/>
        <v>0</v>
      </c>
      <c r="BI154" s="786">
        <f t="shared" si="90"/>
        <v>0</v>
      </c>
      <c r="BJ154" s="786">
        <f t="shared" si="91"/>
        <v>0</v>
      </c>
      <c r="BK154" s="786">
        <f t="shared" si="92"/>
        <v>0</v>
      </c>
      <c r="BL154" s="786">
        <f t="shared" si="93"/>
        <v>0</v>
      </c>
      <c r="BM154" s="785">
        <f t="shared" si="99"/>
        <v>0</v>
      </c>
      <c r="BN154" s="786">
        <f t="shared" si="100"/>
        <v>0</v>
      </c>
      <c r="BO154" s="786">
        <f t="shared" si="101"/>
        <v>0</v>
      </c>
      <c r="BP154" s="786">
        <f t="shared" si="102"/>
        <v>0</v>
      </c>
      <c r="BQ154" s="787">
        <f t="shared" si="103"/>
        <v>0</v>
      </c>
    </row>
    <row r="155" spans="1:69" x14ac:dyDescent="0.25">
      <c r="A155" s="750">
        <v>9</v>
      </c>
      <c r="B155" s="740">
        <f>IF(Knoten!S11&gt;0,1,0)</f>
        <v>0</v>
      </c>
      <c r="C155" s="785">
        <f>IF(ISNUMBER(Knoten!C11),Knoten!C11-$U$1,PlotData!$CB$3)</f>
        <v>0</v>
      </c>
      <c r="D155" s="786">
        <f t="shared" si="42"/>
        <v>0</v>
      </c>
      <c r="E155" s="786">
        <f t="shared" si="43"/>
        <v>0</v>
      </c>
      <c r="F155" s="786">
        <f t="shared" si="44"/>
        <v>0</v>
      </c>
      <c r="G155" s="786">
        <f t="shared" si="45"/>
        <v>0</v>
      </c>
      <c r="H155" s="786">
        <f t="shared" si="46"/>
        <v>0</v>
      </c>
      <c r="I155" s="786">
        <f t="shared" si="47"/>
        <v>0</v>
      </c>
      <c r="J155" s="786">
        <f t="shared" si="48"/>
        <v>0</v>
      </c>
      <c r="K155" s="786">
        <f t="shared" si="49"/>
        <v>0</v>
      </c>
      <c r="L155" s="786">
        <f t="shared" si="50"/>
        <v>0</v>
      </c>
      <c r="M155" s="786">
        <f t="shared" si="51"/>
        <v>0</v>
      </c>
      <c r="N155" s="786">
        <f t="shared" si="52"/>
        <v>0</v>
      </c>
      <c r="O155" s="786">
        <f t="shared" si="53"/>
        <v>0</v>
      </c>
      <c r="P155" s="786">
        <f t="shared" si="54"/>
        <v>0</v>
      </c>
      <c r="Q155" s="786">
        <f t="shared" si="55"/>
        <v>0</v>
      </c>
      <c r="R155" s="786">
        <f t="shared" si="56"/>
        <v>0</v>
      </c>
      <c r="S155" s="786">
        <f t="shared" si="57"/>
        <v>0</v>
      </c>
      <c r="T155" s="786">
        <f t="shared" si="58"/>
        <v>0</v>
      </c>
      <c r="U155" s="786">
        <f t="shared" si="59"/>
        <v>0</v>
      </c>
      <c r="V155" s="786">
        <f t="shared" si="60"/>
        <v>0</v>
      </c>
      <c r="W155" s="786">
        <f t="shared" si="61"/>
        <v>0</v>
      </c>
      <c r="X155" s="786">
        <f t="shared" si="62"/>
        <v>0</v>
      </c>
      <c r="Y155" s="786">
        <f t="shared" si="63"/>
        <v>0</v>
      </c>
      <c r="Z155" s="786">
        <f t="shared" si="64"/>
        <v>0</v>
      </c>
      <c r="AA155" s="786">
        <f t="shared" si="65"/>
        <v>0</v>
      </c>
      <c r="AB155" s="786">
        <f t="shared" si="66"/>
        <v>0</v>
      </c>
      <c r="AC155" s="787">
        <f t="shared" si="67"/>
        <v>0</v>
      </c>
      <c r="AD155" s="785">
        <f t="shared" si="94"/>
        <v>0</v>
      </c>
      <c r="AE155" s="786">
        <f t="shared" si="95"/>
        <v>0</v>
      </c>
      <c r="AF155" s="786">
        <f t="shared" si="96"/>
        <v>0</v>
      </c>
      <c r="AG155" s="786">
        <f t="shared" si="97"/>
        <v>0</v>
      </c>
      <c r="AH155" s="787">
        <f t="shared" si="98"/>
        <v>0</v>
      </c>
      <c r="AJ155" s="750">
        <v>9</v>
      </c>
      <c r="AK155" s="740">
        <f>IF(Knoten!S11&gt;0,1,0)</f>
        <v>0</v>
      </c>
      <c r="AL155" s="786">
        <f>IF(ISNUMBER(Knoten!C11),Z14,PlotData!$CB$3)</f>
        <v>0</v>
      </c>
      <c r="AM155" s="786">
        <f t="shared" si="68"/>
        <v>0</v>
      </c>
      <c r="AN155" s="786">
        <f t="shared" si="69"/>
        <v>0</v>
      </c>
      <c r="AO155" s="786">
        <f t="shared" si="70"/>
        <v>0</v>
      </c>
      <c r="AP155" s="786">
        <f t="shared" si="71"/>
        <v>0</v>
      </c>
      <c r="AQ155" s="786">
        <f t="shared" si="72"/>
        <v>0</v>
      </c>
      <c r="AR155" s="786">
        <f t="shared" si="73"/>
        <v>0</v>
      </c>
      <c r="AS155" s="786">
        <f t="shared" si="74"/>
        <v>0</v>
      </c>
      <c r="AT155" s="786">
        <f t="shared" si="75"/>
        <v>0</v>
      </c>
      <c r="AU155" s="786">
        <f t="shared" si="76"/>
        <v>0</v>
      </c>
      <c r="AV155" s="786">
        <f t="shared" si="77"/>
        <v>0</v>
      </c>
      <c r="AW155" s="786">
        <f t="shared" si="78"/>
        <v>0</v>
      </c>
      <c r="AX155" s="786">
        <f t="shared" si="79"/>
        <v>0</v>
      </c>
      <c r="AY155" s="786">
        <f t="shared" si="80"/>
        <v>0</v>
      </c>
      <c r="AZ155" s="786">
        <f t="shared" si="81"/>
        <v>0</v>
      </c>
      <c r="BA155" s="786">
        <f t="shared" si="82"/>
        <v>0</v>
      </c>
      <c r="BB155" s="786">
        <f t="shared" si="83"/>
        <v>0</v>
      </c>
      <c r="BC155" s="786">
        <f t="shared" si="84"/>
        <v>0</v>
      </c>
      <c r="BD155" s="786">
        <f t="shared" si="85"/>
        <v>0</v>
      </c>
      <c r="BE155" s="786">
        <f t="shared" si="86"/>
        <v>0</v>
      </c>
      <c r="BF155" s="786">
        <f t="shared" si="87"/>
        <v>0</v>
      </c>
      <c r="BG155" s="786">
        <f t="shared" si="88"/>
        <v>0</v>
      </c>
      <c r="BH155" s="786">
        <f t="shared" si="89"/>
        <v>0</v>
      </c>
      <c r="BI155" s="786">
        <f t="shared" si="90"/>
        <v>0</v>
      </c>
      <c r="BJ155" s="786">
        <f t="shared" si="91"/>
        <v>0</v>
      </c>
      <c r="BK155" s="786">
        <f t="shared" si="92"/>
        <v>0</v>
      </c>
      <c r="BL155" s="786">
        <f t="shared" si="93"/>
        <v>0</v>
      </c>
      <c r="BM155" s="785">
        <f t="shared" si="99"/>
        <v>0</v>
      </c>
      <c r="BN155" s="786">
        <f t="shared" si="100"/>
        <v>0</v>
      </c>
      <c r="BO155" s="786">
        <f t="shared" si="101"/>
        <v>0</v>
      </c>
      <c r="BP155" s="786">
        <f t="shared" si="102"/>
        <v>0</v>
      </c>
      <c r="BQ155" s="787">
        <f t="shared" si="103"/>
        <v>0</v>
      </c>
    </row>
    <row r="156" spans="1:69" x14ac:dyDescent="0.25">
      <c r="A156" s="750">
        <v>10</v>
      </c>
      <c r="B156" s="740">
        <f>IF(Knoten!S12&gt;0,1,0)</f>
        <v>0</v>
      </c>
      <c r="C156" s="785">
        <f>IF(ISNUMBER(Knoten!C12),Knoten!C12-$U$1,PlotData!$CB$3)</f>
        <v>0</v>
      </c>
      <c r="D156" s="786">
        <f t="shared" si="42"/>
        <v>0</v>
      </c>
      <c r="E156" s="786">
        <f t="shared" si="43"/>
        <v>0</v>
      </c>
      <c r="F156" s="786">
        <f t="shared" si="44"/>
        <v>0</v>
      </c>
      <c r="G156" s="786">
        <f t="shared" si="45"/>
        <v>0</v>
      </c>
      <c r="H156" s="786">
        <f t="shared" si="46"/>
        <v>0</v>
      </c>
      <c r="I156" s="786">
        <f t="shared" si="47"/>
        <v>0</v>
      </c>
      <c r="J156" s="786">
        <f t="shared" si="48"/>
        <v>0</v>
      </c>
      <c r="K156" s="786">
        <f t="shared" si="49"/>
        <v>0</v>
      </c>
      <c r="L156" s="786">
        <f t="shared" si="50"/>
        <v>0</v>
      </c>
      <c r="M156" s="786">
        <f t="shared" si="51"/>
        <v>0</v>
      </c>
      <c r="N156" s="786">
        <f t="shared" si="52"/>
        <v>0</v>
      </c>
      <c r="O156" s="786">
        <f t="shared" si="53"/>
        <v>0</v>
      </c>
      <c r="P156" s="786">
        <f t="shared" si="54"/>
        <v>0</v>
      </c>
      <c r="Q156" s="786">
        <f t="shared" si="55"/>
        <v>0</v>
      </c>
      <c r="R156" s="786">
        <f t="shared" si="56"/>
        <v>0</v>
      </c>
      <c r="S156" s="786">
        <f t="shared" si="57"/>
        <v>0</v>
      </c>
      <c r="T156" s="786">
        <f t="shared" si="58"/>
        <v>0</v>
      </c>
      <c r="U156" s="786">
        <f t="shared" si="59"/>
        <v>0</v>
      </c>
      <c r="V156" s="786">
        <f t="shared" si="60"/>
        <v>0</v>
      </c>
      <c r="W156" s="786">
        <f t="shared" si="61"/>
        <v>0</v>
      </c>
      <c r="X156" s="786">
        <f t="shared" si="62"/>
        <v>0</v>
      </c>
      <c r="Y156" s="786">
        <f t="shared" si="63"/>
        <v>0</v>
      </c>
      <c r="Z156" s="786">
        <f t="shared" si="64"/>
        <v>0</v>
      </c>
      <c r="AA156" s="786">
        <f t="shared" si="65"/>
        <v>0</v>
      </c>
      <c r="AB156" s="786">
        <f t="shared" si="66"/>
        <v>0</v>
      </c>
      <c r="AC156" s="787">
        <f t="shared" si="67"/>
        <v>0</v>
      </c>
      <c r="AD156" s="785">
        <f t="shared" si="94"/>
        <v>0</v>
      </c>
      <c r="AE156" s="786">
        <f t="shared" si="95"/>
        <v>0</v>
      </c>
      <c r="AF156" s="786">
        <f t="shared" si="96"/>
        <v>0</v>
      </c>
      <c r="AG156" s="786">
        <f t="shared" si="97"/>
        <v>0</v>
      </c>
      <c r="AH156" s="787">
        <f t="shared" si="98"/>
        <v>0</v>
      </c>
      <c r="AJ156" s="750">
        <v>10</v>
      </c>
      <c r="AK156" s="740">
        <f>IF(Knoten!S12&gt;0,1,0)</f>
        <v>0</v>
      </c>
      <c r="AL156" s="786">
        <f>IF(ISNUMBER(Knoten!C12),Z15,PlotData!$CB$3)</f>
        <v>0</v>
      </c>
      <c r="AM156" s="786">
        <f t="shared" si="68"/>
        <v>0</v>
      </c>
      <c r="AN156" s="786">
        <f t="shared" si="69"/>
        <v>0</v>
      </c>
      <c r="AO156" s="786">
        <f t="shared" si="70"/>
        <v>0</v>
      </c>
      <c r="AP156" s="786">
        <f t="shared" si="71"/>
        <v>0</v>
      </c>
      <c r="AQ156" s="786">
        <f t="shared" si="72"/>
        <v>0</v>
      </c>
      <c r="AR156" s="786">
        <f t="shared" si="73"/>
        <v>0</v>
      </c>
      <c r="AS156" s="786">
        <f t="shared" si="74"/>
        <v>0</v>
      </c>
      <c r="AT156" s="786">
        <f t="shared" si="75"/>
        <v>0</v>
      </c>
      <c r="AU156" s="786">
        <f t="shared" si="76"/>
        <v>0</v>
      </c>
      <c r="AV156" s="786">
        <f t="shared" si="77"/>
        <v>0</v>
      </c>
      <c r="AW156" s="786">
        <f t="shared" si="78"/>
        <v>0</v>
      </c>
      <c r="AX156" s="786">
        <f t="shared" si="79"/>
        <v>0</v>
      </c>
      <c r="AY156" s="786">
        <f t="shared" si="80"/>
        <v>0</v>
      </c>
      <c r="AZ156" s="786">
        <f t="shared" si="81"/>
        <v>0</v>
      </c>
      <c r="BA156" s="786">
        <f t="shared" si="82"/>
        <v>0</v>
      </c>
      <c r="BB156" s="786">
        <f t="shared" si="83"/>
        <v>0</v>
      </c>
      <c r="BC156" s="786">
        <f t="shared" si="84"/>
        <v>0</v>
      </c>
      <c r="BD156" s="786">
        <f t="shared" si="85"/>
        <v>0</v>
      </c>
      <c r="BE156" s="786">
        <f t="shared" si="86"/>
        <v>0</v>
      </c>
      <c r="BF156" s="786">
        <f t="shared" si="87"/>
        <v>0</v>
      </c>
      <c r="BG156" s="786">
        <f t="shared" si="88"/>
        <v>0</v>
      </c>
      <c r="BH156" s="786">
        <f t="shared" si="89"/>
        <v>0</v>
      </c>
      <c r="BI156" s="786">
        <f t="shared" si="90"/>
        <v>0</v>
      </c>
      <c r="BJ156" s="786">
        <f t="shared" si="91"/>
        <v>0</v>
      </c>
      <c r="BK156" s="786">
        <f t="shared" si="92"/>
        <v>0</v>
      </c>
      <c r="BL156" s="786">
        <f t="shared" si="93"/>
        <v>0</v>
      </c>
      <c r="BM156" s="785">
        <f t="shared" si="99"/>
        <v>0</v>
      </c>
      <c r="BN156" s="786">
        <f t="shared" si="100"/>
        <v>0</v>
      </c>
      <c r="BO156" s="786">
        <f t="shared" si="101"/>
        <v>0</v>
      </c>
      <c r="BP156" s="786">
        <f t="shared" si="102"/>
        <v>0</v>
      </c>
      <c r="BQ156" s="787">
        <f t="shared" si="103"/>
        <v>0</v>
      </c>
    </row>
    <row r="157" spans="1:69" x14ac:dyDescent="0.25">
      <c r="A157" s="750">
        <v>11</v>
      </c>
      <c r="B157" s="740">
        <f>IF(Knoten!S13&gt;0,1,0)</f>
        <v>0</v>
      </c>
      <c r="C157" s="785">
        <f>IF(ISNUMBER(Knoten!C13),Knoten!C13-$U$1,PlotData!$CB$3)</f>
        <v>0</v>
      </c>
      <c r="D157" s="786">
        <f t="shared" si="42"/>
        <v>0</v>
      </c>
      <c r="E157" s="786">
        <f t="shared" si="43"/>
        <v>0</v>
      </c>
      <c r="F157" s="786">
        <f t="shared" si="44"/>
        <v>0</v>
      </c>
      <c r="G157" s="786">
        <f t="shared" si="45"/>
        <v>0</v>
      </c>
      <c r="H157" s="786">
        <f t="shared" si="46"/>
        <v>0</v>
      </c>
      <c r="I157" s="786">
        <f t="shared" si="47"/>
        <v>0</v>
      </c>
      <c r="J157" s="786">
        <f t="shared" si="48"/>
        <v>0</v>
      </c>
      <c r="K157" s="786">
        <f t="shared" si="49"/>
        <v>0</v>
      </c>
      <c r="L157" s="786">
        <f t="shared" si="50"/>
        <v>0</v>
      </c>
      <c r="M157" s="786">
        <f t="shared" si="51"/>
        <v>0</v>
      </c>
      <c r="N157" s="786">
        <f t="shared" si="52"/>
        <v>0</v>
      </c>
      <c r="O157" s="786">
        <f t="shared" si="53"/>
        <v>0</v>
      </c>
      <c r="P157" s="786">
        <f t="shared" si="54"/>
        <v>0</v>
      </c>
      <c r="Q157" s="786">
        <f t="shared" si="55"/>
        <v>0</v>
      </c>
      <c r="R157" s="786">
        <f t="shared" si="56"/>
        <v>0</v>
      </c>
      <c r="S157" s="786">
        <f t="shared" si="57"/>
        <v>0</v>
      </c>
      <c r="T157" s="786">
        <f t="shared" si="58"/>
        <v>0</v>
      </c>
      <c r="U157" s="786">
        <f t="shared" si="59"/>
        <v>0</v>
      </c>
      <c r="V157" s="786">
        <f t="shared" si="60"/>
        <v>0</v>
      </c>
      <c r="W157" s="786">
        <f t="shared" si="61"/>
        <v>0</v>
      </c>
      <c r="X157" s="786">
        <f t="shared" si="62"/>
        <v>0</v>
      </c>
      <c r="Y157" s="786">
        <f t="shared" si="63"/>
        <v>0</v>
      </c>
      <c r="Z157" s="786">
        <f t="shared" si="64"/>
        <v>0</v>
      </c>
      <c r="AA157" s="786">
        <f t="shared" si="65"/>
        <v>0</v>
      </c>
      <c r="AB157" s="786">
        <f t="shared" si="66"/>
        <v>0</v>
      </c>
      <c r="AC157" s="787">
        <f t="shared" si="67"/>
        <v>0</v>
      </c>
      <c r="AD157" s="785">
        <f t="shared" si="94"/>
        <v>0</v>
      </c>
      <c r="AE157" s="786">
        <f t="shared" si="95"/>
        <v>0</v>
      </c>
      <c r="AF157" s="786">
        <f t="shared" si="96"/>
        <v>0</v>
      </c>
      <c r="AG157" s="786">
        <f t="shared" si="97"/>
        <v>0</v>
      </c>
      <c r="AH157" s="787">
        <f t="shared" si="98"/>
        <v>0</v>
      </c>
      <c r="AJ157" s="750">
        <v>11</v>
      </c>
      <c r="AK157" s="740">
        <f>IF(Knoten!S13&gt;0,1,0)</f>
        <v>0</v>
      </c>
      <c r="AL157" s="786">
        <f>IF(ISNUMBER(Knoten!C13),Z16,PlotData!$CB$3)</f>
        <v>0</v>
      </c>
      <c r="AM157" s="786">
        <f t="shared" si="68"/>
        <v>0</v>
      </c>
      <c r="AN157" s="786">
        <f t="shared" si="69"/>
        <v>0</v>
      </c>
      <c r="AO157" s="786">
        <f t="shared" si="70"/>
        <v>0</v>
      </c>
      <c r="AP157" s="786">
        <f t="shared" si="71"/>
        <v>0</v>
      </c>
      <c r="AQ157" s="786">
        <f t="shared" si="72"/>
        <v>0</v>
      </c>
      <c r="AR157" s="786">
        <f t="shared" si="73"/>
        <v>0</v>
      </c>
      <c r="AS157" s="786">
        <f t="shared" si="74"/>
        <v>0</v>
      </c>
      <c r="AT157" s="786">
        <f t="shared" si="75"/>
        <v>0</v>
      </c>
      <c r="AU157" s="786">
        <f t="shared" si="76"/>
        <v>0</v>
      </c>
      <c r="AV157" s="786">
        <f t="shared" si="77"/>
        <v>0</v>
      </c>
      <c r="AW157" s="786">
        <f t="shared" si="78"/>
        <v>0</v>
      </c>
      <c r="AX157" s="786">
        <f t="shared" si="79"/>
        <v>0</v>
      </c>
      <c r="AY157" s="786">
        <f t="shared" si="80"/>
        <v>0</v>
      </c>
      <c r="AZ157" s="786">
        <f t="shared" si="81"/>
        <v>0</v>
      </c>
      <c r="BA157" s="786">
        <f t="shared" si="82"/>
        <v>0</v>
      </c>
      <c r="BB157" s="786">
        <f t="shared" si="83"/>
        <v>0</v>
      </c>
      <c r="BC157" s="786">
        <f t="shared" si="84"/>
        <v>0</v>
      </c>
      <c r="BD157" s="786">
        <f t="shared" si="85"/>
        <v>0</v>
      </c>
      <c r="BE157" s="786">
        <f t="shared" si="86"/>
        <v>0</v>
      </c>
      <c r="BF157" s="786">
        <f t="shared" si="87"/>
        <v>0</v>
      </c>
      <c r="BG157" s="786">
        <f t="shared" si="88"/>
        <v>0</v>
      </c>
      <c r="BH157" s="786">
        <f t="shared" si="89"/>
        <v>0</v>
      </c>
      <c r="BI157" s="786">
        <f t="shared" si="90"/>
        <v>0</v>
      </c>
      <c r="BJ157" s="786">
        <f t="shared" si="91"/>
        <v>0</v>
      </c>
      <c r="BK157" s="786">
        <f t="shared" si="92"/>
        <v>0</v>
      </c>
      <c r="BL157" s="786">
        <f t="shared" si="93"/>
        <v>0</v>
      </c>
      <c r="BM157" s="785">
        <f t="shared" si="99"/>
        <v>0</v>
      </c>
      <c r="BN157" s="786">
        <f t="shared" si="100"/>
        <v>0</v>
      </c>
      <c r="BO157" s="786">
        <f t="shared" si="101"/>
        <v>0</v>
      </c>
      <c r="BP157" s="786">
        <f t="shared" si="102"/>
        <v>0</v>
      </c>
      <c r="BQ157" s="787">
        <f t="shared" si="103"/>
        <v>0</v>
      </c>
    </row>
    <row r="158" spans="1:69" x14ac:dyDescent="0.25">
      <c r="A158" s="750">
        <v>12</v>
      </c>
      <c r="B158" s="740">
        <f>IF(Knoten!S14&gt;0,1,0)</f>
        <v>0</v>
      </c>
      <c r="C158" s="785">
        <f>IF(ISNUMBER(Knoten!C14),Knoten!C14-$U$1,PlotData!$CB$3)</f>
        <v>0</v>
      </c>
      <c r="D158" s="786">
        <f t="shared" si="42"/>
        <v>0</v>
      </c>
      <c r="E158" s="786">
        <f t="shared" si="43"/>
        <v>0</v>
      </c>
      <c r="F158" s="786">
        <f t="shared" si="44"/>
        <v>0</v>
      </c>
      <c r="G158" s="786">
        <f t="shared" si="45"/>
        <v>0</v>
      </c>
      <c r="H158" s="786">
        <f t="shared" si="46"/>
        <v>0</v>
      </c>
      <c r="I158" s="786">
        <f t="shared" si="47"/>
        <v>0</v>
      </c>
      <c r="J158" s="786">
        <f t="shared" si="48"/>
        <v>0</v>
      </c>
      <c r="K158" s="786">
        <f t="shared" si="49"/>
        <v>0</v>
      </c>
      <c r="L158" s="786">
        <f t="shared" si="50"/>
        <v>0</v>
      </c>
      <c r="M158" s="786">
        <f t="shared" si="51"/>
        <v>0</v>
      </c>
      <c r="N158" s="786">
        <f t="shared" si="52"/>
        <v>0</v>
      </c>
      <c r="O158" s="786">
        <f t="shared" si="53"/>
        <v>0</v>
      </c>
      <c r="P158" s="786">
        <f t="shared" si="54"/>
        <v>0</v>
      </c>
      <c r="Q158" s="786">
        <f t="shared" si="55"/>
        <v>0</v>
      </c>
      <c r="R158" s="786">
        <f t="shared" si="56"/>
        <v>0</v>
      </c>
      <c r="S158" s="786">
        <f t="shared" si="57"/>
        <v>0</v>
      </c>
      <c r="T158" s="786">
        <f t="shared" si="58"/>
        <v>0</v>
      </c>
      <c r="U158" s="786">
        <f t="shared" si="59"/>
        <v>0</v>
      </c>
      <c r="V158" s="786">
        <f t="shared" si="60"/>
        <v>0</v>
      </c>
      <c r="W158" s="786">
        <f t="shared" si="61"/>
        <v>0</v>
      </c>
      <c r="X158" s="786">
        <f t="shared" si="62"/>
        <v>0</v>
      </c>
      <c r="Y158" s="786">
        <f t="shared" si="63"/>
        <v>0</v>
      </c>
      <c r="Z158" s="786">
        <f t="shared" si="64"/>
        <v>0</v>
      </c>
      <c r="AA158" s="786">
        <f t="shared" si="65"/>
        <v>0</v>
      </c>
      <c r="AB158" s="786">
        <f t="shared" si="66"/>
        <v>0</v>
      </c>
      <c r="AC158" s="787">
        <f t="shared" si="67"/>
        <v>0</v>
      </c>
      <c r="AD158" s="785">
        <f t="shared" si="94"/>
        <v>0</v>
      </c>
      <c r="AE158" s="786">
        <f t="shared" si="95"/>
        <v>0</v>
      </c>
      <c r="AF158" s="786">
        <f t="shared" si="96"/>
        <v>0</v>
      </c>
      <c r="AG158" s="786">
        <f t="shared" si="97"/>
        <v>0</v>
      </c>
      <c r="AH158" s="787">
        <f t="shared" si="98"/>
        <v>0</v>
      </c>
      <c r="AJ158" s="750">
        <v>12</v>
      </c>
      <c r="AK158" s="740">
        <f>IF(Knoten!S14&gt;0,1,0)</f>
        <v>0</v>
      </c>
      <c r="AL158" s="786">
        <f>IF(ISNUMBER(Knoten!C14),Z17,PlotData!$CB$3)</f>
        <v>0</v>
      </c>
      <c r="AM158" s="786">
        <f t="shared" si="68"/>
        <v>0</v>
      </c>
      <c r="AN158" s="786">
        <f t="shared" si="69"/>
        <v>0</v>
      </c>
      <c r="AO158" s="786">
        <f t="shared" si="70"/>
        <v>0</v>
      </c>
      <c r="AP158" s="786">
        <f t="shared" si="71"/>
        <v>0</v>
      </c>
      <c r="AQ158" s="786">
        <f t="shared" si="72"/>
        <v>0</v>
      </c>
      <c r="AR158" s="786">
        <f t="shared" si="73"/>
        <v>0</v>
      </c>
      <c r="AS158" s="786">
        <f t="shared" si="74"/>
        <v>0</v>
      </c>
      <c r="AT158" s="786">
        <f t="shared" si="75"/>
        <v>0</v>
      </c>
      <c r="AU158" s="786">
        <f t="shared" si="76"/>
        <v>0</v>
      </c>
      <c r="AV158" s="786">
        <f t="shared" si="77"/>
        <v>0</v>
      </c>
      <c r="AW158" s="786">
        <f t="shared" si="78"/>
        <v>0</v>
      </c>
      <c r="AX158" s="786">
        <f t="shared" si="79"/>
        <v>0</v>
      </c>
      <c r="AY158" s="786">
        <f t="shared" si="80"/>
        <v>0</v>
      </c>
      <c r="AZ158" s="786">
        <f t="shared" si="81"/>
        <v>0</v>
      </c>
      <c r="BA158" s="786">
        <f t="shared" si="82"/>
        <v>0</v>
      </c>
      <c r="BB158" s="786">
        <f t="shared" si="83"/>
        <v>0</v>
      </c>
      <c r="BC158" s="786">
        <f t="shared" si="84"/>
        <v>0</v>
      </c>
      <c r="BD158" s="786">
        <f t="shared" si="85"/>
        <v>0</v>
      </c>
      <c r="BE158" s="786">
        <f t="shared" si="86"/>
        <v>0</v>
      </c>
      <c r="BF158" s="786">
        <f t="shared" si="87"/>
        <v>0</v>
      </c>
      <c r="BG158" s="786">
        <f t="shared" si="88"/>
        <v>0</v>
      </c>
      <c r="BH158" s="786">
        <f t="shared" si="89"/>
        <v>0</v>
      </c>
      <c r="BI158" s="786">
        <f t="shared" si="90"/>
        <v>0</v>
      </c>
      <c r="BJ158" s="786">
        <f t="shared" si="91"/>
        <v>0</v>
      </c>
      <c r="BK158" s="786">
        <f t="shared" si="92"/>
        <v>0</v>
      </c>
      <c r="BL158" s="786">
        <f t="shared" si="93"/>
        <v>0</v>
      </c>
      <c r="BM158" s="785">
        <f t="shared" si="99"/>
        <v>0</v>
      </c>
      <c r="BN158" s="786">
        <f t="shared" si="100"/>
        <v>0</v>
      </c>
      <c r="BO158" s="786">
        <f t="shared" si="101"/>
        <v>0</v>
      </c>
      <c r="BP158" s="786">
        <f t="shared" si="102"/>
        <v>0</v>
      </c>
      <c r="BQ158" s="787">
        <f t="shared" si="103"/>
        <v>0</v>
      </c>
    </row>
    <row r="159" spans="1:69" x14ac:dyDescent="0.25">
      <c r="A159" s="750">
        <v>13</v>
      </c>
      <c r="B159" s="740">
        <f>IF(Knoten!S15&gt;0,1,0)</f>
        <v>0</v>
      </c>
      <c r="C159" s="785">
        <f>IF(ISNUMBER(Knoten!C15),Knoten!C15-$U$1,PlotData!$CB$3)</f>
        <v>0</v>
      </c>
      <c r="D159" s="786">
        <f t="shared" si="42"/>
        <v>0</v>
      </c>
      <c r="E159" s="786">
        <f t="shared" si="43"/>
        <v>0</v>
      </c>
      <c r="F159" s="786">
        <f t="shared" si="44"/>
        <v>0</v>
      </c>
      <c r="G159" s="786">
        <f t="shared" si="45"/>
        <v>0</v>
      </c>
      <c r="H159" s="786">
        <f t="shared" si="46"/>
        <v>0</v>
      </c>
      <c r="I159" s="786">
        <f t="shared" si="47"/>
        <v>0</v>
      </c>
      <c r="J159" s="786">
        <f t="shared" si="48"/>
        <v>0</v>
      </c>
      <c r="K159" s="786">
        <f t="shared" si="49"/>
        <v>0</v>
      </c>
      <c r="L159" s="786">
        <f t="shared" si="50"/>
        <v>0</v>
      </c>
      <c r="M159" s="786">
        <f t="shared" si="51"/>
        <v>0</v>
      </c>
      <c r="N159" s="786">
        <f t="shared" si="52"/>
        <v>0</v>
      </c>
      <c r="O159" s="786">
        <f t="shared" si="53"/>
        <v>0</v>
      </c>
      <c r="P159" s="786">
        <f t="shared" si="54"/>
        <v>0</v>
      </c>
      <c r="Q159" s="786">
        <f t="shared" si="55"/>
        <v>0</v>
      </c>
      <c r="R159" s="786">
        <f t="shared" si="56"/>
        <v>0</v>
      </c>
      <c r="S159" s="786">
        <f t="shared" si="57"/>
        <v>0</v>
      </c>
      <c r="T159" s="786">
        <f t="shared" si="58"/>
        <v>0</v>
      </c>
      <c r="U159" s="786">
        <f t="shared" si="59"/>
        <v>0</v>
      </c>
      <c r="V159" s="786">
        <f t="shared" si="60"/>
        <v>0</v>
      </c>
      <c r="W159" s="786">
        <f t="shared" si="61"/>
        <v>0</v>
      </c>
      <c r="X159" s="786">
        <f t="shared" si="62"/>
        <v>0</v>
      </c>
      <c r="Y159" s="786">
        <f t="shared" si="63"/>
        <v>0</v>
      </c>
      <c r="Z159" s="786">
        <f t="shared" si="64"/>
        <v>0</v>
      </c>
      <c r="AA159" s="786">
        <f t="shared" si="65"/>
        <v>0</v>
      </c>
      <c r="AB159" s="786">
        <f t="shared" si="66"/>
        <v>0</v>
      </c>
      <c r="AC159" s="787">
        <f t="shared" si="67"/>
        <v>0</v>
      </c>
      <c r="AD159" s="785">
        <f t="shared" si="94"/>
        <v>0</v>
      </c>
      <c r="AE159" s="786">
        <f t="shared" si="95"/>
        <v>0</v>
      </c>
      <c r="AF159" s="786">
        <f t="shared" si="96"/>
        <v>0</v>
      </c>
      <c r="AG159" s="786">
        <f t="shared" si="97"/>
        <v>0</v>
      </c>
      <c r="AH159" s="787">
        <f t="shared" si="98"/>
        <v>0</v>
      </c>
      <c r="AJ159" s="750">
        <v>13</v>
      </c>
      <c r="AK159" s="740">
        <f>IF(Knoten!S15&gt;0,1,0)</f>
        <v>0</v>
      </c>
      <c r="AL159" s="786">
        <f>IF(ISNUMBER(Knoten!C15),Z18,PlotData!$CB$3)</f>
        <v>0</v>
      </c>
      <c r="AM159" s="786">
        <f t="shared" si="68"/>
        <v>0</v>
      </c>
      <c r="AN159" s="786">
        <f t="shared" si="69"/>
        <v>0</v>
      </c>
      <c r="AO159" s="786">
        <f t="shared" si="70"/>
        <v>0</v>
      </c>
      <c r="AP159" s="786">
        <f t="shared" si="71"/>
        <v>0</v>
      </c>
      <c r="AQ159" s="786">
        <f t="shared" si="72"/>
        <v>0</v>
      </c>
      <c r="AR159" s="786">
        <f t="shared" si="73"/>
        <v>0</v>
      </c>
      <c r="AS159" s="786">
        <f t="shared" si="74"/>
        <v>0</v>
      </c>
      <c r="AT159" s="786">
        <f t="shared" si="75"/>
        <v>0</v>
      </c>
      <c r="AU159" s="786">
        <f t="shared" si="76"/>
        <v>0</v>
      </c>
      <c r="AV159" s="786">
        <f t="shared" si="77"/>
        <v>0</v>
      </c>
      <c r="AW159" s="786">
        <f t="shared" si="78"/>
        <v>0</v>
      </c>
      <c r="AX159" s="786">
        <f t="shared" si="79"/>
        <v>0</v>
      </c>
      <c r="AY159" s="786">
        <f t="shared" si="80"/>
        <v>0</v>
      </c>
      <c r="AZ159" s="786">
        <f t="shared" si="81"/>
        <v>0</v>
      </c>
      <c r="BA159" s="786">
        <f t="shared" si="82"/>
        <v>0</v>
      </c>
      <c r="BB159" s="786">
        <f t="shared" si="83"/>
        <v>0</v>
      </c>
      <c r="BC159" s="786">
        <f t="shared" si="84"/>
        <v>0</v>
      </c>
      <c r="BD159" s="786">
        <f t="shared" si="85"/>
        <v>0</v>
      </c>
      <c r="BE159" s="786">
        <f t="shared" si="86"/>
        <v>0</v>
      </c>
      <c r="BF159" s="786">
        <f t="shared" si="87"/>
        <v>0</v>
      </c>
      <c r="BG159" s="786">
        <f t="shared" si="88"/>
        <v>0</v>
      </c>
      <c r="BH159" s="786">
        <f t="shared" si="89"/>
        <v>0</v>
      </c>
      <c r="BI159" s="786">
        <f t="shared" si="90"/>
        <v>0</v>
      </c>
      <c r="BJ159" s="786">
        <f t="shared" si="91"/>
        <v>0</v>
      </c>
      <c r="BK159" s="786">
        <f t="shared" si="92"/>
        <v>0</v>
      </c>
      <c r="BL159" s="786">
        <f t="shared" si="93"/>
        <v>0</v>
      </c>
      <c r="BM159" s="785">
        <f t="shared" si="99"/>
        <v>0</v>
      </c>
      <c r="BN159" s="786">
        <f t="shared" si="100"/>
        <v>0</v>
      </c>
      <c r="BO159" s="786">
        <f t="shared" si="101"/>
        <v>0</v>
      </c>
      <c r="BP159" s="786">
        <f t="shared" si="102"/>
        <v>0</v>
      </c>
      <c r="BQ159" s="787">
        <f t="shared" si="103"/>
        <v>0</v>
      </c>
    </row>
    <row r="160" spans="1:69" x14ac:dyDescent="0.25">
      <c r="A160" s="750">
        <v>14</v>
      </c>
      <c r="B160" s="740">
        <f>IF(Knoten!S16&gt;0,1,0)</f>
        <v>0</v>
      </c>
      <c r="C160" s="785">
        <f>IF(ISNUMBER(Knoten!C16),Knoten!C16-$U$1,PlotData!$CB$3)</f>
        <v>0</v>
      </c>
      <c r="D160" s="786">
        <f t="shared" si="42"/>
        <v>0</v>
      </c>
      <c r="E160" s="786">
        <f t="shared" si="43"/>
        <v>0</v>
      </c>
      <c r="F160" s="786">
        <f t="shared" si="44"/>
        <v>0</v>
      </c>
      <c r="G160" s="786">
        <f t="shared" si="45"/>
        <v>0</v>
      </c>
      <c r="H160" s="786">
        <f t="shared" si="46"/>
        <v>0</v>
      </c>
      <c r="I160" s="786">
        <f t="shared" si="47"/>
        <v>0</v>
      </c>
      <c r="J160" s="786">
        <f t="shared" si="48"/>
        <v>0</v>
      </c>
      <c r="K160" s="786">
        <f t="shared" si="49"/>
        <v>0</v>
      </c>
      <c r="L160" s="786">
        <f t="shared" si="50"/>
        <v>0</v>
      </c>
      <c r="M160" s="786">
        <f t="shared" si="51"/>
        <v>0</v>
      </c>
      <c r="N160" s="786">
        <f t="shared" si="52"/>
        <v>0</v>
      </c>
      <c r="O160" s="786">
        <f t="shared" si="53"/>
        <v>0</v>
      </c>
      <c r="P160" s="786">
        <f t="shared" si="54"/>
        <v>0</v>
      </c>
      <c r="Q160" s="786">
        <f t="shared" si="55"/>
        <v>0</v>
      </c>
      <c r="R160" s="786">
        <f t="shared" si="56"/>
        <v>0</v>
      </c>
      <c r="S160" s="786">
        <f t="shared" si="57"/>
        <v>0</v>
      </c>
      <c r="T160" s="786">
        <f t="shared" si="58"/>
        <v>0</v>
      </c>
      <c r="U160" s="786">
        <f t="shared" si="59"/>
        <v>0</v>
      </c>
      <c r="V160" s="786">
        <f t="shared" si="60"/>
        <v>0</v>
      </c>
      <c r="W160" s="786">
        <f t="shared" si="61"/>
        <v>0</v>
      </c>
      <c r="X160" s="786">
        <f t="shared" si="62"/>
        <v>0</v>
      </c>
      <c r="Y160" s="786">
        <f t="shared" si="63"/>
        <v>0</v>
      </c>
      <c r="Z160" s="786">
        <f t="shared" si="64"/>
        <v>0</v>
      </c>
      <c r="AA160" s="786">
        <f t="shared" si="65"/>
        <v>0</v>
      </c>
      <c r="AB160" s="786">
        <f t="shared" si="66"/>
        <v>0</v>
      </c>
      <c r="AC160" s="787">
        <f t="shared" si="67"/>
        <v>0</v>
      </c>
      <c r="AD160" s="785">
        <f t="shared" si="94"/>
        <v>0</v>
      </c>
      <c r="AE160" s="786">
        <f t="shared" si="95"/>
        <v>0</v>
      </c>
      <c r="AF160" s="786">
        <f t="shared" si="96"/>
        <v>0</v>
      </c>
      <c r="AG160" s="786">
        <f t="shared" si="97"/>
        <v>0</v>
      </c>
      <c r="AH160" s="787">
        <f t="shared" si="98"/>
        <v>0</v>
      </c>
      <c r="AJ160" s="750">
        <v>14</v>
      </c>
      <c r="AK160" s="740">
        <f>IF(Knoten!S16&gt;0,1,0)</f>
        <v>0</v>
      </c>
      <c r="AL160" s="786">
        <f>IF(ISNUMBER(Knoten!C16),Z19,PlotData!$CB$3)</f>
        <v>0</v>
      </c>
      <c r="AM160" s="786">
        <f t="shared" si="68"/>
        <v>0</v>
      </c>
      <c r="AN160" s="786">
        <f t="shared" si="69"/>
        <v>0</v>
      </c>
      <c r="AO160" s="786">
        <f t="shared" si="70"/>
        <v>0</v>
      </c>
      <c r="AP160" s="786">
        <f t="shared" si="71"/>
        <v>0</v>
      </c>
      <c r="AQ160" s="786">
        <f t="shared" si="72"/>
        <v>0</v>
      </c>
      <c r="AR160" s="786">
        <f t="shared" si="73"/>
        <v>0</v>
      </c>
      <c r="AS160" s="786">
        <f t="shared" si="74"/>
        <v>0</v>
      </c>
      <c r="AT160" s="786">
        <f t="shared" si="75"/>
        <v>0</v>
      </c>
      <c r="AU160" s="786">
        <f t="shared" si="76"/>
        <v>0</v>
      </c>
      <c r="AV160" s="786">
        <f t="shared" si="77"/>
        <v>0</v>
      </c>
      <c r="AW160" s="786">
        <f t="shared" si="78"/>
        <v>0</v>
      </c>
      <c r="AX160" s="786">
        <f t="shared" si="79"/>
        <v>0</v>
      </c>
      <c r="AY160" s="786">
        <f t="shared" si="80"/>
        <v>0</v>
      </c>
      <c r="AZ160" s="786">
        <f t="shared" si="81"/>
        <v>0</v>
      </c>
      <c r="BA160" s="786">
        <f t="shared" si="82"/>
        <v>0</v>
      </c>
      <c r="BB160" s="786">
        <f t="shared" si="83"/>
        <v>0</v>
      </c>
      <c r="BC160" s="786">
        <f t="shared" si="84"/>
        <v>0</v>
      </c>
      <c r="BD160" s="786">
        <f t="shared" si="85"/>
        <v>0</v>
      </c>
      <c r="BE160" s="786">
        <f t="shared" si="86"/>
        <v>0</v>
      </c>
      <c r="BF160" s="786">
        <f t="shared" si="87"/>
        <v>0</v>
      </c>
      <c r="BG160" s="786">
        <f t="shared" si="88"/>
        <v>0</v>
      </c>
      <c r="BH160" s="786">
        <f t="shared" si="89"/>
        <v>0</v>
      </c>
      <c r="BI160" s="786">
        <f t="shared" si="90"/>
        <v>0</v>
      </c>
      <c r="BJ160" s="786">
        <f t="shared" si="91"/>
        <v>0</v>
      </c>
      <c r="BK160" s="786">
        <f t="shared" si="92"/>
        <v>0</v>
      </c>
      <c r="BL160" s="786">
        <f t="shared" si="93"/>
        <v>0</v>
      </c>
      <c r="BM160" s="785">
        <f t="shared" si="99"/>
        <v>0</v>
      </c>
      <c r="BN160" s="786">
        <f t="shared" si="100"/>
        <v>0</v>
      </c>
      <c r="BO160" s="786">
        <f t="shared" si="101"/>
        <v>0</v>
      </c>
      <c r="BP160" s="786">
        <f t="shared" si="102"/>
        <v>0</v>
      </c>
      <c r="BQ160" s="787">
        <f t="shared" si="103"/>
        <v>0</v>
      </c>
    </row>
    <row r="161" spans="1:69" x14ac:dyDescent="0.25">
      <c r="A161" s="750">
        <v>15</v>
      </c>
      <c r="B161" s="740">
        <f>IF(Knoten!S17&gt;0,1,0)</f>
        <v>0</v>
      </c>
      <c r="C161" s="785">
        <f>IF(ISNUMBER(Knoten!C17),Knoten!C17-$U$1,PlotData!$CB$3)</f>
        <v>0</v>
      </c>
      <c r="D161" s="786">
        <f t="shared" si="42"/>
        <v>0</v>
      </c>
      <c r="E161" s="786">
        <f t="shared" si="43"/>
        <v>0</v>
      </c>
      <c r="F161" s="786">
        <f t="shared" si="44"/>
        <v>0</v>
      </c>
      <c r="G161" s="786">
        <f t="shared" si="45"/>
        <v>0</v>
      </c>
      <c r="H161" s="786">
        <f t="shared" si="46"/>
        <v>0</v>
      </c>
      <c r="I161" s="786">
        <f t="shared" si="47"/>
        <v>0</v>
      </c>
      <c r="J161" s="786">
        <f t="shared" si="48"/>
        <v>0</v>
      </c>
      <c r="K161" s="786">
        <f t="shared" si="49"/>
        <v>0</v>
      </c>
      <c r="L161" s="786">
        <f t="shared" si="50"/>
        <v>0</v>
      </c>
      <c r="M161" s="786">
        <f t="shared" si="51"/>
        <v>0</v>
      </c>
      <c r="N161" s="786">
        <f t="shared" si="52"/>
        <v>0</v>
      </c>
      <c r="O161" s="786">
        <f t="shared" si="53"/>
        <v>0</v>
      </c>
      <c r="P161" s="786">
        <f t="shared" si="54"/>
        <v>0</v>
      </c>
      <c r="Q161" s="786">
        <f t="shared" si="55"/>
        <v>0</v>
      </c>
      <c r="R161" s="786">
        <f t="shared" si="56"/>
        <v>0</v>
      </c>
      <c r="S161" s="786">
        <f t="shared" si="57"/>
        <v>0</v>
      </c>
      <c r="T161" s="786">
        <f t="shared" si="58"/>
        <v>0</v>
      </c>
      <c r="U161" s="786">
        <f t="shared" si="59"/>
        <v>0</v>
      </c>
      <c r="V161" s="786">
        <f t="shared" si="60"/>
        <v>0</v>
      </c>
      <c r="W161" s="786">
        <f t="shared" si="61"/>
        <v>0</v>
      </c>
      <c r="X161" s="786">
        <f t="shared" si="62"/>
        <v>0</v>
      </c>
      <c r="Y161" s="786">
        <f t="shared" si="63"/>
        <v>0</v>
      </c>
      <c r="Z161" s="786">
        <f t="shared" si="64"/>
        <v>0</v>
      </c>
      <c r="AA161" s="786">
        <f t="shared" si="65"/>
        <v>0</v>
      </c>
      <c r="AB161" s="786">
        <f t="shared" si="66"/>
        <v>0</v>
      </c>
      <c r="AC161" s="787">
        <f t="shared" si="67"/>
        <v>0</v>
      </c>
      <c r="AD161" s="785">
        <f t="shared" si="94"/>
        <v>0</v>
      </c>
      <c r="AE161" s="786">
        <f t="shared" si="95"/>
        <v>0</v>
      </c>
      <c r="AF161" s="786">
        <f t="shared" si="96"/>
        <v>0</v>
      </c>
      <c r="AG161" s="786">
        <f t="shared" si="97"/>
        <v>0</v>
      </c>
      <c r="AH161" s="787">
        <f t="shared" si="98"/>
        <v>0</v>
      </c>
      <c r="AJ161" s="750">
        <v>15</v>
      </c>
      <c r="AK161" s="740">
        <f>IF(Knoten!S17&gt;0,1,0)</f>
        <v>0</v>
      </c>
      <c r="AL161" s="786">
        <f>IF(ISNUMBER(Knoten!C17),Z20,PlotData!$CB$3)</f>
        <v>0</v>
      </c>
      <c r="AM161" s="786">
        <f t="shared" si="68"/>
        <v>0</v>
      </c>
      <c r="AN161" s="786">
        <f t="shared" si="69"/>
        <v>0</v>
      </c>
      <c r="AO161" s="786">
        <f t="shared" si="70"/>
        <v>0</v>
      </c>
      <c r="AP161" s="786">
        <f t="shared" si="71"/>
        <v>0</v>
      </c>
      <c r="AQ161" s="786">
        <f t="shared" si="72"/>
        <v>0</v>
      </c>
      <c r="AR161" s="786">
        <f t="shared" si="73"/>
        <v>0</v>
      </c>
      <c r="AS161" s="786">
        <f t="shared" si="74"/>
        <v>0</v>
      </c>
      <c r="AT161" s="786">
        <f t="shared" si="75"/>
        <v>0</v>
      </c>
      <c r="AU161" s="786">
        <f t="shared" si="76"/>
        <v>0</v>
      </c>
      <c r="AV161" s="786">
        <f t="shared" si="77"/>
        <v>0</v>
      </c>
      <c r="AW161" s="786">
        <f t="shared" si="78"/>
        <v>0</v>
      </c>
      <c r="AX161" s="786">
        <f t="shared" si="79"/>
        <v>0</v>
      </c>
      <c r="AY161" s="786">
        <f t="shared" si="80"/>
        <v>0</v>
      </c>
      <c r="AZ161" s="786">
        <f t="shared" si="81"/>
        <v>0</v>
      </c>
      <c r="BA161" s="786">
        <f t="shared" si="82"/>
        <v>0</v>
      </c>
      <c r="BB161" s="786">
        <f t="shared" si="83"/>
        <v>0</v>
      </c>
      <c r="BC161" s="786">
        <f t="shared" si="84"/>
        <v>0</v>
      </c>
      <c r="BD161" s="786">
        <f t="shared" si="85"/>
        <v>0</v>
      </c>
      <c r="BE161" s="786">
        <f t="shared" si="86"/>
        <v>0</v>
      </c>
      <c r="BF161" s="786">
        <f t="shared" si="87"/>
        <v>0</v>
      </c>
      <c r="BG161" s="786">
        <f t="shared" si="88"/>
        <v>0</v>
      </c>
      <c r="BH161" s="786">
        <f t="shared" si="89"/>
        <v>0</v>
      </c>
      <c r="BI161" s="786">
        <f t="shared" si="90"/>
        <v>0</v>
      </c>
      <c r="BJ161" s="786">
        <f t="shared" si="91"/>
        <v>0</v>
      </c>
      <c r="BK161" s="786">
        <f t="shared" si="92"/>
        <v>0</v>
      </c>
      <c r="BL161" s="786">
        <f t="shared" si="93"/>
        <v>0</v>
      </c>
      <c r="BM161" s="785">
        <f t="shared" si="99"/>
        <v>0</v>
      </c>
      <c r="BN161" s="786">
        <f t="shared" si="100"/>
        <v>0</v>
      </c>
      <c r="BO161" s="786">
        <f t="shared" si="101"/>
        <v>0</v>
      </c>
      <c r="BP161" s="786">
        <f t="shared" si="102"/>
        <v>0</v>
      </c>
      <c r="BQ161" s="787">
        <f t="shared" si="103"/>
        <v>0</v>
      </c>
    </row>
    <row r="162" spans="1:69" x14ac:dyDescent="0.25">
      <c r="A162" s="750">
        <v>16</v>
      </c>
      <c r="B162" s="740">
        <f>IF(Knoten!S18&gt;0,1,0)</f>
        <v>0</v>
      </c>
      <c r="C162" s="785">
        <f>IF(ISNUMBER(Knoten!C18),Knoten!C18-$U$1,PlotData!$CB$3)</f>
        <v>0</v>
      </c>
      <c r="D162" s="786">
        <f t="shared" si="42"/>
        <v>0</v>
      </c>
      <c r="E162" s="786">
        <f t="shared" si="43"/>
        <v>0</v>
      </c>
      <c r="F162" s="786">
        <f t="shared" si="44"/>
        <v>0</v>
      </c>
      <c r="G162" s="786">
        <f t="shared" si="45"/>
        <v>0</v>
      </c>
      <c r="H162" s="786">
        <f t="shared" si="46"/>
        <v>0</v>
      </c>
      <c r="I162" s="786">
        <f t="shared" si="47"/>
        <v>0</v>
      </c>
      <c r="J162" s="786">
        <f t="shared" si="48"/>
        <v>0</v>
      </c>
      <c r="K162" s="786">
        <f t="shared" si="49"/>
        <v>0</v>
      </c>
      <c r="L162" s="786">
        <f t="shared" si="50"/>
        <v>0</v>
      </c>
      <c r="M162" s="786">
        <f t="shared" si="51"/>
        <v>0</v>
      </c>
      <c r="N162" s="786">
        <f t="shared" si="52"/>
        <v>0</v>
      </c>
      <c r="O162" s="786">
        <f t="shared" si="53"/>
        <v>0</v>
      </c>
      <c r="P162" s="786">
        <f t="shared" si="54"/>
        <v>0</v>
      </c>
      <c r="Q162" s="786">
        <f t="shared" si="55"/>
        <v>0</v>
      </c>
      <c r="R162" s="786">
        <f t="shared" si="56"/>
        <v>0</v>
      </c>
      <c r="S162" s="786">
        <f t="shared" si="57"/>
        <v>0</v>
      </c>
      <c r="T162" s="786">
        <f t="shared" si="58"/>
        <v>0</v>
      </c>
      <c r="U162" s="786">
        <f t="shared" si="59"/>
        <v>0</v>
      </c>
      <c r="V162" s="786">
        <f t="shared" si="60"/>
        <v>0</v>
      </c>
      <c r="W162" s="786">
        <f t="shared" si="61"/>
        <v>0</v>
      </c>
      <c r="X162" s="786">
        <f t="shared" si="62"/>
        <v>0</v>
      </c>
      <c r="Y162" s="786">
        <f t="shared" si="63"/>
        <v>0</v>
      </c>
      <c r="Z162" s="786">
        <f t="shared" si="64"/>
        <v>0</v>
      </c>
      <c r="AA162" s="786">
        <f t="shared" si="65"/>
        <v>0</v>
      </c>
      <c r="AB162" s="786">
        <f t="shared" si="66"/>
        <v>0</v>
      </c>
      <c r="AC162" s="787">
        <f t="shared" si="67"/>
        <v>0</v>
      </c>
      <c r="AD162" s="785">
        <f t="shared" si="94"/>
        <v>0</v>
      </c>
      <c r="AE162" s="786">
        <f t="shared" si="95"/>
        <v>0</v>
      </c>
      <c r="AF162" s="786">
        <f t="shared" si="96"/>
        <v>0</v>
      </c>
      <c r="AG162" s="786">
        <f t="shared" si="97"/>
        <v>0</v>
      </c>
      <c r="AH162" s="787">
        <f t="shared" si="98"/>
        <v>0</v>
      </c>
      <c r="AJ162" s="750">
        <v>16</v>
      </c>
      <c r="AK162" s="740">
        <f>IF(Knoten!S18&gt;0,1,0)</f>
        <v>0</v>
      </c>
      <c r="AL162" s="786">
        <f>IF(ISNUMBER(Knoten!C18),Z21,PlotData!$CB$3)</f>
        <v>0</v>
      </c>
      <c r="AM162" s="786">
        <f t="shared" si="68"/>
        <v>0</v>
      </c>
      <c r="AN162" s="786">
        <f t="shared" si="69"/>
        <v>0</v>
      </c>
      <c r="AO162" s="786">
        <f t="shared" si="70"/>
        <v>0</v>
      </c>
      <c r="AP162" s="786">
        <f t="shared" si="71"/>
        <v>0</v>
      </c>
      <c r="AQ162" s="786">
        <f t="shared" si="72"/>
        <v>0</v>
      </c>
      <c r="AR162" s="786">
        <f t="shared" si="73"/>
        <v>0</v>
      </c>
      <c r="AS162" s="786">
        <f t="shared" si="74"/>
        <v>0</v>
      </c>
      <c r="AT162" s="786">
        <f t="shared" si="75"/>
        <v>0</v>
      </c>
      <c r="AU162" s="786">
        <f t="shared" si="76"/>
        <v>0</v>
      </c>
      <c r="AV162" s="786">
        <f t="shared" si="77"/>
        <v>0</v>
      </c>
      <c r="AW162" s="786">
        <f t="shared" si="78"/>
        <v>0</v>
      </c>
      <c r="AX162" s="786">
        <f t="shared" si="79"/>
        <v>0</v>
      </c>
      <c r="AY162" s="786">
        <f t="shared" si="80"/>
        <v>0</v>
      </c>
      <c r="AZ162" s="786">
        <f t="shared" si="81"/>
        <v>0</v>
      </c>
      <c r="BA162" s="786">
        <f t="shared" si="82"/>
        <v>0</v>
      </c>
      <c r="BB162" s="786">
        <f t="shared" si="83"/>
        <v>0</v>
      </c>
      <c r="BC162" s="786">
        <f t="shared" si="84"/>
        <v>0</v>
      </c>
      <c r="BD162" s="786">
        <f t="shared" si="85"/>
        <v>0</v>
      </c>
      <c r="BE162" s="786">
        <f t="shared" si="86"/>
        <v>0</v>
      </c>
      <c r="BF162" s="786">
        <f t="shared" si="87"/>
        <v>0</v>
      </c>
      <c r="BG162" s="786">
        <f t="shared" si="88"/>
        <v>0</v>
      </c>
      <c r="BH162" s="786">
        <f t="shared" si="89"/>
        <v>0</v>
      </c>
      <c r="BI162" s="786">
        <f t="shared" si="90"/>
        <v>0</v>
      </c>
      <c r="BJ162" s="786">
        <f t="shared" si="91"/>
        <v>0</v>
      </c>
      <c r="BK162" s="786">
        <f t="shared" si="92"/>
        <v>0</v>
      </c>
      <c r="BL162" s="786">
        <f t="shared" si="93"/>
        <v>0</v>
      </c>
      <c r="BM162" s="785">
        <f t="shared" si="99"/>
        <v>0</v>
      </c>
      <c r="BN162" s="786">
        <f t="shared" si="100"/>
        <v>0</v>
      </c>
      <c r="BO162" s="786">
        <f t="shared" si="101"/>
        <v>0</v>
      </c>
      <c r="BP162" s="786">
        <f t="shared" si="102"/>
        <v>0</v>
      </c>
      <c r="BQ162" s="787">
        <f t="shared" si="103"/>
        <v>0</v>
      </c>
    </row>
    <row r="163" spans="1:69" x14ac:dyDescent="0.25">
      <c r="A163" s="750">
        <v>17</v>
      </c>
      <c r="B163" s="740">
        <f>IF(Knoten!S19&gt;0,1,0)</f>
        <v>0</v>
      </c>
      <c r="C163" s="785">
        <f>IF(ISNUMBER(Knoten!C19),Knoten!C19-$U$1,PlotData!$CB$3)</f>
        <v>0</v>
      </c>
      <c r="D163" s="786">
        <f t="shared" si="42"/>
        <v>0</v>
      </c>
      <c r="E163" s="786">
        <f t="shared" si="43"/>
        <v>0</v>
      </c>
      <c r="F163" s="786">
        <f t="shared" si="44"/>
        <v>0</v>
      </c>
      <c r="G163" s="786">
        <f t="shared" si="45"/>
        <v>0</v>
      </c>
      <c r="H163" s="786">
        <f t="shared" si="46"/>
        <v>0</v>
      </c>
      <c r="I163" s="786">
        <f t="shared" si="47"/>
        <v>0</v>
      </c>
      <c r="J163" s="786">
        <f t="shared" si="48"/>
        <v>0</v>
      </c>
      <c r="K163" s="786">
        <f t="shared" si="49"/>
        <v>0</v>
      </c>
      <c r="L163" s="786">
        <f t="shared" si="50"/>
        <v>0</v>
      </c>
      <c r="M163" s="786">
        <f t="shared" si="51"/>
        <v>0</v>
      </c>
      <c r="N163" s="786">
        <f t="shared" si="52"/>
        <v>0</v>
      </c>
      <c r="O163" s="786">
        <f t="shared" si="53"/>
        <v>0</v>
      </c>
      <c r="P163" s="786">
        <f t="shared" si="54"/>
        <v>0</v>
      </c>
      <c r="Q163" s="786">
        <f t="shared" si="55"/>
        <v>0</v>
      </c>
      <c r="R163" s="786">
        <f t="shared" si="56"/>
        <v>0</v>
      </c>
      <c r="S163" s="786">
        <f t="shared" si="57"/>
        <v>0</v>
      </c>
      <c r="T163" s="786">
        <f t="shared" si="58"/>
        <v>0</v>
      </c>
      <c r="U163" s="786">
        <f t="shared" si="59"/>
        <v>0</v>
      </c>
      <c r="V163" s="786">
        <f t="shared" si="60"/>
        <v>0</v>
      </c>
      <c r="W163" s="786">
        <f t="shared" si="61"/>
        <v>0</v>
      </c>
      <c r="X163" s="786">
        <f t="shared" si="62"/>
        <v>0</v>
      </c>
      <c r="Y163" s="786">
        <f t="shared" si="63"/>
        <v>0</v>
      </c>
      <c r="Z163" s="786">
        <f t="shared" si="64"/>
        <v>0</v>
      </c>
      <c r="AA163" s="786">
        <f t="shared" si="65"/>
        <v>0</v>
      </c>
      <c r="AB163" s="786">
        <f t="shared" si="66"/>
        <v>0</v>
      </c>
      <c r="AC163" s="787">
        <f t="shared" si="67"/>
        <v>0</v>
      </c>
      <c r="AD163" s="785">
        <f t="shared" si="94"/>
        <v>0</v>
      </c>
      <c r="AE163" s="786">
        <f t="shared" si="95"/>
        <v>0</v>
      </c>
      <c r="AF163" s="786">
        <f t="shared" si="96"/>
        <v>0</v>
      </c>
      <c r="AG163" s="786">
        <f t="shared" si="97"/>
        <v>0</v>
      </c>
      <c r="AH163" s="787">
        <f t="shared" si="98"/>
        <v>0</v>
      </c>
      <c r="AJ163" s="750">
        <v>17</v>
      </c>
      <c r="AK163" s="740">
        <f>IF(Knoten!S19&gt;0,1,0)</f>
        <v>0</v>
      </c>
      <c r="AL163" s="786">
        <f>IF(ISNUMBER(Knoten!C19),Z22,PlotData!$CB$3)</f>
        <v>0</v>
      </c>
      <c r="AM163" s="786">
        <f t="shared" si="68"/>
        <v>0</v>
      </c>
      <c r="AN163" s="786">
        <f t="shared" si="69"/>
        <v>0</v>
      </c>
      <c r="AO163" s="786">
        <f t="shared" si="70"/>
        <v>0</v>
      </c>
      <c r="AP163" s="786">
        <f t="shared" si="71"/>
        <v>0</v>
      </c>
      <c r="AQ163" s="786">
        <f t="shared" si="72"/>
        <v>0</v>
      </c>
      <c r="AR163" s="786">
        <f t="shared" si="73"/>
        <v>0</v>
      </c>
      <c r="AS163" s="786">
        <f t="shared" si="74"/>
        <v>0</v>
      </c>
      <c r="AT163" s="786">
        <f t="shared" si="75"/>
        <v>0</v>
      </c>
      <c r="AU163" s="786">
        <f t="shared" si="76"/>
        <v>0</v>
      </c>
      <c r="AV163" s="786">
        <f t="shared" si="77"/>
        <v>0</v>
      </c>
      <c r="AW163" s="786">
        <f t="shared" si="78"/>
        <v>0</v>
      </c>
      <c r="AX163" s="786">
        <f t="shared" si="79"/>
        <v>0</v>
      </c>
      <c r="AY163" s="786">
        <f t="shared" si="80"/>
        <v>0</v>
      </c>
      <c r="AZ163" s="786">
        <f t="shared" si="81"/>
        <v>0</v>
      </c>
      <c r="BA163" s="786">
        <f t="shared" si="82"/>
        <v>0</v>
      </c>
      <c r="BB163" s="786">
        <f t="shared" si="83"/>
        <v>0</v>
      </c>
      <c r="BC163" s="786">
        <f t="shared" si="84"/>
        <v>0</v>
      </c>
      <c r="BD163" s="786">
        <f t="shared" si="85"/>
        <v>0</v>
      </c>
      <c r="BE163" s="786">
        <f t="shared" si="86"/>
        <v>0</v>
      </c>
      <c r="BF163" s="786">
        <f t="shared" si="87"/>
        <v>0</v>
      </c>
      <c r="BG163" s="786">
        <f t="shared" si="88"/>
        <v>0</v>
      </c>
      <c r="BH163" s="786">
        <f t="shared" si="89"/>
        <v>0</v>
      </c>
      <c r="BI163" s="786">
        <f t="shared" si="90"/>
        <v>0</v>
      </c>
      <c r="BJ163" s="786">
        <f t="shared" si="91"/>
        <v>0</v>
      </c>
      <c r="BK163" s="786">
        <f t="shared" si="92"/>
        <v>0</v>
      </c>
      <c r="BL163" s="786">
        <f t="shared" si="93"/>
        <v>0</v>
      </c>
      <c r="BM163" s="785">
        <f t="shared" si="99"/>
        <v>0</v>
      </c>
      <c r="BN163" s="786">
        <f t="shared" si="100"/>
        <v>0</v>
      </c>
      <c r="BO163" s="786">
        <f t="shared" si="101"/>
        <v>0</v>
      </c>
      <c r="BP163" s="786">
        <f t="shared" si="102"/>
        <v>0</v>
      </c>
      <c r="BQ163" s="787">
        <f t="shared" si="103"/>
        <v>0</v>
      </c>
    </row>
    <row r="164" spans="1:69" x14ac:dyDescent="0.25">
      <c r="A164" s="750">
        <v>18</v>
      </c>
      <c r="B164" s="740">
        <f>IF(Knoten!S20&gt;0,1,0)</f>
        <v>0</v>
      </c>
      <c r="C164" s="785">
        <f>IF(ISNUMBER(Knoten!C20),Knoten!C20-$U$1,PlotData!$CB$3)</f>
        <v>0</v>
      </c>
      <c r="D164" s="786">
        <f t="shared" si="42"/>
        <v>0</v>
      </c>
      <c r="E164" s="786">
        <f t="shared" si="43"/>
        <v>0</v>
      </c>
      <c r="F164" s="786">
        <f t="shared" si="44"/>
        <v>0</v>
      </c>
      <c r="G164" s="786">
        <f t="shared" si="45"/>
        <v>0</v>
      </c>
      <c r="H164" s="786">
        <f t="shared" si="46"/>
        <v>0</v>
      </c>
      <c r="I164" s="786">
        <f t="shared" si="47"/>
        <v>0</v>
      </c>
      <c r="J164" s="786">
        <f t="shared" si="48"/>
        <v>0</v>
      </c>
      <c r="K164" s="786">
        <f t="shared" si="49"/>
        <v>0</v>
      </c>
      <c r="L164" s="786">
        <f t="shared" si="50"/>
        <v>0</v>
      </c>
      <c r="M164" s="786">
        <f t="shared" si="51"/>
        <v>0</v>
      </c>
      <c r="N164" s="786">
        <f t="shared" si="52"/>
        <v>0</v>
      </c>
      <c r="O164" s="786">
        <f t="shared" si="53"/>
        <v>0</v>
      </c>
      <c r="P164" s="786">
        <f t="shared" si="54"/>
        <v>0</v>
      </c>
      <c r="Q164" s="786">
        <f t="shared" si="55"/>
        <v>0</v>
      </c>
      <c r="R164" s="786">
        <f t="shared" si="56"/>
        <v>0</v>
      </c>
      <c r="S164" s="786">
        <f t="shared" si="57"/>
        <v>0</v>
      </c>
      <c r="T164" s="786">
        <f t="shared" si="58"/>
        <v>0</v>
      </c>
      <c r="U164" s="786">
        <f t="shared" si="59"/>
        <v>0</v>
      </c>
      <c r="V164" s="786">
        <f t="shared" si="60"/>
        <v>0</v>
      </c>
      <c r="W164" s="786">
        <f t="shared" si="61"/>
        <v>0</v>
      </c>
      <c r="X164" s="786">
        <f t="shared" si="62"/>
        <v>0</v>
      </c>
      <c r="Y164" s="786">
        <f t="shared" si="63"/>
        <v>0</v>
      </c>
      <c r="Z164" s="786">
        <f t="shared" si="64"/>
        <v>0</v>
      </c>
      <c r="AA164" s="786">
        <f t="shared" si="65"/>
        <v>0</v>
      </c>
      <c r="AB164" s="786">
        <f t="shared" si="66"/>
        <v>0</v>
      </c>
      <c r="AC164" s="787">
        <f t="shared" si="67"/>
        <v>0</v>
      </c>
      <c r="AD164" s="785">
        <f t="shared" si="94"/>
        <v>0</v>
      </c>
      <c r="AE164" s="786">
        <f t="shared" si="95"/>
        <v>0</v>
      </c>
      <c r="AF164" s="786">
        <f t="shared" si="96"/>
        <v>0</v>
      </c>
      <c r="AG164" s="786">
        <f t="shared" si="97"/>
        <v>0</v>
      </c>
      <c r="AH164" s="787">
        <f t="shared" si="98"/>
        <v>0</v>
      </c>
      <c r="AJ164" s="750">
        <v>18</v>
      </c>
      <c r="AK164" s="740">
        <f>IF(Knoten!S20&gt;0,1,0)</f>
        <v>0</v>
      </c>
      <c r="AL164" s="786">
        <f>IF(ISNUMBER(Knoten!C20),Z23,PlotData!$CB$3)</f>
        <v>0</v>
      </c>
      <c r="AM164" s="786">
        <f t="shared" si="68"/>
        <v>0</v>
      </c>
      <c r="AN164" s="786">
        <f t="shared" si="69"/>
        <v>0</v>
      </c>
      <c r="AO164" s="786">
        <f t="shared" si="70"/>
        <v>0</v>
      </c>
      <c r="AP164" s="786">
        <f t="shared" si="71"/>
        <v>0</v>
      </c>
      <c r="AQ164" s="786">
        <f t="shared" si="72"/>
        <v>0</v>
      </c>
      <c r="AR164" s="786">
        <f t="shared" si="73"/>
        <v>0</v>
      </c>
      <c r="AS164" s="786">
        <f t="shared" si="74"/>
        <v>0</v>
      </c>
      <c r="AT164" s="786">
        <f t="shared" si="75"/>
        <v>0</v>
      </c>
      <c r="AU164" s="786">
        <f t="shared" si="76"/>
        <v>0</v>
      </c>
      <c r="AV164" s="786">
        <f t="shared" si="77"/>
        <v>0</v>
      </c>
      <c r="AW164" s="786">
        <f t="shared" si="78"/>
        <v>0</v>
      </c>
      <c r="AX164" s="786">
        <f t="shared" si="79"/>
        <v>0</v>
      </c>
      <c r="AY164" s="786">
        <f t="shared" si="80"/>
        <v>0</v>
      </c>
      <c r="AZ164" s="786">
        <f t="shared" si="81"/>
        <v>0</v>
      </c>
      <c r="BA164" s="786">
        <f t="shared" si="82"/>
        <v>0</v>
      </c>
      <c r="BB164" s="786">
        <f t="shared" si="83"/>
        <v>0</v>
      </c>
      <c r="BC164" s="786">
        <f t="shared" si="84"/>
        <v>0</v>
      </c>
      <c r="BD164" s="786">
        <f t="shared" si="85"/>
        <v>0</v>
      </c>
      <c r="BE164" s="786">
        <f t="shared" si="86"/>
        <v>0</v>
      </c>
      <c r="BF164" s="786">
        <f t="shared" si="87"/>
        <v>0</v>
      </c>
      <c r="BG164" s="786">
        <f t="shared" si="88"/>
        <v>0</v>
      </c>
      <c r="BH164" s="786">
        <f t="shared" si="89"/>
        <v>0</v>
      </c>
      <c r="BI164" s="786">
        <f t="shared" si="90"/>
        <v>0</v>
      </c>
      <c r="BJ164" s="786">
        <f t="shared" si="91"/>
        <v>0</v>
      </c>
      <c r="BK164" s="786">
        <f t="shared" si="92"/>
        <v>0</v>
      </c>
      <c r="BL164" s="786">
        <f t="shared" si="93"/>
        <v>0</v>
      </c>
      <c r="BM164" s="785">
        <f t="shared" si="99"/>
        <v>0</v>
      </c>
      <c r="BN164" s="786">
        <f t="shared" si="100"/>
        <v>0</v>
      </c>
      <c r="BO164" s="786">
        <f t="shared" si="101"/>
        <v>0</v>
      </c>
      <c r="BP164" s="786">
        <f t="shared" si="102"/>
        <v>0</v>
      </c>
      <c r="BQ164" s="787">
        <f t="shared" si="103"/>
        <v>0</v>
      </c>
    </row>
    <row r="165" spans="1:69" x14ac:dyDescent="0.25">
      <c r="A165" s="750">
        <v>19</v>
      </c>
      <c r="B165" s="740">
        <f>IF(Knoten!S21&gt;0,1,0)</f>
        <v>0</v>
      </c>
      <c r="C165" s="785">
        <f>IF(ISNUMBER(Knoten!C21),Knoten!C21-$U$1,PlotData!$CB$3)</f>
        <v>0</v>
      </c>
      <c r="D165" s="786">
        <f>C165+$D$167*COS($D$168*PI()/180)*B165</f>
        <v>0</v>
      </c>
      <c r="E165" s="786">
        <f>C165+$E$167*COS($E$168*PI()/180)*B165</f>
        <v>0</v>
      </c>
      <c r="F165" s="786">
        <f>C165+$F$167*COS($F$168*PI()/180)*B165</f>
        <v>0</v>
      </c>
      <c r="G165" s="786">
        <f>C165+$G$167*COS($G$168*PI()/180)*B165</f>
        <v>0</v>
      </c>
      <c r="H165" s="786">
        <f>C165+$H$167*COS($H$168*PI()/180)*B165</f>
        <v>0</v>
      </c>
      <c r="I165" s="786">
        <f>C165+$I$167*COS($I$168*PI()/180)*B165</f>
        <v>0</v>
      </c>
      <c r="J165" s="786">
        <f>C165+$J$167*COS($J$168*PI()/180)*B165</f>
        <v>0</v>
      </c>
      <c r="K165" s="786">
        <f>C165+$K$167*COS($K$168*PI()/180)*B165</f>
        <v>0</v>
      </c>
      <c r="L165" s="786">
        <f>C165+$L$167*COS($L$168*PI()/180)*B165</f>
        <v>0</v>
      </c>
      <c r="M165" s="786">
        <f>C165+$M$167*COS($M$168*PI()/180)*B165</f>
        <v>0</v>
      </c>
      <c r="N165" s="786">
        <f>C165+$N$167*COS($N$168*PI()/180)*B165</f>
        <v>0</v>
      </c>
      <c r="O165" s="786">
        <f>C165+$O$167*COS($O$168*PI()/180)*B165</f>
        <v>0</v>
      </c>
      <c r="P165" s="786">
        <f>C165+$P$167*COS($P$168*PI()/180)*B165</f>
        <v>0</v>
      </c>
      <c r="Q165" s="786">
        <f>C165+$Q$167*COS($Q$168*PI()/180)*B165</f>
        <v>0</v>
      </c>
      <c r="R165" s="786">
        <f>C165+$R$167*COS($R$168*PI()/180)*B165</f>
        <v>0</v>
      </c>
      <c r="S165" s="786">
        <f>C165+$S$167*COS($S$168*PI()/180)*B165</f>
        <v>0</v>
      </c>
      <c r="T165" s="786">
        <f>C165+$T$167*COS($T$168*PI()/180)*B165</f>
        <v>0</v>
      </c>
      <c r="U165" s="786">
        <f>C165+$U$167*COS($U$168*PI()/180)*B165</f>
        <v>0</v>
      </c>
      <c r="V165" s="786">
        <f>C165+$V$167*COS($V$168*PI()/180)*B165</f>
        <v>0</v>
      </c>
      <c r="W165" s="786">
        <f>C165+$W$167*COS($W$168*PI()/180)*B165</f>
        <v>0</v>
      </c>
      <c r="X165" s="786">
        <f>C165+$X$167*COS($X$168*PI()/180)*B165</f>
        <v>0</v>
      </c>
      <c r="Y165" s="786">
        <f>C165+$Y$167*COS($Y$168*PI()/180)*B165</f>
        <v>0</v>
      </c>
      <c r="Z165" s="786">
        <f>C165+$Z$167*COS($Z$168*PI()/180)*B165</f>
        <v>0</v>
      </c>
      <c r="AA165" s="786">
        <f>C165+$AA$167*COS($AA$168*PI()/180)*B165</f>
        <v>0</v>
      </c>
      <c r="AB165" s="786">
        <f>C165+$AB$167*COS($AB$168*PI()/180)*B165</f>
        <v>0</v>
      </c>
      <c r="AC165" s="787">
        <f>C165+$AC$167*COS($AC$168*PI()/180)*B165</f>
        <v>0</v>
      </c>
      <c r="AD165" s="785">
        <f t="shared" si="94"/>
        <v>0</v>
      </c>
      <c r="AE165" s="786">
        <f t="shared" si="95"/>
        <v>0</v>
      </c>
      <c r="AF165" s="786">
        <f t="shared" si="96"/>
        <v>0</v>
      </c>
      <c r="AG165" s="786">
        <f t="shared" si="97"/>
        <v>0</v>
      </c>
      <c r="AH165" s="787">
        <f t="shared" si="98"/>
        <v>0</v>
      </c>
      <c r="AJ165" s="750">
        <v>19</v>
      </c>
      <c r="AK165" s="740">
        <f>IF(Knoten!S21&gt;0,1,0)</f>
        <v>0</v>
      </c>
      <c r="AL165" s="786">
        <f>IF(ISNUMBER(Knoten!C21),Z24,PlotData!$CB$3)</f>
        <v>0</v>
      </c>
      <c r="AM165" s="786">
        <f>AL165+$D$167*COS($D$168*PI()/180)*AK165</f>
        <v>0</v>
      </c>
      <c r="AN165" s="786">
        <f>AL165+$E$167*COS($E$168*PI()/180)*AK165</f>
        <v>0</v>
      </c>
      <c r="AO165" s="786">
        <f>AL165+$F$167*COS($F$168*PI()/180)*AK165</f>
        <v>0</v>
      </c>
      <c r="AP165" s="786">
        <f>AL165+$G$167*COS($G$168*PI()/180)*AK165</f>
        <v>0</v>
      </c>
      <c r="AQ165" s="786">
        <f>AL165+$H$167*COS($H$168*PI()/180)*AK165</f>
        <v>0</v>
      </c>
      <c r="AR165" s="786">
        <f>AL165+$I$167*COS($I$168*PI()/180)*AK165</f>
        <v>0</v>
      </c>
      <c r="AS165" s="786">
        <f>AL165+$J$167*COS($J$168*PI()/180)*AK165</f>
        <v>0</v>
      </c>
      <c r="AT165" s="786">
        <f>AL165+$K$167*COS($K$168*PI()/180)*AK165</f>
        <v>0</v>
      </c>
      <c r="AU165" s="786">
        <f>AL165+$L$167*COS($L$168*PI()/180)*AK165</f>
        <v>0</v>
      </c>
      <c r="AV165" s="786">
        <f>AL165+$M$167*COS($M$168*PI()/180)*AK165</f>
        <v>0</v>
      </c>
      <c r="AW165" s="786">
        <f>AL165+$N$167*COS($N$168*PI()/180)*AK165</f>
        <v>0</v>
      </c>
      <c r="AX165" s="786">
        <f>AL165+$O$167*COS($O$168*PI()/180)*AK165</f>
        <v>0</v>
      </c>
      <c r="AY165" s="786">
        <f>AL165+$P$167*COS($P$168*PI()/180)*AK165</f>
        <v>0</v>
      </c>
      <c r="AZ165" s="786">
        <f>AL165+$Q$167*COS($Q$168*PI()/180)*AK165</f>
        <v>0</v>
      </c>
      <c r="BA165" s="786">
        <f>AL165+$R$167*COS($R$168*PI()/180)*AK165</f>
        <v>0</v>
      </c>
      <c r="BB165" s="786">
        <f>AL165+$S$167*COS($S$168*PI()/180)*AK165</f>
        <v>0</v>
      </c>
      <c r="BC165" s="786">
        <f>AL165+$T$167*COS($T$168*PI()/180)*AK165</f>
        <v>0</v>
      </c>
      <c r="BD165" s="786">
        <f>AL165+$U$167*COS($U$168*PI()/180)*AK165</f>
        <v>0</v>
      </c>
      <c r="BE165" s="786">
        <f>AL165+$V$167*COS($V$168*PI()/180)*AK165</f>
        <v>0</v>
      </c>
      <c r="BF165" s="786">
        <f>AL165+$W$167*COS($W$168*PI()/180)*AK165</f>
        <v>0</v>
      </c>
      <c r="BG165" s="786">
        <f>AL165+$X$167*COS($X$168*PI()/180)*AK165</f>
        <v>0</v>
      </c>
      <c r="BH165" s="786">
        <f>AL165+$Y$167*COS($Y$168*PI()/180)*AK165</f>
        <v>0</v>
      </c>
      <c r="BI165" s="786">
        <f>AL165+$Z$167*COS($Z$168*PI()/180)*AK165</f>
        <v>0</v>
      </c>
      <c r="BJ165" s="786">
        <f>AL165+$AA$167*COS($AA$168*PI()/180)*AK165</f>
        <v>0</v>
      </c>
      <c r="BK165" s="786">
        <f>AL165+$AB$167*COS($AB$168*PI()/180)*AK165</f>
        <v>0</v>
      </c>
      <c r="BL165" s="786">
        <f>AL165+$AC$167*COS($AC$168*PI()/180)*AK165</f>
        <v>0</v>
      </c>
      <c r="BM165" s="785">
        <f t="shared" si="99"/>
        <v>0</v>
      </c>
      <c r="BN165" s="786">
        <f t="shared" si="100"/>
        <v>0</v>
      </c>
      <c r="BO165" s="786">
        <f t="shared" si="101"/>
        <v>0</v>
      </c>
      <c r="BP165" s="786">
        <f t="shared" si="102"/>
        <v>0</v>
      </c>
      <c r="BQ165" s="787">
        <f t="shared" si="103"/>
        <v>0</v>
      </c>
    </row>
    <row r="166" spans="1:69" ht="13.8" thickBot="1" x14ac:dyDescent="0.3">
      <c r="A166" s="761">
        <v>20</v>
      </c>
      <c r="B166" s="758">
        <f>IF(Knoten!S22&gt;0,1,0)</f>
        <v>0</v>
      </c>
      <c r="C166" s="788">
        <f>IF(ISNUMBER(Knoten!C22),Knoten!C22-$U$1,PlotData!$CB$3)</f>
        <v>0</v>
      </c>
      <c r="D166" s="789">
        <f>C166+$D$167*COS($D$168*PI()/180)*B166</f>
        <v>0</v>
      </c>
      <c r="E166" s="789">
        <f>C166+$E$167*COS($E$168*PI()/180)*B166</f>
        <v>0</v>
      </c>
      <c r="F166" s="789">
        <f>C166+$F$167*COS($F$168*PI()/180)*B166</f>
        <v>0</v>
      </c>
      <c r="G166" s="789">
        <f>C166+$G$167*COS($G$168*PI()/180)*B166</f>
        <v>0</v>
      </c>
      <c r="H166" s="789">
        <f>C166+$H$167*COS($H$168*PI()/180)*B166</f>
        <v>0</v>
      </c>
      <c r="I166" s="789">
        <f>C166+$I$167*COS($I$168*PI()/180)*B166</f>
        <v>0</v>
      </c>
      <c r="J166" s="789">
        <f>C166+$J$167*COS($J$168*PI()/180)*B166</f>
        <v>0</v>
      </c>
      <c r="K166" s="789">
        <f>C166+$K$167*COS($K$168*PI()/180)*B166</f>
        <v>0</v>
      </c>
      <c r="L166" s="789">
        <f>C166+$L$167*COS($L$168*PI()/180)*B166</f>
        <v>0</v>
      </c>
      <c r="M166" s="789">
        <f>C166+$M$167*COS($M$168*PI()/180)*B166</f>
        <v>0</v>
      </c>
      <c r="N166" s="789">
        <f>C166+$N$167*COS($N$168*PI()/180)*B166</f>
        <v>0</v>
      </c>
      <c r="O166" s="789">
        <f>C166+$O$167*COS($O$168*PI()/180)*B166</f>
        <v>0</v>
      </c>
      <c r="P166" s="789">
        <f>C166+$P$167*COS($P$168*PI()/180)*B166</f>
        <v>0</v>
      </c>
      <c r="Q166" s="789">
        <f>C166+$Q$167*COS($Q$168*PI()/180)*B166</f>
        <v>0</v>
      </c>
      <c r="R166" s="789">
        <f>C166+$R$167*COS($R$168*PI()/180)*B166</f>
        <v>0</v>
      </c>
      <c r="S166" s="789">
        <f>C166+$S$167*COS($S$168*PI()/180)*B166</f>
        <v>0</v>
      </c>
      <c r="T166" s="789">
        <f>C166+$T$167*COS($T$168*PI()/180)*B166</f>
        <v>0</v>
      </c>
      <c r="U166" s="789">
        <f>C166+$U$167*COS($U$168*PI()/180)*B166</f>
        <v>0</v>
      </c>
      <c r="V166" s="789">
        <f>C166+$V$167*COS($V$168*PI()/180)*B166</f>
        <v>0</v>
      </c>
      <c r="W166" s="789">
        <f>C166+$W$167*COS($W$168*PI()/180)*B166</f>
        <v>0</v>
      </c>
      <c r="X166" s="789">
        <f>C166+$X$167*COS($X$168*PI()/180)*B166</f>
        <v>0</v>
      </c>
      <c r="Y166" s="789">
        <f>C166+$Y$167*COS($Y$168*PI()/180)*B166</f>
        <v>0</v>
      </c>
      <c r="Z166" s="789">
        <f>C166+$Z$167*COS($Z$168*PI()/180)*B166</f>
        <v>0</v>
      </c>
      <c r="AA166" s="789">
        <f>C166+$AA$167*COS($AA$168*PI()/180)*B166</f>
        <v>0</v>
      </c>
      <c r="AB166" s="789">
        <f>C166+$AB$167*COS($AB$168*PI()/180)*B166</f>
        <v>0</v>
      </c>
      <c r="AC166" s="790">
        <f>C166+$AC$167*COS($AC$168*PI()/180)*B166</f>
        <v>0</v>
      </c>
      <c r="AD166" s="788">
        <f t="shared" si="94"/>
        <v>0</v>
      </c>
      <c r="AE166" s="789">
        <f t="shared" si="95"/>
        <v>0</v>
      </c>
      <c r="AF166" s="789">
        <f t="shared" si="96"/>
        <v>0</v>
      </c>
      <c r="AG166" s="789">
        <f t="shared" si="97"/>
        <v>0</v>
      </c>
      <c r="AH166" s="790">
        <f t="shared" si="98"/>
        <v>0</v>
      </c>
      <c r="AJ166" s="761">
        <v>20</v>
      </c>
      <c r="AK166" s="758">
        <f>IF(Knoten!S22&gt;0,1,0)</f>
        <v>0</v>
      </c>
      <c r="AL166" s="789">
        <f>IF(ISNUMBER(Knoten!C22),Z25,PlotData!$CB$3)</f>
        <v>0</v>
      </c>
      <c r="AM166" s="789">
        <f>AL166+$D$167*COS($D$168*PI()/180)*AK166</f>
        <v>0</v>
      </c>
      <c r="AN166" s="789">
        <f>AL166+$E$167*COS($E$168*PI()/180)*AK166</f>
        <v>0</v>
      </c>
      <c r="AO166" s="789">
        <f>AL166+$F$167*COS($F$168*PI()/180)*AK166</f>
        <v>0</v>
      </c>
      <c r="AP166" s="789">
        <f>AL166+$G$167*COS($G$168*PI()/180)*AK166</f>
        <v>0</v>
      </c>
      <c r="AQ166" s="789">
        <f>AL166+$H$167*COS($H$168*PI()/180)*AK166</f>
        <v>0</v>
      </c>
      <c r="AR166" s="789">
        <f>AL166+$I$167*COS($I$168*PI()/180)*AK166</f>
        <v>0</v>
      </c>
      <c r="AS166" s="789">
        <f>AL166+$J$167*COS($J$168*PI()/180)*AK166</f>
        <v>0</v>
      </c>
      <c r="AT166" s="789">
        <f>AL166+$K$167*COS($K$168*PI()/180)*AK166</f>
        <v>0</v>
      </c>
      <c r="AU166" s="789">
        <f>AL166+$L$167*COS($L$168*PI()/180)*AK166</f>
        <v>0</v>
      </c>
      <c r="AV166" s="789">
        <f>AL166+$M$167*COS($M$168*PI()/180)*AK166</f>
        <v>0</v>
      </c>
      <c r="AW166" s="789">
        <f>AL166+$N$167*COS($N$168*PI()/180)*AK166</f>
        <v>0</v>
      </c>
      <c r="AX166" s="789">
        <f>AL166+$O$167*COS($O$168*PI()/180)*AK166</f>
        <v>0</v>
      </c>
      <c r="AY166" s="789">
        <f>AL166+$P$167*COS($P$168*PI()/180)*AK166</f>
        <v>0</v>
      </c>
      <c r="AZ166" s="789">
        <f>AL166+$Q$167*COS($Q$168*PI()/180)*AK166</f>
        <v>0</v>
      </c>
      <c r="BA166" s="789">
        <f>AL166+$R$167*COS($R$168*PI()/180)*AK166</f>
        <v>0</v>
      </c>
      <c r="BB166" s="789">
        <f>AL166+$S$167*COS($S$168*PI()/180)*AK166</f>
        <v>0</v>
      </c>
      <c r="BC166" s="789">
        <f>AL166+$T$167*COS($T$168*PI()/180)*AK166</f>
        <v>0</v>
      </c>
      <c r="BD166" s="789">
        <f>AL166+$U$167*COS($U$168*PI()/180)*AK166</f>
        <v>0</v>
      </c>
      <c r="BE166" s="789">
        <f>AL166+$V$167*COS($V$168*PI()/180)*AK166</f>
        <v>0</v>
      </c>
      <c r="BF166" s="789">
        <f>AL166+$W$167*COS($W$168*PI()/180)*AK166</f>
        <v>0</v>
      </c>
      <c r="BG166" s="789">
        <f>AL166+$X$167*COS($X$168*PI()/180)*AK166</f>
        <v>0</v>
      </c>
      <c r="BH166" s="789">
        <f>AL166+$Y$167*COS($Y$168*PI()/180)*AK166</f>
        <v>0</v>
      </c>
      <c r="BI166" s="789">
        <f>AL166+$Z$167*COS($Z$168*PI()/180)*AK166</f>
        <v>0</v>
      </c>
      <c r="BJ166" s="789">
        <f>AL166+$AA$167*COS($AA$168*PI()/180)*AK166</f>
        <v>0</v>
      </c>
      <c r="BK166" s="789">
        <f>AL166+$AB$167*COS($AB$168*PI()/180)*AK166</f>
        <v>0</v>
      </c>
      <c r="BL166" s="789">
        <f>AL166+$AC$167*COS($AC$168*PI()/180)*AK166</f>
        <v>0</v>
      </c>
      <c r="BM166" s="788">
        <f t="shared" si="99"/>
        <v>0</v>
      </c>
      <c r="BN166" s="789">
        <f t="shared" si="100"/>
        <v>0</v>
      </c>
      <c r="BO166" s="789">
        <f t="shared" si="101"/>
        <v>0</v>
      </c>
      <c r="BP166" s="789">
        <f t="shared" si="102"/>
        <v>0</v>
      </c>
      <c r="BQ166" s="790">
        <f t="shared" si="103"/>
        <v>0</v>
      </c>
    </row>
    <row r="167" spans="1:69" x14ac:dyDescent="0.25">
      <c r="A167" s="791" t="s">
        <v>250</v>
      </c>
      <c r="B167" s="781">
        <v>0.02</v>
      </c>
      <c r="D167" s="785">
        <v>0</v>
      </c>
      <c r="E167" s="786">
        <f>D167+$B$167</f>
        <v>0.02</v>
      </c>
      <c r="F167" s="786">
        <f>E167+$B$167</f>
        <v>0.04</v>
      </c>
      <c r="G167" s="786">
        <f t="shared" ref="G167:X167" si="104">F167+$B$167</f>
        <v>0.06</v>
      </c>
      <c r="H167" s="786">
        <f t="shared" si="104"/>
        <v>0.08</v>
      </c>
      <c r="I167" s="786">
        <f t="shared" si="104"/>
        <v>0.1</v>
      </c>
      <c r="J167" s="786">
        <f t="shared" si="104"/>
        <v>0.12000000000000001</v>
      </c>
      <c r="K167" s="786">
        <f t="shared" si="104"/>
        <v>0.14000000000000001</v>
      </c>
      <c r="L167" s="786">
        <f t="shared" si="104"/>
        <v>0.16</v>
      </c>
      <c r="M167" s="786">
        <f t="shared" si="104"/>
        <v>0.18</v>
      </c>
      <c r="N167" s="786">
        <f t="shared" si="104"/>
        <v>0.19999999999999998</v>
      </c>
      <c r="O167" s="786">
        <f t="shared" si="104"/>
        <v>0.21999999999999997</v>
      </c>
      <c r="P167" s="786">
        <f t="shared" si="104"/>
        <v>0.23999999999999996</v>
      </c>
      <c r="Q167" s="786">
        <f t="shared" si="104"/>
        <v>0.25999999999999995</v>
      </c>
      <c r="R167" s="786">
        <f t="shared" si="104"/>
        <v>0.27999999999999997</v>
      </c>
      <c r="S167" s="786">
        <f t="shared" si="104"/>
        <v>0.3</v>
      </c>
      <c r="T167" s="786">
        <f t="shared" si="104"/>
        <v>0.32</v>
      </c>
      <c r="U167" s="786">
        <f t="shared" si="104"/>
        <v>0.34</v>
      </c>
      <c r="V167" s="786">
        <f t="shared" si="104"/>
        <v>0.36000000000000004</v>
      </c>
      <c r="W167" s="786">
        <f t="shared" si="104"/>
        <v>0.38000000000000006</v>
      </c>
      <c r="X167" s="786">
        <f t="shared" si="104"/>
        <v>0.40000000000000008</v>
      </c>
      <c r="Y167" s="786">
        <f>X167+$B$167</f>
        <v>0.4200000000000001</v>
      </c>
      <c r="Z167" s="786">
        <f>Y167+$B$167</f>
        <v>0.44000000000000011</v>
      </c>
      <c r="AA167" s="786">
        <f>Z167+$B$167</f>
        <v>0.46000000000000013</v>
      </c>
      <c r="AB167" s="786">
        <f>AA167+$B$167</f>
        <v>0.48000000000000015</v>
      </c>
      <c r="AC167" s="787">
        <f>AB167+$B$167</f>
        <v>0.50000000000000011</v>
      </c>
    </row>
    <row r="168" spans="1:69" ht="13.8" thickBot="1" x14ac:dyDescent="0.3">
      <c r="A168" s="792" t="s">
        <v>251</v>
      </c>
      <c r="B168" s="758">
        <v>29</v>
      </c>
      <c r="D168" s="788">
        <v>0</v>
      </c>
      <c r="E168" s="789">
        <f t="shared" ref="E168:Z168" si="105">D168+$B$168</f>
        <v>29</v>
      </c>
      <c r="F168" s="789">
        <f t="shared" si="105"/>
        <v>58</v>
      </c>
      <c r="G168" s="789">
        <f t="shared" si="105"/>
        <v>87</v>
      </c>
      <c r="H168" s="789">
        <f t="shared" si="105"/>
        <v>116</v>
      </c>
      <c r="I168" s="789">
        <f t="shared" si="105"/>
        <v>145</v>
      </c>
      <c r="J168" s="789">
        <f t="shared" si="105"/>
        <v>174</v>
      </c>
      <c r="K168" s="789">
        <f t="shared" si="105"/>
        <v>203</v>
      </c>
      <c r="L168" s="789">
        <f t="shared" si="105"/>
        <v>232</v>
      </c>
      <c r="M168" s="789">
        <f t="shared" si="105"/>
        <v>261</v>
      </c>
      <c r="N168" s="789">
        <f t="shared" si="105"/>
        <v>290</v>
      </c>
      <c r="O168" s="789">
        <f t="shared" si="105"/>
        <v>319</v>
      </c>
      <c r="P168" s="789">
        <f t="shared" si="105"/>
        <v>348</v>
      </c>
      <c r="Q168" s="789">
        <f t="shared" si="105"/>
        <v>377</v>
      </c>
      <c r="R168" s="789">
        <f t="shared" si="105"/>
        <v>406</v>
      </c>
      <c r="S168" s="789">
        <f t="shared" si="105"/>
        <v>435</v>
      </c>
      <c r="T168" s="789">
        <f t="shared" si="105"/>
        <v>464</v>
      </c>
      <c r="U168" s="789">
        <f t="shared" si="105"/>
        <v>493</v>
      </c>
      <c r="V168" s="789">
        <f t="shared" si="105"/>
        <v>522</v>
      </c>
      <c r="W168" s="789">
        <f t="shared" si="105"/>
        <v>551</v>
      </c>
      <c r="X168" s="789">
        <f t="shared" si="105"/>
        <v>580</v>
      </c>
      <c r="Y168" s="789">
        <f t="shared" si="105"/>
        <v>609</v>
      </c>
      <c r="Z168" s="789">
        <f t="shared" si="105"/>
        <v>638</v>
      </c>
      <c r="AA168" s="789">
        <f>Z168+$B$168</f>
        <v>667</v>
      </c>
      <c r="AB168" s="789">
        <f>AA168+$B$168</f>
        <v>696</v>
      </c>
      <c r="AC168" s="790">
        <f>AB168+$B$168</f>
        <v>725</v>
      </c>
    </row>
    <row r="169" spans="1:69" ht="22.5" customHeight="1" thickBot="1" x14ac:dyDescent="0.3"/>
    <row r="170" spans="1:69" ht="26.25" customHeight="1" thickBot="1" x14ac:dyDescent="0.3">
      <c r="C170" s="1331" t="s">
        <v>252</v>
      </c>
      <c r="D170" s="1332"/>
      <c r="E170" s="1332"/>
      <c r="F170" s="1332"/>
      <c r="G170" s="1332"/>
      <c r="H170" s="1332"/>
      <c r="I170" s="1332"/>
      <c r="J170" s="1332"/>
      <c r="K170" s="1332"/>
      <c r="L170" s="1332"/>
      <c r="M170" s="1332"/>
      <c r="N170" s="1332"/>
      <c r="O170" s="1332"/>
      <c r="P170" s="1332"/>
      <c r="Q170" s="1332"/>
      <c r="R170" s="1332"/>
      <c r="S170" s="1332"/>
      <c r="T170" s="1332"/>
      <c r="U170" s="1332"/>
      <c r="V170" s="1332"/>
      <c r="W170" s="1332"/>
      <c r="X170" s="1332"/>
      <c r="Y170" s="1332"/>
      <c r="Z170" s="1332"/>
      <c r="AA170" s="1332"/>
      <c r="AB170" s="1332"/>
      <c r="AC170" s="1333"/>
      <c r="AD170" s="1328" t="s">
        <v>253</v>
      </c>
      <c r="AE170" s="1329"/>
      <c r="AF170" s="1329"/>
      <c r="AG170" s="1329"/>
      <c r="AH170" s="1330"/>
      <c r="AL170" s="1331" t="s">
        <v>252</v>
      </c>
      <c r="AM170" s="1332"/>
      <c r="AN170" s="1332"/>
      <c r="AO170" s="1332"/>
      <c r="AP170" s="1332"/>
      <c r="AQ170" s="1332"/>
      <c r="AR170" s="1332"/>
      <c r="AS170" s="1332"/>
      <c r="AT170" s="1332"/>
      <c r="AU170" s="1332"/>
      <c r="AV170" s="1332"/>
      <c r="AW170" s="1332"/>
      <c r="AX170" s="1332"/>
      <c r="AY170" s="1332"/>
      <c r="AZ170" s="1332"/>
      <c r="BA170" s="1332"/>
      <c r="BB170" s="1332"/>
      <c r="BC170" s="1332"/>
      <c r="BD170" s="1332"/>
      <c r="BE170" s="1332"/>
      <c r="BF170" s="1332"/>
      <c r="BG170" s="1332"/>
      <c r="BH170" s="1332"/>
      <c r="BI170" s="1332"/>
      <c r="BJ170" s="1332"/>
      <c r="BK170" s="1332"/>
      <c r="BL170" s="1333"/>
      <c r="BM170" s="1328" t="s">
        <v>253</v>
      </c>
      <c r="BN170" s="1329"/>
      <c r="BO170" s="1329"/>
      <c r="BP170" s="1329"/>
      <c r="BQ170" s="1330"/>
    </row>
    <row r="171" spans="1:69" x14ac:dyDescent="0.25">
      <c r="B171" s="793">
        <v>1</v>
      </c>
      <c r="C171" s="782">
        <f>IF(ISNUMBER(Knoten!D3),Knoten!D3-$X$1,PlotData!$CB$4)</f>
        <v>-40</v>
      </c>
      <c r="D171" s="783">
        <f t="shared" ref="D171:D188" si="106">C171+$D$167*SIN($D$168*PI()/180)*B147</f>
        <v>-40</v>
      </c>
      <c r="E171" s="783">
        <f t="shared" ref="E171:E188" si="107">C171+$E$167*SIN($E$168*PI()/180)*B147</f>
        <v>-40</v>
      </c>
      <c r="F171" s="783">
        <f t="shared" ref="F171:F188" si="108">C171+$F$167*SIN($F$168*PI()/180)*B147</f>
        <v>-40</v>
      </c>
      <c r="G171" s="783">
        <f t="shared" ref="G171:G188" si="109">C171+$G$167*SIN($G$168*PI()/180)*B147</f>
        <v>-40</v>
      </c>
      <c r="H171" s="783">
        <f t="shared" ref="H171:H188" si="110">C171+$H$167*SIN($H$168*PI()/180)*B147</f>
        <v>-40</v>
      </c>
      <c r="I171" s="783">
        <f t="shared" ref="I171:I188" si="111">C171+$I$167*SIN($I$168*PI()/180)*B147</f>
        <v>-40</v>
      </c>
      <c r="J171" s="783">
        <f t="shared" ref="J171:J188" si="112">C171+$J$167*SIN($J$168*PI()/180)*B147</f>
        <v>-40</v>
      </c>
      <c r="K171" s="783">
        <f t="shared" ref="K171:K188" si="113">C171+$K$167*SIN($K$168*PI()/180)*B147</f>
        <v>-40</v>
      </c>
      <c r="L171" s="783">
        <f t="shared" ref="L171:L188" si="114">C171+$L$167*SIN($L$168*PI()/180)*B147</f>
        <v>-40</v>
      </c>
      <c r="M171" s="783">
        <f t="shared" ref="M171:M188" si="115">C171+$M$167*SIN($M$168*PI()/180)*B147</f>
        <v>-40</v>
      </c>
      <c r="N171" s="783">
        <f t="shared" ref="N171:N188" si="116">C171+$N$167*SIN($N$168*PI()/180)*B147</f>
        <v>-40</v>
      </c>
      <c r="O171" s="783">
        <f t="shared" ref="O171:O188" si="117">C171+$O$167*SIN($O$168*PI()/180)*B147</f>
        <v>-40</v>
      </c>
      <c r="P171" s="783">
        <f t="shared" ref="P171:P188" si="118">C171+$P$167*SIN($P$168*PI()/180)*B147</f>
        <v>-40</v>
      </c>
      <c r="Q171" s="783">
        <f t="shared" ref="Q171:Q188" si="119">C171+$Q$167*SIN($Q$168*PI()/180)*B147</f>
        <v>-40</v>
      </c>
      <c r="R171" s="783">
        <f t="shared" ref="R171:R188" si="120">C171+$R$167*SIN($R$168*PI()/180)*B147</f>
        <v>-40</v>
      </c>
      <c r="S171" s="783">
        <f t="shared" ref="S171:S188" si="121">C171+$S$167*SIN($S$168*PI()/180)*B147</f>
        <v>-40</v>
      </c>
      <c r="T171" s="783">
        <f t="shared" ref="T171:T188" si="122">C171+$T$167*SIN($T$168*PI()/180)*B147</f>
        <v>-40</v>
      </c>
      <c r="U171" s="783">
        <f t="shared" ref="U171:U188" si="123">C171+$U$167*SIN($U$168*PI()/180)*B147</f>
        <v>-40</v>
      </c>
      <c r="V171" s="783">
        <f t="shared" ref="V171:V188" si="124">C171+$V$167*SIN($V$168*PI()/180)*B147</f>
        <v>-40</v>
      </c>
      <c r="W171" s="783">
        <f t="shared" ref="W171:W188" si="125">C171+$W$167*SIN($W$168*PI()/180)*B147</f>
        <v>-40</v>
      </c>
      <c r="X171" s="783">
        <f t="shared" ref="X171:X188" si="126">C171+$X$167*SIN($X$168*PI()/180)*B147</f>
        <v>-40</v>
      </c>
      <c r="Y171" s="783">
        <f t="shared" ref="Y171:Y188" si="127">C171+$Y$167*SIN($Y$168*PI()/180)*B147</f>
        <v>-40</v>
      </c>
      <c r="Z171" s="783">
        <f t="shared" ref="Z171:Z188" si="128">C171+$Z$167*SIN($Z$168*PI()/180)*B147</f>
        <v>-40</v>
      </c>
      <c r="AA171" s="783">
        <f t="shared" ref="AA171:AA188" si="129">C171+$AA$167*SIN($AA$168*PI()/180)*B147</f>
        <v>-40</v>
      </c>
      <c r="AB171" s="783">
        <f t="shared" ref="AB171:AB188" si="130">C171+$AB$167*SIN($AB$168*PI()/180)*B147</f>
        <v>-40</v>
      </c>
      <c r="AC171" s="784">
        <f t="shared" ref="AC171:AC188" si="131">C171+$AC$167*SIN($AC$168*PI()/180)*B147</f>
        <v>-40</v>
      </c>
      <c r="AD171" s="782">
        <f>AC171</f>
        <v>-40</v>
      </c>
      <c r="AE171" s="783">
        <f t="shared" ref="AE171:AE190" si="132">AC171+2*$H$1*$E$1*B147</f>
        <v>-40</v>
      </c>
      <c r="AF171" s="783">
        <f>AE171</f>
        <v>-40</v>
      </c>
      <c r="AG171" s="783">
        <f t="shared" ref="AG171:AG190" si="133">AE171-2*$H$1*$E$1*B147</f>
        <v>-40</v>
      </c>
      <c r="AH171" s="784">
        <f>AD171</f>
        <v>-40</v>
      </c>
      <c r="AK171" s="793">
        <v>1</v>
      </c>
      <c r="AL171" s="786">
        <f>IF(ISNUMBER(Knoten!D3),AA6,PlotData!$CB$4)</f>
        <v>-46.105451176718191</v>
      </c>
      <c r="AM171" s="786">
        <f t="shared" ref="AM171:AM188" si="134">AL171+$D$167*SIN($D$168*PI()/180)*AK147</f>
        <v>-46.105451176718191</v>
      </c>
      <c r="AN171" s="786">
        <f t="shared" ref="AN171:AN188" si="135">AL171+$E$167*SIN($E$168*PI()/180)*AK147</f>
        <v>-46.105451176718191</v>
      </c>
      <c r="AO171" s="786">
        <f t="shared" ref="AO171:AO188" si="136">AL171+$F$167*SIN($F$168*PI()/180)*AK147</f>
        <v>-46.105451176718191</v>
      </c>
      <c r="AP171" s="786">
        <f t="shared" ref="AP171:AP188" si="137">AL171+$G$167*SIN($G$168*PI()/180)*AK147</f>
        <v>-46.105451176718191</v>
      </c>
      <c r="AQ171" s="786">
        <f t="shared" ref="AQ171:AQ188" si="138">AL171+$H$167*SIN($H$168*PI()/180)*AK147</f>
        <v>-46.105451176718191</v>
      </c>
      <c r="AR171" s="786">
        <f t="shared" ref="AR171:AR188" si="139">AL171+$I$167*SIN($I$168*PI()/180)*AK147</f>
        <v>-46.105451176718191</v>
      </c>
      <c r="AS171" s="786">
        <f t="shared" ref="AS171:AS188" si="140">AL171+$J$167*SIN($J$168*PI()/180)*AK147</f>
        <v>-46.105451176718191</v>
      </c>
      <c r="AT171" s="786">
        <f t="shared" ref="AT171:AT188" si="141">AL171+$K$167*SIN($K$168*PI()/180)*AK147</f>
        <v>-46.105451176718191</v>
      </c>
      <c r="AU171" s="786">
        <f t="shared" ref="AU171:AU188" si="142">AL171+$L$167*SIN($L$168*PI()/180)*AK147</f>
        <v>-46.105451176718191</v>
      </c>
      <c r="AV171" s="786">
        <f t="shared" ref="AV171:AV188" si="143">AL171+$M$167*SIN($M$168*PI()/180)*AK147</f>
        <v>-46.105451176718191</v>
      </c>
      <c r="AW171" s="786">
        <f t="shared" ref="AW171:AW188" si="144">AL171+$N$167*SIN($N$168*PI()/180)*AK147</f>
        <v>-46.105451176718191</v>
      </c>
      <c r="AX171" s="786">
        <f t="shared" ref="AX171:AX188" si="145">AL171+$O$167*SIN($O$168*PI()/180)*AK147</f>
        <v>-46.105451176718191</v>
      </c>
      <c r="AY171" s="786">
        <f t="shared" ref="AY171:AY188" si="146">AL171+$P$167*SIN($P$168*PI()/180)*AK147</f>
        <v>-46.105451176718191</v>
      </c>
      <c r="AZ171" s="786">
        <f t="shared" ref="AZ171:AZ188" si="147">AL171+$Q$167*SIN($Q$168*PI()/180)*AK147</f>
        <v>-46.105451176718191</v>
      </c>
      <c r="BA171" s="786">
        <f t="shared" ref="BA171:BA188" si="148">AL171+$R$167*SIN($R$168*PI()/180)*AK147</f>
        <v>-46.105451176718191</v>
      </c>
      <c r="BB171" s="786">
        <f t="shared" ref="BB171:BB188" si="149">AL171+$S$167*SIN($S$168*PI()/180)*AK147</f>
        <v>-46.105451176718191</v>
      </c>
      <c r="BC171" s="786">
        <f t="shared" ref="BC171:BC188" si="150">AL171+$T$167*SIN($T$168*PI()/180)*AK147</f>
        <v>-46.105451176718191</v>
      </c>
      <c r="BD171" s="786">
        <f t="shared" ref="BD171:BD188" si="151">AL171+$U$167*SIN($U$168*PI()/180)*AK147</f>
        <v>-46.105451176718191</v>
      </c>
      <c r="BE171" s="786">
        <f t="shared" ref="BE171:BE188" si="152">AL171+$V$167*SIN($V$168*PI()/180)*AK147</f>
        <v>-46.105451176718191</v>
      </c>
      <c r="BF171" s="786">
        <f t="shared" ref="BF171:BF188" si="153">AL171+$W$167*SIN($W$168*PI()/180)*AK147</f>
        <v>-46.105451176718191</v>
      </c>
      <c r="BG171" s="786">
        <f t="shared" ref="BG171:BG188" si="154">AL171+$X$167*SIN($X$168*PI()/180)*AK147</f>
        <v>-46.105451176718191</v>
      </c>
      <c r="BH171" s="786">
        <f t="shared" ref="BH171:BH188" si="155">AL171+$Y$167*SIN($Y$168*PI()/180)*AK147</f>
        <v>-46.105451176718191</v>
      </c>
      <c r="BI171" s="786">
        <f t="shared" ref="BI171:BI188" si="156">AL171+$Z$167*SIN($Z$168*PI()/180)*AK147</f>
        <v>-46.105451176718191</v>
      </c>
      <c r="BJ171" s="786">
        <f t="shared" ref="BJ171:BJ188" si="157">AL171+$AA$167*SIN($AA$168*PI()/180)*AK147</f>
        <v>-46.105451176718191</v>
      </c>
      <c r="BK171" s="786">
        <f t="shared" ref="BK171:BK188" si="158">AL171+$AB$167*SIN($AB$168*PI()/180)*AK147</f>
        <v>-46.105451176718191</v>
      </c>
      <c r="BL171" s="786">
        <f t="shared" ref="BL171:BL188" si="159">AL171+$AC$167*SIN($AC$168*PI()/180)*AK147</f>
        <v>-46.105451176718191</v>
      </c>
      <c r="BM171" s="782">
        <f>BL171</f>
        <v>-46.105451176718191</v>
      </c>
      <c r="BN171" s="783">
        <f>BL171+2*$H$1*$E$1*AK147</f>
        <v>-46.105451176718191</v>
      </c>
      <c r="BO171" s="783">
        <f>BN171</f>
        <v>-46.105451176718191</v>
      </c>
      <c r="BP171" s="783">
        <f t="shared" ref="BP171:BP190" si="160">BN171-2*$H$1*$E$1*AK147</f>
        <v>-46.105451176718191</v>
      </c>
      <c r="BQ171" s="784">
        <f>BM171</f>
        <v>-46.105451176718191</v>
      </c>
    </row>
    <row r="172" spans="1:69" x14ac:dyDescent="0.25">
      <c r="B172" s="794">
        <v>2</v>
      </c>
      <c r="C172" s="785">
        <f>IF(ISNUMBER(Knoten!D4),Knoten!D4-$X$1,PlotData!$CB$4)</f>
        <v>20</v>
      </c>
      <c r="D172" s="786">
        <f t="shared" si="106"/>
        <v>20</v>
      </c>
      <c r="E172" s="786">
        <f t="shared" si="107"/>
        <v>20</v>
      </c>
      <c r="F172" s="786">
        <f t="shared" si="108"/>
        <v>20</v>
      </c>
      <c r="G172" s="786">
        <f t="shared" si="109"/>
        <v>20</v>
      </c>
      <c r="H172" s="786">
        <f t="shared" si="110"/>
        <v>20</v>
      </c>
      <c r="I172" s="786">
        <f t="shared" si="111"/>
        <v>20</v>
      </c>
      <c r="J172" s="786">
        <f t="shared" si="112"/>
        <v>20</v>
      </c>
      <c r="K172" s="786">
        <f t="shared" si="113"/>
        <v>20</v>
      </c>
      <c r="L172" s="786">
        <f t="shared" si="114"/>
        <v>20</v>
      </c>
      <c r="M172" s="786">
        <f t="shared" si="115"/>
        <v>20</v>
      </c>
      <c r="N172" s="786">
        <f t="shared" si="116"/>
        <v>20</v>
      </c>
      <c r="O172" s="786">
        <f t="shared" si="117"/>
        <v>20</v>
      </c>
      <c r="P172" s="786">
        <f t="shared" si="118"/>
        <v>20</v>
      </c>
      <c r="Q172" s="786">
        <f t="shared" si="119"/>
        <v>20</v>
      </c>
      <c r="R172" s="786">
        <f t="shared" si="120"/>
        <v>20</v>
      </c>
      <c r="S172" s="786">
        <f t="shared" si="121"/>
        <v>20</v>
      </c>
      <c r="T172" s="786">
        <f t="shared" si="122"/>
        <v>20</v>
      </c>
      <c r="U172" s="786">
        <f t="shared" si="123"/>
        <v>20</v>
      </c>
      <c r="V172" s="786">
        <f t="shared" si="124"/>
        <v>20</v>
      </c>
      <c r="W172" s="786">
        <f t="shared" si="125"/>
        <v>20</v>
      </c>
      <c r="X172" s="786">
        <f t="shared" si="126"/>
        <v>20</v>
      </c>
      <c r="Y172" s="786">
        <f t="shared" si="127"/>
        <v>20</v>
      </c>
      <c r="Z172" s="786">
        <f t="shared" si="128"/>
        <v>20</v>
      </c>
      <c r="AA172" s="786">
        <f t="shared" si="129"/>
        <v>20</v>
      </c>
      <c r="AB172" s="786">
        <f t="shared" si="130"/>
        <v>20</v>
      </c>
      <c r="AC172" s="787">
        <f t="shared" si="131"/>
        <v>20</v>
      </c>
      <c r="AD172" s="785">
        <f t="shared" ref="AD172:AD190" si="161">AC172</f>
        <v>20</v>
      </c>
      <c r="AE172" s="786">
        <f t="shared" si="132"/>
        <v>20</v>
      </c>
      <c r="AF172" s="786">
        <f t="shared" ref="AF172:AF190" si="162">AE172</f>
        <v>20</v>
      </c>
      <c r="AG172" s="786">
        <f t="shared" si="133"/>
        <v>20</v>
      </c>
      <c r="AH172" s="787">
        <f t="shared" ref="AH172:AH190" si="163">AD172</f>
        <v>20</v>
      </c>
      <c r="AK172" s="794">
        <v>2</v>
      </c>
      <c r="AL172" s="786">
        <f>IF(ISNUMBER(Knoten!D4),AA7,PlotData!$CB$4)</f>
        <v>20</v>
      </c>
      <c r="AM172" s="786">
        <f t="shared" si="134"/>
        <v>20</v>
      </c>
      <c r="AN172" s="786">
        <f t="shared" si="135"/>
        <v>20</v>
      </c>
      <c r="AO172" s="786">
        <f t="shared" si="136"/>
        <v>20</v>
      </c>
      <c r="AP172" s="786">
        <f t="shared" si="137"/>
        <v>20</v>
      </c>
      <c r="AQ172" s="786">
        <f t="shared" si="138"/>
        <v>20</v>
      </c>
      <c r="AR172" s="786">
        <f t="shared" si="139"/>
        <v>20</v>
      </c>
      <c r="AS172" s="786">
        <f t="shared" si="140"/>
        <v>20</v>
      </c>
      <c r="AT172" s="786">
        <f t="shared" si="141"/>
        <v>20</v>
      </c>
      <c r="AU172" s="786">
        <f t="shared" si="142"/>
        <v>20</v>
      </c>
      <c r="AV172" s="786">
        <f t="shared" si="143"/>
        <v>20</v>
      </c>
      <c r="AW172" s="786">
        <f t="shared" si="144"/>
        <v>20</v>
      </c>
      <c r="AX172" s="786">
        <f t="shared" si="145"/>
        <v>20</v>
      </c>
      <c r="AY172" s="786">
        <f t="shared" si="146"/>
        <v>20</v>
      </c>
      <c r="AZ172" s="786">
        <f t="shared" si="147"/>
        <v>20</v>
      </c>
      <c r="BA172" s="786">
        <f t="shared" si="148"/>
        <v>20</v>
      </c>
      <c r="BB172" s="786">
        <f t="shared" si="149"/>
        <v>20</v>
      </c>
      <c r="BC172" s="786">
        <f t="shared" si="150"/>
        <v>20</v>
      </c>
      <c r="BD172" s="786">
        <f t="shared" si="151"/>
        <v>20</v>
      </c>
      <c r="BE172" s="786">
        <f t="shared" si="152"/>
        <v>20</v>
      </c>
      <c r="BF172" s="786">
        <f t="shared" si="153"/>
        <v>20</v>
      </c>
      <c r="BG172" s="786">
        <f t="shared" si="154"/>
        <v>20</v>
      </c>
      <c r="BH172" s="786">
        <f t="shared" si="155"/>
        <v>20</v>
      </c>
      <c r="BI172" s="786">
        <f t="shared" si="156"/>
        <v>20</v>
      </c>
      <c r="BJ172" s="786">
        <f t="shared" si="157"/>
        <v>20</v>
      </c>
      <c r="BK172" s="786">
        <f t="shared" si="158"/>
        <v>20</v>
      </c>
      <c r="BL172" s="786">
        <f t="shared" si="159"/>
        <v>20</v>
      </c>
      <c r="BM172" s="785">
        <f t="shared" ref="BM172:BM190" si="164">BL172</f>
        <v>20</v>
      </c>
      <c r="BN172" s="786">
        <f t="shared" ref="BN172:BN190" si="165">BL172+2*$H$1*$E$1*AK148</f>
        <v>20</v>
      </c>
      <c r="BO172" s="786">
        <f t="shared" ref="BO172:BO190" si="166">BN172</f>
        <v>20</v>
      </c>
      <c r="BP172" s="786">
        <f t="shared" si="160"/>
        <v>20</v>
      </c>
      <c r="BQ172" s="787">
        <f t="shared" ref="BQ172:BQ190" si="167">BM172</f>
        <v>20</v>
      </c>
    </row>
    <row r="173" spans="1:69" x14ac:dyDescent="0.25">
      <c r="B173" s="794">
        <v>3</v>
      </c>
      <c r="C173" s="785">
        <f>IF(ISNUMBER(Knoten!D5),Knoten!D5-$X$1,PlotData!$CB$4)</f>
        <v>20</v>
      </c>
      <c r="D173" s="786">
        <f t="shared" si="106"/>
        <v>20</v>
      </c>
      <c r="E173" s="786">
        <f t="shared" si="107"/>
        <v>20</v>
      </c>
      <c r="F173" s="786">
        <f t="shared" si="108"/>
        <v>20</v>
      </c>
      <c r="G173" s="786">
        <f t="shared" si="109"/>
        <v>20</v>
      </c>
      <c r="H173" s="786">
        <f t="shared" si="110"/>
        <v>20</v>
      </c>
      <c r="I173" s="786">
        <f t="shared" si="111"/>
        <v>20</v>
      </c>
      <c r="J173" s="786">
        <f t="shared" si="112"/>
        <v>20</v>
      </c>
      <c r="K173" s="786">
        <f t="shared" si="113"/>
        <v>20</v>
      </c>
      <c r="L173" s="786">
        <f t="shared" si="114"/>
        <v>20</v>
      </c>
      <c r="M173" s="786">
        <f t="shared" si="115"/>
        <v>20</v>
      </c>
      <c r="N173" s="786">
        <f t="shared" si="116"/>
        <v>20</v>
      </c>
      <c r="O173" s="786">
        <f t="shared" si="117"/>
        <v>20</v>
      </c>
      <c r="P173" s="786">
        <f t="shared" si="118"/>
        <v>20</v>
      </c>
      <c r="Q173" s="786">
        <f t="shared" si="119"/>
        <v>20</v>
      </c>
      <c r="R173" s="786">
        <f t="shared" si="120"/>
        <v>20</v>
      </c>
      <c r="S173" s="786">
        <f t="shared" si="121"/>
        <v>20</v>
      </c>
      <c r="T173" s="786">
        <f t="shared" si="122"/>
        <v>20</v>
      </c>
      <c r="U173" s="786">
        <f t="shared" si="123"/>
        <v>20</v>
      </c>
      <c r="V173" s="786">
        <f t="shared" si="124"/>
        <v>20</v>
      </c>
      <c r="W173" s="786">
        <f t="shared" si="125"/>
        <v>20</v>
      </c>
      <c r="X173" s="786">
        <f t="shared" si="126"/>
        <v>20</v>
      </c>
      <c r="Y173" s="786">
        <f t="shared" si="127"/>
        <v>20</v>
      </c>
      <c r="Z173" s="786">
        <f t="shared" si="128"/>
        <v>20</v>
      </c>
      <c r="AA173" s="786">
        <f t="shared" si="129"/>
        <v>20</v>
      </c>
      <c r="AB173" s="786">
        <f t="shared" si="130"/>
        <v>20</v>
      </c>
      <c r="AC173" s="787">
        <f t="shared" si="131"/>
        <v>20</v>
      </c>
      <c r="AD173" s="785">
        <f t="shared" si="161"/>
        <v>20</v>
      </c>
      <c r="AE173" s="786">
        <f t="shared" si="132"/>
        <v>20</v>
      </c>
      <c r="AF173" s="786">
        <f t="shared" si="162"/>
        <v>20</v>
      </c>
      <c r="AG173" s="786">
        <f t="shared" si="133"/>
        <v>20</v>
      </c>
      <c r="AH173" s="787">
        <f t="shared" si="163"/>
        <v>20</v>
      </c>
      <c r="AK173" s="794">
        <v>3</v>
      </c>
      <c r="AL173" s="786">
        <f>IF(ISNUMBER(Knoten!D5),AA8,PlotData!$CB$4)</f>
        <v>20</v>
      </c>
      <c r="AM173" s="786">
        <f t="shared" si="134"/>
        <v>20</v>
      </c>
      <c r="AN173" s="786">
        <f t="shared" si="135"/>
        <v>20</v>
      </c>
      <c r="AO173" s="786">
        <f t="shared" si="136"/>
        <v>20</v>
      </c>
      <c r="AP173" s="786">
        <f t="shared" si="137"/>
        <v>20</v>
      </c>
      <c r="AQ173" s="786">
        <f t="shared" si="138"/>
        <v>20</v>
      </c>
      <c r="AR173" s="786">
        <f t="shared" si="139"/>
        <v>20</v>
      </c>
      <c r="AS173" s="786">
        <f t="shared" si="140"/>
        <v>20</v>
      </c>
      <c r="AT173" s="786">
        <f t="shared" si="141"/>
        <v>20</v>
      </c>
      <c r="AU173" s="786">
        <f t="shared" si="142"/>
        <v>20</v>
      </c>
      <c r="AV173" s="786">
        <f t="shared" si="143"/>
        <v>20</v>
      </c>
      <c r="AW173" s="786">
        <f t="shared" si="144"/>
        <v>20</v>
      </c>
      <c r="AX173" s="786">
        <f t="shared" si="145"/>
        <v>20</v>
      </c>
      <c r="AY173" s="786">
        <f t="shared" si="146"/>
        <v>20</v>
      </c>
      <c r="AZ173" s="786">
        <f t="shared" si="147"/>
        <v>20</v>
      </c>
      <c r="BA173" s="786">
        <f t="shared" si="148"/>
        <v>20</v>
      </c>
      <c r="BB173" s="786">
        <f t="shared" si="149"/>
        <v>20</v>
      </c>
      <c r="BC173" s="786">
        <f t="shared" si="150"/>
        <v>20</v>
      </c>
      <c r="BD173" s="786">
        <f t="shared" si="151"/>
        <v>20</v>
      </c>
      <c r="BE173" s="786">
        <f t="shared" si="152"/>
        <v>20</v>
      </c>
      <c r="BF173" s="786">
        <f t="shared" si="153"/>
        <v>20</v>
      </c>
      <c r="BG173" s="786">
        <f t="shared" si="154"/>
        <v>20</v>
      </c>
      <c r="BH173" s="786">
        <f t="shared" si="155"/>
        <v>20</v>
      </c>
      <c r="BI173" s="786">
        <f t="shared" si="156"/>
        <v>20</v>
      </c>
      <c r="BJ173" s="786">
        <f t="shared" si="157"/>
        <v>20</v>
      </c>
      <c r="BK173" s="786">
        <f t="shared" si="158"/>
        <v>20</v>
      </c>
      <c r="BL173" s="786">
        <f t="shared" si="159"/>
        <v>20</v>
      </c>
      <c r="BM173" s="785">
        <f t="shared" si="164"/>
        <v>20</v>
      </c>
      <c r="BN173" s="786">
        <f t="shared" si="165"/>
        <v>20</v>
      </c>
      <c r="BO173" s="786">
        <f t="shared" si="166"/>
        <v>20</v>
      </c>
      <c r="BP173" s="786">
        <f t="shared" si="160"/>
        <v>20</v>
      </c>
      <c r="BQ173" s="787">
        <f t="shared" si="167"/>
        <v>20</v>
      </c>
    </row>
    <row r="174" spans="1:69" x14ac:dyDescent="0.25">
      <c r="B174" s="794">
        <v>4</v>
      </c>
      <c r="C174" s="785">
        <f>IF(ISNUMBER(Knoten!D6),Knoten!D6-$X$1,PlotData!$CB$4)</f>
        <v>-100</v>
      </c>
      <c r="D174" s="786">
        <f t="shared" si="106"/>
        <v>-100</v>
      </c>
      <c r="E174" s="786">
        <f t="shared" si="107"/>
        <v>-100</v>
      </c>
      <c r="F174" s="786">
        <f t="shared" si="108"/>
        <v>-100</v>
      </c>
      <c r="G174" s="786">
        <f t="shared" si="109"/>
        <v>-100</v>
      </c>
      <c r="H174" s="786">
        <f t="shared" si="110"/>
        <v>-100</v>
      </c>
      <c r="I174" s="786">
        <f t="shared" si="111"/>
        <v>-100</v>
      </c>
      <c r="J174" s="786">
        <f t="shared" si="112"/>
        <v>-100</v>
      </c>
      <c r="K174" s="786">
        <f t="shared" si="113"/>
        <v>-100</v>
      </c>
      <c r="L174" s="786">
        <f t="shared" si="114"/>
        <v>-100</v>
      </c>
      <c r="M174" s="786">
        <f t="shared" si="115"/>
        <v>-100</v>
      </c>
      <c r="N174" s="786">
        <f t="shared" si="116"/>
        <v>-100</v>
      </c>
      <c r="O174" s="786">
        <f t="shared" si="117"/>
        <v>-100</v>
      </c>
      <c r="P174" s="786">
        <f t="shared" si="118"/>
        <v>-100</v>
      </c>
      <c r="Q174" s="786">
        <f t="shared" si="119"/>
        <v>-100</v>
      </c>
      <c r="R174" s="786">
        <f t="shared" si="120"/>
        <v>-100</v>
      </c>
      <c r="S174" s="786">
        <f t="shared" si="121"/>
        <v>-100</v>
      </c>
      <c r="T174" s="786">
        <f t="shared" si="122"/>
        <v>-100</v>
      </c>
      <c r="U174" s="786">
        <f t="shared" si="123"/>
        <v>-100</v>
      </c>
      <c r="V174" s="786">
        <f t="shared" si="124"/>
        <v>-100</v>
      </c>
      <c r="W174" s="786">
        <f t="shared" si="125"/>
        <v>-100</v>
      </c>
      <c r="X174" s="786">
        <f t="shared" si="126"/>
        <v>-100</v>
      </c>
      <c r="Y174" s="786">
        <f t="shared" si="127"/>
        <v>-100</v>
      </c>
      <c r="Z174" s="786">
        <f t="shared" si="128"/>
        <v>-100</v>
      </c>
      <c r="AA174" s="786">
        <f t="shared" si="129"/>
        <v>-100</v>
      </c>
      <c r="AB174" s="786">
        <f t="shared" si="130"/>
        <v>-100</v>
      </c>
      <c r="AC174" s="787">
        <f t="shared" si="131"/>
        <v>-100</v>
      </c>
      <c r="AD174" s="785">
        <f t="shared" si="161"/>
        <v>-100</v>
      </c>
      <c r="AE174" s="786">
        <f t="shared" si="132"/>
        <v>-100</v>
      </c>
      <c r="AF174" s="786">
        <f t="shared" si="162"/>
        <v>-100</v>
      </c>
      <c r="AG174" s="786">
        <f t="shared" si="133"/>
        <v>-100</v>
      </c>
      <c r="AH174" s="787">
        <f t="shared" si="163"/>
        <v>-100</v>
      </c>
      <c r="AK174" s="794">
        <v>4</v>
      </c>
      <c r="AL174" s="786">
        <f>IF(ISNUMBER(Knoten!D6),AA9,PlotData!$CB$4)</f>
        <v>-100</v>
      </c>
      <c r="AM174" s="786">
        <f t="shared" si="134"/>
        <v>-100</v>
      </c>
      <c r="AN174" s="786">
        <f t="shared" si="135"/>
        <v>-100</v>
      </c>
      <c r="AO174" s="786">
        <f t="shared" si="136"/>
        <v>-100</v>
      </c>
      <c r="AP174" s="786">
        <f t="shared" si="137"/>
        <v>-100</v>
      </c>
      <c r="AQ174" s="786">
        <f t="shared" si="138"/>
        <v>-100</v>
      </c>
      <c r="AR174" s="786">
        <f t="shared" si="139"/>
        <v>-100</v>
      </c>
      <c r="AS174" s="786">
        <f t="shared" si="140"/>
        <v>-100</v>
      </c>
      <c r="AT174" s="786">
        <f t="shared" si="141"/>
        <v>-100</v>
      </c>
      <c r="AU174" s="786">
        <f t="shared" si="142"/>
        <v>-100</v>
      </c>
      <c r="AV174" s="786">
        <f t="shared" si="143"/>
        <v>-100</v>
      </c>
      <c r="AW174" s="786">
        <f t="shared" si="144"/>
        <v>-100</v>
      </c>
      <c r="AX174" s="786">
        <f t="shared" si="145"/>
        <v>-100</v>
      </c>
      <c r="AY174" s="786">
        <f t="shared" si="146"/>
        <v>-100</v>
      </c>
      <c r="AZ174" s="786">
        <f t="shared" si="147"/>
        <v>-100</v>
      </c>
      <c r="BA174" s="786">
        <f t="shared" si="148"/>
        <v>-100</v>
      </c>
      <c r="BB174" s="786">
        <f t="shared" si="149"/>
        <v>-100</v>
      </c>
      <c r="BC174" s="786">
        <f t="shared" si="150"/>
        <v>-100</v>
      </c>
      <c r="BD174" s="786">
        <f t="shared" si="151"/>
        <v>-100</v>
      </c>
      <c r="BE174" s="786">
        <f t="shared" si="152"/>
        <v>-100</v>
      </c>
      <c r="BF174" s="786">
        <f t="shared" si="153"/>
        <v>-100</v>
      </c>
      <c r="BG174" s="786">
        <f t="shared" si="154"/>
        <v>-100</v>
      </c>
      <c r="BH174" s="786">
        <f t="shared" si="155"/>
        <v>-100</v>
      </c>
      <c r="BI174" s="786">
        <f t="shared" si="156"/>
        <v>-100</v>
      </c>
      <c r="BJ174" s="786">
        <f t="shared" si="157"/>
        <v>-100</v>
      </c>
      <c r="BK174" s="786">
        <f t="shared" si="158"/>
        <v>-100</v>
      </c>
      <c r="BL174" s="786">
        <f t="shared" si="159"/>
        <v>-100</v>
      </c>
      <c r="BM174" s="785">
        <f t="shared" si="164"/>
        <v>-100</v>
      </c>
      <c r="BN174" s="786">
        <f t="shared" si="165"/>
        <v>-100</v>
      </c>
      <c r="BO174" s="786">
        <f t="shared" si="166"/>
        <v>-100</v>
      </c>
      <c r="BP174" s="786">
        <f t="shared" si="160"/>
        <v>-100</v>
      </c>
      <c r="BQ174" s="787">
        <f t="shared" si="167"/>
        <v>-100</v>
      </c>
    </row>
    <row r="175" spans="1:69" x14ac:dyDescent="0.25">
      <c r="B175" s="794">
        <v>5</v>
      </c>
      <c r="C175" s="785">
        <f>IF(ISNUMBER(Knoten!D7),Knoten!D7-$X$1,PlotData!$CB$4)</f>
        <v>-70</v>
      </c>
      <c r="D175" s="786">
        <f t="shared" si="106"/>
        <v>-70</v>
      </c>
      <c r="E175" s="786">
        <f t="shared" si="107"/>
        <v>-70</v>
      </c>
      <c r="F175" s="786">
        <f t="shared" si="108"/>
        <v>-70</v>
      </c>
      <c r="G175" s="786">
        <f t="shared" si="109"/>
        <v>-70</v>
      </c>
      <c r="H175" s="786">
        <f t="shared" si="110"/>
        <v>-70</v>
      </c>
      <c r="I175" s="786">
        <f t="shared" si="111"/>
        <v>-70</v>
      </c>
      <c r="J175" s="786">
        <f t="shared" si="112"/>
        <v>-70</v>
      </c>
      <c r="K175" s="786">
        <f t="shared" si="113"/>
        <v>-70</v>
      </c>
      <c r="L175" s="786">
        <f t="shared" si="114"/>
        <v>-70</v>
      </c>
      <c r="M175" s="786">
        <f t="shared" si="115"/>
        <v>-70</v>
      </c>
      <c r="N175" s="786">
        <f t="shared" si="116"/>
        <v>-70</v>
      </c>
      <c r="O175" s="786">
        <f t="shared" si="117"/>
        <v>-70</v>
      </c>
      <c r="P175" s="786">
        <f t="shared" si="118"/>
        <v>-70</v>
      </c>
      <c r="Q175" s="786">
        <f t="shared" si="119"/>
        <v>-70</v>
      </c>
      <c r="R175" s="786">
        <f t="shared" si="120"/>
        <v>-70</v>
      </c>
      <c r="S175" s="786">
        <f t="shared" si="121"/>
        <v>-70</v>
      </c>
      <c r="T175" s="786">
        <f t="shared" si="122"/>
        <v>-70</v>
      </c>
      <c r="U175" s="786">
        <f t="shared" si="123"/>
        <v>-70</v>
      </c>
      <c r="V175" s="786">
        <f t="shared" si="124"/>
        <v>-70</v>
      </c>
      <c r="W175" s="786">
        <f t="shared" si="125"/>
        <v>-70</v>
      </c>
      <c r="X175" s="786">
        <f t="shared" si="126"/>
        <v>-70</v>
      </c>
      <c r="Y175" s="786">
        <f t="shared" si="127"/>
        <v>-70</v>
      </c>
      <c r="Z175" s="786">
        <f t="shared" si="128"/>
        <v>-70</v>
      </c>
      <c r="AA175" s="786">
        <f t="shared" si="129"/>
        <v>-70</v>
      </c>
      <c r="AB175" s="786">
        <f t="shared" si="130"/>
        <v>-70</v>
      </c>
      <c r="AC175" s="787">
        <f t="shared" si="131"/>
        <v>-70</v>
      </c>
      <c r="AD175" s="785">
        <f t="shared" si="161"/>
        <v>-70</v>
      </c>
      <c r="AE175" s="786">
        <f t="shared" si="132"/>
        <v>-70</v>
      </c>
      <c r="AF175" s="786">
        <f t="shared" si="162"/>
        <v>-70</v>
      </c>
      <c r="AG175" s="786">
        <f t="shared" si="133"/>
        <v>-70</v>
      </c>
      <c r="AH175" s="787">
        <f t="shared" si="163"/>
        <v>-70</v>
      </c>
      <c r="AK175" s="794">
        <v>5</v>
      </c>
      <c r="AL175" s="786">
        <f>IF(ISNUMBER(Knoten!D7),AA10,PlotData!$CB$4)</f>
        <v>-70</v>
      </c>
      <c r="AM175" s="786">
        <f t="shared" si="134"/>
        <v>-70</v>
      </c>
      <c r="AN175" s="786">
        <f t="shared" si="135"/>
        <v>-70</v>
      </c>
      <c r="AO175" s="786">
        <f t="shared" si="136"/>
        <v>-70</v>
      </c>
      <c r="AP175" s="786">
        <f t="shared" si="137"/>
        <v>-70</v>
      </c>
      <c r="AQ175" s="786">
        <f t="shared" si="138"/>
        <v>-70</v>
      </c>
      <c r="AR175" s="786">
        <f t="shared" si="139"/>
        <v>-70</v>
      </c>
      <c r="AS175" s="786">
        <f t="shared" si="140"/>
        <v>-70</v>
      </c>
      <c r="AT175" s="786">
        <f t="shared" si="141"/>
        <v>-70</v>
      </c>
      <c r="AU175" s="786">
        <f t="shared" si="142"/>
        <v>-70</v>
      </c>
      <c r="AV175" s="786">
        <f t="shared" si="143"/>
        <v>-70</v>
      </c>
      <c r="AW175" s="786">
        <f t="shared" si="144"/>
        <v>-70</v>
      </c>
      <c r="AX175" s="786">
        <f t="shared" si="145"/>
        <v>-70</v>
      </c>
      <c r="AY175" s="786">
        <f t="shared" si="146"/>
        <v>-70</v>
      </c>
      <c r="AZ175" s="786">
        <f t="shared" si="147"/>
        <v>-70</v>
      </c>
      <c r="BA175" s="786">
        <f t="shared" si="148"/>
        <v>-70</v>
      </c>
      <c r="BB175" s="786">
        <f t="shared" si="149"/>
        <v>-70</v>
      </c>
      <c r="BC175" s="786">
        <f t="shared" si="150"/>
        <v>-70</v>
      </c>
      <c r="BD175" s="786">
        <f t="shared" si="151"/>
        <v>-70</v>
      </c>
      <c r="BE175" s="786">
        <f t="shared" si="152"/>
        <v>-70</v>
      </c>
      <c r="BF175" s="786">
        <f t="shared" si="153"/>
        <v>-70</v>
      </c>
      <c r="BG175" s="786">
        <f t="shared" si="154"/>
        <v>-70</v>
      </c>
      <c r="BH175" s="786">
        <f t="shared" si="155"/>
        <v>-70</v>
      </c>
      <c r="BI175" s="786">
        <f t="shared" si="156"/>
        <v>-70</v>
      </c>
      <c r="BJ175" s="786">
        <f t="shared" si="157"/>
        <v>-70</v>
      </c>
      <c r="BK175" s="786">
        <f t="shared" si="158"/>
        <v>-70</v>
      </c>
      <c r="BL175" s="786">
        <f t="shared" si="159"/>
        <v>-70</v>
      </c>
      <c r="BM175" s="785">
        <f t="shared" si="164"/>
        <v>-70</v>
      </c>
      <c r="BN175" s="786">
        <f t="shared" si="165"/>
        <v>-70</v>
      </c>
      <c r="BO175" s="786">
        <f t="shared" si="166"/>
        <v>-70</v>
      </c>
      <c r="BP175" s="786">
        <f t="shared" si="160"/>
        <v>-70</v>
      </c>
      <c r="BQ175" s="787">
        <f t="shared" si="167"/>
        <v>-70</v>
      </c>
    </row>
    <row r="176" spans="1:69" x14ac:dyDescent="0.25">
      <c r="B176" s="794">
        <v>6</v>
      </c>
      <c r="C176" s="785">
        <f>IF(ISNUMBER(Knoten!D8),Knoten!D8-$X$1,PlotData!$CB$4)</f>
        <v>100</v>
      </c>
      <c r="D176" s="786">
        <f t="shared" si="106"/>
        <v>100</v>
      </c>
      <c r="E176" s="786">
        <f t="shared" si="107"/>
        <v>100</v>
      </c>
      <c r="F176" s="786">
        <f t="shared" si="108"/>
        <v>100</v>
      </c>
      <c r="G176" s="786">
        <f t="shared" si="109"/>
        <v>100</v>
      </c>
      <c r="H176" s="786">
        <f t="shared" si="110"/>
        <v>100</v>
      </c>
      <c r="I176" s="786">
        <f t="shared" si="111"/>
        <v>100</v>
      </c>
      <c r="J176" s="786">
        <f t="shared" si="112"/>
        <v>100</v>
      </c>
      <c r="K176" s="786">
        <f t="shared" si="113"/>
        <v>100</v>
      </c>
      <c r="L176" s="786">
        <f t="shared" si="114"/>
        <v>100</v>
      </c>
      <c r="M176" s="786">
        <f t="shared" si="115"/>
        <v>100</v>
      </c>
      <c r="N176" s="786">
        <f t="shared" si="116"/>
        <v>100</v>
      </c>
      <c r="O176" s="786">
        <f t="shared" si="117"/>
        <v>100</v>
      </c>
      <c r="P176" s="786">
        <f t="shared" si="118"/>
        <v>100</v>
      </c>
      <c r="Q176" s="786">
        <f t="shared" si="119"/>
        <v>100</v>
      </c>
      <c r="R176" s="786">
        <f t="shared" si="120"/>
        <v>100</v>
      </c>
      <c r="S176" s="786">
        <f t="shared" si="121"/>
        <v>100</v>
      </c>
      <c r="T176" s="786">
        <f t="shared" si="122"/>
        <v>100</v>
      </c>
      <c r="U176" s="786">
        <f t="shared" si="123"/>
        <v>100</v>
      </c>
      <c r="V176" s="786">
        <f t="shared" si="124"/>
        <v>100</v>
      </c>
      <c r="W176" s="786">
        <f t="shared" si="125"/>
        <v>100</v>
      </c>
      <c r="X176" s="786">
        <f t="shared" si="126"/>
        <v>100</v>
      </c>
      <c r="Y176" s="786">
        <f t="shared" si="127"/>
        <v>100</v>
      </c>
      <c r="Z176" s="786">
        <f t="shared" si="128"/>
        <v>100</v>
      </c>
      <c r="AA176" s="786">
        <f t="shared" si="129"/>
        <v>100</v>
      </c>
      <c r="AB176" s="786">
        <f t="shared" si="130"/>
        <v>100</v>
      </c>
      <c r="AC176" s="787">
        <f t="shared" si="131"/>
        <v>100</v>
      </c>
      <c r="AD176" s="785">
        <f t="shared" si="161"/>
        <v>100</v>
      </c>
      <c r="AE176" s="786">
        <f t="shared" si="132"/>
        <v>100</v>
      </c>
      <c r="AF176" s="786">
        <f t="shared" si="162"/>
        <v>100</v>
      </c>
      <c r="AG176" s="786">
        <f t="shared" si="133"/>
        <v>100</v>
      </c>
      <c r="AH176" s="787">
        <f t="shared" si="163"/>
        <v>100</v>
      </c>
      <c r="AK176" s="794">
        <v>6</v>
      </c>
      <c r="AL176" s="786">
        <f>IF(ISNUMBER(Knoten!D8),AA11,PlotData!$CB$4)</f>
        <v>100</v>
      </c>
      <c r="AM176" s="786">
        <f t="shared" si="134"/>
        <v>100</v>
      </c>
      <c r="AN176" s="786">
        <f t="shared" si="135"/>
        <v>100</v>
      </c>
      <c r="AO176" s="786">
        <f t="shared" si="136"/>
        <v>100</v>
      </c>
      <c r="AP176" s="786">
        <f t="shared" si="137"/>
        <v>100</v>
      </c>
      <c r="AQ176" s="786">
        <f t="shared" si="138"/>
        <v>100</v>
      </c>
      <c r="AR176" s="786">
        <f t="shared" si="139"/>
        <v>100</v>
      </c>
      <c r="AS176" s="786">
        <f t="shared" si="140"/>
        <v>100</v>
      </c>
      <c r="AT176" s="786">
        <f t="shared" si="141"/>
        <v>100</v>
      </c>
      <c r="AU176" s="786">
        <f t="shared" si="142"/>
        <v>100</v>
      </c>
      <c r="AV176" s="786">
        <f t="shared" si="143"/>
        <v>100</v>
      </c>
      <c r="AW176" s="786">
        <f t="shared" si="144"/>
        <v>100</v>
      </c>
      <c r="AX176" s="786">
        <f t="shared" si="145"/>
        <v>100</v>
      </c>
      <c r="AY176" s="786">
        <f t="shared" si="146"/>
        <v>100</v>
      </c>
      <c r="AZ176" s="786">
        <f t="shared" si="147"/>
        <v>100</v>
      </c>
      <c r="BA176" s="786">
        <f t="shared" si="148"/>
        <v>100</v>
      </c>
      <c r="BB176" s="786">
        <f t="shared" si="149"/>
        <v>100</v>
      </c>
      <c r="BC176" s="786">
        <f t="shared" si="150"/>
        <v>100</v>
      </c>
      <c r="BD176" s="786">
        <f t="shared" si="151"/>
        <v>100</v>
      </c>
      <c r="BE176" s="786">
        <f t="shared" si="152"/>
        <v>100</v>
      </c>
      <c r="BF176" s="786">
        <f t="shared" si="153"/>
        <v>100</v>
      </c>
      <c r="BG176" s="786">
        <f t="shared" si="154"/>
        <v>100</v>
      </c>
      <c r="BH176" s="786">
        <f t="shared" si="155"/>
        <v>100</v>
      </c>
      <c r="BI176" s="786">
        <f t="shared" si="156"/>
        <v>100</v>
      </c>
      <c r="BJ176" s="786">
        <f t="shared" si="157"/>
        <v>100</v>
      </c>
      <c r="BK176" s="786">
        <f t="shared" si="158"/>
        <v>100</v>
      </c>
      <c r="BL176" s="786">
        <f t="shared" si="159"/>
        <v>100</v>
      </c>
      <c r="BM176" s="785">
        <f t="shared" si="164"/>
        <v>100</v>
      </c>
      <c r="BN176" s="786">
        <f t="shared" si="165"/>
        <v>100</v>
      </c>
      <c r="BO176" s="786">
        <f t="shared" si="166"/>
        <v>100</v>
      </c>
      <c r="BP176" s="786">
        <f t="shared" si="160"/>
        <v>100</v>
      </c>
      <c r="BQ176" s="787">
        <f t="shared" si="167"/>
        <v>100</v>
      </c>
    </row>
    <row r="177" spans="2:69" x14ac:dyDescent="0.25">
      <c r="B177" s="794">
        <v>7</v>
      </c>
      <c r="C177" s="785">
        <f>IF(ISNUMBER(Knoten!D9),Knoten!D9-$X$1,PlotData!$CB$4)</f>
        <v>0</v>
      </c>
      <c r="D177" s="786">
        <f t="shared" si="106"/>
        <v>0</v>
      </c>
      <c r="E177" s="786">
        <f t="shared" si="107"/>
        <v>0</v>
      </c>
      <c r="F177" s="786">
        <f t="shared" si="108"/>
        <v>0</v>
      </c>
      <c r="G177" s="786">
        <f t="shared" si="109"/>
        <v>0</v>
      </c>
      <c r="H177" s="786">
        <f t="shared" si="110"/>
        <v>0</v>
      </c>
      <c r="I177" s="786">
        <f t="shared" si="111"/>
        <v>0</v>
      </c>
      <c r="J177" s="786">
        <f t="shared" si="112"/>
        <v>0</v>
      </c>
      <c r="K177" s="786">
        <f t="shared" si="113"/>
        <v>0</v>
      </c>
      <c r="L177" s="786">
        <f t="shared" si="114"/>
        <v>0</v>
      </c>
      <c r="M177" s="786">
        <f t="shared" si="115"/>
        <v>0</v>
      </c>
      <c r="N177" s="786">
        <f t="shared" si="116"/>
        <v>0</v>
      </c>
      <c r="O177" s="786">
        <f t="shared" si="117"/>
        <v>0</v>
      </c>
      <c r="P177" s="786">
        <f t="shared" si="118"/>
        <v>0</v>
      </c>
      <c r="Q177" s="786">
        <f t="shared" si="119"/>
        <v>0</v>
      </c>
      <c r="R177" s="786">
        <f t="shared" si="120"/>
        <v>0</v>
      </c>
      <c r="S177" s="786">
        <f t="shared" si="121"/>
        <v>0</v>
      </c>
      <c r="T177" s="786">
        <f t="shared" si="122"/>
        <v>0</v>
      </c>
      <c r="U177" s="786">
        <f t="shared" si="123"/>
        <v>0</v>
      </c>
      <c r="V177" s="786">
        <f t="shared" si="124"/>
        <v>0</v>
      </c>
      <c r="W177" s="786">
        <f t="shared" si="125"/>
        <v>0</v>
      </c>
      <c r="X177" s="786">
        <f t="shared" si="126"/>
        <v>0</v>
      </c>
      <c r="Y177" s="786">
        <f t="shared" si="127"/>
        <v>0</v>
      </c>
      <c r="Z177" s="786">
        <f t="shared" si="128"/>
        <v>0</v>
      </c>
      <c r="AA177" s="786">
        <f t="shared" si="129"/>
        <v>0</v>
      </c>
      <c r="AB177" s="786">
        <f t="shared" si="130"/>
        <v>0</v>
      </c>
      <c r="AC177" s="787">
        <f t="shared" si="131"/>
        <v>0</v>
      </c>
      <c r="AD177" s="785">
        <f t="shared" si="161"/>
        <v>0</v>
      </c>
      <c r="AE177" s="786">
        <f t="shared" si="132"/>
        <v>0</v>
      </c>
      <c r="AF177" s="786">
        <f t="shared" si="162"/>
        <v>0</v>
      </c>
      <c r="AG177" s="786">
        <f t="shared" si="133"/>
        <v>0</v>
      </c>
      <c r="AH177" s="787">
        <f t="shared" si="163"/>
        <v>0</v>
      </c>
      <c r="AK177" s="794">
        <v>7</v>
      </c>
      <c r="AL177" s="786">
        <f>IF(ISNUMBER(Knoten!D9),AA12,PlotData!$CB$4)</f>
        <v>0</v>
      </c>
      <c r="AM177" s="786">
        <f t="shared" si="134"/>
        <v>0</v>
      </c>
      <c r="AN177" s="786">
        <f t="shared" si="135"/>
        <v>0</v>
      </c>
      <c r="AO177" s="786">
        <f t="shared" si="136"/>
        <v>0</v>
      </c>
      <c r="AP177" s="786">
        <f t="shared" si="137"/>
        <v>0</v>
      </c>
      <c r="AQ177" s="786">
        <f t="shared" si="138"/>
        <v>0</v>
      </c>
      <c r="AR177" s="786">
        <f t="shared" si="139"/>
        <v>0</v>
      </c>
      <c r="AS177" s="786">
        <f t="shared" si="140"/>
        <v>0</v>
      </c>
      <c r="AT177" s="786">
        <f t="shared" si="141"/>
        <v>0</v>
      </c>
      <c r="AU177" s="786">
        <f t="shared" si="142"/>
        <v>0</v>
      </c>
      <c r="AV177" s="786">
        <f t="shared" si="143"/>
        <v>0</v>
      </c>
      <c r="AW177" s="786">
        <f t="shared" si="144"/>
        <v>0</v>
      </c>
      <c r="AX177" s="786">
        <f t="shared" si="145"/>
        <v>0</v>
      </c>
      <c r="AY177" s="786">
        <f t="shared" si="146"/>
        <v>0</v>
      </c>
      <c r="AZ177" s="786">
        <f t="shared" si="147"/>
        <v>0</v>
      </c>
      <c r="BA177" s="786">
        <f t="shared" si="148"/>
        <v>0</v>
      </c>
      <c r="BB177" s="786">
        <f t="shared" si="149"/>
        <v>0</v>
      </c>
      <c r="BC177" s="786">
        <f t="shared" si="150"/>
        <v>0</v>
      </c>
      <c r="BD177" s="786">
        <f t="shared" si="151"/>
        <v>0</v>
      </c>
      <c r="BE177" s="786">
        <f t="shared" si="152"/>
        <v>0</v>
      </c>
      <c r="BF177" s="786">
        <f t="shared" si="153"/>
        <v>0</v>
      </c>
      <c r="BG177" s="786">
        <f t="shared" si="154"/>
        <v>0</v>
      </c>
      <c r="BH177" s="786">
        <f t="shared" si="155"/>
        <v>0</v>
      </c>
      <c r="BI177" s="786">
        <f t="shared" si="156"/>
        <v>0</v>
      </c>
      <c r="BJ177" s="786">
        <f t="shared" si="157"/>
        <v>0</v>
      </c>
      <c r="BK177" s="786">
        <f t="shared" si="158"/>
        <v>0</v>
      </c>
      <c r="BL177" s="786">
        <f t="shared" si="159"/>
        <v>0</v>
      </c>
      <c r="BM177" s="785">
        <f t="shared" si="164"/>
        <v>0</v>
      </c>
      <c r="BN177" s="786">
        <f t="shared" si="165"/>
        <v>0</v>
      </c>
      <c r="BO177" s="786">
        <f t="shared" si="166"/>
        <v>0</v>
      </c>
      <c r="BP177" s="786">
        <f t="shared" si="160"/>
        <v>0</v>
      </c>
      <c r="BQ177" s="787">
        <f t="shared" si="167"/>
        <v>0</v>
      </c>
    </row>
    <row r="178" spans="2:69" x14ac:dyDescent="0.25">
      <c r="B178" s="794">
        <v>8</v>
      </c>
      <c r="C178" s="785">
        <f>IF(ISNUMBER(Knoten!D10),Knoten!D10-$X$1,PlotData!$CB$4)</f>
        <v>0</v>
      </c>
      <c r="D178" s="786">
        <f t="shared" si="106"/>
        <v>0</v>
      </c>
      <c r="E178" s="786">
        <f t="shared" si="107"/>
        <v>0</v>
      </c>
      <c r="F178" s="786">
        <f t="shared" si="108"/>
        <v>0</v>
      </c>
      <c r="G178" s="786">
        <f t="shared" si="109"/>
        <v>0</v>
      </c>
      <c r="H178" s="786">
        <f t="shared" si="110"/>
        <v>0</v>
      </c>
      <c r="I178" s="786">
        <f t="shared" si="111"/>
        <v>0</v>
      </c>
      <c r="J178" s="786">
        <f t="shared" si="112"/>
        <v>0</v>
      </c>
      <c r="K178" s="786">
        <f t="shared" si="113"/>
        <v>0</v>
      </c>
      <c r="L178" s="786">
        <f t="shared" si="114"/>
        <v>0</v>
      </c>
      <c r="M178" s="786">
        <f t="shared" si="115"/>
        <v>0</v>
      </c>
      <c r="N178" s="786">
        <f t="shared" si="116"/>
        <v>0</v>
      </c>
      <c r="O178" s="786">
        <f t="shared" si="117"/>
        <v>0</v>
      </c>
      <c r="P178" s="786">
        <f t="shared" si="118"/>
        <v>0</v>
      </c>
      <c r="Q178" s="786">
        <f t="shared" si="119"/>
        <v>0</v>
      </c>
      <c r="R178" s="786">
        <f t="shared" si="120"/>
        <v>0</v>
      </c>
      <c r="S178" s="786">
        <f t="shared" si="121"/>
        <v>0</v>
      </c>
      <c r="T178" s="786">
        <f t="shared" si="122"/>
        <v>0</v>
      </c>
      <c r="U178" s="786">
        <f t="shared" si="123"/>
        <v>0</v>
      </c>
      <c r="V178" s="786">
        <f t="shared" si="124"/>
        <v>0</v>
      </c>
      <c r="W178" s="786">
        <f t="shared" si="125"/>
        <v>0</v>
      </c>
      <c r="X178" s="786">
        <f t="shared" si="126"/>
        <v>0</v>
      </c>
      <c r="Y178" s="786">
        <f t="shared" si="127"/>
        <v>0</v>
      </c>
      <c r="Z178" s="786">
        <f t="shared" si="128"/>
        <v>0</v>
      </c>
      <c r="AA178" s="786">
        <f t="shared" si="129"/>
        <v>0</v>
      </c>
      <c r="AB178" s="786">
        <f t="shared" si="130"/>
        <v>0</v>
      </c>
      <c r="AC178" s="787">
        <f t="shared" si="131"/>
        <v>0</v>
      </c>
      <c r="AD178" s="785">
        <f t="shared" si="161"/>
        <v>0</v>
      </c>
      <c r="AE178" s="786">
        <f t="shared" si="132"/>
        <v>0</v>
      </c>
      <c r="AF178" s="786">
        <f t="shared" si="162"/>
        <v>0</v>
      </c>
      <c r="AG178" s="786">
        <f t="shared" si="133"/>
        <v>0</v>
      </c>
      <c r="AH178" s="787">
        <f t="shared" si="163"/>
        <v>0</v>
      </c>
      <c r="AK178" s="794">
        <v>8</v>
      </c>
      <c r="AL178" s="786">
        <f>IF(ISNUMBER(Knoten!D10),AA13,PlotData!$CB$4)</f>
        <v>0</v>
      </c>
      <c r="AM178" s="786">
        <f t="shared" si="134"/>
        <v>0</v>
      </c>
      <c r="AN178" s="786">
        <f t="shared" si="135"/>
        <v>0</v>
      </c>
      <c r="AO178" s="786">
        <f t="shared" si="136"/>
        <v>0</v>
      </c>
      <c r="AP178" s="786">
        <f t="shared" si="137"/>
        <v>0</v>
      </c>
      <c r="AQ178" s="786">
        <f t="shared" si="138"/>
        <v>0</v>
      </c>
      <c r="AR178" s="786">
        <f t="shared" si="139"/>
        <v>0</v>
      </c>
      <c r="AS178" s="786">
        <f t="shared" si="140"/>
        <v>0</v>
      </c>
      <c r="AT178" s="786">
        <f t="shared" si="141"/>
        <v>0</v>
      </c>
      <c r="AU178" s="786">
        <f t="shared" si="142"/>
        <v>0</v>
      </c>
      <c r="AV178" s="786">
        <f t="shared" si="143"/>
        <v>0</v>
      </c>
      <c r="AW178" s="786">
        <f t="shared" si="144"/>
        <v>0</v>
      </c>
      <c r="AX178" s="786">
        <f t="shared" si="145"/>
        <v>0</v>
      </c>
      <c r="AY178" s="786">
        <f t="shared" si="146"/>
        <v>0</v>
      </c>
      <c r="AZ178" s="786">
        <f t="shared" si="147"/>
        <v>0</v>
      </c>
      <c r="BA178" s="786">
        <f t="shared" si="148"/>
        <v>0</v>
      </c>
      <c r="BB178" s="786">
        <f t="shared" si="149"/>
        <v>0</v>
      </c>
      <c r="BC178" s="786">
        <f t="shared" si="150"/>
        <v>0</v>
      </c>
      <c r="BD178" s="786">
        <f t="shared" si="151"/>
        <v>0</v>
      </c>
      <c r="BE178" s="786">
        <f t="shared" si="152"/>
        <v>0</v>
      </c>
      <c r="BF178" s="786">
        <f t="shared" si="153"/>
        <v>0</v>
      </c>
      <c r="BG178" s="786">
        <f t="shared" si="154"/>
        <v>0</v>
      </c>
      <c r="BH178" s="786">
        <f t="shared" si="155"/>
        <v>0</v>
      </c>
      <c r="BI178" s="786">
        <f t="shared" si="156"/>
        <v>0</v>
      </c>
      <c r="BJ178" s="786">
        <f t="shared" si="157"/>
        <v>0</v>
      </c>
      <c r="BK178" s="786">
        <f t="shared" si="158"/>
        <v>0</v>
      </c>
      <c r="BL178" s="786">
        <f t="shared" si="159"/>
        <v>0</v>
      </c>
      <c r="BM178" s="785">
        <f t="shared" si="164"/>
        <v>0</v>
      </c>
      <c r="BN178" s="786">
        <f t="shared" si="165"/>
        <v>0</v>
      </c>
      <c r="BO178" s="786">
        <f t="shared" si="166"/>
        <v>0</v>
      </c>
      <c r="BP178" s="786">
        <f t="shared" si="160"/>
        <v>0</v>
      </c>
      <c r="BQ178" s="787">
        <f t="shared" si="167"/>
        <v>0</v>
      </c>
    </row>
    <row r="179" spans="2:69" x14ac:dyDescent="0.25">
      <c r="B179" s="794">
        <v>9</v>
      </c>
      <c r="C179" s="785">
        <f>IF(ISNUMBER(Knoten!D11),Knoten!D11-$X$1,PlotData!$CB$4)</f>
        <v>0</v>
      </c>
      <c r="D179" s="786">
        <f t="shared" si="106"/>
        <v>0</v>
      </c>
      <c r="E179" s="786">
        <f t="shared" si="107"/>
        <v>0</v>
      </c>
      <c r="F179" s="786">
        <f t="shared" si="108"/>
        <v>0</v>
      </c>
      <c r="G179" s="786">
        <f t="shared" si="109"/>
        <v>0</v>
      </c>
      <c r="H179" s="786">
        <f t="shared" si="110"/>
        <v>0</v>
      </c>
      <c r="I179" s="786">
        <f t="shared" si="111"/>
        <v>0</v>
      </c>
      <c r="J179" s="786">
        <f t="shared" si="112"/>
        <v>0</v>
      </c>
      <c r="K179" s="786">
        <f t="shared" si="113"/>
        <v>0</v>
      </c>
      <c r="L179" s="786">
        <f t="shared" si="114"/>
        <v>0</v>
      </c>
      <c r="M179" s="786">
        <f t="shared" si="115"/>
        <v>0</v>
      </c>
      <c r="N179" s="786">
        <f t="shared" si="116"/>
        <v>0</v>
      </c>
      <c r="O179" s="786">
        <f t="shared" si="117"/>
        <v>0</v>
      </c>
      <c r="P179" s="786">
        <f t="shared" si="118"/>
        <v>0</v>
      </c>
      <c r="Q179" s="786">
        <f t="shared" si="119"/>
        <v>0</v>
      </c>
      <c r="R179" s="786">
        <f t="shared" si="120"/>
        <v>0</v>
      </c>
      <c r="S179" s="786">
        <f t="shared" si="121"/>
        <v>0</v>
      </c>
      <c r="T179" s="786">
        <f t="shared" si="122"/>
        <v>0</v>
      </c>
      <c r="U179" s="786">
        <f t="shared" si="123"/>
        <v>0</v>
      </c>
      <c r="V179" s="786">
        <f t="shared" si="124"/>
        <v>0</v>
      </c>
      <c r="W179" s="786">
        <f t="shared" si="125"/>
        <v>0</v>
      </c>
      <c r="X179" s="786">
        <f t="shared" si="126"/>
        <v>0</v>
      </c>
      <c r="Y179" s="786">
        <f t="shared" si="127"/>
        <v>0</v>
      </c>
      <c r="Z179" s="786">
        <f t="shared" si="128"/>
        <v>0</v>
      </c>
      <c r="AA179" s="786">
        <f t="shared" si="129"/>
        <v>0</v>
      </c>
      <c r="AB179" s="786">
        <f t="shared" si="130"/>
        <v>0</v>
      </c>
      <c r="AC179" s="787">
        <f t="shared" si="131"/>
        <v>0</v>
      </c>
      <c r="AD179" s="785">
        <f t="shared" si="161"/>
        <v>0</v>
      </c>
      <c r="AE179" s="786">
        <f t="shared" si="132"/>
        <v>0</v>
      </c>
      <c r="AF179" s="786">
        <f t="shared" si="162"/>
        <v>0</v>
      </c>
      <c r="AG179" s="786">
        <f t="shared" si="133"/>
        <v>0</v>
      </c>
      <c r="AH179" s="787">
        <f t="shared" si="163"/>
        <v>0</v>
      </c>
      <c r="AK179" s="794">
        <v>9</v>
      </c>
      <c r="AL179" s="786">
        <f>IF(ISNUMBER(Knoten!D11),AA14,PlotData!$CB$4)</f>
        <v>0</v>
      </c>
      <c r="AM179" s="786">
        <f t="shared" si="134"/>
        <v>0</v>
      </c>
      <c r="AN179" s="786">
        <f t="shared" si="135"/>
        <v>0</v>
      </c>
      <c r="AO179" s="786">
        <f t="shared" si="136"/>
        <v>0</v>
      </c>
      <c r="AP179" s="786">
        <f t="shared" si="137"/>
        <v>0</v>
      </c>
      <c r="AQ179" s="786">
        <f t="shared" si="138"/>
        <v>0</v>
      </c>
      <c r="AR179" s="786">
        <f t="shared" si="139"/>
        <v>0</v>
      </c>
      <c r="AS179" s="786">
        <f t="shared" si="140"/>
        <v>0</v>
      </c>
      <c r="AT179" s="786">
        <f t="shared" si="141"/>
        <v>0</v>
      </c>
      <c r="AU179" s="786">
        <f t="shared" si="142"/>
        <v>0</v>
      </c>
      <c r="AV179" s="786">
        <f t="shared" si="143"/>
        <v>0</v>
      </c>
      <c r="AW179" s="786">
        <f t="shared" si="144"/>
        <v>0</v>
      </c>
      <c r="AX179" s="786">
        <f t="shared" si="145"/>
        <v>0</v>
      </c>
      <c r="AY179" s="786">
        <f t="shared" si="146"/>
        <v>0</v>
      </c>
      <c r="AZ179" s="786">
        <f t="shared" si="147"/>
        <v>0</v>
      </c>
      <c r="BA179" s="786">
        <f t="shared" si="148"/>
        <v>0</v>
      </c>
      <c r="BB179" s="786">
        <f t="shared" si="149"/>
        <v>0</v>
      </c>
      <c r="BC179" s="786">
        <f t="shared" si="150"/>
        <v>0</v>
      </c>
      <c r="BD179" s="786">
        <f t="shared" si="151"/>
        <v>0</v>
      </c>
      <c r="BE179" s="786">
        <f t="shared" si="152"/>
        <v>0</v>
      </c>
      <c r="BF179" s="786">
        <f t="shared" si="153"/>
        <v>0</v>
      </c>
      <c r="BG179" s="786">
        <f t="shared" si="154"/>
        <v>0</v>
      </c>
      <c r="BH179" s="786">
        <f t="shared" si="155"/>
        <v>0</v>
      </c>
      <c r="BI179" s="786">
        <f t="shared" si="156"/>
        <v>0</v>
      </c>
      <c r="BJ179" s="786">
        <f t="shared" si="157"/>
        <v>0</v>
      </c>
      <c r="BK179" s="786">
        <f t="shared" si="158"/>
        <v>0</v>
      </c>
      <c r="BL179" s="786">
        <f t="shared" si="159"/>
        <v>0</v>
      </c>
      <c r="BM179" s="785">
        <f t="shared" si="164"/>
        <v>0</v>
      </c>
      <c r="BN179" s="786">
        <f t="shared" si="165"/>
        <v>0</v>
      </c>
      <c r="BO179" s="786">
        <f t="shared" si="166"/>
        <v>0</v>
      </c>
      <c r="BP179" s="786">
        <f t="shared" si="160"/>
        <v>0</v>
      </c>
      <c r="BQ179" s="787">
        <f t="shared" si="167"/>
        <v>0</v>
      </c>
    </row>
    <row r="180" spans="2:69" x14ac:dyDescent="0.25">
      <c r="B180" s="794">
        <v>10</v>
      </c>
      <c r="C180" s="785">
        <f>IF(ISNUMBER(Knoten!D12),Knoten!D12-$X$1,PlotData!$CB$4)</f>
        <v>0</v>
      </c>
      <c r="D180" s="786">
        <f t="shared" si="106"/>
        <v>0</v>
      </c>
      <c r="E180" s="786">
        <f t="shared" si="107"/>
        <v>0</v>
      </c>
      <c r="F180" s="786">
        <f t="shared" si="108"/>
        <v>0</v>
      </c>
      <c r="G180" s="786">
        <f t="shared" si="109"/>
        <v>0</v>
      </c>
      <c r="H180" s="786">
        <f t="shared" si="110"/>
        <v>0</v>
      </c>
      <c r="I180" s="786">
        <f t="shared" si="111"/>
        <v>0</v>
      </c>
      <c r="J180" s="786">
        <f t="shared" si="112"/>
        <v>0</v>
      </c>
      <c r="K180" s="786">
        <f t="shared" si="113"/>
        <v>0</v>
      </c>
      <c r="L180" s="786">
        <f t="shared" si="114"/>
        <v>0</v>
      </c>
      <c r="M180" s="786">
        <f t="shared" si="115"/>
        <v>0</v>
      </c>
      <c r="N180" s="786">
        <f t="shared" si="116"/>
        <v>0</v>
      </c>
      <c r="O180" s="786">
        <f t="shared" si="117"/>
        <v>0</v>
      </c>
      <c r="P180" s="786">
        <f t="shared" si="118"/>
        <v>0</v>
      </c>
      <c r="Q180" s="786">
        <f t="shared" si="119"/>
        <v>0</v>
      </c>
      <c r="R180" s="786">
        <f t="shared" si="120"/>
        <v>0</v>
      </c>
      <c r="S180" s="786">
        <f t="shared" si="121"/>
        <v>0</v>
      </c>
      <c r="T180" s="786">
        <f t="shared" si="122"/>
        <v>0</v>
      </c>
      <c r="U180" s="786">
        <f t="shared" si="123"/>
        <v>0</v>
      </c>
      <c r="V180" s="786">
        <f t="shared" si="124"/>
        <v>0</v>
      </c>
      <c r="W180" s="786">
        <f t="shared" si="125"/>
        <v>0</v>
      </c>
      <c r="X180" s="786">
        <f t="shared" si="126"/>
        <v>0</v>
      </c>
      <c r="Y180" s="786">
        <f t="shared" si="127"/>
        <v>0</v>
      </c>
      <c r="Z180" s="786">
        <f t="shared" si="128"/>
        <v>0</v>
      </c>
      <c r="AA180" s="786">
        <f t="shared" si="129"/>
        <v>0</v>
      </c>
      <c r="AB180" s="786">
        <f t="shared" si="130"/>
        <v>0</v>
      </c>
      <c r="AC180" s="787">
        <f t="shared" si="131"/>
        <v>0</v>
      </c>
      <c r="AD180" s="785">
        <f t="shared" si="161"/>
        <v>0</v>
      </c>
      <c r="AE180" s="786">
        <f t="shared" si="132"/>
        <v>0</v>
      </c>
      <c r="AF180" s="786">
        <f t="shared" si="162"/>
        <v>0</v>
      </c>
      <c r="AG180" s="786">
        <f t="shared" si="133"/>
        <v>0</v>
      </c>
      <c r="AH180" s="787">
        <f t="shared" si="163"/>
        <v>0</v>
      </c>
      <c r="AK180" s="794">
        <v>10</v>
      </c>
      <c r="AL180" s="786">
        <f>IF(ISNUMBER(Knoten!D12),AA15,PlotData!$CB$4)</f>
        <v>0</v>
      </c>
      <c r="AM180" s="786">
        <f t="shared" si="134"/>
        <v>0</v>
      </c>
      <c r="AN180" s="786">
        <f t="shared" si="135"/>
        <v>0</v>
      </c>
      <c r="AO180" s="786">
        <f t="shared" si="136"/>
        <v>0</v>
      </c>
      <c r="AP180" s="786">
        <f t="shared" si="137"/>
        <v>0</v>
      </c>
      <c r="AQ180" s="786">
        <f t="shared" si="138"/>
        <v>0</v>
      </c>
      <c r="AR180" s="786">
        <f t="shared" si="139"/>
        <v>0</v>
      </c>
      <c r="AS180" s="786">
        <f t="shared" si="140"/>
        <v>0</v>
      </c>
      <c r="AT180" s="786">
        <f t="shared" si="141"/>
        <v>0</v>
      </c>
      <c r="AU180" s="786">
        <f t="shared" si="142"/>
        <v>0</v>
      </c>
      <c r="AV180" s="786">
        <f t="shared" si="143"/>
        <v>0</v>
      </c>
      <c r="AW180" s="786">
        <f t="shared" si="144"/>
        <v>0</v>
      </c>
      <c r="AX180" s="786">
        <f t="shared" si="145"/>
        <v>0</v>
      </c>
      <c r="AY180" s="786">
        <f t="shared" si="146"/>
        <v>0</v>
      </c>
      <c r="AZ180" s="786">
        <f t="shared" si="147"/>
        <v>0</v>
      </c>
      <c r="BA180" s="786">
        <f t="shared" si="148"/>
        <v>0</v>
      </c>
      <c r="BB180" s="786">
        <f t="shared" si="149"/>
        <v>0</v>
      </c>
      <c r="BC180" s="786">
        <f t="shared" si="150"/>
        <v>0</v>
      </c>
      <c r="BD180" s="786">
        <f t="shared" si="151"/>
        <v>0</v>
      </c>
      <c r="BE180" s="786">
        <f t="shared" si="152"/>
        <v>0</v>
      </c>
      <c r="BF180" s="786">
        <f t="shared" si="153"/>
        <v>0</v>
      </c>
      <c r="BG180" s="786">
        <f t="shared" si="154"/>
        <v>0</v>
      </c>
      <c r="BH180" s="786">
        <f t="shared" si="155"/>
        <v>0</v>
      </c>
      <c r="BI180" s="786">
        <f t="shared" si="156"/>
        <v>0</v>
      </c>
      <c r="BJ180" s="786">
        <f t="shared" si="157"/>
        <v>0</v>
      </c>
      <c r="BK180" s="786">
        <f t="shared" si="158"/>
        <v>0</v>
      </c>
      <c r="BL180" s="786">
        <f t="shared" si="159"/>
        <v>0</v>
      </c>
      <c r="BM180" s="785">
        <f t="shared" si="164"/>
        <v>0</v>
      </c>
      <c r="BN180" s="786">
        <f t="shared" si="165"/>
        <v>0</v>
      </c>
      <c r="BO180" s="786">
        <f t="shared" si="166"/>
        <v>0</v>
      </c>
      <c r="BP180" s="786">
        <f t="shared" si="160"/>
        <v>0</v>
      </c>
      <c r="BQ180" s="787">
        <f t="shared" si="167"/>
        <v>0</v>
      </c>
    </row>
    <row r="181" spans="2:69" x14ac:dyDescent="0.25">
      <c r="B181" s="794">
        <v>11</v>
      </c>
      <c r="C181" s="785">
        <f>IF(ISNUMBER(Knoten!D13),Knoten!D13-$X$1,PlotData!$CB$4)</f>
        <v>0</v>
      </c>
      <c r="D181" s="786">
        <f t="shared" si="106"/>
        <v>0</v>
      </c>
      <c r="E181" s="786">
        <f t="shared" si="107"/>
        <v>0</v>
      </c>
      <c r="F181" s="786">
        <f t="shared" si="108"/>
        <v>0</v>
      </c>
      <c r="G181" s="786">
        <f t="shared" si="109"/>
        <v>0</v>
      </c>
      <c r="H181" s="786">
        <f t="shared" si="110"/>
        <v>0</v>
      </c>
      <c r="I181" s="786">
        <f t="shared" si="111"/>
        <v>0</v>
      </c>
      <c r="J181" s="786">
        <f t="shared" si="112"/>
        <v>0</v>
      </c>
      <c r="K181" s="786">
        <f t="shared" si="113"/>
        <v>0</v>
      </c>
      <c r="L181" s="786">
        <f t="shared" si="114"/>
        <v>0</v>
      </c>
      <c r="M181" s="786">
        <f t="shared" si="115"/>
        <v>0</v>
      </c>
      <c r="N181" s="786">
        <f t="shared" si="116"/>
        <v>0</v>
      </c>
      <c r="O181" s="786">
        <f t="shared" si="117"/>
        <v>0</v>
      </c>
      <c r="P181" s="786">
        <f t="shared" si="118"/>
        <v>0</v>
      </c>
      <c r="Q181" s="786">
        <f t="shared" si="119"/>
        <v>0</v>
      </c>
      <c r="R181" s="786">
        <f t="shared" si="120"/>
        <v>0</v>
      </c>
      <c r="S181" s="786">
        <f t="shared" si="121"/>
        <v>0</v>
      </c>
      <c r="T181" s="786">
        <f t="shared" si="122"/>
        <v>0</v>
      </c>
      <c r="U181" s="786">
        <f t="shared" si="123"/>
        <v>0</v>
      </c>
      <c r="V181" s="786">
        <f t="shared" si="124"/>
        <v>0</v>
      </c>
      <c r="W181" s="786">
        <f t="shared" si="125"/>
        <v>0</v>
      </c>
      <c r="X181" s="786">
        <f t="shared" si="126"/>
        <v>0</v>
      </c>
      <c r="Y181" s="786">
        <f t="shared" si="127"/>
        <v>0</v>
      </c>
      <c r="Z181" s="786">
        <f t="shared" si="128"/>
        <v>0</v>
      </c>
      <c r="AA181" s="786">
        <f t="shared" si="129"/>
        <v>0</v>
      </c>
      <c r="AB181" s="786">
        <f t="shared" si="130"/>
        <v>0</v>
      </c>
      <c r="AC181" s="787">
        <f t="shared" si="131"/>
        <v>0</v>
      </c>
      <c r="AD181" s="785">
        <f t="shared" si="161"/>
        <v>0</v>
      </c>
      <c r="AE181" s="786">
        <f t="shared" si="132"/>
        <v>0</v>
      </c>
      <c r="AF181" s="786">
        <f t="shared" si="162"/>
        <v>0</v>
      </c>
      <c r="AG181" s="786">
        <f t="shared" si="133"/>
        <v>0</v>
      </c>
      <c r="AH181" s="787">
        <f t="shared" si="163"/>
        <v>0</v>
      </c>
      <c r="AK181" s="794">
        <v>11</v>
      </c>
      <c r="AL181" s="786">
        <f>IF(ISNUMBER(Knoten!D13),AA16,PlotData!$CB$4)</f>
        <v>0</v>
      </c>
      <c r="AM181" s="786">
        <f t="shared" si="134"/>
        <v>0</v>
      </c>
      <c r="AN181" s="786">
        <f t="shared" si="135"/>
        <v>0</v>
      </c>
      <c r="AO181" s="786">
        <f t="shared" si="136"/>
        <v>0</v>
      </c>
      <c r="AP181" s="786">
        <f t="shared" si="137"/>
        <v>0</v>
      </c>
      <c r="AQ181" s="786">
        <f t="shared" si="138"/>
        <v>0</v>
      </c>
      <c r="AR181" s="786">
        <f t="shared" si="139"/>
        <v>0</v>
      </c>
      <c r="AS181" s="786">
        <f t="shared" si="140"/>
        <v>0</v>
      </c>
      <c r="AT181" s="786">
        <f t="shared" si="141"/>
        <v>0</v>
      </c>
      <c r="AU181" s="786">
        <f t="shared" si="142"/>
        <v>0</v>
      </c>
      <c r="AV181" s="786">
        <f t="shared" si="143"/>
        <v>0</v>
      </c>
      <c r="AW181" s="786">
        <f t="shared" si="144"/>
        <v>0</v>
      </c>
      <c r="AX181" s="786">
        <f t="shared" si="145"/>
        <v>0</v>
      </c>
      <c r="AY181" s="786">
        <f t="shared" si="146"/>
        <v>0</v>
      </c>
      <c r="AZ181" s="786">
        <f t="shared" si="147"/>
        <v>0</v>
      </c>
      <c r="BA181" s="786">
        <f t="shared" si="148"/>
        <v>0</v>
      </c>
      <c r="BB181" s="786">
        <f t="shared" si="149"/>
        <v>0</v>
      </c>
      <c r="BC181" s="786">
        <f t="shared" si="150"/>
        <v>0</v>
      </c>
      <c r="BD181" s="786">
        <f t="shared" si="151"/>
        <v>0</v>
      </c>
      <c r="BE181" s="786">
        <f t="shared" si="152"/>
        <v>0</v>
      </c>
      <c r="BF181" s="786">
        <f t="shared" si="153"/>
        <v>0</v>
      </c>
      <c r="BG181" s="786">
        <f t="shared" si="154"/>
        <v>0</v>
      </c>
      <c r="BH181" s="786">
        <f t="shared" si="155"/>
        <v>0</v>
      </c>
      <c r="BI181" s="786">
        <f t="shared" si="156"/>
        <v>0</v>
      </c>
      <c r="BJ181" s="786">
        <f t="shared" si="157"/>
        <v>0</v>
      </c>
      <c r="BK181" s="786">
        <f t="shared" si="158"/>
        <v>0</v>
      </c>
      <c r="BL181" s="786">
        <f t="shared" si="159"/>
        <v>0</v>
      </c>
      <c r="BM181" s="785">
        <f t="shared" si="164"/>
        <v>0</v>
      </c>
      <c r="BN181" s="786">
        <f t="shared" si="165"/>
        <v>0</v>
      </c>
      <c r="BO181" s="786">
        <f t="shared" si="166"/>
        <v>0</v>
      </c>
      <c r="BP181" s="786">
        <f t="shared" si="160"/>
        <v>0</v>
      </c>
      <c r="BQ181" s="787">
        <f t="shared" si="167"/>
        <v>0</v>
      </c>
    </row>
    <row r="182" spans="2:69" x14ac:dyDescent="0.25">
      <c r="B182" s="794">
        <v>12</v>
      </c>
      <c r="C182" s="785">
        <f>IF(ISNUMBER(Knoten!D14),Knoten!D14-$X$1,PlotData!$CB$4)</f>
        <v>0</v>
      </c>
      <c r="D182" s="786">
        <f t="shared" si="106"/>
        <v>0</v>
      </c>
      <c r="E182" s="786">
        <f t="shared" si="107"/>
        <v>0</v>
      </c>
      <c r="F182" s="786">
        <f t="shared" si="108"/>
        <v>0</v>
      </c>
      <c r="G182" s="786">
        <f t="shared" si="109"/>
        <v>0</v>
      </c>
      <c r="H182" s="786">
        <f t="shared" si="110"/>
        <v>0</v>
      </c>
      <c r="I182" s="786">
        <f t="shared" si="111"/>
        <v>0</v>
      </c>
      <c r="J182" s="786">
        <f t="shared" si="112"/>
        <v>0</v>
      </c>
      <c r="K182" s="786">
        <f t="shared" si="113"/>
        <v>0</v>
      </c>
      <c r="L182" s="786">
        <f t="shared" si="114"/>
        <v>0</v>
      </c>
      <c r="M182" s="786">
        <f t="shared" si="115"/>
        <v>0</v>
      </c>
      <c r="N182" s="786">
        <f t="shared" si="116"/>
        <v>0</v>
      </c>
      <c r="O182" s="786">
        <f t="shared" si="117"/>
        <v>0</v>
      </c>
      <c r="P182" s="786">
        <f t="shared" si="118"/>
        <v>0</v>
      </c>
      <c r="Q182" s="786">
        <f t="shared" si="119"/>
        <v>0</v>
      </c>
      <c r="R182" s="786">
        <f t="shared" si="120"/>
        <v>0</v>
      </c>
      <c r="S182" s="786">
        <f t="shared" si="121"/>
        <v>0</v>
      </c>
      <c r="T182" s="786">
        <f t="shared" si="122"/>
        <v>0</v>
      </c>
      <c r="U182" s="786">
        <f t="shared" si="123"/>
        <v>0</v>
      </c>
      <c r="V182" s="786">
        <f t="shared" si="124"/>
        <v>0</v>
      </c>
      <c r="W182" s="786">
        <f t="shared" si="125"/>
        <v>0</v>
      </c>
      <c r="X182" s="786">
        <f t="shared" si="126"/>
        <v>0</v>
      </c>
      <c r="Y182" s="786">
        <f t="shared" si="127"/>
        <v>0</v>
      </c>
      <c r="Z182" s="786">
        <f t="shared" si="128"/>
        <v>0</v>
      </c>
      <c r="AA182" s="786">
        <f t="shared" si="129"/>
        <v>0</v>
      </c>
      <c r="AB182" s="786">
        <f t="shared" si="130"/>
        <v>0</v>
      </c>
      <c r="AC182" s="787">
        <f t="shared" si="131"/>
        <v>0</v>
      </c>
      <c r="AD182" s="785">
        <f t="shared" si="161"/>
        <v>0</v>
      </c>
      <c r="AE182" s="786">
        <f t="shared" si="132"/>
        <v>0</v>
      </c>
      <c r="AF182" s="786">
        <f t="shared" si="162"/>
        <v>0</v>
      </c>
      <c r="AG182" s="786">
        <f t="shared" si="133"/>
        <v>0</v>
      </c>
      <c r="AH182" s="787">
        <f t="shared" si="163"/>
        <v>0</v>
      </c>
      <c r="AK182" s="794">
        <v>12</v>
      </c>
      <c r="AL182" s="786">
        <f>IF(ISNUMBER(Knoten!D14),AA17,PlotData!$CB$4)</f>
        <v>0</v>
      </c>
      <c r="AM182" s="786">
        <f t="shared" si="134"/>
        <v>0</v>
      </c>
      <c r="AN182" s="786">
        <f t="shared" si="135"/>
        <v>0</v>
      </c>
      <c r="AO182" s="786">
        <f t="shared" si="136"/>
        <v>0</v>
      </c>
      <c r="AP182" s="786">
        <f t="shared" si="137"/>
        <v>0</v>
      </c>
      <c r="AQ182" s="786">
        <f t="shared" si="138"/>
        <v>0</v>
      </c>
      <c r="AR182" s="786">
        <f t="shared" si="139"/>
        <v>0</v>
      </c>
      <c r="AS182" s="786">
        <f t="shared" si="140"/>
        <v>0</v>
      </c>
      <c r="AT182" s="786">
        <f t="shared" si="141"/>
        <v>0</v>
      </c>
      <c r="AU182" s="786">
        <f t="shared" si="142"/>
        <v>0</v>
      </c>
      <c r="AV182" s="786">
        <f t="shared" si="143"/>
        <v>0</v>
      </c>
      <c r="AW182" s="786">
        <f t="shared" si="144"/>
        <v>0</v>
      </c>
      <c r="AX182" s="786">
        <f t="shared" si="145"/>
        <v>0</v>
      </c>
      <c r="AY182" s="786">
        <f t="shared" si="146"/>
        <v>0</v>
      </c>
      <c r="AZ182" s="786">
        <f t="shared" si="147"/>
        <v>0</v>
      </c>
      <c r="BA182" s="786">
        <f t="shared" si="148"/>
        <v>0</v>
      </c>
      <c r="BB182" s="786">
        <f t="shared" si="149"/>
        <v>0</v>
      </c>
      <c r="BC182" s="786">
        <f t="shared" si="150"/>
        <v>0</v>
      </c>
      <c r="BD182" s="786">
        <f t="shared" si="151"/>
        <v>0</v>
      </c>
      <c r="BE182" s="786">
        <f t="shared" si="152"/>
        <v>0</v>
      </c>
      <c r="BF182" s="786">
        <f t="shared" si="153"/>
        <v>0</v>
      </c>
      <c r="BG182" s="786">
        <f t="shared" si="154"/>
        <v>0</v>
      </c>
      <c r="BH182" s="786">
        <f t="shared" si="155"/>
        <v>0</v>
      </c>
      <c r="BI182" s="786">
        <f t="shared" si="156"/>
        <v>0</v>
      </c>
      <c r="BJ182" s="786">
        <f t="shared" si="157"/>
        <v>0</v>
      </c>
      <c r="BK182" s="786">
        <f t="shared" si="158"/>
        <v>0</v>
      </c>
      <c r="BL182" s="786">
        <f t="shared" si="159"/>
        <v>0</v>
      </c>
      <c r="BM182" s="785">
        <f t="shared" si="164"/>
        <v>0</v>
      </c>
      <c r="BN182" s="786">
        <f t="shared" si="165"/>
        <v>0</v>
      </c>
      <c r="BO182" s="786">
        <f t="shared" si="166"/>
        <v>0</v>
      </c>
      <c r="BP182" s="786">
        <f t="shared" si="160"/>
        <v>0</v>
      </c>
      <c r="BQ182" s="787">
        <f t="shared" si="167"/>
        <v>0</v>
      </c>
    </row>
    <row r="183" spans="2:69" x14ac:dyDescent="0.25">
      <c r="B183" s="794">
        <v>13</v>
      </c>
      <c r="C183" s="785">
        <f>IF(ISNUMBER(Knoten!D15),Knoten!D15-$X$1,PlotData!$CB$4)</f>
        <v>0</v>
      </c>
      <c r="D183" s="786">
        <f t="shared" si="106"/>
        <v>0</v>
      </c>
      <c r="E183" s="786">
        <f t="shared" si="107"/>
        <v>0</v>
      </c>
      <c r="F183" s="786">
        <f t="shared" si="108"/>
        <v>0</v>
      </c>
      <c r="G183" s="786">
        <f t="shared" si="109"/>
        <v>0</v>
      </c>
      <c r="H183" s="786">
        <f t="shared" si="110"/>
        <v>0</v>
      </c>
      <c r="I183" s="786">
        <f t="shared" si="111"/>
        <v>0</v>
      </c>
      <c r="J183" s="786">
        <f t="shared" si="112"/>
        <v>0</v>
      </c>
      <c r="K183" s="786">
        <f t="shared" si="113"/>
        <v>0</v>
      </c>
      <c r="L183" s="786">
        <f t="shared" si="114"/>
        <v>0</v>
      </c>
      <c r="M183" s="786">
        <f t="shared" si="115"/>
        <v>0</v>
      </c>
      <c r="N183" s="786">
        <f t="shared" si="116"/>
        <v>0</v>
      </c>
      <c r="O183" s="786">
        <f t="shared" si="117"/>
        <v>0</v>
      </c>
      <c r="P183" s="786">
        <f t="shared" si="118"/>
        <v>0</v>
      </c>
      <c r="Q183" s="786">
        <f t="shared" si="119"/>
        <v>0</v>
      </c>
      <c r="R183" s="786">
        <f t="shared" si="120"/>
        <v>0</v>
      </c>
      <c r="S183" s="786">
        <f t="shared" si="121"/>
        <v>0</v>
      </c>
      <c r="T183" s="786">
        <f t="shared" si="122"/>
        <v>0</v>
      </c>
      <c r="U183" s="786">
        <f t="shared" si="123"/>
        <v>0</v>
      </c>
      <c r="V183" s="786">
        <f t="shared" si="124"/>
        <v>0</v>
      </c>
      <c r="W183" s="786">
        <f t="shared" si="125"/>
        <v>0</v>
      </c>
      <c r="X183" s="786">
        <f t="shared" si="126"/>
        <v>0</v>
      </c>
      <c r="Y183" s="786">
        <f t="shared" si="127"/>
        <v>0</v>
      </c>
      <c r="Z183" s="786">
        <f t="shared" si="128"/>
        <v>0</v>
      </c>
      <c r="AA183" s="786">
        <f t="shared" si="129"/>
        <v>0</v>
      </c>
      <c r="AB183" s="786">
        <f t="shared" si="130"/>
        <v>0</v>
      </c>
      <c r="AC183" s="787">
        <f t="shared" si="131"/>
        <v>0</v>
      </c>
      <c r="AD183" s="785">
        <f t="shared" si="161"/>
        <v>0</v>
      </c>
      <c r="AE183" s="786">
        <f t="shared" si="132"/>
        <v>0</v>
      </c>
      <c r="AF183" s="786">
        <f t="shared" si="162"/>
        <v>0</v>
      </c>
      <c r="AG183" s="786">
        <f t="shared" si="133"/>
        <v>0</v>
      </c>
      <c r="AH183" s="787">
        <f t="shared" si="163"/>
        <v>0</v>
      </c>
      <c r="AK183" s="794">
        <v>13</v>
      </c>
      <c r="AL183" s="786">
        <f>IF(ISNUMBER(Knoten!D15),AA18,PlotData!$CB$4)</f>
        <v>0</v>
      </c>
      <c r="AM183" s="786">
        <f t="shared" si="134"/>
        <v>0</v>
      </c>
      <c r="AN183" s="786">
        <f t="shared" si="135"/>
        <v>0</v>
      </c>
      <c r="AO183" s="786">
        <f t="shared" si="136"/>
        <v>0</v>
      </c>
      <c r="AP183" s="786">
        <f t="shared" si="137"/>
        <v>0</v>
      </c>
      <c r="AQ183" s="786">
        <f t="shared" si="138"/>
        <v>0</v>
      </c>
      <c r="AR183" s="786">
        <f t="shared" si="139"/>
        <v>0</v>
      </c>
      <c r="AS183" s="786">
        <f t="shared" si="140"/>
        <v>0</v>
      </c>
      <c r="AT183" s="786">
        <f t="shared" si="141"/>
        <v>0</v>
      </c>
      <c r="AU183" s="786">
        <f t="shared" si="142"/>
        <v>0</v>
      </c>
      <c r="AV183" s="786">
        <f t="shared" si="143"/>
        <v>0</v>
      </c>
      <c r="AW183" s="786">
        <f t="shared" si="144"/>
        <v>0</v>
      </c>
      <c r="AX183" s="786">
        <f t="shared" si="145"/>
        <v>0</v>
      </c>
      <c r="AY183" s="786">
        <f t="shared" si="146"/>
        <v>0</v>
      </c>
      <c r="AZ183" s="786">
        <f t="shared" si="147"/>
        <v>0</v>
      </c>
      <c r="BA183" s="786">
        <f t="shared" si="148"/>
        <v>0</v>
      </c>
      <c r="BB183" s="786">
        <f t="shared" si="149"/>
        <v>0</v>
      </c>
      <c r="BC183" s="786">
        <f t="shared" si="150"/>
        <v>0</v>
      </c>
      <c r="BD183" s="786">
        <f t="shared" si="151"/>
        <v>0</v>
      </c>
      <c r="BE183" s="786">
        <f t="shared" si="152"/>
        <v>0</v>
      </c>
      <c r="BF183" s="786">
        <f t="shared" si="153"/>
        <v>0</v>
      </c>
      <c r="BG183" s="786">
        <f t="shared" si="154"/>
        <v>0</v>
      </c>
      <c r="BH183" s="786">
        <f t="shared" si="155"/>
        <v>0</v>
      </c>
      <c r="BI183" s="786">
        <f t="shared" si="156"/>
        <v>0</v>
      </c>
      <c r="BJ183" s="786">
        <f t="shared" si="157"/>
        <v>0</v>
      </c>
      <c r="BK183" s="786">
        <f t="shared" si="158"/>
        <v>0</v>
      </c>
      <c r="BL183" s="786">
        <f t="shared" si="159"/>
        <v>0</v>
      </c>
      <c r="BM183" s="785">
        <f t="shared" si="164"/>
        <v>0</v>
      </c>
      <c r="BN183" s="786">
        <f t="shared" si="165"/>
        <v>0</v>
      </c>
      <c r="BO183" s="786">
        <f t="shared" si="166"/>
        <v>0</v>
      </c>
      <c r="BP183" s="786">
        <f t="shared" si="160"/>
        <v>0</v>
      </c>
      <c r="BQ183" s="787">
        <f t="shared" si="167"/>
        <v>0</v>
      </c>
    </row>
    <row r="184" spans="2:69" x14ac:dyDescent="0.25">
      <c r="B184" s="794">
        <v>14</v>
      </c>
      <c r="C184" s="785">
        <f>IF(ISNUMBER(Knoten!D16),Knoten!D16-$X$1,PlotData!$CB$4)</f>
        <v>0</v>
      </c>
      <c r="D184" s="786">
        <f t="shared" si="106"/>
        <v>0</v>
      </c>
      <c r="E184" s="786">
        <f t="shared" si="107"/>
        <v>0</v>
      </c>
      <c r="F184" s="786">
        <f t="shared" si="108"/>
        <v>0</v>
      </c>
      <c r="G184" s="786">
        <f t="shared" si="109"/>
        <v>0</v>
      </c>
      <c r="H184" s="786">
        <f t="shared" si="110"/>
        <v>0</v>
      </c>
      <c r="I184" s="786">
        <f t="shared" si="111"/>
        <v>0</v>
      </c>
      <c r="J184" s="786">
        <f t="shared" si="112"/>
        <v>0</v>
      </c>
      <c r="K184" s="786">
        <f t="shared" si="113"/>
        <v>0</v>
      </c>
      <c r="L184" s="786">
        <f t="shared" si="114"/>
        <v>0</v>
      </c>
      <c r="M184" s="786">
        <f t="shared" si="115"/>
        <v>0</v>
      </c>
      <c r="N184" s="786">
        <f t="shared" si="116"/>
        <v>0</v>
      </c>
      <c r="O184" s="786">
        <f t="shared" si="117"/>
        <v>0</v>
      </c>
      <c r="P184" s="786">
        <f t="shared" si="118"/>
        <v>0</v>
      </c>
      <c r="Q184" s="786">
        <f t="shared" si="119"/>
        <v>0</v>
      </c>
      <c r="R184" s="786">
        <f t="shared" si="120"/>
        <v>0</v>
      </c>
      <c r="S184" s="786">
        <f t="shared" si="121"/>
        <v>0</v>
      </c>
      <c r="T184" s="786">
        <f t="shared" si="122"/>
        <v>0</v>
      </c>
      <c r="U184" s="786">
        <f t="shared" si="123"/>
        <v>0</v>
      </c>
      <c r="V184" s="786">
        <f t="shared" si="124"/>
        <v>0</v>
      </c>
      <c r="W184" s="786">
        <f t="shared" si="125"/>
        <v>0</v>
      </c>
      <c r="X184" s="786">
        <f t="shared" si="126"/>
        <v>0</v>
      </c>
      <c r="Y184" s="786">
        <f t="shared" si="127"/>
        <v>0</v>
      </c>
      <c r="Z184" s="786">
        <f t="shared" si="128"/>
        <v>0</v>
      </c>
      <c r="AA184" s="786">
        <f t="shared" si="129"/>
        <v>0</v>
      </c>
      <c r="AB184" s="786">
        <f t="shared" si="130"/>
        <v>0</v>
      </c>
      <c r="AC184" s="787">
        <f t="shared" si="131"/>
        <v>0</v>
      </c>
      <c r="AD184" s="785">
        <f t="shared" si="161"/>
        <v>0</v>
      </c>
      <c r="AE184" s="786">
        <f t="shared" si="132"/>
        <v>0</v>
      </c>
      <c r="AF184" s="786">
        <f t="shared" si="162"/>
        <v>0</v>
      </c>
      <c r="AG184" s="786">
        <f t="shared" si="133"/>
        <v>0</v>
      </c>
      <c r="AH184" s="787">
        <f t="shared" si="163"/>
        <v>0</v>
      </c>
      <c r="AK184" s="794">
        <v>14</v>
      </c>
      <c r="AL184" s="786">
        <f>IF(ISNUMBER(Knoten!D16),AA19,PlotData!$CB$4)</f>
        <v>0</v>
      </c>
      <c r="AM184" s="786">
        <f t="shared" si="134"/>
        <v>0</v>
      </c>
      <c r="AN184" s="786">
        <f t="shared" si="135"/>
        <v>0</v>
      </c>
      <c r="AO184" s="786">
        <f t="shared" si="136"/>
        <v>0</v>
      </c>
      <c r="AP184" s="786">
        <f t="shared" si="137"/>
        <v>0</v>
      </c>
      <c r="AQ184" s="786">
        <f t="shared" si="138"/>
        <v>0</v>
      </c>
      <c r="AR184" s="786">
        <f t="shared" si="139"/>
        <v>0</v>
      </c>
      <c r="AS184" s="786">
        <f t="shared" si="140"/>
        <v>0</v>
      </c>
      <c r="AT184" s="786">
        <f t="shared" si="141"/>
        <v>0</v>
      </c>
      <c r="AU184" s="786">
        <f t="shared" si="142"/>
        <v>0</v>
      </c>
      <c r="AV184" s="786">
        <f t="shared" si="143"/>
        <v>0</v>
      </c>
      <c r="AW184" s="786">
        <f t="shared" si="144"/>
        <v>0</v>
      </c>
      <c r="AX184" s="786">
        <f t="shared" si="145"/>
        <v>0</v>
      </c>
      <c r="AY184" s="786">
        <f t="shared" si="146"/>
        <v>0</v>
      </c>
      <c r="AZ184" s="786">
        <f t="shared" si="147"/>
        <v>0</v>
      </c>
      <c r="BA184" s="786">
        <f t="shared" si="148"/>
        <v>0</v>
      </c>
      <c r="BB184" s="786">
        <f t="shared" si="149"/>
        <v>0</v>
      </c>
      <c r="BC184" s="786">
        <f t="shared" si="150"/>
        <v>0</v>
      </c>
      <c r="BD184" s="786">
        <f t="shared" si="151"/>
        <v>0</v>
      </c>
      <c r="BE184" s="786">
        <f t="shared" si="152"/>
        <v>0</v>
      </c>
      <c r="BF184" s="786">
        <f t="shared" si="153"/>
        <v>0</v>
      </c>
      <c r="BG184" s="786">
        <f t="shared" si="154"/>
        <v>0</v>
      </c>
      <c r="BH184" s="786">
        <f t="shared" si="155"/>
        <v>0</v>
      </c>
      <c r="BI184" s="786">
        <f t="shared" si="156"/>
        <v>0</v>
      </c>
      <c r="BJ184" s="786">
        <f t="shared" si="157"/>
        <v>0</v>
      </c>
      <c r="BK184" s="786">
        <f t="shared" si="158"/>
        <v>0</v>
      </c>
      <c r="BL184" s="786">
        <f t="shared" si="159"/>
        <v>0</v>
      </c>
      <c r="BM184" s="785">
        <f t="shared" si="164"/>
        <v>0</v>
      </c>
      <c r="BN184" s="786">
        <f t="shared" si="165"/>
        <v>0</v>
      </c>
      <c r="BO184" s="786">
        <f t="shared" si="166"/>
        <v>0</v>
      </c>
      <c r="BP184" s="786">
        <f t="shared" si="160"/>
        <v>0</v>
      </c>
      <c r="BQ184" s="787">
        <f t="shared" si="167"/>
        <v>0</v>
      </c>
    </row>
    <row r="185" spans="2:69" x14ac:dyDescent="0.25">
      <c r="B185" s="794">
        <v>15</v>
      </c>
      <c r="C185" s="785">
        <f>IF(ISNUMBER(Knoten!D17),Knoten!D17-$X$1,PlotData!$CB$4)</f>
        <v>0</v>
      </c>
      <c r="D185" s="786">
        <f t="shared" si="106"/>
        <v>0</v>
      </c>
      <c r="E185" s="786">
        <f t="shared" si="107"/>
        <v>0</v>
      </c>
      <c r="F185" s="786">
        <f t="shared" si="108"/>
        <v>0</v>
      </c>
      <c r="G185" s="786">
        <f t="shared" si="109"/>
        <v>0</v>
      </c>
      <c r="H185" s="786">
        <f t="shared" si="110"/>
        <v>0</v>
      </c>
      <c r="I185" s="786">
        <f t="shared" si="111"/>
        <v>0</v>
      </c>
      <c r="J185" s="786">
        <f t="shared" si="112"/>
        <v>0</v>
      </c>
      <c r="K185" s="786">
        <f t="shared" si="113"/>
        <v>0</v>
      </c>
      <c r="L185" s="786">
        <f t="shared" si="114"/>
        <v>0</v>
      </c>
      <c r="M185" s="786">
        <f t="shared" si="115"/>
        <v>0</v>
      </c>
      <c r="N185" s="786">
        <f t="shared" si="116"/>
        <v>0</v>
      </c>
      <c r="O185" s="786">
        <f t="shared" si="117"/>
        <v>0</v>
      </c>
      <c r="P185" s="786">
        <f t="shared" si="118"/>
        <v>0</v>
      </c>
      <c r="Q185" s="786">
        <f t="shared" si="119"/>
        <v>0</v>
      </c>
      <c r="R185" s="786">
        <f t="shared" si="120"/>
        <v>0</v>
      </c>
      <c r="S185" s="786">
        <f t="shared" si="121"/>
        <v>0</v>
      </c>
      <c r="T185" s="786">
        <f t="shared" si="122"/>
        <v>0</v>
      </c>
      <c r="U185" s="786">
        <f t="shared" si="123"/>
        <v>0</v>
      </c>
      <c r="V185" s="786">
        <f t="shared" si="124"/>
        <v>0</v>
      </c>
      <c r="W185" s="786">
        <f t="shared" si="125"/>
        <v>0</v>
      </c>
      <c r="X185" s="786">
        <f t="shared" si="126"/>
        <v>0</v>
      </c>
      <c r="Y185" s="786">
        <f t="shared" si="127"/>
        <v>0</v>
      </c>
      <c r="Z185" s="786">
        <f t="shared" si="128"/>
        <v>0</v>
      </c>
      <c r="AA185" s="786">
        <f t="shared" si="129"/>
        <v>0</v>
      </c>
      <c r="AB185" s="786">
        <f t="shared" si="130"/>
        <v>0</v>
      </c>
      <c r="AC185" s="787">
        <f t="shared" si="131"/>
        <v>0</v>
      </c>
      <c r="AD185" s="785">
        <f t="shared" si="161"/>
        <v>0</v>
      </c>
      <c r="AE185" s="786">
        <f t="shared" si="132"/>
        <v>0</v>
      </c>
      <c r="AF185" s="786">
        <f t="shared" si="162"/>
        <v>0</v>
      </c>
      <c r="AG185" s="786">
        <f t="shared" si="133"/>
        <v>0</v>
      </c>
      <c r="AH185" s="787">
        <f t="shared" si="163"/>
        <v>0</v>
      </c>
      <c r="AK185" s="794">
        <v>15</v>
      </c>
      <c r="AL185" s="786">
        <f>IF(ISNUMBER(Knoten!D17),AA20,PlotData!$CB$4)</f>
        <v>0</v>
      </c>
      <c r="AM185" s="786">
        <f t="shared" si="134"/>
        <v>0</v>
      </c>
      <c r="AN185" s="786">
        <f t="shared" si="135"/>
        <v>0</v>
      </c>
      <c r="AO185" s="786">
        <f t="shared" si="136"/>
        <v>0</v>
      </c>
      <c r="AP185" s="786">
        <f t="shared" si="137"/>
        <v>0</v>
      </c>
      <c r="AQ185" s="786">
        <f t="shared" si="138"/>
        <v>0</v>
      </c>
      <c r="AR185" s="786">
        <f t="shared" si="139"/>
        <v>0</v>
      </c>
      <c r="AS185" s="786">
        <f t="shared" si="140"/>
        <v>0</v>
      </c>
      <c r="AT185" s="786">
        <f t="shared" si="141"/>
        <v>0</v>
      </c>
      <c r="AU185" s="786">
        <f t="shared" si="142"/>
        <v>0</v>
      </c>
      <c r="AV185" s="786">
        <f t="shared" si="143"/>
        <v>0</v>
      </c>
      <c r="AW185" s="786">
        <f t="shared" si="144"/>
        <v>0</v>
      </c>
      <c r="AX185" s="786">
        <f t="shared" si="145"/>
        <v>0</v>
      </c>
      <c r="AY185" s="786">
        <f t="shared" si="146"/>
        <v>0</v>
      </c>
      <c r="AZ185" s="786">
        <f t="shared" si="147"/>
        <v>0</v>
      </c>
      <c r="BA185" s="786">
        <f t="shared" si="148"/>
        <v>0</v>
      </c>
      <c r="BB185" s="786">
        <f t="shared" si="149"/>
        <v>0</v>
      </c>
      <c r="BC185" s="786">
        <f t="shared" si="150"/>
        <v>0</v>
      </c>
      <c r="BD185" s="786">
        <f t="shared" si="151"/>
        <v>0</v>
      </c>
      <c r="BE185" s="786">
        <f t="shared" si="152"/>
        <v>0</v>
      </c>
      <c r="BF185" s="786">
        <f t="shared" si="153"/>
        <v>0</v>
      </c>
      <c r="BG185" s="786">
        <f t="shared" si="154"/>
        <v>0</v>
      </c>
      <c r="BH185" s="786">
        <f t="shared" si="155"/>
        <v>0</v>
      </c>
      <c r="BI185" s="786">
        <f t="shared" si="156"/>
        <v>0</v>
      </c>
      <c r="BJ185" s="786">
        <f t="shared" si="157"/>
        <v>0</v>
      </c>
      <c r="BK185" s="786">
        <f t="shared" si="158"/>
        <v>0</v>
      </c>
      <c r="BL185" s="786">
        <f t="shared" si="159"/>
        <v>0</v>
      </c>
      <c r="BM185" s="785">
        <f t="shared" si="164"/>
        <v>0</v>
      </c>
      <c r="BN185" s="786">
        <f t="shared" si="165"/>
        <v>0</v>
      </c>
      <c r="BO185" s="786">
        <f t="shared" si="166"/>
        <v>0</v>
      </c>
      <c r="BP185" s="786">
        <f t="shared" si="160"/>
        <v>0</v>
      </c>
      <c r="BQ185" s="787">
        <f t="shared" si="167"/>
        <v>0</v>
      </c>
    </row>
    <row r="186" spans="2:69" x14ac:dyDescent="0.25">
      <c r="B186" s="794">
        <v>16</v>
      </c>
      <c r="C186" s="785">
        <f>IF(ISNUMBER(Knoten!D18),Knoten!D18-$X$1,PlotData!$CB$4)</f>
        <v>0</v>
      </c>
      <c r="D186" s="786">
        <f t="shared" si="106"/>
        <v>0</v>
      </c>
      <c r="E186" s="786">
        <f t="shared" si="107"/>
        <v>0</v>
      </c>
      <c r="F186" s="786">
        <f t="shared" si="108"/>
        <v>0</v>
      </c>
      <c r="G186" s="786">
        <f t="shared" si="109"/>
        <v>0</v>
      </c>
      <c r="H186" s="786">
        <f t="shared" si="110"/>
        <v>0</v>
      </c>
      <c r="I186" s="786">
        <f t="shared" si="111"/>
        <v>0</v>
      </c>
      <c r="J186" s="786">
        <f t="shared" si="112"/>
        <v>0</v>
      </c>
      <c r="K186" s="786">
        <f t="shared" si="113"/>
        <v>0</v>
      </c>
      <c r="L186" s="786">
        <f t="shared" si="114"/>
        <v>0</v>
      </c>
      <c r="M186" s="786">
        <f t="shared" si="115"/>
        <v>0</v>
      </c>
      <c r="N186" s="786">
        <f t="shared" si="116"/>
        <v>0</v>
      </c>
      <c r="O186" s="786">
        <f t="shared" si="117"/>
        <v>0</v>
      </c>
      <c r="P186" s="786">
        <f t="shared" si="118"/>
        <v>0</v>
      </c>
      <c r="Q186" s="786">
        <f t="shared" si="119"/>
        <v>0</v>
      </c>
      <c r="R186" s="786">
        <f t="shared" si="120"/>
        <v>0</v>
      </c>
      <c r="S186" s="786">
        <f t="shared" si="121"/>
        <v>0</v>
      </c>
      <c r="T186" s="786">
        <f t="shared" si="122"/>
        <v>0</v>
      </c>
      <c r="U186" s="786">
        <f t="shared" si="123"/>
        <v>0</v>
      </c>
      <c r="V186" s="786">
        <f t="shared" si="124"/>
        <v>0</v>
      </c>
      <c r="W186" s="786">
        <f t="shared" si="125"/>
        <v>0</v>
      </c>
      <c r="X186" s="786">
        <f t="shared" si="126"/>
        <v>0</v>
      </c>
      <c r="Y186" s="786">
        <f t="shared" si="127"/>
        <v>0</v>
      </c>
      <c r="Z186" s="786">
        <f t="shared" si="128"/>
        <v>0</v>
      </c>
      <c r="AA186" s="786">
        <f t="shared" si="129"/>
        <v>0</v>
      </c>
      <c r="AB186" s="786">
        <f t="shared" si="130"/>
        <v>0</v>
      </c>
      <c r="AC186" s="787">
        <f t="shared" si="131"/>
        <v>0</v>
      </c>
      <c r="AD186" s="785">
        <f t="shared" si="161"/>
        <v>0</v>
      </c>
      <c r="AE186" s="786">
        <f t="shared" si="132"/>
        <v>0</v>
      </c>
      <c r="AF186" s="786">
        <f t="shared" si="162"/>
        <v>0</v>
      </c>
      <c r="AG186" s="786">
        <f t="shared" si="133"/>
        <v>0</v>
      </c>
      <c r="AH186" s="787">
        <f t="shared" si="163"/>
        <v>0</v>
      </c>
      <c r="AK186" s="794">
        <v>16</v>
      </c>
      <c r="AL186" s="786">
        <f>IF(ISNUMBER(Knoten!D18),AA21,PlotData!$CB$4)</f>
        <v>0</v>
      </c>
      <c r="AM186" s="786">
        <f t="shared" si="134"/>
        <v>0</v>
      </c>
      <c r="AN186" s="786">
        <f t="shared" si="135"/>
        <v>0</v>
      </c>
      <c r="AO186" s="786">
        <f t="shared" si="136"/>
        <v>0</v>
      </c>
      <c r="AP186" s="786">
        <f t="shared" si="137"/>
        <v>0</v>
      </c>
      <c r="AQ186" s="786">
        <f t="shared" si="138"/>
        <v>0</v>
      </c>
      <c r="AR186" s="786">
        <f t="shared" si="139"/>
        <v>0</v>
      </c>
      <c r="AS186" s="786">
        <f t="shared" si="140"/>
        <v>0</v>
      </c>
      <c r="AT186" s="786">
        <f t="shared" si="141"/>
        <v>0</v>
      </c>
      <c r="AU186" s="786">
        <f t="shared" si="142"/>
        <v>0</v>
      </c>
      <c r="AV186" s="786">
        <f t="shared" si="143"/>
        <v>0</v>
      </c>
      <c r="AW186" s="786">
        <f t="shared" si="144"/>
        <v>0</v>
      </c>
      <c r="AX186" s="786">
        <f t="shared" si="145"/>
        <v>0</v>
      </c>
      <c r="AY186" s="786">
        <f t="shared" si="146"/>
        <v>0</v>
      </c>
      <c r="AZ186" s="786">
        <f t="shared" si="147"/>
        <v>0</v>
      </c>
      <c r="BA186" s="786">
        <f t="shared" si="148"/>
        <v>0</v>
      </c>
      <c r="BB186" s="786">
        <f t="shared" si="149"/>
        <v>0</v>
      </c>
      <c r="BC186" s="786">
        <f t="shared" si="150"/>
        <v>0</v>
      </c>
      <c r="BD186" s="786">
        <f t="shared" si="151"/>
        <v>0</v>
      </c>
      <c r="BE186" s="786">
        <f t="shared" si="152"/>
        <v>0</v>
      </c>
      <c r="BF186" s="786">
        <f t="shared" si="153"/>
        <v>0</v>
      </c>
      <c r="BG186" s="786">
        <f t="shared" si="154"/>
        <v>0</v>
      </c>
      <c r="BH186" s="786">
        <f t="shared" si="155"/>
        <v>0</v>
      </c>
      <c r="BI186" s="786">
        <f t="shared" si="156"/>
        <v>0</v>
      </c>
      <c r="BJ186" s="786">
        <f t="shared" si="157"/>
        <v>0</v>
      </c>
      <c r="BK186" s="786">
        <f t="shared" si="158"/>
        <v>0</v>
      </c>
      <c r="BL186" s="786">
        <f t="shared" si="159"/>
        <v>0</v>
      </c>
      <c r="BM186" s="785">
        <f t="shared" si="164"/>
        <v>0</v>
      </c>
      <c r="BN186" s="786">
        <f t="shared" si="165"/>
        <v>0</v>
      </c>
      <c r="BO186" s="786">
        <f t="shared" si="166"/>
        <v>0</v>
      </c>
      <c r="BP186" s="786">
        <f t="shared" si="160"/>
        <v>0</v>
      </c>
      <c r="BQ186" s="787">
        <f t="shared" si="167"/>
        <v>0</v>
      </c>
    </row>
    <row r="187" spans="2:69" x14ac:dyDescent="0.25">
      <c r="B187" s="794">
        <v>17</v>
      </c>
      <c r="C187" s="785">
        <f>IF(ISNUMBER(Knoten!D19),Knoten!D19-$X$1,PlotData!$CB$4)</f>
        <v>0</v>
      </c>
      <c r="D187" s="786">
        <f t="shared" si="106"/>
        <v>0</v>
      </c>
      <c r="E187" s="786">
        <f t="shared" si="107"/>
        <v>0</v>
      </c>
      <c r="F187" s="786">
        <f t="shared" si="108"/>
        <v>0</v>
      </c>
      <c r="G187" s="786">
        <f t="shared" si="109"/>
        <v>0</v>
      </c>
      <c r="H187" s="786">
        <f t="shared" si="110"/>
        <v>0</v>
      </c>
      <c r="I187" s="786">
        <f t="shared" si="111"/>
        <v>0</v>
      </c>
      <c r="J187" s="786">
        <f t="shared" si="112"/>
        <v>0</v>
      </c>
      <c r="K187" s="786">
        <f t="shared" si="113"/>
        <v>0</v>
      </c>
      <c r="L187" s="786">
        <f t="shared" si="114"/>
        <v>0</v>
      </c>
      <c r="M187" s="786">
        <f t="shared" si="115"/>
        <v>0</v>
      </c>
      <c r="N187" s="786">
        <f t="shared" si="116"/>
        <v>0</v>
      </c>
      <c r="O187" s="786">
        <f t="shared" si="117"/>
        <v>0</v>
      </c>
      <c r="P187" s="786">
        <f t="shared" si="118"/>
        <v>0</v>
      </c>
      <c r="Q187" s="786">
        <f t="shared" si="119"/>
        <v>0</v>
      </c>
      <c r="R187" s="786">
        <f t="shared" si="120"/>
        <v>0</v>
      </c>
      <c r="S187" s="786">
        <f t="shared" si="121"/>
        <v>0</v>
      </c>
      <c r="T187" s="786">
        <f t="shared" si="122"/>
        <v>0</v>
      </c>
      <c r="U187" s="786">
        <f t="shared" si="123"/>
        <v>0</v>
      </c>
      <c r="V187" s="786">
        <f t="shared" si="124"/>
        <v>0</v>
      </c>
      <c r="W187" s="786">
        <f t="shared" si="125"/>
        <v>0</v>
      </c>
      <c r="X187" s="786">
        <f t="shared" si="126"/>
        <v>0</v>
      </c>
      <c r="Y187" s="786">
        <f t="shared" si="127"/>
        <v>0</v>
      </c>
      <c r="Z187" s="786">
        <f t="shared" si="128"/>
        <v>0</v>
      </c>
      <c r="AA187" s="786">
        <f t="shared" si="129"/>
        <v>0</v>
      </c>
      <c r="AB187" s="786">
        <f t="shared" si="130"/>
        <v>0</v>
      </c>
      <c r="AC187" s="787">
        <f t="shared" si="131"/>
        <v>0</v>
      </c>
      <c r="AD187" s="785">
        <f t="shared" si="161"/>
        <v>0</v>
      </c>
      <c r="AE187" s="786">
        <f t="shared" si="132"/>
        <v>0</v>
      </c>
      <c r="AF187" s="786">
        <f t="shared" si="162"/>
        <v>0</v>
      </c>
      <c r="AG187" s="786">
        <f t="shared" si="133"/>
        <v>0</v>
      </c>
      <c r="AH187" s="787">
        <f t="shared" si="163"/>
        <v>0</v>
      </c>
      <c r="AK187" s="794">
        <v>17</v>
      </c>
      <c r="AL187" s="786">
        <f>IF(ISNUMBER(Knoten!D19),AA22,PlotData!$CB$4)</f>
        <v>0</v>
      </c>
      <c r="AM187" s="786">
        <f t="shared" si="134"/>
        <v>0</v>
      </c>
      <c r="AN187" s="786">
        <f t="shared" si="135"/>
        <v>0</v>
      </c>
      <c r="AO187" s="786">
        <f t="shared" si="136"/>
        <v>0</v>
      </c>
      <c r="AP187" s="786">
        <f t="shared" si="137"/>
        <v>0</v>
      </c>
      <c r="AQ187" s="786">
        <f t="shared" si="138"/>
        <v>0</v>
      </c>
      <c r="AR187" s="786">
        <f t="shared" si="139"/>
        <v>0</v>
      </c>
      <c r="AS187" s="786">
        <f t="shared" si="140"/>
        <v>0</v>
      </c>
      <c r="AT187" s="786">
        <f t="shared" si="141"/>
        <v>0</v>
      </c>
      <c r="AU187" s="786">
        <f t="shared" si="142"/>
        <v>0</v>
      </c>
      <c r="AV187" s="786">
        <f t="shared" si="143"/>
        <v>0</v>
      </c>
      <c r="AW187" s="786">
        <f t="shared" si="144"/>
        <v>0</v>
      </c>
      <c r="AX187" s="786">
        <f t="shared" si="145"/>
        <v>0</v>
      </c>
      <c r="AY187" s="786">
        <f t="shared" si="146"/>
        <v>0</v>
      </c>
      <c r="AZ187" s="786">
        <f t="shared" si="147"/>
        <v>0</v>
      </c>
      <c r="BA187" s="786">
        <f t="shared" si="148"/>
        <v>0</v>
      </c>
      <c r="BB187" s="786">
        <f t="shared" si="149"/>
        <v>0</v>
      </c>
      <c r="BC187" s="786">
        <f t="shared" si="150"/>
        <v>0</v>
      </c>
      <c r="BD187" s="786">
        <f t="shared" si="151"/>
        <v>0</v>
      </c>
      <c r="BE187" s="786">
        <f t="shared" si="152"/>
        <v>0</v>
      </c>
      <c r="BF187" s="786">
        <f t="shared" si="153"/>
        <v>0</v>
      </c>
      <c r="BG187" s="786">
        <f t="shared" si="154"/>
        <v>0</v>
      </c>
      <c r="BH187" s="786">
        <f t="shared" si="155"/>
        <v>0</v>
      </c>
      <c r="BI187" s="786">
        <f t="shared" si="156"/>
        <v>0</v>
      </c>
      <c r="BJ187" s="786">
        <f t="shared" si="157"/>
        <v>0</v>
      </c>
      <c r="BK187" s="786">
        <f t="shared" si="158"/>
        <v>0</v>
      </c>
      <c r="BL187" s="786">
        <f t="shared" si="159"/>
        <v>0</v>
      </c>
      <c r="BM187" s="785">
        <f t="shared" si="164"/>
        <v>0</v>
      </c>
      <c r="BN187" s="786">
        <f t="shared" si="165"/>
        <v>0</v>
      </c>
      <c r="BO187" s="786">
        <f t="shared" si="166"/>
        <v>0</v>
      </c>
      <c r="BP187" s="786">
        <f t="shared" si="160"/>
        <v>0</v>
      </c>
      <c r="BQ187" s="787">
        <f t="shared" si="167"/>
        <v>0</v>
      </c>
    </row>
    <row r="188" spans="2:69" x14ac:dyDescent="0.25">
      <c r="B188" s="794">
        <v>18</v>
      </c>
      <c r="C188" s="785">
        <f>IF(ISNUMBER(Knoten!D20),Knoten!D20-$X$1,PlotData!$CB$4)</f>
        <v>0</v>
      </c>
      <c r="D188" s="786">
        <f t="shared" si="106"/>
        <v>0</v>
      </c>
      <c r="E188" s="786">
        <f t="shared" si="107"/>
        <v>0</v>
      </c>
      <c r="F188" s="786">
        <f t="shared" si="108"/>
        <v>0</v>
      </c>
      <c r="G188" s="786">
        <f t="shared" si="109"/>
        <v>0</v>
      </c>
      <c r="H188" s="786">
        <f t="shared" si="110"/>
        <v>0</v>
      </c>
      <c r="I188" s="786">
        <f t="shared" si="111"/>
        <v>0</v>
      </c>
      <c r="J188" s="786">
        <f t="shared" si="112"/>
        <v>0</v>
      </c>
      <c r="K188" s="786">
        <f t="shared" si="113"/>
        <v>0</v>
      </c>
      <c r="L188" s="786">
        <f t="shared" si="114"/>
        <v>0</v>
      </c>
      <c r="M188" s="786">
        <f t="shared" si="115"/>
        <v>0</v>
      </c>
      <c r="N188" s="786">
        <f t="shared" si="116"/>
        <v>0</v>
      </c>
      <c r="O188" s="786">
        <f t="shared" si="117"/>
        <v>0</v>
      </c>
      <c r="P188" s="786">
        <f t="shared" si="118"/>
        <v>0</v>
      </c>
      <c r="Q188" s="786">
        <f t="shared" si="119"/>
        <v>0</v>
      </c>
      <c r="R188" s="786">
        <f t="shared" si="120"/>
        <v>0</v>
      </c>
      <c r="S188" s="786">
        <f t="shared" si="121"/>
        <v>0</v>
      </c>
      <c r="T188" s="786">
        <f t="shared" si="122"/>
        <v>0</v>
      </c>
      <c r="U188" s="786">
        <f t="shared" si="123"/>
        <v>0</v>
      </c>
      <c r="V188" s="786">
        <f t="shared" si="124"/>
        <v>0</v>
      </c>
      <c r="W188" s="786">
        <f t="shared" si="125"/>
        <v>0</v>
      </c>
      <c r="X188" s="786">
        <f t="shared" si="126"/>
        <v>0</v>
      </c>
      <c r="Y188" s="786">
        <f t="shared" si="127"/>
        <v>0</v>
      </c>
      <c r="Z188" s="786">
        <f t="shared" si="128"/>
        <v>0</v>
      </c>
      <c r="AA188" s="786">
        <f t="shared" si="129"/>
        <v>0</v>
      </c>
      <c r="AB188" s="786">
        <f t="shared" si="130"/>
        <v>0</v>
      </c>
      <c r="AC188" s="787">
        <f t="shared" si="131"/>
        <v>0</v>
      </c>
      <c r="AD188" s="785">
        <f t="shared" si="161"/>
        <v>0</v>
      </c>
      <c r="AE188" s="786">
        <f t="shared" si="132"/>
        <v>0</v>
      </c>
      <c r="AF188" s="786">
        <f t="shared" si="162"/>
        <v>0</v>
      </c>
      <c r="AG188" s="786">
        <f t="shared" si="133"/>
        <v>0</v>
      </c>
      <c r="AH188" s="787">
        <f t="shared" si="163"/>
        <v>0</v>
      </c>
      <c r="AK188" s="794">
        <v>18</v>
      </c>
      <c r="AL188" s="786">
        <f>IF(ISNUMBER(Knoten!D20),AA23,PlotData!$CB$4)</f>
        <v>0</v>
      </c>
      <c r="AM188" s="786">
        <f t="shared" si="134"/>
        <v>0</v>
      </c>
      <c r="AN188" s="786">
        <f t="shared" si="135"/>
        <v>0</v>
      </c>
      <c r="AO188" s="786">
        <f t="shared" si="136"/>
        <v>0</v>
      </c>
      <c r="AP188" s="786">
        <f t="shared" si="137"/>
        <v>0</v>
      </c>
      <c r="AQ188" s="786">
        <f t="shared" si="138"/>
        <v>0</v>
      </c>
      <c r="AR188" s="786">
        <f t="shared" si="139"/>
        <v>0</v>
      </c>
      <c r="AS188" s="786">
        <f t="shared" si="140"/>
        <v>0</v>
      </c>
      <c r="AT188" s="786">
        <f t="shared" si="141"/>
        <v>0</v>
      </c>
      <c r="AU188" s="786">
        <f t="shared" si="142"/>
        <v>0</v>
      </c>
      <c r="AV188" s="786">
        <f t="shared" si="143"/>
        <v>0</v>
      </c>
      <c r="AW188" s="786">
        <f t="shared" si="144"/>
        <v>0</v>
      </c>
      <c r="AX188" s="786">
        <f t="shared" si="145"/>
        <v>0</v>
      </c>
      <c r="AY188" s="786">
        <f t="shared" si="146"/>
        <v>0</v>
      </c>
      <c r="AZ188" s="786">
        <f t="shared" si="147"/>
        <v>0</v>
      </c>
      <c r="BA188" s="786">
        <f t="shared" si="148"/>
        <v>0</v>
      </c>
      <c r="BB188" s="786">
        <f t="shared" si="149"/>
        <v>0</v>
      </c>
      <c r="BC188" s="786">
        <f t="shared" si="150"/>
        <v>0</v>
      </c>
      <c r="BD188" s="786">
        <f t="shared" si="151"/>
        <v>0</v>
      </c>
      <c r="BE188" s="786">
        <f t="shared" si="152"/>
        <v>0</v>
      </c>
      <c r="BF188" s="786">
        <f t="shared" si="153"/>
        <v>0</v>
      </c>
      <c r="BG188" s="786">
        <f t="shared" si="154"/>
        <v>0</v>
      </c>
      <c r="BH188" s="786">
        <f t="shared" si="155"/>
        <v>0</v>
      </c>
      <c r="BI188" s="786">
        <f t="shared" si="156"/>
        <v>0</v>
      </c>
      <c r="BJ188" s="786">
        <f t="shared" si="157"/>
        <v>0</v>
      </c>
      <c r="BK188" s="786">
        <f t="shared" si="158"/>
        <v>0</v>
      </c>
      <c r="BL188" s="786">
        <f t="shared" si="159"/>
        <v>0</v>
      </c>
      <c r="BM188" s="785">
        <f t="shared" si="164"/>
        <v>0</v>
      </c>
      <c r="BN188" s="786">
        <f t="shared" si="165"/>
        <v>0</v>
      </c>
      <c r="BO188" s="786">
        <f t="shared" si="166"/>
        <v>0</v>
      </c>
      <c r="BP188" s="786">
        <f t="shared" si="160"/>
        <v>0</v>
      </c>
      <c r="BQ188" s="787">
        <f t="shared" si="167"/>
        <v>0</v>
      </c>
    </row>
    <row r="189" spans="2:69" x14ac:dyDescent="0.25">
      <c r="B189" s="794">
        <v>19</v>
      </c>
      <c r="C189" s="785">
        <f>IF(ISNUMBER(Knoten!D21),Knoten!D21-$X$1,PlotData!$CB$4)</f>
        <v>0</v>
      </c>
      <c r="D189" s="786">
        <f>C189+$D$167*SIN($D$168*PI()/180)*B165</f>
        <v>0</v>
      </c>
      <c r="E189" s="786">
        <f>C189+$E$167*SIN($E$168*PI()/180)*B165</f>
        <v>0</v>
      </c>
      <c r="F189" s="786">
        <f>C189+$F$167*SIN($F$168*PI()/180)*B165</f>
        <v>0</v>
      </c>
      <c r="G189" s="786">
        <f>C189+$G$167*SIN($G$168*PI()/180)*B165</f>
        <v>0</v>
      </c>
      <c r="H189" s="786">
        <f>C189+$H$167*SIN($H$168*PI()/180)*B165</f>
        <v>0</v>
      </c>
      <c r="I189" s="786">
        <f>C189+$I$167*SIN($I$168*PI()/180)*B165</f>
        <v>0</v>
      </c>
      <c r="J189" s="786">
        <f>C189+$J$167*SIN($J$168*PI()/180)*B165</f>
        <v>0</v>
      </c>
      <c r="K189" s="786">
        <f>C189+$K$167*SIN($K$168*PI()/180)*B165</f>
        <v>0</v>
      </c>
      <c r="L189" s="786">
        <f>C189+$L$167*SIN($L$168*PI()/180)*B165</f>
        <v>0</v>
      </c>
      <c r="M189" s="786">
        <f>C189+$M$167*SIN($M$168*PI()/180)*B165</f>
        <v>0</v>
      </c>
      <c r="N189" s="786">
        <f>C189+$N$167*SIN($N$168*PI()/180)*B165</f>
        <v>0</v>
      </c>
      <c r="O189" s="786">
        <f>C189+$O$167*SIN($O$168*PI()/180)*B165</f>
        <v>0</v>
      </c>
      <c r="P189" s="786">
        <f>C189+$P$167*SIN($P$168*PI()/180)*B165</f>
        <v>0</v>
      </c>
      <c r="Q189" s="786">
        <f>C189+$Q$167*SIN($Q$168*PI()/180)*B165</f>
        <v>0</v>
      </c>
      <c r="R189" s="786">
        <f>C189+$R$167*SIN($R$168*PI()/180)*B165</f>
        <v>0</v>
      </c>
      <c r="S189" s="786">
        <f>C189+$S$167*SIN($S$168*PI()/180)*B165</f>
        <v>0</v>
      </c>
      <c r="T189" s="786">
        <f>C189+$T$167*SIN($T$168*PI()/180)*B165</f>
        <v>0</v>
      </c>
      <c r="U189" s="786">
        <f>C189+$U$167*SIN($U$168*PI()/180)*B165</f>
        <v>0</v>
      </c>
      <c r="V189" s="786">
        <f>C189+$V$167*SIN($V$168*PI()/180)*B165</f>
        <v>0</v>
      </c>
      <c r="W189" s="786">
        <f>C189+$W$167*SIN($W$168*PI()/180)*B165</f>
        <v>0</v>
      </c>
      <c r="X189" s="786">
        <f>C189+$X$167*SIN($X$168*PI()/180)*B165</f>
        <v>0</v>
      </c>
      <c r="Y189" s="786">
        <f>C189+$Y$167*SIN($Y$168*PI()/180)*B165</f>
        <v>0</v>
      </c>
      <c r="Z189" s="786">
        <f>C189+$Z$167*SIN($Z$168*PI()/180)*B165</f>
        <v>0</v>
      </c>
      <c r="AA189" s="786">
        <f>C189+$AA$167*SIN($AA$168*PI()/180)*B165</f>
        <v>0</v>
      </c>
      <c r="AB189" s="786">
        <f>C189+$AB$167*SIN($AB$168*PI()/180)*B165</f>
        <v>0</v>
      </c>
      <c r="AC189" s="787">
        <f>C189+$AC$167*SIN($AC$168*PI()/180)*B165</f>
        <v>0</v>
      </c>
      <c r="AD189" s="785">
        <f t="shared" si="161"/>
        <v>0</v>
      </c>
      <c r="AE189" s="786">
        <f t="shared" si="132"/>
        <v>0</v>
      </c>
      <c r="AF189" s="786">
        <f t="shared" si="162"/>
        <v>0</v>
      </c>
      <c r="AG189" s="786">
        <f t="shared" si="133"/>
        <v>0</v>
      </c>
      <c r="AH189" s="787">
        <f t="shared" si="163"/>
        <v>0</v>
      </c>
      <c r="AK189" s="794">
        <v>19</v>
      </c>
      <c r="AL189" s="786">
        <f>IF(ISNUMBER(Knoten!D21),AA24,PlotData!$CB$4)</f>
        <v>0</v>
      </c>
      <c r="AM189" s="786">
        <f>AL189+$D$167*SIN($D$168*PI()/180)*AK165</f>
        <v>0</v>
      </c>
      <c r="AN189" s="786">
        <f>AL189+$E$167*SIN($E$168*PI()/180)*AK165</f>
        <v>0</v>
      </c>
      <c r="AO189" s="786">
        <f>AL189+$F$167*SIN($F$168*PI()/180)*AK165</f>
        <v>0</v>
      </c>
      <c r="AP189" s="786">
        <f>AL189+$G$167*SIN($G$168*PI()/180)*AK165</f>
        <v>0</v>
      </c>
      <c r="AQ189" s="786">
        <f>AL189+$H$167*SIN($H$168*PI()/180)*AK165</f>
        <v>0</v>
      </c>
      <c r="AR189" s="786">
        <f>AL189+$I$167*SIN($I$168*PI()/180)*AK165</f>
        <v>0</v>
      </c>
      <c r="AS189" s="786">
        <f>AL189+$J$167*SIN($J$168*PI()/180)*AK165</f>
        <v>0</v>
      </c>
      <c r="AT189" s="786">
        <f>AL189+$K$167*SIN($K$168*PI()/180)*AK165</f>
        <v>0</v>
      </c>
      <c r="AU189" s="786">
        <f>AL189+$L$167*SIN($L$168*PI()/180)*AK165</f>
        <v>0</v>
      </c>
      <c r="AV189" s="786">
        <f>AL189+$M$167*SIN($M$168*PI()/180)*AK165</f>
        <v>0</v>
      </c>
      <c r="AW189" s="786">
        <f>AL189+$N$167*SIN($N$168*PI()/180)*AK165</f>
        <v>0</v>
      </c>
      <c r="AX189" s="786">
        <f>AL189+$O$167*SIN($O$168*PI()/180)*AK165</f>
        <v>0</v>
      </c>
      <c r="AY189" s="786">
        <f>AL189+$P$167*SIN($P$168*PI()/180)*AK165</f>
        <v>0</v>
      </c>
      <c r="AZ189" s="786">
        <f>AL189+$Q$167*SIN($Q$168*PI()/180)*AK165</f>
        <v>0</v>
      </c>
      <c r="BA189" s="786">
        <f>AL189+$R$167*SIN($R$168*PI()/180)*AK165</f>
        <v>0</v>
      </c>
      <c r="BB189" s="786">
        <f>AL189+$S$167*SIN($S$168*PI()/180)*AK165</f>
        <v>0</v>
      </c>
      <c r="BC189" s="786">
        <f>AL189+$T$167*SIN($T$168*PI()/180)*AK165</f>
        <v>0</v>
      </c>
      <c r="BD189" s="786">
        <f>AL189+$U$167*SIN($U$168*PI()/180)*AK165</f>
        <v>0</v>
      </c>
      <c r="BE189" s="786">
        <f>AL189+$V$167*SIN($V$168*PI()/180)*AK165</f>
        <v>0</v>
      </c>
      <c r="BF189" s="786">
        <f>AL189+$W$167*SIN($W$168*PI()/180)*AK165</f>
        <v>0</v>
      </c>
      <c r="BG189" s="786">
        <f>AL189+$X$167*SIN($X$168*PI()/180)*AK165</f>
        <v>0</v>
      </c>
      <c r="BH189" s="786">
        <f>AL189+$Y$167*SIN($Y$168*PI()/180)*AK165</f>
        <v>0</v>
      </c>
      <c r="BI189" s="786">
        <f>AL189+$Z$167*SIN($Z$168*PI()/180)*AK165</f>
        <v>0</v>
      </c>
      <c r="BJ189" s="786">
        <f>AL189+$AA$167*SIN($AA$168*PI()/180)*AK165</f>
        <v>0</v>
      </c>
      <c r="BK189" s="786">
        <f>AL189+$AB$167*SIN($AB$168*PI()/180)*AK165</f>
        <v>0</v>
      </c>
      <c r="BL189" s="786">
        <f>AL189+$AC$167*SIN($AC$168*PI()/180)*AK165</f>
        <v>0</v>
      </c>
      <c r="BM189" s="785">
        <f t="shared" si="164"/>
        <v>0</v>
      </c>
      <c r="BN189" s="786">
        <f t="shared" si="165"/>
        <v>0</v>
      </c>
      <c r="BO189" s="786">
        <f t="shared" si="166"/>
        <v>0</v>
      </c>
      <c r="BP189" s="786">
        <f t="shared" si="160"/>
        <v>0</v>
      </c>
      <c r="BQ189" s="787">
        <f t="shared" si="167"/>
        <v>0</v>
      </c>
    </row>
    <row r="190" spans="2:69" ht="13.8" thickBot="1" x14ac:dyDescent="0.3">
      <c r="B190" s="795">
        <v>20</v>
      </c>
      <c r="C190" s="788">
        <f>IF(ISNUMBER(Knoten!D22),Knoten!D22-$X$1,PlotData!$CB$4)</f>
        <v>0</v>
      </c>
      <c r="D190" s="789">
        <f>C190+$D$167*SIN($D$168*PI()/180)*B166</f>
        <v>0</v>
      </c>
      <c r="E190" s="789">
        <f>C190+$E$167*SIN($E$168*PI()/180)*B166</f>
        <v>0</v>
      </c>
      <c r="F190" s="789">
        <f>C190+$F$167*SIN($F$168*PI()/180)*B166</f>
        <v>0</v>
      </c>
      <c r="G190" s="789">
        <f>C190+$G$167*SIN($G$168*PI()/180)*B166</f>
        <v>0</v>
      </c>
      <c r="H190" s="789">
        <f>C190+$H$167*SIN($H$168*PI()/180)*B166</f>
        <v>0</v>
      </c>
      <c r="I190" s="789">
        <f>C190+$I$167*SIN($I$168*PI()/180)*B166</f>
        <v>0</v>
      </c>
      <c r="J190" s="789">
        <f>C190+$J$167*SIN($J$168*PI()/180)*B166</f>
        <v>0</v>
      </c>
      <c r="K190" s="789">
        <f>C190+$K$167*SIN($K$168*PI()/180)*B166</f>
        <v>0</v>
      </c>
      <c r="L190" s="789">
        <f>C190+$L$167*SIN($L$168*PI()/180)*B166</f>
        <v>0</v>
      </c>
      <c r="M190" s="789">
        <f>C190+$M$167*SIN($M$168*PI()/180)*B166</f>
        <v>0</v>
      </c>
      <c r="N190" s="789">
        <f>C190+$N$167*SIN($N$168*PI()/180)*B166</f>
        <v>0</v>
      </c>
      <c r="O190" s="789">
        <f>C190+$O$167*SIN($O$168*PI()/180)*B166</f>
        <v>0</v>
      </c>
      <c r="P190" s="789">
        <f>C190+$P$167*SIN($P$168*PI()/180)*B166</f>
        <v>0</v>
      </c>
      <c r="Q190" s="789">
        <f>C190+$Q$167*SIN($Q$168*PI()/180)*B166</f>
        <v>0</v>
      </c>
      <c r="R190" s="789">
        <f>C190+$R$167*SIN($R$168*PI()/180)*B166</f>
        <v>0</v>
      </c>
      <c r="S190" s="789">
        <f>C190+$S$167*SIN($S$168*PI()/180)*B166</f>
        <v>0</v>
      </c>
      <c r="T190" s="789">
        <f>C190+$T$167*SIN($T$168*PI()/180)*B166</f>
        <v>0</v>
      </c>
      <c r="U190" s="789">
        <f>C190+$U$167*SIN($U$168*PI()/180)*B166</f>
        <v>0</v>
      </c>
      <c r="V190" s="789">
        <f>C190+$V$167*SIN($V$168*PI()/180)*B166</f>
        <v>0</v>
      </c>
      <c r="W190" s="789">
        <f>C190+$W$167*SIN($W$168*PI()/180)*B166</f>
        <v>0</v>
      </c>
      <c r="X190" s="789">
        <f>C190+$X$167*SIN($X$168*PI()/180)*B166</f>
        <v>0</v>
      </c>
      <c r="Y190" s="789">
        <f>C190+$Y$167*SIN($Y$168*PI()/180)*B166</f>
        <v>0</v>
      </c>
      <c r="Z190" s="789">
        <f>C190+$Z$167*SIN($Z$168*PI()/180)*B166</f>
        <v>0</v>
      </c>
      <c r="AA190" s="789">
        <f>C190+$AA$167*SIN($AA$168*PI()/180)*B166</f>
        <v>0</v>
      </c>
      <c r="AB190" s="789">
        <f>C190+$AB$167*SIN($AB$168*PI()/180)*B166</f>
        <v>0</v>
      </c>
      <c r="AC190" s="790">
        <f>C190+$AC$167*SIN($AC$168*PI()/180)*B166</f>
        <v>0</v>
      </c>
      <c r="AD190" s="788">
        <f t="shared" si="161"/>
        <v>0</v>
      </c>
      <c r="AE190" s="789">
        <f t="shared" si="132"/>
        <v>0</v>
      </c>
      <c r="AF190" s="789">
        <f t="shared" si="162"/>
        <v>0</v>
      </c>
      <c r="AG190" s="789">
        <f t="shared" si="133"/>
        <v>0</v>
      </c>
      <c r="AH190" s="790">
        <f t="shared" si="163"/>
        <v>0</v>
      </c>
      <c r="AK190" s="795">
        <v>20</v>
      </c>
      <c r="AL190" s="789">
        <f>IF(ISNUMBER(Knoten!D22),AA25,PlotData!$CB$4)</f>
        <v>0</v>
      </c>
      <c r="AM190" s="789">
        <f>AL190+$D$167*SIN($D$168*PI()/180)*AK166</f>
        <v>0</v>
      </c>
      <c r="AN190" s="789">
        <f>AL190+$E$167*SIN($E$168*PI()/180)*AK166</f>
        <v>0</v>
      </c>
      <c r="AO190" s="789">
        <f>AL190+$F$167*SIN($F$168*PI()/180)*AK166</f>
        <v>0</v>
      </c>
      <c r="AP190" s="789">
        <f>AL190+$G$167*SIN($G$168*PI()/180)*AK166</f>
        <v>0</v>
      </c>
      <c r="AQ190" s="789">
        <f>AL190+$H$167*SIN($H$168*PI()/180)*AK166</f>
        <v>0</v>
      </c>
      <c r="AR190" s="789">
        <f>AL190+$I$167*SIN($I$168*PI()/180)*AK166</f>
        <v>0</v>
      </c>
      <c r="AS190" s="789">
        <f>AL190+$J$167*SIN($J$168*PI()/180)*AK166</f>
        <v>0</v>
      </c>
      <c r="AT190" s="789">
        <f>AL190+$K$167*SIN($K$168*PI()/180)*AK166</f>
        <v>0</v>
      </c>
      <c r="AU190" s="789">
        <f>AL190+$L$167*SIN($L$168*PI()/180)*AK166</f>
        <v>0</v>
      </c>
      <c r="AV190" s="789">
        <f>AL190+$M$167*SIN($M$168*PI()/180)*AK166</f>
        <v>0</v>
      </c>
      <c r="AW190" s="789">
        <f>AL190+$N$167*SIN($N$168*PI()/180)*AK166</f>
        <v>0</v>
      </c>
      <c r="AX190" s="789">
        <f>AL190+$O$167*SIN($O$168*PI()/180)*AK166</f>
        <v>0</v>
      </c>
      <c r="AY190" s="789">
        <f>AL190+$P$167*SIN($P$168*PI()/180)*AK166</f>
        <v>0</v>
      </c>
      <c r="AZ190" s="789">
        <f>AL190+$Q$167*SIN($Q$168*PI()/180)*AK166</f>
        <v>0</v>
      </c>
      <c r="BA190" s="789">
        <f>AL190+$R$167*SIN($R$168*PI()/180)*AK166</f>
        <v>0</v>
      </c>
      <c r="BB190" s="789">
        <f>AL190+$S$167*SIN($S$168*PI()/180)*AK166</f>
        <v>0</v>
      </c>
      <c r="BC190" s="789">
        <f>AL190+$T$167*SIN($T$168*PI()/180)*AK166</f>
        <v>0</v>
      </c>
      <c r="BD190" s="789">
        <f>AL190+$U$167*SIN($U$168*PI()/180)*AK166</f>
        <v>0</v>
      </c>
      <c r="BE190" s="789">
        <f>AL190+$V$167*SIN($V$168*PI()/180)*AK166</f>
        <v>0</v>
      </c>
      <c r="BF190" s="789">
        <f>AL190+$W$167*SIN($W$168*PI()/180)*AK166</f>
        <v>0</v>
      </c>
      <c r="BG190" s="789">
        <f>AL190+$X$167*SIN($X$168*PI()/180)*AK166</f>
        <v>0</v>
      </c>
      <c r="BH190" s="789">
        <f>AL190+$Y$167*SIN($Y$168*PI()/180)*AK166</f>
        <v>0</v>
      </c>
      <c r="BI190" s="789">
        <f>AL190+$Z$167*SIN($Z$168*PI()/180)*AK166</f>
        <v>0</v>
      </c>
      <c r="BJ190" s="789">
        <f>AL190+$AA$167*SIN($AA$168*PI()/180)*AK166</f>
        <v>0</v>
      </c>
      <c r="BK190" s="789">
        <f>AL190+$AB$167*SIN($AB$168*PI()/180)*AK166</f>
        <v>0</v>
      </c>
      <c r="BL190" s="789">
        <f>AL190+$AC$167*SIN($AC$168*PI()/180)*AK166</f>
        <v>0</v>
      </c>
      <c r="BM190" s="788">
        <f t="shared" si="164"/>
        <v>0</v>
      </c>
      <c r="BN190" s="789">
        <f t="shared" si="165"/>
        <v>0</v>
      </c>
      <c r="BO190" s="789">
        <f t="shared" si="166"/>
        <v>0</v>
      </c>
      <c r="BP190" s="789">
        <f t="shared" si="160"/>
        <v>0</v>
      </c>
      <c r="BQ190" s="790">
        <f t="shared" si="167"/>
        <v>0</v>
      </c>
    </row>
  </sheetData>
  <mergeCells count="60">
    <mergeCell ref="T28:W28"/>
    <mergeCell ref="A5:B5"/>
    <mergeCell ref="C5:F5"/>
    <mergeCell ref="G5:J5"/>
    <mergeCell ref="N5:O5"/>
    <mergeCell ref="P5:S5"/>
    <mergeCell ref="T5:W5"/>
    <mergeCell ref="A28:B28"/>
    <mergeCell ref="C28:F28"/>
    <mergeCell ref="G28:J28"/>
    <mergeCell ref="N28:O28"/>
    <mergeCell ref="P28:S28"/>
    <mergeCell ref="A51:B51"/>
    <mergeCell ref="C51:G51"/>
    <mergeCell ref="H51:L51"/>
    <mergeCell ref="N51:O51"/>
    <mergeCell ref="D73:E73"/>
    <mergeCell ref="F73:G73"/>
    <mergeCell ref="H73:I73"/>
    <mergeCell ref="J73:K73"/>
    <mergeCell ref="Q73:R73"/>
    <mergeCell ref="S73:T73"/>
    <mergeCell ref="U73:V73"/>
    <mergeCell ref="W73:X73"/>
    <mergeCell ref="A74:C74"/>
    <mergeCell ref="D74:G74"/>
    <mergeCell ref="H74:K74"/>
    <mergeCell ref="N74:P74"/>
    <mergeCell ref="Q74:T74"/>
    <mergeCell ref="U74:X74"/>
    <mergeCell ref="AF98:AL98"/>
    <mergeCell ref="AM98:AR98"/>
    <mergeCell ref="AS98:AY98"/>
    <mergeCell ref="AZ98:BE98"/>
    <mergeCell ref="A122:B122"/>
    <mergeCell ref="C122:I122"/>
    <mergeCell ref="J122:O122"/>
    <mergeCell ref="P122:V122"/>
    <mergeCell ref="W122:AB122"/>
    <mergeCell ref="AD122:AE122"/>
    <mergeCell ref="A98:B98"/>
    <mergeCell ref="C98:I98"/>
    <mergeCell ref="J98:O98"/>
    <mergeCell ref="P98:V98"/>
    <mergeCell ref="W98:AB98"/>
    <mergeCell ref="AD98:AE98"/>
    <mergeCell ref="AF122:AL122"/>
    <mergeCell ref="AM122:AR122"/>
    <mergeCell ref="AS122:AY122"/>
    <mergeCell ref="AZ122:BE122"/>
    <mergeCell ref="A146:B146"/>
    <mergeCell ref="C146:AC146"/>
    <mergeCell ref="AD146:AH146"/>
    <mergeCell ref="AJ146:AK146"/>
    <mergeCell ref="AL146:BL146"/>
    <mergeCell ref="BM146:BQ146"/>
    <mergeCell ref="C170:AC170"/>
    <mergeCell ref="AD170:AH170"/>
    <mergeCell ref="AL170:BL170"/>
    <mergeCell ref="BM170:BQ170"/>
  </mergeCell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4"/>
  <dimension ref="A1:AA89"/>
  <sheetViews>
    <sheetView zoomScale="71" zoomScaleNormal="71" workbookViewId="0">
      <selection activeCell="B4" sqref="B4"/>
    </sheetView>
  </sheetViews>
  <sheetFormatPr defaultColWidth="11.44140625" defaultRowHeight="13.2" x14ac:dyDescent="0.25"/>
  <cols>
    <col min="1" max="16384" width="11.44140625" style="41"/>
  </cols>
  <sheetData>
    <row r="1" spans="1:27" ht="23.25" customHeight="1" thickBot="1" x14ac:dyDescent="0.3">
      <c r="A1" s="720" t="s">
        <v>190</v>
      </c>
      <c r="B1" s="720">
        <v>0.2</v>
      </c>
      <c r="D1" s="796" t="s">
        <v>196</v>
      </c>
      <c r="E1" s="721">
        <f>$B$1*PlotData!$CB$5</f>
        <v>33.941125496954285</v>
      </c>
      <c r="G1" s="797" t="s">
        <v>254</v>
      </c>
      <c r="H1" s="671">
        <v>0.2</v>
      </c>
      <c r="I1" s="797" t="s">
        <v>255</v>
      </c>
      <c r="J1" s="671">
        <v>0.1</v>
      </c>
      <c r="K1" s="797" t="s">
        <v>256</v>
      </c>
      <c r="L1" s="671">
        <v>0.35</v>
      </c>
      <c r="M1" s="1277"/>
      <c r="N1" s="1277"/>
      <c r="P1" s="721" t="s">
        <v>178</v>
      </c>
      <c r="Q1" s="721">
        <f>System!$BD$119</f>
        <v>-80</v>
      </c>
      <c r="S1" s="721" t="s">
        <v>222</v>
      </c>
      <c r="T1" s="721">
        <f>System!$BG$119</f>
        <v>40</v>
      </c>
    </row>
    <row r="2" spans="1:27" ht="13.8" thickBot="1" x14ac:dyDescent="0.3">
      <c r="N2" s="41" t="s">
        <v>257</v>
      </c>
      <c r="Q2" s="41">
        <f>COLUMN(Q3)</f>
        <v>17</v>
      </c>
      <c r="R2" s="1277" t="s">
        <v>16</v>
      </c>
      <c r="S2" s="1277"/>
      <c r="T2" s="1277"/>
      <c r="U2" s="1277"/>
      <c r="V2" s="1277"/>
      <c r="W2" s="1277" t="s">
        <v>228</v>
      </c>
      <c r="X2" s="1277"/>
      <c r="Y2" s="1277"/>
      <c r="Z2" s="1277"/>
      <c r="AA2" s="1277"/>
    </row>
    <row r="3" spans="1:27" ht="21.75" customHeight="1" thickBot="1" x14ac:dyDescent="0.3">
      <c r="A3" s="1331" t="s">
        <v>258</v>
      </c>
      <c r="B3" s="1333"/>
      <c r="C3" s="1346" t="s">
        <v>16</v>
      </c>
      <c r="D3" s="1347"/>
      <c r="E3" s="1347"/>
      <c r="F3" s="1347"/>
      <c r="G3" s="1348"/>
      <c r="H3" s="1346" t="s">
        <v>228</v>
      </c>
      <c r="I3" s="1347"/>
      <c r="J3" s="1347"/>
      <c r="K3" s="1347"/>
      <c r="L3" s="1348"/>
      <c r="N3" s="798"/>
      <c r="O3" s="798" t="s">
        <v>91</v>
      </c>
      <c r="P3" s="798" t="s">
        <v>259</v>
      </c>
      <c r="Q3" s="798" t="s">
        <v>260</v>
      </c>
      <c r="R3" s="799">
        <v>1</v>
      </c>
      <c r="S3" s="799">
        <v>2</v>
      </c>
      <c r="T3" s="799">
        <v>3</v>
      </c>
      <c r="U3" s="799">
        <v>4</v>
      </c>
      <c r="V3" s="798">
        <v>5</v>
      </c>
      <c r="W3" s="799">
        <v>1</v>
      </c>
      <c r="X3" s="799">
        <v>2</v>
      </c>
      <c r="Y3" s="799">
        <v>3</v>
      </c>
      <c r="Z3" s="799">
        <v>4</v>
      </c>
      <c r="AA3" s="798">
        <v>5</v>
      </c>
    </row>
    <row r="4" spans="1:27" x14ac:dyDescent="0.25">
      <c r="A4" s="744">
        <v>1</v>
      </c>
      <c r="B4" s="735">
        <f>SIGN(Knoten!I3)</f>
        <v>-1</v>
      </c>
      <c r="C4" s="775">
        <f>IF(ISNUMBER(Knoten!C3),Knoten!C3-$Q$1,PlotData!$CB$3)</f>
        <v>20</v>
      </c>
      <c r="D4" s="768">
        <f t="shared" ref="D4:D21" si="0">C4</f>
        <v>20</v>
      </c>
      <c r="E4" s="776">
        <f>IF(ISNUMBER(Knoten!C3),D4-ABS(B4)*$J$1*$E$1,D4)</f>
        <v>16.605887450304571</v>
      </c>
      <c r="F4" s="768">
        <f>IF(ISNUMBER(Knoten!C3),E4+ABS(B4)*2*$J$1*$E$1,D4)</f>
        <v>23.394112549695429</v>
      </c>
      <c r="G4" s="777">
        <f t="shared" ref="G4:G21" si="1">D4</f>
        <v>20</v>
      </c>
      <c r="H4" s="775">
        <f>IF(ISNUMBER(Knoten!D3),Knoten!D3-$T$1-B4*(($H$1+1)*$E$1),PlotData!$CB$4)</f>
        <v>0.72935059634514232</v>
      </c>
      <c r="I4" s="768">
        <f>IF(ISNUMBER(Knoten!D3),H4+B4*$E$1,H4)</f>
        <v>-33.211774900609143</v>
      </c>
      <c r="J4" s="776">
        <f>IF(ISNUMBER(Knoten!D3),I4-B4*$L$1*$E$1,H4)</f>
        <v>-21.332380976675143</v>
      </c>
      <c r="K4" s="768">
        <f t="shared" ref="K4:K21" si="2">J4</f>
        <v>-21.332380976675143</v>
      </c>
      <c r="L4" s="777">
        <f t="shared" ref="L4:L21" si="3">I4</f>
        <v>-33.211774900609143</v>
      </c>
      <c r="N4" s="800">
        <v>1</v>
      </c>
      <c r="O4" s="800">
        <f>SQRT((Knoten!H3+System!BN4)^2+(Knoten!I3+System!BO4)^2)</f>
        <v>53.851648071345039</v>
      </c>
      <c r="P4" s="800">
        <f>IF(O4&lt;&gt;0,((System!BN4)*COS(Knoten!W3/180*PI())+(Knoten!I3+System!BO4)*SIN(Knoten!W3/180*PI()))/O4,0)</f>
        <v>0</v>
      </c>
      <c r="Q4" s="800">
        <f>IF(O4&lt;&gt;0,((Knoten!I3+System!BO4)*COS(Knoten!W3/180*PI())-(Knoten!H3+System!BN4)*SIN(Knoten!W3/180*PI()))/O4,0)</f>
        <v>-0.9284766908852593</v>
      </c>
      <c r="R4" s="41">
        <f>IF(ISNUMBER(Knoten!C3),Knoten!C3-P4*(($H$1+1)*$E$1),PlotData!$CB$3)</f>
        <v>-60</v>
      </c>
      <c r="S4" s="41">
        <f>IF(ISNUMBER(Knoten!C3),R4+P4*$E$1,R4)</f>
        <v>-60</v>
      </c>
      <c r="T4" s="41">
        <f>IF(ISNUMBER(Knoten!C3),S4-$L$1*$E$1*P4-$J$1*$E$1*Q4,R4)</f>
        <v>-56.848645611366656</v>
      </c>
      <c r="U4" s="41">
        <f>IF(ISNUMBER(Knoten!C3),S4-$L$1*$E$1*P4+$J$1*$E$1*Q4,R4)</f>
        <v>-63.151354388633344</v>
      </c>
      <c r="V4" s="800">
        <f>S4</f>
        <v>-60</v>
      </c>
      <c r="W4" s="41">
        <f>IF(ISNUMBER(Knoten!D3),Knoten!D3-Q4*(($H$1+1)*$E$1),PlotData!$CB$4)</f>
        <v>37.816252663600103</v>
      </c>
      <c r="X4" s="41">
        <f>IF(ISNUMBER(Knoten!D3),W4+Q4*$E$1,W4)</f>
        <v>6.3027087772666874</v>
      </c>
      <c r="Y4" s="41">
        <f>IF(ISNUMBER(Knoten!D3),X4-Q4*$L$1*$E$1+P4*$J$1*$E$1,W4)</f>
        <v>17.332449137483383</v>
      </c>
      <c r="Z4" s="41">
        <f>IF(ISNUMBER(Knoten!D3),X4-Q4*$L$1*$E$1-P4*$J$1*$E$1,W4)</f>
        <v>17.332449137483383</v>
      </c>
      <c r="AA4" s="800">
        <f>X4</f>
        <v>6.3027087772666874</v>
      </c>
    </row>
    <row r="5" spans="1:27" x14ac:dyDescent="0.25">
      <c r="A5" s="750">
        <v>2</v>
      </c>
      <c r="B5" s="749">
        <f>SIGN(Knoten!I4)</f>
        <v>0</v>
      </c>
      <c r="C5" s="778">
        <f>IF(ISNUMBER(Knoten!C4),Knoten!C4-$Q$1,PlotData!$CB$3)</f>
        <v>100</v>
      </c>
      <c r="D5" s="737">
        <f t="shared" si="0"/>
        <v>100</v>
      </c>
      <c r="E5" s="736">
        <f>IF(ISNUMBER(Knoten!C4),D5-ABS(B5)*$J$1*$E$1,D5)</f>
        <v>100</v>
      </c>
      <c r="F5" s="737">
        <f>IF(ISNUMBER(Knoten!C4),E5+ABS(B5)*2*$J$1*$E$1,D5)</f>
        <v>100</v>
      </c>
      <c r="G5" s="738">
        <f t="shared" si="1"/>
        <v>100</v>
      </c>
      <c r="H5" s="778">
        <f>IF(ISNUMBER(Knoten!D4),Knoten!D4-$T$1-B5*(($H$1+1)*$E$1),PlotData!$CB$4)</f>
        <v>20</v>
      </c>
      <c r="I5" s="737">
        <f>IF(ISNUMBER(Knoten!D4),H5+B5*$E$1,H5)</f>
        <v>20</v>
      </c>
      <c r="J5" s="736">
        <f>IF(ISNUMBER(Knoten!D4),I5-B5*$L$1*$E$1,H5)</f>
        <v>20</v>
      </c>
      <c r="K5" s="737">
        <f t="shared" si="2"/>
        <v>20</v>
      </c>
      <c r="L5" s="738">
        <f t="shared" si="3"/>
        <v>20</v>
      </c>
      <c r="N5" s="800">
        <v>2</v>
      </c>
      <c r="O5" s="800">
        <f>SQRT((Knoten!H4+System!BN5)^2+(Knoten!I4+System!BO5)^2)</f>
        <v>0</v>
      </c>
      <c r="P5" s="800">
        <f>IF(O5&lt;&gt;0,((System!BN5)*COS(Knoten!W4/180*PI())+(Knoten!I4+System!BO5)*SIN(Knoten!W4/180*PI()))/O5,0)</f>
        <v>0</v>
      </c>
      <c r="Q5" s="800">
        <f>IF(O5&lt;&gt;0,((Knoten!I4+System!BO5)*COS(Knoten!W4/180*PI())-(Knoten!H4+System!BN5)*SIN(Knoten!W4/180*PI()))/O5,0)</f>
        <v>0</v>
      </c>
      <c r="R5" s="41">
        <f>IF(ISNUMBER(Knoten!#REF!),Knoten!#REF!-P5*(($H$1+1)*$E$1),PlotData!$CB$3)</f>
        <v>0</v>
      </c>
      <c r="S5" s="41">
        <f>IF(ISNUMBER(Knoten!#REF!),R5+P5*$E$1,R5)</f>
        <v>0</v>
      </c>
      <c r="T5" s="41">
        <f>IF(ISNUMBER(Knoten!#REF!),S5-$L$1*$E$1*P5-$J$1*$E$1*Q5,R5)</f>
        <v>0</v>
      </c>
      <c r="U5" s="41">
        <f>IF(ISNUMBER(Knoten!#REF!),S5-$L$1*$E$1*P5+$J$1*$E$1*Q5,R5)</f>
        <v>0</v>
      </c>
      <c r="V5" s="800">
        <f t="shared" ref="V5:V43" si="4">S5</f>
        <v>0</v>
      </c>
      <c r="W5" s="41">
        <f>IF(ISNUMBER(Knoten!#REF!),Knoten!#REF!-Q5*(($H$1+1)*$E$1),PlotData!$CB$4)</f>
        <v>0</v>
      </c>
      <c r="X5" s="41">
        <f>IF(ISNUMBER(Knoten!#REF!),W5+Q5*$E$1,W5)</f>
        <v>0</v>
      </c>
      <c r="Y5" s="41">
        <f>IF(ISNUMBER(Knoten!#REF!),X5-Q5*$L$1*$E$1+P5*$J$1*$E$1,W5)</f>
        <v>0</v>
      </c>
      <c r="Z5" s="41">
        <f>IF(ISNUMBER(Knoten!#REF!),X5-Q5*$L$1*$E$1-P5*$J$1*$E$1,W5)</f>
        <v>0</v>
      </c>
      <c r="AA5" s="800">
        <f t="shared" ref="AA5:AA43" si="5">X5</f>
        <v>0</v>
      </c>
    </row>
    <row r="6" spans="1:27" x14ac:dyDescent="0.25">
      <c r="A6" s="750">
        <v>3</v>
      </c>
      <c r="B6" s="749">
        <f>SIGN(Knoten!I5)</f>
        <v>0</v>
      </c>
      <c r="C6" s="778">
        <f>IF(ISNUMBER(Knoten!C5),Knoten!C5-$Q$1,PlotData!$CB$3)</f>
        <v>20</v>
      </c>
      <c r="D6" s="737">
        <f t="shared" si="0"/>
        <v>20</v>
      </c>
      <c r="E6" s="736">
        <f>IF(ISNUMBER(Knoten!C5),D6-ABS(B6)*$J$1*$E$1,D6)</f>
        <v>20</v>
      </c>
      <c r="F6" s="737">
        <f>IF(ISNUMBER(Knoten!C5),E6+ABS(B6)*2*$J$1*$E$1,D6)</f>
        <v>20</v>
      </c>
      <c r="G6" s="738">
        <f t="shared" si="1"/>
        <v>20</v>
      </c>
      <c r="H6" s="778">
        <f>IF(ISNUMBER(Knoten!D5),Knoten!D5-$T$1-B6*(($H$1+1)*$E$1),PlotData!$CB$4)</f>
        <v>20</v>
      </c>
      <c r="I6" s="737">
        <f>IF(ISNUMBER(Knoten!D5),H6+B6*$E$1,H6)</f>
        <v>20</v>
      </c>
      <c r="J6" s="736">
        <f>IF(ISNUMBER(Knoten!D5),I6-B6*$L$1*$E$1,H6)</f>
        <v>20</v>
      </c>
      <c r="K6" s="737">
        <f t="shared" si="2"/>
        <v>20</v>
      </c>
      <c r="L6" s="738">
        <f t="shared" si="3"/>
        <v>20</v>
      </c>
      <c r="N6" s="800">
        <v>3</v>
      </c>
      <c r="O6" s="800">
        <f>SQRT((Knoten!H5+System!BN6)^2+(Knoten!I5+System!BO6)^2)</f>
        <v>0</v>
      </c>
      <c r="P6" s="800">
        <f>IF(O6&lt;&gt;0,((System!BN6)*COS(Knoten!W5/180*PI())+(Knoten!I5+System!BO6)*SIN(Knoten!W5/180*PI()))/O6,0)</f>
        <v>0</v>
      </c>
      <c r="Q6" s="800">
        <f>IF(O6&lt;&gt;0,((Knoten!I5+System!BO6)*COS(Knoten!W5/180*PI())-(Knoten!H5+System!BN6)*SIN(Knoten!W5/180*PI()))/O6,0)</f>
        <v>0</v>
      </c>
      <c r="R6" s="41">
        <f>IF(ISNUMBER(Knoten!#REF!),Knoten!#REF!-P6*(($H$1+1)*$E$1),PlotData!$CB$3)</f>
        <v>0</v>
      </c>
      <c r="S6" s="41">
        <f>IF(ISNUMBER(Knoten!#REF!),R6+P6*$E$1,R6)</f>
        <v>0</v>
      </c>
      <c r="T6" s="41">
        <f>IF(ISNUMBER(Knoten!#REF!),S6-$L$1*$E$1*P6-$J$1*$E$1*Q6,R6)</f>
        <v>0</v>
      </c>
      <c r="U6" s="41">
        <f>IF(ISNUMBER(Knoten!#REF!),S6-$L$1*$E$1*P6+$J$1*$E$1*Q6,R6)</f>
        <v>0</v>
      </c>
      <c r="V6" s="800">
        <f t="shared" si="4"/>
        <v>0</v>
      </c>
      <c r="W6" s="41">
        <f>IF(ISNUMBER(Knoten!#REF!),Knoten!#REF!-Q6*(($H$1+1)*$E$1),PlotData!$CB$4)</f>
        <v>0</v>
      </c>
      <c r="X6" s="41">
        <f>IF(ISNUMBER(Knoten!#REF!),W6+Q6*$E$1,W6)</f>
        <v>0</v>
      </c>
      <c r="Y6" s="41">
        <f>IF(ISNUMBER(Knoten!#REF!),X6-Q6*$L$1*$E$1+P6*$J$1*$E$1,W6)</f>
        <v>0</v>
      </c>
      <c r="Z6" s="41">
        <f>IF(ISNUMBER(Knoten!#REF!),X6-Q6*$L$1*$E$1-P6*$J$1*$E$1,W6)</f>
        <v>0</v>
      </c>
      <c r="AA6" s="800">
        <f t="shared" si="5"/>
        <v>0</v>
      </c>
    </row>
    <row r="7" spans="1:27" x14ac:dyDescent="0.25">
      <c r="A7" s="750">
        <v>4</v>
      </c>
      <c r="B7" s="749">
        <f>SIGN(Knoten!I6)</f>
        <v>0</v>
      </c>
      <c r="C7" s="778">
        <f>IF(ISNUMBER(Knoten!C6),Knoten!C6-$Q$1,PlotData!$CB$3)</f>
        <v>60</v>
      </c>
      <c r="D7" s="737">
        <f t="shared" si="0"/>
        <v>60</v>
      </c>
      <c r="E7" s="736">
        <f>IF(ISNUMBER(Knoten!C6),D7-ABS(B7)*$J$1*$E$1,D7)</f>
        <v>60</v>
      </c>
      <c r="F7" s="737">
        <f>IF(ISNUMBER(Knoten!C6),E7+ABS(B7)*2*$J$1*$E$1,D7)</f>
        <v>60</v>
      </c>
      <c r="G7" s="738">
        <f t="shared" si="1"/>
        <v>60</v>
      </c>
      <c r="H7" s="778">
        <f>IF(ISNUMBER(Knoten!D6),Knoten!D6-$T$1-B7*(($H$1+1)*$E$1),PlotData!$CB$4)</f>
        <v>-100</v>
      </c>
      <c r="I7" s="737">
        <f>IF(ISNUMBER(Knoten!D6),H7+B7*$E$1,H7)</f>
        <v>-100</v>
      </c>
      <c r="J7" s="736">
        <f>IF(ISNUMBER(Knoten!D6),I7-B7*$L$1*$E$1,H7)</f>
        <v>-100</v>
      </c>
      <c r="K7" s="737">
        <f t="shared" si="2"/>
        <v>-100</v>
      </c>
      <c r="L7" s="738">
        <f t="shared" si="3"/>
        <v>-100</v>
      </c>
      <c r="N7" s="800">
        <v>4</v>
      </c>
      <c r="O7" s="800">
        <f>SQRT((Knoten!H6+System!BN7)^2+(Knoten!I6+System!BO7)^2)</f>
        <v>0</v>
      </c>
      <c r="P7" s="800">
        <f>IF(O7&lt;&gt;0,((System!BN7)*COS(Knoten!W6/180*PI())+(Knoten!I6+System!BO7)*SIN(Knoten!W6/180*PI()))/O7,0)</f>
        <v>0</v>
      </c>
      <c r="Q7" s="800">
        <f>IF(O7&lt;&gt;0,((Knoten!I6+System!BO7)*COS(Knoten!W6/180*PI())-(Knoten!H6+System!BN7)*SIN(Knoten!W6/180*PI()))/O7,0)</f>
        <v>0</v>
      </c>
      <c r="R7" s="41">
        <f>IF(ISNUMBER(Knoten!#REF!),Knoten!#REF!-P7*(($H$1+1)*$E$1),PlotData!$CB$3)</f>
        <v>0</v>
      </c>
      <c r="S7" s="41">
        <f>IF(ISNUMBER(Knoten!#REF!),R7+P7*$E$1,R7)</f>
        <v>0</v>
      </c>
      <c r="T7" s="41">
        <f>IF(ISNUMBER(Knoten!#REF!),S7-$L$1*$E$1*P7-$J$1*$E$1*Q7,R7)</f>
        <v>0</v>
      </c>
      <c r="U7" s="41">
        <f>IF(ISNUMBER(Knoten!#REF!),S7-$L$1*$E$1*P7+$J$1*$E$1*Q7,R7)</f>
        <v>0</v>
      </c>
      <c r="V7" s="800">
        <f t="shared" si="4"/>
        <v>0</v>
      </c>
      <c r="W7" s="41">
        <f>IF(ISNUMBER(Knoten!#REF!),Knoten!#REF!-Q7*(($H$1+1)*$E$1),PlotData!$CB$4)</f>
        <v>0</v>
      </c>
      <c r="X7" s="41">
        <f>IF(ISNUMBER(Knoten!#REF!),W7+Q7*$E$1,W7)</f>
        <v>0</v>
      </c>
      <c r="Y7" s="41">
        <f>IF(ISNUMBER(Knoten!#REF!),X7-Q7*$L$1*$E$1+P7*$J$1*$E$1,W7)</f>
        <v>0</v>
      </c>
      <c r="Z7" s="41">
        <f>IF(ISNUMBER(Knoten!#REF!),X7-Q7*$L$1*$E$1-P7*$J$1*$E$1,W7)</f>
        <v>0</v>
      </c>
      <c r="AA7" s="800">
        <f t="shared" si="5"/>
        <v>0</v>
      </c>
    </row>
    <row r="8" spans="1:27" x14ac:dyDescent="0.25">
      <c r="A8" s="750">
        <v>5</v>
      </c>
      <c r="B8" s="749">
        <f>SIGN(Knoten!I7)</f>
        <v>0</v>
      </c>
      <c r="C8" s="778">
        <f>IF(ISNUMBER(Knoten!C7),Knoten!C7-$Q$1,PlotData!$CB$3)</f>
        <v>-50</v>
      </c>
      <c r="D8" s="737">
        <f t="shared" si="0"/>
        <v>-50</v>
      </c>
      <c r="E8" s="736">
        <f>IF(ISNUMBER(Knoten!C7),D8-ABS(B8)*$J$1*$E$1,D8)</f>
        <v>-50</v>
      </c>
      <c r="F8" s="737">
        <f>IF(ISNUMBER(Knoten!C7),E8+ABS(B8)*2*$J$1*$E$1,D8)</f>
        <v>-50</v>
      </c>
      <c r="G8" s="738">
        <f t="shared" si="1"/>
        <v>-50</v>
      </c>
      <c r="H8" s="778">
        <f>IF(ISNUMBER(Knoten!D7),Knoten!D7-$T$1-B8*(($H$1+1)*$E$1),PlotData!$CB$4)</f>
        <v>-70</v>
      </c>
      <c r="I8" s="737">
        <f>IF(ISNUMBER(Knoten!D7),H8+B8*$E$1,H8)</f>
        <v>-70</v>
      </c>
      <c r="J8" s="736">
        <f>IF(ISNUMBER(Knoten!D7),I8-B8*$L$1*$E$1,H8)</f>
        <v>-70</v>
      </c>
      <c r="K8" s="737">
        <f t="shared" si="2"/>
        <v>-70</v>
      </c>
      <c r="L8" s="738">
        <f t="shared" si="3"/>
        <v>-70</v>
      </c>
      <c r="N8" s="800">
        <v>5</v>
      </c>
      <c r="O8" s="800">
        <f>SQRT((Knoten!H7+System!BN8)^2+(Knoten!I7+System!BO8)^2)</f>
        <v>0</v>
      </c>
      <c r="P8" s="800">
        <f>IF(O8&lt;&gt;0,((System!BN8)*COS(Knoten!W7/180*PI())+(Knoten!I7+System!BO8)*SIN(Knoten!W7/180*PI()))/O8,0)</f>
        <v>0</v>
      </c>
      <c r="Q8" s="800">
        <f>IF(O8&lt;&gt;0,((Knoten!I7+System!BO8)*COS(Knoten!W7/180*PI())-(Knoten!H7+System!BN8)*SIN(Knoten!W7/180*PI()))/O8,0)</f>
        <v>0</v>
      </c>
      <c r="R8" s="41">
        <f>IF(ISNUMBER(Knoten!#REF!),Knoten!#REF!-P8*(($H$1+1)*$E$1),PlotData!$CB$3)</f>
        <v>0</v>
      </c>
      <c r="S8" s="41">
        <f>IF(ISNUMBER(Knoten!#REF!),R8+P8*$E$1,R8)</f>
        <v>0</v>
      </c>
      <c r="T8" s="41">
        <f>IF(ISNUMBER(Knoten!#REF!),S8-$L$1*$E$1*P8-$J$1*$E$1*Q8,R8)</f>
        <v>0</v>
      </c>
      <c r="U8" s="41">
        <f>IF(ISNUMBER(Knoten!#REF!),S8-$L$1*$E$1*P8+$J$1*$E$1*Q8,R8)</f>
        <v>0</v>
      </c>
      <c r="V8" s="800">
        <f t="shared" si="4"/>
        <v>0</v>
      </c>
      <c r="W8" s="41">
        <f>IF(ISNUMBER(Knoten!#REF!),Knoten!#REF!-Q8*(($H$1+1)*$E$1),PlotData!$CB$4)</f>
        <v>0</v>
      </c>
      <c r="X8" s="41">
        <f>IF(ISNUMBER(Knoten!#REF!),W8+Q8*$E$1,W8)</f>
        <v>0</v>
      </c>
      <c r="Y8" s="41">
        <f>IF(ISNUMBER(Knoten!#REF!),X8-Q8*$L$1*$E$1+P8*$J$1*$E$1,W8)</f>
        <v>0</v>
      </c>
      <c r="Z8" s="41">
        <f>IF(ISNUMBER(Knoten!#REF!),X8-Q8*$L$1*$E$1-P8*$J$1*$E$1,W8)</f>
        <v>0</v>
      </c>
      <c r="AA8" s="800">
        <f t="shared" si="5"/>
        <v>0</v>
      </c>
    </row>
    <row r="9" spans="1:27" x14ac:dyDescent="0.25">
      <c r="A9" s="750">
        <v>6</v>
      </c>
      <c r="B9" s="749">
        <f>SIGN(Knoten!I8)</f>
        <v>0</v>
      </c>
      <c r="C9" s="778">
        <f>IF(ISNUMBER(Knoten!C8),Knoten!C8-$Q$1,PlotData!$CB$3)</f>
        <v>-100</v>
      </c>
      <c r="D9" s="737">
        <f t="shared" si="0"/>
        <v>-100</v>
      </c>
      <c r="E9" s="736">
        <f>IF(ISNUMBER(Knoten!C8),D9-ABS(B9)*$J$1*$E$1,D9)</f>
        <v>-100</v>
      </c>
      <c r="F9" s="737">
        <f>IF(ISNUMBER(Knoten!C8),E9+ABS(B9)*2*$J$1*$E$1,D9)</f>
        <v>-100</v>
      </c>
      <c r="G9" s="738">
        <f t="shared" si="1"/>
        <v>-100</v>
      </c>
      <c r="H9" s="778">
        <f>IF(ISNUMBER(Knoten!D8),Knoten!D8-$T$1-B9*(($H$1+1)*$E$1),PlotData!$CB$4)</f>
        <v>100</v>
      </c>
      <c r="I9" s="737">
        <f>IF(ISNUMBER(Knoten!D8),H9+B9*$E$1,H9)</f>
        <v>100</v>
      </c>
      <c r="J9" s="736">
        <f>IF(ISNUMBER(Knoten!D8),I9-B9*$L$1*$E$1,H9)</f>
        <v>100</v>
      </c>
      <c r="K9" s="737">
        <f t="shared" si="2"/>
        <v>100</v>
      </c>
      <c r="L9" s="738">
        <f t="shared" si="3"/>
        <v>100</v>
      </c>
      <c r="N9" s="800">
        <v>6</v>
      </c>
      <c r="O9" s="800">
        <f>SQRT((Knoten!H8+System!BN9)^2+(Knoten!I8+System!BO9)^2)</f>
        <v>0</v>
      </c>
      <c r="P9" s="800">
        <f>IF(O9&lt;&gt;0,((System!BN9)*COS(Knoten!W8/180*PI())+(Knoten!I8+System!BO9)*SIN(Knoten!W8/180*PI()))/O9,0)</f>
        <v>0</v>
      </c>
      <c r="Q9" s="800">
        <f>IF(O9&lt;&gt;0,((Knoten!I8+System!BO9)*COS(Knoten!W8/180*PI())-(Knoten!H8+System!BN9)*SIN(Knoten!W8/180*PI()))/O9,0)</f>
        <v>0</v>
      </c>
      <c r="R9" s="41">
        <f>IF(ISNUMBER(Knoten!C8),Knoten!C8-P9*(($H$1+1)*$E$1),PlotData!$CB$3)</f>
        <v>-180</v>
      </c>
      <c r="S9" s="41">
        <f>IF(ISNUMBER(Knoten!C8),R9+P9*$E$1,R9)</f>
        <v>-180</v>
      </c>
      <c r="T9" s="41">
        <f>IF(ISNUMBER(Knoten!C8),S9-$L$1*$E$1*P9-$J$1*$E$1*Q9,R9)</f>
        <v>-180</v>
      </c>
      <c r="U9" s="41">
        <f>IF(ISNUMBER(Knoten!C8),S9-$L$1*$E$1*P9+$J$1*$E$1*Q9,R9)</f>
        <v>-180</v>
      </c>
      <c r="V9" s="800">
        <f t="shared" si="4"/>
        <v>-180</v>
      </c>
      <c r="W9" s="41">
        <f>IF(ISNUMBER(Knoten!D8),Knoten!D8-Q9*(($H$1+1)*$E$1),PlotData!$CB$4)</f>
        <v>140</v>
      </c>
      <c r="X9" s="41">
        <f>IF(ISNUMBER(Knoten!D8),W9+Q9*$E$1,W9)</f>
        <v>140</v>
      </c>
      <c r="Y9" s="41">
        <f>IF(ISNUMBER(Knoten!D8),X9-Q9*$L$1*$E$1+P9*$J$1*$E$1,W9)</f>
        <v>140</v>
      </c>
      <c r="Z9" s="41">
        <f>IF(ISNUMBER(Knoten!D8),X9-Q9*$L$1*$E$1-P9*$J$1*$E$1,W9)</f>
        <v>140</v>
      </c>
      <c r="AA9" s="800">
        <f t="shared" si="5"/>
        <v>140</v>
      </c>
    </row>
    <row r="10" spans="1:27" x14ac:dyDescent="0.25">
      <c r="A10" s="750">
        <v>7</v>
      </c>
      <c r="B10" s="749">
        <f>SIGN(Knoten!I9)</f>
        <v>0</v>
      </c>
      <c r="C10" s="778">
        <f>IF(ISNUMBER(Knoten!C9),Knoten!C9-$Q$1,PlotData!$CB$3)</f>
        <v>0</v>
      </c>
      <c r="D10" s="737">
        <f t="shared" si="0"/>
        <v>0</v>
      </c>
      <c r="E10" s="736">
        <f>IF(ISNUMBER(Knoten!C9),D10-ABS(B10)*$J$1*$E$1,D10)</f>
        <v>0</v>
      </c>
      <c r="F10" s="737">
        <f>IF(ISNUMBER(Knoten!C9),E10+ABS(B10)*2*$J$1*$E$1,D10)</f>
        <v>0</v>
      </c>
      <c r="G10" s="738">
        <f t="shared" si="1"/>
        <v>0</v>
      </c>
      <c r="H10" s="778">
        <f>IF(ISNUMBER(Knoten!D9),Knoten!D9-$T$1-B10*(($H$1+1)*$E$1),PlotData!$CB$4)</f>
        <v>0</v>
      </c>
      <c r="I10" s="737">
        <f>IF(ISNUMBER(Knoten!D9),H10+B10*$E$1,H10)</f>
        <v>0</v>
      </c>
      <c r="J10" s="736">
        <f>IF(ISNUMBER(Knoten!D9),I10-B10*$L$1*$E$1,H10)</f>
        <v>0</v>
      </c>
      <c r="K10" s="737">
        <f t="shared" si="2"/>
        <v>0</v>
      </c>
      <c r="L10" s="738">
        <f t="shared" si="3"/>
        <v>0</v>
      </c>
      <c r="N10" s="800">
        <v>7</v>
      </c>
      <c r="O10" s="800">
        <f>SQRT((Knoten!H9+System!BN10)^2+(Knoten!I9+System!BO10)^2)</f>
        <v>0</v>
      </c>
      <c r="P10" s="800">
        <f>IF(O10&lt;&gt;0,((System!BN10)*COS(Knoten!W9/180*PI())+(Knoten!I9+System!BO10)*SIN(Knoten!W9/180*PI()))/O10,0)</f>
        <v>0</v>
      </c>
      <c r="Q10" s="800">
        <f>IF(O10&lt;&gt;0,((Knoten!I9+System!BO10)*COS(Knoten!W9/180*PI())-(Knoten!H9+System!BN10)*SIN(Knoten!W9/180*PI()))/O10,0)</f>
        <v>0</v>
      </c>
      <c r="R10" s="41">
        <f>IF(ISNUMBER(Knoten!C4),Knoten!C4-P10*(($H$1+1)*$E$1),PlotData!$CB$3)</f>
        <v>20</v>
      </c>
      <c r="S10" s="41">
        <f>IF(ISNUMBER(Knoten!C4),R10+P10*$E$1,R10)</f>
        <v>20</v>
      </c>
      <c r="T10" s="41">
        <f>IF(ISNUMBER(Knoten!C4),S10-$L$1*$E$1*P10-$J$1*$E$1*Q10,R10)</f>
        <v>20</v>
      </c>
      <c r="U10" s="41">
        <f>IF(ISNUMBER(Knoten!C4),S10-$L$1*$E$1*P10+$J$1*$E$1*Q10,R10)</f>
        <v>20</v>
      </c>
      <c r="V10" s="800">
        <f t="shared" si="4"/>
        <v>20</v>
      </c>
      <c r="W10" s="41">
        <f>IF(ISNUMBER(Knoten!D4),Knoten!D4-Q10*(($H$1+1)*$E$1),PlotData!$CB$4)</f>
        <v>60</v>
      </c>
      <c r="X10" s="41">
        <f>IF(ISNUMBER(Knoten!D4),W10+Q10*$E$1,W10)</f>
        <v>60</v>
      </c>
      <c r="Y10" s="41">
        <f>IF(ISNUMBER(Knoten!D4),X10-Q10*$L$1*$E$1+P10*$J$1*$E$1,W10)</f>
        <v>60</v>
      </c>
      <c r="Z10" s="41">
        <f>IF(ISNUMBER(Knoten!D4),X10-Q10*$L$1*$E$1-P10*$J$1*$E$1,W10)</f>
        <v>60</v>
      </c>
      <c r="AA10" s="800">
        <f t="shared" si="5"/>
        <v>60</v>
      </c>
    </row>
    <row r="11" spans="1:27" x14ac:dyDescent="0.25">
      <c r="A11" s="750">
        <v>8</v>
      </c>
      <c r="B11" s="749">
        <f>SIGN(Knoten!I10)</f>
        <v>0</v>
      </c>
      <c r="C11" s="778">
        <f>IF(ISNUMBER(Knoten!C10),Knoten!C10-$Q$1,PlotData!$CB$3)</f>
        <v>0</v>
      </c>
      <c r="D11" s="737">
        <f t="shared" si="0"/>
        <v>0</v>
      </c>
      <c r="E11" s="736">
        <f>IF(ISNUMBER(Knoten!C10),D11-ABS(B11)*$J$1*$E$1,D11)</f>
        <v>0</v>
      </c>
      <c r="F11" s="737">
        <f>IF(ISNUMBER(Knoten!C10),E11+ABS(B11)*2*$J$1*$E$1,D11)</f>
        <v>0</v>
      </c>
      <c r="G11" s="738">
        <f t="shared" si="1"/>
        <v>0</v>
      </c>
      <c r="H11" s="778">
        <f>IF(ISNUMBER(Knoten!D10),Knoten!D10-$T$1-B11*(($H$1+1)*$E$1),PlotData!$CB$4)</f>
        <v>0</v>
      </c>
      <c r="I11" s="737">
        <f>IF(ISNUMBER(Knoten!D10),H11+B11*$E$1,H11)</f>
        <v>0</v>
      </c>
      <c r="J11" s="736">
        <f>IF(ISNUMBER(Knoten!D10),I11-B11*$L$1*$E$1,H11)</f>
        <v>0</v>
      </c>
      <c r="K11" s="737">
        <f t="shared" si="2"/>
        <v>0</v>
      </c>
      <c r="L11" s="738">
        <f t="shared" si="3"/>
        <v>0</v>
      </c>
      <c r="N11" s="800">
        <v>8</v>
      </c>
      <c r="O11" s="800">
        <f>SQRT((Knoten!H10+System!BN11)^2+(Knoten!I10+System!BO11)^2)</f>
        <v>0</v>
      </c>
      <c r="P11" s="800">
        <f>IF(O11&lt;&gt;0,((System!BN11)*COS(Knoten!W10/180*PI())+(Knoten!I10+System!BO11)*SIN(Knoten!W10/180*PI()))/O11,0)</f>
        <v>0</v>
      </c>
      <c r="Q11" s="800">
        <f>IF(O11&lt;&gt;0,((Knoten!I10+System!BO11)*COS(Knoten!W10/180*PI())-(Knoten!H10+System!BN11)*SIN(Knoten!W10/180*PI()))/O11,0)</f>
        <v>0</v>
      </c>
      <c r="R11" s="41">
        <f>IF(ISNUMBER(Knoten!C5),Knoten!C5-P11*(($H$1+1)*$E$1),PlotData!$CB$3)</f>
        <v>-60</v>
      </c>
      <c r="S11" s="41">
        <f>IF(ISNUMBER(Knoten!C5),R11+P11*$E$1,R11)</f>
        <v>-60</v>
      </c>
      <c r="T11" s="41">
        <f>IF(ISNUMBER(Knoten!C5),S11-$L$1*$E$1*P11-$J$1*$E$1*Q11,R11)</f>
        <v>-60</v>
      </c>
      <c r="U11" s="41">
        <f>IF(ISNUMBER(Knoten!C5),S11-$L$1*$E$1*P11+$J$1*$E$1*Q11,R11)</f>
        <v>-60</v>
      </c>
      <c r="V11" s="800">
        <f t="shared" si="4"/>
        <v>-60</v>
      </c>
      <c r="W11" s="41">
        <f>IF(ISNUMBER(Knoten!D5),Knoten!D5-Q11*(($H$1+1)*$E$1),PlotData!$CB$4)</f>
        <v>60</v>
      </c>
      <c r="X11" s="41">
        <f>IF(ISNUMBER(Knoten!D5),W11+Q11*$E$1,W11)</f>
        <v>60</v>
      </c>
      <c r="Y11" s="41">
        <f>IF(ISNUMBER(Knoten!D5),X11-Q11*$L$1*$E$1+P11*$J$1*$E$1,W11)</f>
        <v>60</v>
      </c>
      <c r="Z11" s="41">
        <f>IF(ISNUMBER(Knoten!D5),X11-Q11*$L$1*$E$1-P11*$J$1*$E$1,W11)</f>
        <v>60</v>
      </c>
      <c r="AA11" s="800">
        <f t="shared" si="5"/>
        <v>60</v>
      </c>
    </row>
    <row r="12" spans="1:27" x14ac:dyDescent="0.25">
      <c r="A12" s="750">
        <v>9</v>
      </c>
      <c r="B12" s="749">
        <f>SIGN(Knoten!I11)</f>
        <v>0</v>
      </c>
      <c r="C12" s="778">
        <f>IF(ISNUMBER(Knoten!C11),Knoten!C11-$Q$1,PlotData!$CB$3)</f>
        <v>0</v>
      </c>
      <c r="D12" s="737">
        <f t="shared" si="0"/>
        <v>0</v>
      </c>
      <c r="E12" s="736">
        <f>IF(ISNUMBER(Knoten!C11),D12-ABS(B12)*$J$1*$E$1,D12)</f>
        <v>0</v>
      </c>
      <c r="F12" s="737">
        <f>IF(ISNUMBER(Knoten!C11),E12+ABS(B12)*2*$J$1*$E$1,D12)</f>
        <v>0</v>
      </c>
      <c r="G12" s="738">
        <f t="shared" si="1"/>
        <v>0</v>
      </c>
      <c r="H12" s="778">
        <f>IF(ISNUMBER(Knoten!D11),Knoten!D11-$T$1-B12*(($H$1+1)*$E$1),PlotData!$CB$4)</f>
        <v>0</v>
      </c>
      <c r="I12" s="737">
        <f>IF(ISNUMBER(Knoten!D11),H12+B12*$E$1,H12)</f>
        <v>0</v>
      </c>
      <c r="J12" s="736">
        <f>IF(ISNUMBER(Knoten!D11),I12-B12*$L$1*$E$1,H12)</f>
        <v>0</v>
      </c>
      <c r="K12" s="737">
        <f t="shared" si="2"/>
        <v>0</v>
      </c>
      <c r="L12" s="738">
        <f t="shared" si="3"/>
        <v>0</v>
      </c>
      <c r="N12" s="800">
        <v>9</v>
      </c>
      <c r="O12" s="800">
        <f>SQRT((Knoten!H11+System!BN12)^2+(Knoten!I11+System!BO12)^2)</f>
        <v>0</v>
      </c>
      <c r="P12" s="800">
        <f>IF(O12&lt;&gt;0,((System!BN12)*COS(Knoten!W11/180*PI())+(Knoten!I11+System!BO12)*SIN(Knoten!W11/180*PI()))/O12,0)</f>
        <v>0</v>
      </c>
      <c r="Q12" s="800">
        <f>IF(O12&lt;&gt;0,((Knoten!I11+System!BO12)*COS(Knoten!W11/180*PI())-(Knoten!H11+System!BN12)*SIN(Knoten!W11/180*PI()))/O12,0)</f>
        <v>0</v>
      </c>
      <c r="R12" s="41">
        <f>IF(ISNUMBER(Knoten!C6),Knoten!C6-P12*(($H$1+1)*$E$1),PlotData!$CB$3)</f>
        <v>-20</v>
      </c>
      <c r="S12" s="41">
        <f>IF(ISNUMBER(Knoten!C6),R12+P12*$E$1,R12)</f>
        <v>-20</v>
      </c>
      <c r="T12" s="41">
        <f>IF(ISNUMBER(Knoten!C6),S12-$L$1*$E$1*P12-$J$1*$E$1*Q12,R12)</f>
        <v>-20</v>
      </c>
      <c r="U12" s="41">
        <f>IF(ISNUMBER(Knoten!C6),S12-$L$1*$E$1*P12+$J$1*$E$1*Q12,R12)</f>
        <v>-20</v>
      </c>
      <c r="V12" s="800">
        <f t="shared" si="4"/>
        <v>-20</v>
      </c>
      <c r="W12" s="41">
        <f>IF(ISNUMBER(Knoten!D6),Knoten!D6-Q12*(($H$1+1)*$E$1),PlotData!$CB$4)</f>
        <v>-60</v>
      </c>
      <c r="X12" s="41">
        <f>IF(ISNUMBER(Knoten!D6),W12+Q12*$E$1,W12)</f>
        <v>-60</v>
      </c>
      <c r="Y12" s="41">
        <f>IF(ISNUMBER(Knoten!D6),X12-Q12*$L$1*$E$1+P12*$J$1*$E$1,W12)</f>
        <v>-60</v>
      </c>
      <c r="Z12" s="41">
        <f>IF(ISNUMBER(Knoten!D6),X12-Q12*$L$1*$E$1-P12*$J$1*$E$1,W12)</f>
        <v>-60</v>
      </c>
      <c r="AA12" s="800">
        <f t="shared" si="5"/>
        <v>-60</v>
      </c>
    </row>
    <row r="13" spans="1:27" x14ac:dyDescent="0.25">
      <c r="A13" s="750">
        <v>10</v>
      </c>
      <c r="B13" s="749">
        <f>SIGN(Knoten!I12)</f>
        <v>0</v>
      </c>
      <c r="C13" s="778">
        <f>IF(ISNUMBER(Knoten!C12),Knoten!C12-$Q$1,PlotData!$CB$3)</f>
        <v>0</v>
      </c>
      <c r="D13" s="737">
        <f t="shared" si="0"/>
        <v>0</v>
      </c>
      <c r="E13" s="736">
        <f>IF(ISNUMBER(Knoten!C12),D13-ABS(B13)*$J$1*$E$1,D13)</f>
        <v>0</v>
      </c>
      <c r="F13" s="737">
        <f>IF(ISNUMBER(Knoten!C12),E13+ABS(B13)*2*$J$1*$E$1,D13)</f>
        <v>0</v>
      </c>
      <c r="G13" s="738">
        <f t="shared" si="1"/>
        <v>0</v>
      </c>
      <c r="H13" s="778">
        <f>IF(ISNUMBER(Knoten!D12),Knoten!D12-$T$1-B13*(($H$1+1)*$E$1),PlotData!$CB$4)</f>
        <v>0</v>
      </c>
      <c r="I13" s="737">
        <f>IF(ISNUMBER(Knoten!D12),H13+B13*$E$1,H13)</f>
        <v>0</v>
      </c>
      <c r="J13" s="736">
        <f>IF(ISNUMBER(Knoten!D12),I13-B13*$L$1*$E$1,H13)</f>
        <v>0</v>
      </c>
      <c r="K13" s="737">
        <f t="shared" si="2"/>
        <v>0</v>
      </c>
      <c r="L13" s="738">
        <f t="shared" si="3"/>
        <v>0</v>
      </c>
      <c r="N13" s="800">
        <v>10</v>
      </c>
      <c r="O13" s="800">
        <f>SQRT((Knoten!H12+System!BN13)^2+(Knoten!I12+System!BO13)^2)</f>
        <v>0</v>
      </c>
      <c r="P13" s="800">
        <f>IF(O13&lt;&gt;0,((System!BN13)*COS(Knoten!W12/180*PI())+(Knoten!I12+System!BO13)*SIN(Knoten!W12/180*PI()))/O13,0)</f>
        <v>0</v>
      </c>
      <c r="Q13" s="800">
        <f>IF(O13&lt;&gt;0,((Knoten!I12+System!BO13)*COS(Knoten!W12/180*PI())-(Knoten!H12+System!BN13)*SIN(Knoten!W12/180*PI()))/O13,0)</f>
        <v>0</v>
      </c>
      <c r="R13" s="41">
        <f>IF(ISNUMBER(Knoten!C7),Knoten!C7-P13*(($H$1+1)*$E$1),PlotData!$CB$3)</f>
        <v>-130</v>
      </c>
      <c r="S13" s="41">
        <f>IF(ISNUMBER(Knoten!C7),R13+P13*$E$1,R13)</f>
        <v>-130</v>
      </c>
      <c r="T13" s="41">
        <f>IF(ISNUMBER(Knoten!C7),S13-$L$1*$E$1*P13-$J$1*$E$1*Q13,R13)</f>
        <v>-130</v>
      </c>
      <c r="U13" s="41">
        <f>IF(ISNUMBER(Knoten!C7),S13-$L$1*$E$1*P13+$J$1*$E$1*Q13,R13)</f>
        <v>-130</v>
      </c>
      <c r="V13" s="800">
        <f t="shared" si="4"/>
        <v>-130</v>
      </c>
      <c r="W13" s="41">
        <f>IF(ISNUMBER(Knoten!D7),Knoten!D7-Q13*(($H$1+1)*$E$1),PlotData!$CB$4)</f>
        <v>-30</v>
      </c>
      <c r="X13" s="41">
        <f>IF(ISNUMBER(Knoten!D7),W13+Q13*$E$1,W13)</f>
        <v>-30</v>
      </c>
      <c r="Y13" s="41">
        <f>IF(ISNUMBER(Knoten!D7),X13-Q13*$L$1*$E$1+P13*$J$1*$E$1,W13)</f>
        <v>-30</v>
      </c>
      <c r="Z13" s="41">
        <f>IF(ISNUMBER(Knoten!D7),X13-Q13*$L$1*$E$1-P13*$J$1*$E$1,W13)</f>
        <v>-30</v>
      </c>
      <c r="AA13" s="800">
        <f t="shared" si="5"/>
        <v>-30</v>
      </c>
    </row>
    <row r="14" spans="1:27" x14ac:dyDescent="0.25">
      <c r="A14" s="750">
        <v>11</v>
      </c>
      <c r="B14" s="749">
        <f>SIGN(Knoten!I13)</f>
        <v>0</v>
      </c>
      <c r="C14" s="778">
        <f>IF(ISNUMBER(Knoten!C13),Knoten!C13-$Q$1,PlotData!$CB$3)</f>
        <v>0</v>
      </c>
      <c r="D14" s="737">
        <f t="shared" si="0"/>
        <v>0</v>
      </c>
      <c r="E14" s="736">
        <f>IF(ISNUMBER(Knoten!C13),D14-ABS(B14)*$J$1*$E$1,D14)</f>
        <v>0</v>
      </c>
      <c r="F14" s="737">
        <f>IF(ISNUMBER(Knoten!C13),E14+ABS(B14)*2*$J$1*$E$1,D14)</f>
        <v>0</v>
      </c>
      <c r="G14" s="738">
        <f t="shared" si="1"/>
        <v>0</v>
      </c>
      <c r="H14" s="778">
        <f>IF(ISNUMBER(Knoten!D13),Knoten!D13-$T$1-B14*(($H$1+1)*$E$1),PlotData!$CB$4)</f>
        <v>0</v>
      </c>
      <c r="I14" s="737">
        <f>IF(ISNUMBER(Knoten!D13),H14+B14*$E$1,H14)</f>
        <v>0</v>
      </c>
      <c r="J14" s="736">
        <f>IF(ISNUMBER(Knoten!D13),I14-B14*$L$1*$E$1,H14)</f>
        <v>0</v>
      </c>
      <c r="K14" s="737">
        <f t="shared" si="2"/>
        <v>0</v>
      </c>
      <c r="L14" s="738">
        <f t="shared" si="3"/>
        <v>0</v>
      </c>
      <c r="N14" s="800">
        <v>11</v>
      </c>
      <c r="O14" s="800">
        <f>SQRT((Knoten!H13+System!BN14)^2+(Knoten!I13+System!BO14)^2)</f>
        <v>0</v>
      </c>
      <c r="P14" s="800">
        <f>IF(O14&lt;&gt;0,((System!BN14)*COS(Knoten!W13/180*PI())+(Knoten!I13+System!BO14)*SIN(Knoten!W13/180*PI()))/O14,0)</f>
        <v>0</v>
      </c>
      <c r="Q14" s="800">
        <f>IF(O14&lt;&gt;0,((Knoten!I13+System!BO14)*COS(Knoten!W13/180*PI())-(Knoten!H13+System!BN14)*SIN(Knoten!W13/180*PI()))/O14,0)</f>
        <v>0</v>
      </c>
      <c r="R14" s="41">
        <f>IF(ISNUMBER(Knoten!C13),Knoten!C13-P14*(($H$1+1)*$E$1),PlotData!$CB$3)</f>
        <v>0</v>
      </c>
      <c r="S14" s="41">
        <f>IF(ISNUMBER(Knoten!C13),R14+P14*$E$1,R14)</f>
        <v>0</v>
      </c>
      <c r="T14" s="41">
        <f>IF(ISNUMBER(Knoten!C13),S14-$L$1*$E$1*P14-$J$1*$E$1*Q14,R14)</f>
        <v>0</v>
      </c>
      <c r="U14" s="41">
        <f>IF(ISNUMBER(Knoten!C13),S14-$L$1*$E$1*P14+$J$1*$E$1*Q14,R14)</f>
        <v>0</v>
      </c>
      <c r="V14" s="800">
        <f t="shared" si="4"/>
        <v>0</v>
      </c>
      <c r="W14" s="41">
        <f>IF(ISNUMBER(Knoten!D13),Knoten!D13-Q14*(($H$1+1)*$E$1),PlotData!$CB$4)</f>
        <v>0</v>
      </c>
      <c r="X14" s="41">
        <f>IF(ISNUMBER(Knoten!D13),W14+Q14*$E$1,W14)</f>
        <v>0</v>
      </c>
      <c r="Y14" s="41">
        <f>IF(ISNUMBER(Knoten!D13),X14-Q14*$L$1*$E$1+P14*$J$1*$E$1,W14)</f>
        <v>0</v>
      </c>
      <c r="Z14" s="41">
        <f>IF(ISNUMBER(Knoten!D13),X14-Q14*$L$1*$E$1-P14*$J$1*$E$1,W14)</f>
        <v>0</v>
      </c>
      <c r="AA14" s="800">
        <f t="shared" si="5"/>
        <v>0</v>
      </c>
    </row>
    <row r="15" spans="1:27" x14ac:dyDescent="0.25">
      <c r="A15" s="750">
        <v>12</v>
      </c>
      <c r="B15" s="749">
        <f>SIGN(Knoten!I14)</f>
        <v>0</v>
      </c>
      <c r="C15" s="778">
        <f>IF(ISNUMBER(Knoten!C14),Knoten!C14-$Q$1,PlotData!$CB$3)</f>
        <v>0</v>
      </c>
      <c r="D15" s="737">
        <f t="shared" si="0"/>
        <v>0</v>
      </c>
      <c r="E15" s="736">
        <f>IF(ISNUMBER(Knoten!C14),D15-ABS(B15)*$J$1*$E$1,D15)</f>
        <v>0</v>
      </c>
      <c r="F15" s="737">
        <f>IF(ISNUMBER(Knoten!C14),E15+ABS(B15)*2*$J$1*$E$1,D15)</f>
        <v>0</v>
      </c>
      <c r="G15" s="738">
        <f t="shared" si="1"/>
        <v>0</v>
      </c>
      <c r="H15" s="778">
        <f>IF(ISNUMBER(Knoten!D14),Knoten!D14-$T$1-B15*(($H$1+1)*$E$1),PlotData!$CB$4)</f>
        <v>0</v>
      </c>
      <c r="I15" s="737">
        <f>IF(ISNUMBER(Knoten!D14),H15+B15*$E$1,H15)</f>
        <v>0</v>
      </c>
      <c r="J15" s="736">
        <f>IF(ISNUMBER(Knoten!D14),I15-B15*$L$1*$E$1,H15)</f>
        <v>0</v>
      </c>
      <c r="K15" s="737">
        <f t="shared" si="2"/>
        <v>0</v>
      </c>
      <c r="L15" s="738">
        <f t="shared" si="3"/>
        <v>0</v>
      </c>
      <c r="N15" s="800">
        <v>12</v>
      </c>
      <c r="O15" s="800">
        <f>SQRT((Knoten!H14+System!BN15)^2+(Knoten!I14+System!BO15)^2)</f>
        <v>0</v>
      </c>
      <c r="P15" s="800">
        <f>IF(O15&lt;&gt;0,((System!BN15)*COS(Knoten!W14/180*PI())+(Knoten!I14+System!BO15)*SIN(Knoten!W14/180*PI()))/O15,0)</f>
        <v>0</v>
      </c>
      <c r="Q15" s="800">
        <f>IF(O15&lt;&gt;0,((Knoten!I14+System!BO15)*COS(Knoten!W14/180*PI())-(Knoten!H14+System!BN15)*SIN(Knoten!W14/180*PI()))/O15,0)</f>
        <v>0</v>
      </c>
      <c r="R15" s="41">
        <f>IF(ISNUMBER(Knoten!C14),Knoten!C14-P15*(($H$1+1)*$E$1),PlotData!$CB$3)</f>
        <v>0</v>
      </c>
      <c r="S15" s="41">
        <f>IF(ISNUMBER(Knoten!C14),R15+P15*$E$1,R15)</f>
        <v>0</v>
      </c>
      <c r="T15" s="41">
        <f>IF(ISNUMBER(Knoten!C14),S15-$L$1*$E$1*P15-$J$1*$E$1*Q15,R15)</f>
        <v>0</v>
      </c>
      <c r="U15" s="41">
        <f>IF(ISNUMBER(Knoten!C14),S15-$L$1*$E$1*P15+$J$1*$E$1*Q15,R15)</f>
        <v>0</v>
      </c>
      <c r="V15" s="800">
        <f t="shared" si="4"/>
        <v>0</v>
      </c>
      <c r="W15" s="41">
        <f>IF(ISNUMBER(Knoten!D14),Knoten!D14-Q15*(($H$1+1)*$E$1),PlotData!$CB$4)</f>
        <v>0</v>
      </c>
      <c r="X15" s="41">
        <f>IF(ISNUMBER(Knoten!D14),W15+Q15*$E$1,W15)</f>
        <v>0</v>
      </c>
      <c r="Y15" s="41">
        <f>IF(ISNUMBER(Knoten!D14),X15-Q15*$L$1*$E$1+P15*$J$1*$E$1,W15)</f>
        <v>0</v>
      </c>
      <c r="Z15" s="41">
        <f>IF(ISNUMBER(Knoten!D14),X15-Q15*$L$1*$E$1-P15*$J$1*$E$1,W15)</f>
        <v>0</v>
      </c>
      <c r="AA15" s="800">
        <f t="shared" si="5"/>
        <v>0</v>
      </c>
    </row>
    <row r="16" spans="1:27" x14ac:dyDescent="0.25">
      <c r="A16" s="750">
        <v>13</v>
      </c>
      <c r="B16" s="749">
        <f>SIGN(Knoten!I15)</f>
        <v>0</v>
      </c>
      <c r="C16" s="778">
        <f>IF(ISNUMBER(Knoten!C15),Knoten!C15-$Q$1,PlotData!$CB$3)</f>
        <v>0</v>
      </c>
      <c r="D16" s="737">
        <f t="shared" si="0"/>
        <v>0</v>
      </c>
      <c r="E16" s="736">
        <f>IF(ISNUMBER(Knoten!C15),D16-ABS(B16)*$J$1*$E$1,D16)</f>
        <v>0</v>
      </c>
      <c r="F16" s="737">
        <f>IF(ISNUMBER(Knoten!C15),E16+ABS(B16)*2*$J$1*$E$1,D16)</f>
        <v>0</v>
      </c>
      <c r="G16" s="738">
        <f t="shared" si="1"/>
        <v>0</v>
      </c>
      <c r="H16" s="778">
        <f>IF(ISNUMBER(Knoten!D15),Knoten!D15-$T$1-B16*(($H$1+1)*$E$1),PlotData!$CB$4)</f>
        <v>0</v>
      </c>
      <c r="I16" s="737">
        <f>IF(ISNUMBER(Knoten!D15),H16+B16*$E$1,H16)</f>
        <v>0</v>
      </c>
      <c r="J16" s="736">
        <f>IF(ISNUMBER(Knoten!D15),I16-B16*$L$1*$E$1,H16)</f>
        <v>0</v>
      </c>
      <c r="K16" s="737">
        <f t="shared" si="2"/>
        <v>0</v>
      </c>
      <c r="L16" s="738">
        <f t="shared" si="3"/>
        <v>0</v>
      </c>
      <c r="N16" s="800">
        <v>13</v>
      </c>
      <c r="O16" s="800">
        <f>SQRT((Knoten!H15+System!BN16)^2+(Knoten!I15+System!BO16)^2)</f>
        <v>0</v>
      </c>
      <c r="P16" s="800">
        <f>IF(O16&lt;&gt;0,((System!BN16)*COS(Knoten!W15/180*PI())+(Knoten!I15+System!BO16)*SIN(Knoten!W15/180*PI()))/O16,0)</f>
        <v>0</v>
      </c>
      <c r="Q16" s="800">
        <f>IF(O16&lt;&gt;0,((Knoten!I15+System!BO16)*COS(Knoten!W15/180*PI())-(Knoten!H15+System!BN16)*SIN(Knoten!W15/180*PI()))/O16,0)</f>
        <v>0</v>
      </c>
      <c r="R16" s="41">
        <f>IF(ISNUMBER(Knoten!C15),Knoten!C15-P16*(($H$1+1)*$E$1),PlotData!$CB$3)</f>
        <v>0</v>
      </c>
      <c r="S16" s="41">
        <f>IF(ISNUMBER(Knoten!C15),R16+P16*$E$1,R16)</f>
        <v>0</v>
      </c>
      <c r="T16" s="41">
        <f>IF(ISNUMBER(Knoten!C15),S16-$L$1*$E$1*P16-$J$1*$E$1*Q16,R16)</f>
        <v>0</v>
      </c>
      <c r="U16" s="41">
        <f>IF(ISNUMBER(Knoten!C15),S16-$L$1*$E$1*P16+$J$1*$E$1*Q16,R16)</f>
        <v>0</v>
      </c>
      <c r="V16" s="800">
        <f t="shared" si="4"/>
        <v>0</v>
      </c>
      <c r="W16" s="41">
        <f>IF(ISNUMBER(Knoten!D15),Knoten!D15-Q16*(($H$1+1)*$E$1),PlotData!$CB$4)</f>
        <v>0</v>
      </c>
      <c r="X16" s="41">
        <f>IF(ISNUMBER(Knoten!D15),W16+Q16*$E$1,W16)</f>
        <v>0</v>
      </c>
      <c r="Y16" s="41">
        <f>IF(ISNUMBER(Knoten!D15),X16-Q16*$L$1*$E$1+P16*$J$1*$E$1,W16)</f>
        <v>0</v>
      </c>
      <c r="Z16" s="41">
        <f>IF(ISNUMBER(Knoten!D15),X16-Q16*$L$1*$E$1-P16*$J$1*$E$1,W16)</f>
        <v>0</v>
      </c>
      <c r="AA16" s="800">
        <f t="shared" si="5"/>
        <v>0</v>
      </c>
    </row>
    <row r="17" spans="1:27" x14ac:dyDescent="0.25">
      <c r="A17" s="750">
        <v>14</v>
      </c>
      <c r="B17" s="749">
        <f>SIGN(Knoten!I16)</f>
        <v>0</v>
      </c>
      <c r="C17" s="778">
        <f>IF(ISNUMBER(Knoten!C16),Knoten!C16-$Q$1,PlotData!$CB$3)</f>
        <v>0</v>
      </c>
      <c r="D17" s="737">
        <f t="shared" si="0"/>
        <v>0</v>
      </c>
      <c r="E17" s="736">
        <f>IF(ISNUMBER(Knoten!C16),D17-ABS(B17)*$J$1*$E$1,D17)</f>
        <v>0</v>
      </c>
      <c r="F17" s="737">
        <f>IF(ISNUMBER(Knoten!C16),E17+ABS(B17)*2*$J$1*$E$1,D17)</f>
        <v>0</v>
      </c>
      <c r="G17" s="738">
        <f t="shared" si="1"/>
        <v>0</v>
      </c>
      <c r="H17" s="778">
        <f>IF(ISNUMBER(Knoten!D16),Knoten!D16-$T$1-B17*(($H$1+1)*$E$1),PlotData!$CB$4)</f>
        <v>0</v>
      </c>
      <c r="I17" s="737">
        <f>IF(ISNUMBER(Knoten!D16),H17+B17*$E$1,H17)</f>
        <v>0</v>
      </c>
      <c r="J17" s="736">
        <f>IF(ISNUMBER(Knoten!D16),I17-B17*$L$1*$E$1,H17)</f>
        <v>0</v>
      </c>
      <c r="K17" s="737">
        <f t="shared" si="2"/>
        <v>0</v>
      </c>
      <c r="L17" s="738">
        <f t="shared" si="3"/>
        <v>0</v>
      </c>
      <c r="N17" s="800">
        <v>14</v>
      </c>
      <c r="O17" s="800">
        <f>SQRT((Knoten!H16+System!BN17)^2+(Knoten!I16+System!BO17)^2)</f>
        <v>0</v>
      </c>
      <c r="P17" s="800">
        <f>IF(O17&lt;&gt;0,((System!BN17)*COS(Knoten!W16/180*PI())+(Knoten!I16+System!BO17)*SIN(Knoten!W16/180*PI()))/O17,0)</f>
        <v>0</v>
      </c>
      <c r="Q17" s="800">
        <f>IF(O17&lt;&gt;0,((Knoten!I16+System!BO17)*COS(Knoten!W16/180*PI())-(Knoten!H16+System!BN17)*SIN(Knoten!W16/180*PI()))/O17,0)</f>
        <v>0</v>
      </c>
      <c r="R17" s="41">
        <f>IF(ISNUMBER(Knoten!C16),Knoten!C16-P17*(($H$1+1)*$E$1),PlotData!$CB$3)</f>
        <v>0</v>
      </c>
      <c r="S17" s="41">
        <f>IF(ISNUMBER(Knoten!C16),R17+P17*$E$1,R17)</f>
        <v>0</v>
      </c>
      <c r="T17" s="41">
        <f>IF(ISNUMBER(Knoten!C16),S17-$L$1*$E$1*P17-$J$1*$E$1*Q17,R17)</f>
        <v>0</v>
      </c>
      <c r="U17" s="41">
        <f>IF(ISNUMBER(Knoten!C16),S17-$L$1*$E$1*P17+$J$1*$E$1*Q17,R17)</f>
        <v>0</v>
      </c>
      <c r="V17" s="800">
        <f t="shared" si="4"/>
        <v>0</v>
      </c>
      <c r="W17" s="41">
        <f>IF(ISNUMBER(Knoten!D16),Knoten!D16-Q17*(($H$1+1)*$E$1),PlotData!$CB$4)</f>
        <v>0</v>
      </c>
      <c r="X17" s="41">
        <f>IF(ISNUMBER(Knoten!D16),W17+Q17*$E$1,W17)</f>
        <v>0</v>
      </c>
      <c r="Y17" s="41">
        <f>IF(ISNUMBER(Knoten!D16),X17-Q17*$L$1*$E$1+P17*$J$1*$E$1,W17)</f>
        <v>0</v>
      </c>
      <c r="Z17" s="41">
        <f>IF(ISNUMBER(Knoten!D16),X17-Q17*$L$1*$E$1-P17*$J$1*$E$1,W17)</f>
        <v>0</v>
      </c>
      <c r="AA17" s="800">
        <f t="shared" si="5"/>
        <v>0</v>
      </c>
    </row>
    <row r="18" spans="1:27" x14ac:dyDescent="0.25">
      <c r="A18" s="750">
        <v>15</v>
      </c>
      <c r="B18" s="749">
        <f>SIGN(Knoten!I17)</f>
        <v>0</v>
      </c>
      <c r="C18" s="778">
        <f>IF(ISNUMBER(Knoten!C17),Knoten!C17-$Q$1,PlotData!$CB$3)</f>
        <v>0</v>
      </c>
      <c r="D18" s="737">
        <f t="shared" si="0"/>
        <v>0</v>
      </c>
      <c r="E18" s="736">
        <f>IF(ISNUMBER(Knoten!C17),D18-ABS(B18)*$J$1*$E$1,D18)</f>
        <v>0</v>
      </c>
      <c r="F18" s="737">
        <f>IF(ISNUMBER(Knoten!C17),E18+ABS(B18)*2*$J$1*$E$1,D18)</f>
        <v>0</v>
      </c>
      <c r="G18" s="738">
        <f t="shared" si="1"/>
        <v>0</v>
      </c>
      <c r="H18" s="778">
        <f>IF(ISNUMBER(Knoten!D17),Knoten!D17-$T$1-B18*(($H$1+1)*$E$1),PlotData!$CB$4)</f>
        <v>0</v>
      </c>
      <c r="I18" s="737">
        <f>IF(ISNUMBER(Knoten!D17),H18+B18*$E$1,H18)</f>
        <v>0</v>
      </c>
      <c r="J18" s="736">
        <f>IF(ISNUMBER(Knoten!D17),I18-B18*$L$1*$E$1,H18)</f>
        <v>0</v>
      </c>
      <c r="K18" s="737">
        <f t="shared" si="2"/>
        <v>0</v>
      </c>
      <c r="L18" s="738">
        <f t="shared" si="3"/>
        <v>0</v>
      </c>
      <c r="N18" s="800">
        <v>15</v>
      </c>
      <c r="O18" s="800">
        <f>SQRT((Knoten!H17+System!BN18)^2+(Knoten!I17+System!BO18)^2)</f>
        <v>0</v>
      </c>
      <c r="P18" s="800">
        <f>IF(O18&lt;&gt;0,((System!BN18)*COS(Knoten!W17/180*PI())+(Knoten!I17+System!BO18)*SIN(Knoten!W17/180*PI()))/O18,0)</f>
        <v>0</v>
      </c>
      <c r="Q18" s="800">
        <f>IF(O18&lt;&gt;0,((Knoten!I17+System!BO18)*COS(Knoten!W17/180*PI())-(Knoten!H17+System!BN18)*SIN(Knoten!W17/180*PI()))/O18,0)</f>
        <v>0</v>
      </c>
      <c r="R18" s="41">
        <f>IF(ISNUMBER(Knoten!C17),Knoten!C17-P18*(($H$1+1)*$E$1),PlotData!$CB$3)</f>
        <v>0</v>
      </c>
      <c r="S18" s="41">
        <f>IF(ISNUMBER(Knoten!C17),R18+P18*$E$1,R18)</f>
        <v>0</v>
      </c>
      <c r="T18" s="41">
        <f>IF(ISNUMBER(Knoten!C17),S18-$L$1*$E$1*P18-$J$1*$E$1*Q18,R18)</f>
        <v>0</v>
      </c>
      <c r="U18" s="41">
        <f>IF(ISNUMBER(Knoten!C17),S18-$L$1*$E$1*P18+$J$1*$E$1*Q18,R18)</f>
        <v>0</v>
      </c>
      <c r="V18" s="800">
        <f t="shared" si="4"/>
        <v>0</v>
      </c>
      <c r="W18" s="41">
        <f>IF(ISNUMBER(Knoten!D17),Knoten!D17-Q18*(($H$1+1)*$E$1),PlotData!$CB$4)</f>
        <v>0</v>
      </c>
      <c r="X18" s="41">
        <f>IF(ISNUMBER(Knoten!D17),W18+Q18*$E$1,W18)</f>
        <v>0</v>
      </c>
      <c r="Y18" s="41">
        <f>IF(ISNUMBER(Knoten!D17),X18-Q18*$L$1*$E$1+P18*$J$1*$E$1,W18)</f>
        <v>0</v>
      </c>
      <c r="Z18" s="41">
        <f>IF(ISNUMBER(Knoten!D17),X18-Q18*$L$1*$E$1-P18*$J$1*$E$1,W18)</f>
        <v>0</v>
      </c>
      <c r="AA18" s="800">
        <f t="shared" si="5"/>
        <v>0</v>
      </c>
    </row>
    <row r="19" spans="1:27" x14ac:dyDescent="0.25">
      <c r="A19" s="750">
        <v>16</v>
      </c>
      <c r="B19" s="749">
        <f>SIGN(Knoten!I18)</f>
        <v>0</v>
      </c>
      <c r="C19" s="778">
        <f>IF(ISNUMBER(Knoten!C18),Knoten!C18-$Q$1,PlotData!$CB$3)</f>
        <v>0</v>
      </c>
      <c r="D19" s="737">
        <f t="shared" si="0"/>
        <v>0</v>
      </c>
      <c r="E19" s="736">
        <f>IF(ISNUMBER(Knoten!C18),D19-ABS(B19)*$J$1*$E$1,D19)</f>
        <v>0</v>
      </c>
      <c r="F19" s="737">
        <f>IF(ISNUMBER(Knoten!C18),E19+ABS(B19)*2*$J$1*$E$1,D19)</f>
        <v>0</v>
      </c>
      <c r="G19" s="738">
        <f t="shared" si="1"/>
        <v>0</v>
      </c>
      <c r="H19" s="778">
        <f>IF(ISNUMBER(Knoten!D18),Knoten!D18-$T$1-B19*(($H$1+1)*$E$1),PlotData!$CB$4)</f>
        <v>0</v>
      </c>
      <c r="I19" s="737">
        <f>IF(ISNUMBER(Knoten!D18),H19+B19*$E$1,H19)</f>
        <v>0</v>
      </c>
      <c r="J19" s="736">
        <f>IF(ISNUMBER(Knoten!D18),I19-B19*$L$1*$E$1,H19)</f>
        <v>0</v>
      </c>
      <c r="K19" s="737">
        <f t="shared" si="2"/>
        <v>0</v>
      </c>
      <c r="L19" s="738">
        <f t="shared" si="3"/>
        <v>0</v>
      </c>
      <c r="N19" s="800">
        <v>16</v>
      </c>
      <c r="O19" s="800">
        <f>SQRT((Knoten!H18+System!BN19)^2+(Knoten!I18+System!BO19)^2)</f>
        <v>0</v>
      </c>
      <c r="P19" s="800">
        <f>IF(O19&lt;&gt;0,((System!BN19)*COS(Knoten!W18/180*PI())+(Knoten!I18+System!BO19)*SIN(Knoten!W18/180*PI()))/O19,0)</f>
        <v>0</v>
      </c>
      <c r="Q19" s="800">
        <f>IF(O19&lt;&gt;0,((Knoten!I18+System!BO19)*COS(Knoten!W18/180*PI())-(Knoten!H18+System!BN19)*SIN(Knoten!W18/180*PI()))/O19,0)</f>
        <v>0</v>
      </c>
      <c r="R19" s="41">
        <f>IF(ISNUMBER(Knoten!C18),Knoten!C18-P19*(($H$1+1)*$E$1),PlotData!$CB$3)</f>
        <v>0</v>
      </c>
      <c r="S19" s="41">
        <f>IF(ISNUMBER(Knoten!C18),R19+P19*$E$1,R19)</f>
        <v>0</v>
      </c>
      <c r="T19" s="41">
        <f>IF(ISNUMBER(Knoten!C18),S19-$L$1*$E$1*P19-$J$1*$E$1*Q19,R19)</f>
        <v>0</v>
      </c>
      <c r="U19" s="41">
        <f>IF(ISNUMBER(Knoten!C18),S19-$L$1*$E$1*P19+$J$1*$E$1*Q19,R19)</f>
        <v>0</v>
      </c>
      <c r="V19" s="800">
        <f t="shared" si="4"/>
        <v>0</v>
      </c>
      <c r="W19" s="41">
        <f>IF(ISNUMBER(Knoten!D18),Knoten!D18-Q19*(($H$1+1)*$E$1),PlotData!$CB$4)</f>
        <v>0</v>
      </c>
      <c r="X19" s="41">
        <f>IF(ISNUMBER(Knoten!D18),W19+Q19*$E$1,W19)</f>
        <v>0</v>
      </c>
      <c r="Y19" s="41">
        <f>IF(ISNUMBER(Knoten!D18),X19-Q19*$L$1*$E$1+P19*$J$1*$E$1,W19)</f>
        <v>0</v>
      </c>
      <c r="Z19" s="41">
        <f>IF(ISNUMBER(Knoten!D18),X19-Q19*$L$1*$E$1-P19*$J$1*$E$1,W19)</f>
        <v>0</v>
      </c>
      <c r="AA19" s="800">
        <f t="shared" si="5"/>
        <v>0</v>
      </c>
    </row>
    <row r="20" spans="1:27" x14ac:dyDescent="0.25">
      <c r="A20" s="750">
        <v>17</v>
      </c>
      <c r="B20" s="749">
        <f>SIGN(Knoten!I19)</f>
        <v>0</v>
      </c>
      <c r="C20" s="778">
        <f>IF(ISNUMBER(Knoten!C19),Knoten!C19-$Q$1,PlotData!$CB$3)</f>
        <v>0</v>
      </c>
      <c r="D20" s="737">
        <f t="shared" si="0"/>
        <v>0</v>
      </c>
      <c r="E20" s="736">
        <f>IF(ISNUMBER(Knoten!C19),D20-ABS(B20)*$J$1*$E$1,D20)</f>
        <v>0</v>
      </c>
      <c r="F20" s="737">
        <f>IF(ISNUMBER(Knoten!C19),E20+ABS(B20)*2*$J$1*$E$1,D20)</f>
        <v>0</v>
      </c>
      <c r="G20" s="738">
        <f t="shared" si="1"/>
        <v>0</v>
      </c>
      <c r="H20" s="778">
        <f>IF(ISNUMBER(Knoten!D19),Knoten!D19-$T$1-B20*(($H$1+1)*$E$1),PlotData!$CB$4)</f>
        <v>0</v>
      </c>
      <c r="I20" s="737">
        <f>IF(ISNUMBER(Knoten!D19),H20+B20*$E$1,H20)</f>
        <v>0</v>
      </c>
      <c r="J20" s="736">
        <f>IF(ISNUMBER(Knoten!D19),I20-B20*$L$1*$E$1,H20)</f>
        <v>0</v>
      </c>
      <c r="K20" s="737">
        <f t="shared" si="2"/>
        <v>0</v>
      </c>
      <c r="L20" s="738">
        <f t="shared" si="3"/>
        <v>0</v>
      </c>
      <c r="N20" s="800">
        <v>17</v>
      </c>
      <c r="O20" s="800">
        <f>SQRT((Knoten!H19+System!BN20)^2+(Knoten!I19+System!BO20)^2)</f>
        <v>0</v>
      </c>
      <c r="P20" s="800">
        <f>IF(O20&lt;&gt;0,((System!BN20)*COS(Knoten!W19/180*PI())+(Knoten!I19+System!BO20)*SIN(Knoten!W19/180*PI()))/O20,0)</f>
        <v>0</v>
      </c>
      <c r="Q20" s="800">
        <f>IF(O20&lt;&gt;0,((Knoten!I19+System!BO20)*COS(Knoten!W19/180*PI())-(Knoten!H19+System!BN20)*SIN(Knoten!W19/180*PI()))/O20,0)</f>
        <v>0</v>
      </c>
      <c r="R20" s="41">
        <f>IF(ISNUMBER(Knoten!C19),Knoten!C19-P20*(($H$1+1)*$E$1),PlotData!$CB$3)</f>
        <v>0</v>
      </c>
      <c r="S20" s="41">
        <f>IF(ISNUMBER(Knoten!C19),R20+P20*$E$1,R20)</f>
        <v>0</v>
      </c>
      <c r="T20" s="41">
        <f>IF(ISNUMBER(Knoten!C19),S20-$L$1*$E$1*P20-$J$1*$E$1*Q20,R20)</f>
        <v>0</v>
      </c>
      <c r="U20" s="41">
        <f>IF(ISNUMBER(Knoten!C19),S20-$L$1*$E$1*P20+$J$1*$E$1*Q20,R20)</f>
        <v>0</v>
      </c>
      <c r="V20" s="800">
        <f t="shared" si="4"/>
        <v>0</v>
      </c>
      <c r="W20" s="41">
        <f>IF(ISNUMBER(Knoten!D19),Knoten!D19-Q20*(($H$1+1)*$E$1),PlotData!$CB$4)</f>
        <v>0</v>
      </c>
      <c r="X20" s="41">
        <f>IF(ISNUMBER(Knoten!D19),W20+Q20*$E$1,W20)</f>
        <v>0</v>
      </c>
      <c r="Y20" s="41">
        <f>IF(ISNUMBER(Knoten!D19),X20-Q20*$L$1*$E$1+P20*$J$1*$E$1,W20)</f>
        <v>0</v>
      </c>
      <c r="Z20" s="41">
        <f>IF(ISNUMBER(Knoten!D19),X20-Q20*$L$1*$E$1-P20*$J$1*$E$1,W20)</f>
        <v>0</v>
      </c>
      <c r="AA20" s="800">
        <f t="shared" si="5"/>
        <v>0</v>
      </c>
    </row>
    <row r="21" spans="1:27" x14ac:dyDescent="0.25">
      <c r="A21" s="750">
        <v>18</v>
      </c>
      <c r="B21" s="749">
        <f>SIGN(Knoten!I20)</f>
        <v>0</v>
      </c>
      <c r="C21" s="778">
        <f>IF(ISNUMBER(Knoten!C20),Knoten!C20-$Q$1,PlotData!$CB$3)</f>
        <v>0</v>
      </c>
      <c r="D21" s="737">
        <f t="shared" si="0"/>
        <v>0</v>
      </c>
      <c r="E21" s="736">
        <f>IF(ISNUMBER(Knoten!C20),D21-ABS(B21)*$J$1*$E$1,D21)</f>
        <v>0</v>
      </c>
      <c r="F21" s="737">
        <f>IF(ISNUMBER(Knoten!C20),E21+ABS(B21)*2*$J$1*$E$1,D21)</f>
        <v>0</v>
      </c>
      <c r="G21" s="738">
        <f t="shared" si="1"/>
        <v>0</v>
      </c>
      <c r="H21" s="778">
        <f>IF(ISNUMBER(Knoten!D20),Knoten!D20-$T$1-B21*(($H$1+1)*$E$1),PlotData!$CB$4)</f>
        <v>0</v>
      </c>
      <c r="I21" s="737">
        <f>IF(ISNUMBER(Knoten!D20),H21+B21*$E$1,H21)</f>
        <v>0</v>
      </c>
      <c r="J21" s="736">
        <f>IF(ISNUMBER(Knoten!D20),I21-B21*$L$1*$E$1,H21)</f>
        <v>0</v>
      </c>
      <c r="K21" s="737">
        <f t="shared" si="2"/>
        <v>0</v>
      </c>
      <c r="L21" s="738">
        <f t="shared" si="3"/>
        <v>0</v>
      </c>
      <c r="N21" s="800">
        <v>18</v>
      </c>
      <c r="O21" s="800">
        <f>SQRT((Knoten!H20+System!BN21)^2+(Knoten!I20+System!BO21)^2)</f>
        <v>0</v>
      </c>
      <c r="P21" s="800">
        <f>IF(O21&lt;&gt;0,((System!BN21)*COS(Knoten!W20/180*PI())+(Knoten!I20+System!BO21)*SIN(Knoten!W20/180*PI()))/O21,0)</f>
        <v>0</v>
      </c>
      <c r="Q21" s="800">
        <f>IF(O21&lt;&gt;0,((Knoten!I20+System!BO21)*COS(Knoten!W20/180*PI())-(Knoten!H20+System!BN21)*SIN(Knoten!W20/180*PI()))/O21,0)</f>
        <v>0</v>
      </c>
      <c r="R21" s="41">
        <f>IF(ISNUMBER(Knoten!C20),Knoten!C20-P21*(($H$1+1)*$E$1),PlotData!$CB$3)</f>
        <v>0</v>
      </c>
      <c r="S21" s="41">
        <f>IF(ISNUMBER(Knoten!C20),R21+P21*$E$1,R21)</f>
        <v>0</v>
      </c>
      <c r="T21" s="41">
        <f>IF(ISNUMBER(Knoten!C20),S21-$L$1*$E$1*P21-$J$1*$E$1*Q21,R21)</f>
        <v>0</v>
      </c>
      <c r="U21" s="41">
        <f>IF(ISNUMBER(Knoten!C20),S21-$L$1*$E$1*P21+$J$1*$E$1*Q21,R21)</f>
        <v>0</v>
      </c>
      <c r="V21" s="800">
        <f t="shared" si="4"/>
        <v>0</v>
      </c>
      <c r="W21" s="41">
        <f>IF(ISNUMBER(Knoten!D20),Knoten!D20-Q21*(($H$1+1)*$E$1),PlotData!$CB$4)</f>
        <v>0</v>
      </c>
      <c r="X21" s="41">
        <f>IF(ISNUMBER(Knoten!D20),W21+Q21*$E$1,W21)</f>
        <v>0</v>
      </c>
      <c r="Y21" s="41">
        <f>IF(ISNUMBER(Knoten!D20),X21-Q21*$L$1*$E$1+P21*$J$1*$E$1,W21)</f>
        <v>0</v>
      </c>
      <c r="Z21" s="41">
        <f>IF(ISNUMBER(Knoten!D20),X21-Q21*$L$1*$E$1-P21*$J$1*$E$1,W21)</f>
        <v>0</v>
      </c>
      <c r="AA21" s="800">
        <f t="shared" si="5"/>
        <v>0</v>
      </c>
    </row>
    <row r="22" spans="1:27" x14ac:dyDescent="0.25">
      <c r="A22" s="750">
        <v>19</v>
      </c>
      <c r="B22" s="749">
        <f>SIGN(Knoten!I21)</f>
        <v>0</v>
      </c>
      <c r="C22" s="778">
        <f>IF(ISNUMBER(Knoten!C21),Knoten!C21-$Q$1,PlotData!$CB$3)</f>
        <v>0</v>
      </c>
      <c r="D22" s="737">
        <f>C22</f>
        <v>0</v>
      </c>
      <c r="E22" s="736">
        <f>IF(ISNUMBER(Knoten!C21),D22-ABS(B22)*$J$1*$E$1,D22)</f>
        <v>0</v>
      </c>
      <c r="F22" s="737">
        <f>IF(ISNUMBER(Knoten!C21),E22+ABS(B22)*2*$J$1*$E$1,D22)</f>
        <v>0</v>
      </c>
      <c r="G22" s="738">
        <f>D22</f>
        <v>0</v>
      </c>
      <c r="H22" s="778">
        <f>IF(ISNUMBER(Knoten!D21),Knoten!D21-$T$1-B22*(($H$1+1)*$E$1),PlotData!$CB$4)</f>
        <v>0</v>
      </c>
      <c r="I22" s="737">
        <f>IF(ISNUMBER(Knoten!D21),H22+B22*$E$1,H22)</f>
        <v>0</v>
      </c>
      <c r="J22" s="736">
        <f>IF(ISNUMBER(Knoten!D21),I22-B22*$L$1*$E$1,H22)</f>
        <v>0</v>
      </c>
      <c r="K22" s="737">
        <f>J22</f>
        <v>0</v>
      </c>
      <c r="L22" s="738">
        <f>I22</f>
        <v>0</v>
      </c>
      <c r="N22" s="800">
        <v>19</v>
      </c>
      <c r="O22" s="800">
        <f>SQRT((Knoten!H21+System!BN22)^2+(Knoten!I21+System!BO22)^2)</f>
        <v>0</v>
      </c>
      <c r="P22" s="800">
        <f>IF(O22&lt;&gt;0,((System!BN22)*COS(Knoten!W21/180*PI())+(Knoten!I21+System!BO22)*SIN(Knoten!W21/180*PI()))/O22,0)</f>
        <v>0</v>
      </c>
      <c r="Q22" s="800">
        <f>IF(O22&lt;&gt;0,((Knoten!I21+System!BO22)*COS(Knoten!W21/180*PI())-(Knoten!H21+System!BN22)*SIN(Knoten!W21/180*PI()))/O22,0)</f>
        <v>0</v>
      </c>
      <c r="R22" s="41">
        <f>IF(ISNUMBER(Knoten!C21),Knoten!C21-P22*(($H$1+1)*$E$1),PlotData!$CB$3)</f>
        <v>0</v>
      </c>
      <c r="S22" s="41">
        <f>IF(ISNUMBER(Knoten!C21),R22+P22*$E$1,R22)</f>
        <v>0</v>
      </c>
      <c r="T22" s="41">
        <f>IF(ISNUMBER(Knoten!C21),S22-$L$1*$E$1*P22-$J$1*$E$1*Q22,R22)</f>
        <v>0</v>
      </c>
      <c r="U22" s="41">
        <f>IF(ISNUMBER(Knoten!C21),S22-$L$1*$E$1*P22+$J$1*$E$1*Q22,R22)</f>
        <v>0</v>
      </c>
      <c r="V22" s="800">
        <f t="shared" si="4"/>
        <v>0</v>
      </c>
      <c r="W22" s="41">
        <f>IF(ISNUMBER(Knoten!D21),Knoten!D21-Q22*(($H$1+1)*$E$1),PlotData!$CB$4)</f>
        <v>0</v>
      </c>
      <c r="X22" s="41">
        <f>IF(ISNUMBER(Knoten!D21),W22+Q22*$E$1,W22)</f>
        <v>0</v>
      </c>
      <c r="Y22" s="41">
        <f>IF(ISNUMBER(Knoten!D21),X22-Q22*$L$1*$E$1+P22*$J$1*$E$1,W22)</f>
        <v>0</v>
      </c>
      <c r="Z22" s="41">
        <f>IF(ISNUMBER(Knoten!D21),X22-Q22*$L$1*$E$1-P22*$J$1*$E$1,W22)</f>
        <v>0</v>
      </c>
      <c r="AA22" s="800">
        <f t="shared" si="5"/>
        <v>0</v>
      </c>
    </row>
    <row r="23" spans="1:27" ht="13.8" thickBot="1" x14ac:dyDescent="0.3">
      <c r="A23" s="761">
        <v>20</v>
      </c>
      <c r="B23" s="753">
        <f>SIGN(Knoten!I22)</f>
        <v>0</v>
      </c>
      <c r="C23" s="779">
        <f>IF(ISNUMBER(Knoten!C22),Knoten!C22-$Q$1,PlotData!$CB$3)</f>
        <v>0</v>
      </c>
      <c r="D23" s="755">
        <f>C23</f>
        <v>0</v>
      </c>
      <c r="E23" s="754">
        <f>IF(ISNUMBER(Knoten!C22),D23-ABS(B23)*$J$1*$E$1,D23)</f>
        <v>0</v>
      </c>
      <c r="F23" s="755">
        <f>IF(ISNUMBER(Knoten!C22),E23+ABS(B23)*2*$J$1*$E$1,D23)</f>
        <v>0</v>
      </c>
      <c r="G23" s="756">
        <f>D23</f>
        <v>0</v>
      </c>
      <c r="H23" s="779">
        <f>IF(ISNUMBER(Knoten!D22),Knoten!D22-$T$1-B23*(($H$1+1)*$E$1),PlotData!$CB$4)</f>
        <v>0</v>
      </c>
      <c r="I23" s="755">
        <f>IF(ISNUMBER(Knoten!D22),H23+B23*$E$1,H23)</f>
        <v>0</v>
      </c>
      <c r="J23" s="754">
        <f>IF(ISNUMBER(Knoten!D22),I23-B23*$L$1*$E$1,H23)</f>
        <v>0</v>
      </c>
      <c r="K23" s="755">
        <f>J23</f>
        <v>0</v>
      </c>
      <c r="L23" s="756">
        <f>I23</f>
        <v>0</v>
      </c>
      <c r="N23" s="800">
        <v>20</v>
      </c>
      <c r="O23" s="800">
        <f>SQRT((Knoten!H22+System!BN23)^2+(Knoten!I22+System!BO23)^2)</f>
        <v>0</v>
      </c>
      <c r="P23" s="800">
        <f>IF(O23&lt;&gt;0,((System!BN23)*COS(Knoten!W22/180*PI())+(Knoten!I22+System!BO23)*SIN(Knoten!W22/180*PI()))/O23,0)</f>
        <v>0</v>
      </c>
      <c r="Q23" s="800">
        <f>IF(O23&lt;&gt;0,((Knoten!I22+System!BO23)*COS(Knoten!W22/180*PI())-(Knoten!H22+System!BN23)*SIN(Knoten!W22/180*PI()))/O23,0)</f>
        <v>0</v>
      </c>
      <c r="R23" s="41">
        <f>IF(ISNUMBER(Knoten!C22),Knoten!C22-P23*(($H$1+1)*$E$1),PlotData!$CB$3)</f>
        <v>0</v>
      </c>
      <c r="S23" s="41">
        <f>IF(ISNUMBER(Knoten!C22),R23+P23*$E$1,R23)</f>
        <v>0</v>
      </c>
      <c r="T23" s="41">
        <f>IF(ISNUMBER(Knoten!C22),S23-$L$1*$E$1*P23-$J$1*$E$1*Q23,R23)</f>
        <v>0</v>
      </c>
      <c r="U23" s="41">
        <f>IF(ISNUMBER(Knoten!C22),S23-$L$1*$E$1*P23+$J$1*$E$1*Q23,R23)</f>
        <v>0</v>
      </c>
      <c r="V23" s="800">
        <f t="shared" si="4"/>
        <v>0</v>
      </c>
      <c r="W23" s="41">
        <f>IF(ISNUMBER(Knoten!D22),Knoten!D22-Q23*(($H$1+1)*$E$1),PlotData!$CB$4)</f>
        <v>0</v>
      </c>
      <c r="X23" s="41">
        <f>IF(ISNUMBER(Knoten!D22),W23+Q23*$E$1,W23)</f>
        <v>0</v>
      </c>
      <c r="Y23" s="41">
        <f>IF(ISNUMBER(Knoten!D22),X23-Q23*$L$1*$E$1+P23*$J$1*$E$1,W23)</f>
        <v>0</v>
      </c>
      <c r="Z23" s="41">
        <f>IF(ISNUMBER(Knoten!D22),X23-Q23*$L$1*$E$1-P23*$J$1*$E$1,W23)</f>
        <v>0</v>
      </c>
      <c r="AA23" s="800">
        <f t="shared" si="5"/>
        <v>0</v>
      </c>
    </row>
    <row r="24" spans="1:27" x14ac:dyDescent="0.25">
      <c r="N24" s="800">
        <v>21</v>
      </c>
      <c r="O24" s="800">
        <f>SQRT((Knoten!H23+System!BN24)^2+(Knoten!I23+System!BO24)^2)</f>
        <v>0</v>
      </c>
      <c r="P24" s="800">
        <f>IF(O24&lt;&gt;0,((System!BN24)*COS(Knoten!W23/180*PI())+(Knoten!I23+System!BO24)*SIN(Knoten!W23/180*PI()))/O24,0)</f>
        <v>0</v>
      </c>
      <c r="Q24" s="800">
        <f>IF(O24&lt;&gt;0,((Knoten!I23+System!BO24)*COS(Knoten!W23/180*PI())-(Knoten!H23+System!BN24)*SIN(Knoten!W23/180*PI()))/O24,0)</f>
        <v>0</v>
      </c>
      <c r="R24" s="41">
        <f>IF(ISNUMBER(Knoten!C23),Knoten!C23-P24*(($H$1+1)*$E$1),PlotData!$CB$3)</f>
        <v>0</v>
      </c>
      <c r="S24" s="41">
        <f>IF(ISNUMBER(Knoten!C23),R24+P24*$E$1,R24)</f>
        <v>0</v>
      </c>
      <c r="T24" s="41">
        <f>IF(ISNUMBER(Knoten!C23),S24-$L$1*$E$1*P24-$J$1*$E$1*Q24,R24)</f>
        <v>0</v>
      </c>
      <c r="U24" s="41">
        <f>IF(ISNUMBER(Knoten!C23),S24-$L$1*$E$1*P24+$J$1*$E$1*Q24,R24)</f>
        <v>0</v>
      </c>
      <c r="V24" s="800">
        <f t="shared" si="4"/>
        <v>0</v>
      </c>
      <c r="W24" s="41">
        <f>IF(ISNUMBER(Knoten!D23),Knoten!D23-Q24*(($H$1+1)*$E$1),PlotData!$CB$4)</f>
        <v>0</v>
      </c>
      <c r="X24" s="41">
        <f>IF(ISNUMBER(Knoten!D23),W24+Q24*$E$1,W24)</f>
        <v>0</v>
      </c>
      <c r="Y24" s="41">
        <f>IF(ISNUMBER(Knoten!D23),X24-Q24*$L$1*$E$1+P24*$J$1*$E$1,W24)</f>
        <v>0</v>
      </c>
      <c r="Z24" s="41">
        <f>IF(ISNUMBER(Knoten!D23),X24-Q24*$L$1*$E$1-P24*$J$1*$E$1,W24)</f>
        <v>0</v>
      </c>
      <c r="AA24" s="800">
        <f t="shared" si="5"/>
        <v>0</v>
      </c>
    </row>
    <row r="25" spans="1:27" ht="13.8" thickBot="1" x14ac:dyDescent="0.3">
      <c r="N25" s="800">
        <v>22</v>
      </c>
      <c r="O25" s="800">
        <f>SQRT((Knoten!H24+System!BN25)^2+(Knoten!I24+System!BO25)^2)</f>
        <v>0</v>
      </c>
      <c r="P25" s="800">
        <f>IF(O25&lt;&gt;0,((System!BN25)*COS(Knoten!W24/180*PI())+(Knoten!I24+System!BO25)*SIN(Knoten!W24/180*PI()))/O25,0)</f>
        <v>0</v>
      </c>
      <c r="Q25" s="800">
        <f>IF(O25&lt;&gt;0,((Knoten!I24+System!BO25)*COS(Knoten!W24/180*PI())-(Knoten!H24+System!BN25)*SIN(Knoten!W24/180*PI()))/O25,0)</f>
        <v>0</v>
      </c>
      <c r="R25" s="41">
        <f>IF(ISNUMBER(Knoten!C24),Knoten!C24-P25*(($H$1+1)*$E$1),PlotData!$CB$3)</f>
        <v>0</v>
      </c>
      <c r="S25" s="41">
        <f>IF(ISNUMBER(Knoten!C24),R25+P25*$E$1,R25)</f>
        <v>0</v>
      </c>
      <c r="T25" s="41">
        <f>IF(ISNUMBER(Knoten!C24),S25-$L$1*$E$1*P25-$J$1*$E$1*Q25,R25)</f>
        <v>0</v>
      </c>
      <c r="U25" s="41">
        <f>IF(ISNUMBER(Knoten!C24),S25-$L$1*$E$1*P25+$J$1*$E$1*Q25,R25)</f>
        <v>0</v>
      </c>
      <c r="V25" s="800">
        <f t="shared" si="4"/>
        <v>0</v>
      </c>
      <c r="W25" s="41">
        <f>IF(ISNUMBER(Knoten!D24),Knoten!D24-Q25*(($H$1+1)*$E$1),PlotData!$CB$4)</f>
        <v>0</v>
      </c>
      <c r="X25" s="41">
        <f>IF(ISNUMBER(Knoten!D24),W25+Q25*$E$1,W25)</f>
        <v>0</v>
      </c>
      <c r="Y25" s="41">
        <f>IF(ISNUMBER(Knoten!D24),X25-Q25*$L$1*$E$1+P25*$J$1*$E$1,W25)</f>
        <v>0</v>
      </c>
      <c r="Z25" s="41">
        <f>IF(ISNUMBER(Knoten!D24),X25-Q25*$L$1*$E$1-P25*$J$1*$E$1,W25)</f>
        <v>0</v>
      </c>
      <c r="AA25" s="800">
        <f t="shared" si="5"/>
        <v>0</v>
      </c>
    </row>
    <row r="26" spans="1:27" ht="24.75" customHeight="1" thickBot="1" x14ac:dyDescent="0.3">
      <c r="A26" s="1331" t="s">
        <v>261</v>
      </c>
      <c r="B26" s="1333"/>
      <c r="C26" s="1343" t="s">
        <v>16</v>
      </c>
      <c r="D26" s="1344"/>
      <c r="E26" s="1344"/>
      <c r="F26" s="1344"/>
      <c r="G26" s="1345"/>
      <c r="H26" s="1346" t="s">
        <v>228</v>
      </c>
      <c r="I26" s="1347"/>
      <c r="J26" s="1347"/>
      <c r="K26" s="1347"/>
      <c r="L26" s="1348"/>
      <c r="N26" s="800">
        <v>23</v>
      </c>
      <c r="O26" s="800">
        <f>SQRT((Knoten!H25+System!BN26)^2+(Knoten!I25+System!BO26)^2)</f>
        <v>0</v>
      </c>
      <c r="P26" s="800">
        <f>IF(O26&lt;&gt;0,((System!BN26)*COS(Knoten!W25/180*PI())+(Knoten!I25+System!BO26)*SIN(Knoten!W25/180*PI()))/O26,0)</f>
        <v>0</v>
      </c>
      <c r="Q26" s="800">
        <f>IF(O26&lt;&gt;0,((Knoten!I25+System!BO26)*COS(Knoten!W25/180*PI())-(Knoten!H25+System!BN26)*SIN(Knoten!W25/180*PI()))/O26,0)</f>
        <v>0</v>
      </c>
      <c r="R26" s="41">
        <f>IF(ISNUMBER(Knoten!C25),Knoten!C25-P26*(($H$1+1)*$E$1),PlotData!$CB$3)</f>
        <v>0</v>
      </c>
      <c r="S26" s="41">
        <f>IF(ISNUMBER(Knoten!C25),R26+P26*$E$1,R26)</f>
        <v>0</v>
      </c>
      <c r="T26" s="41">
        <f>IF(ISNUMBER(Knoten!C25),S26-$L$1*$E$1*P26-$J$1*$E$1*Q26,R26)</f>
        <v>0</v>
      </c>
      <c r="U26" s="41">
        <f>IF(ISNUMBER(Knoten!C25),S26-$L$1*$E$1*P26+$J$1*$E$1*Q26,R26)</f>
        <v>0</v>
      </c>
      <c r="V26" s="800">
        <f t="shared" si="4"/>
        <v>0</v>
      </c>
      <c r="W26" s="41">
        <f>IF(ISNUMBER(Knoten!D25),Knoten!D25-Q26*(($H$1+1)*$E$1),PlotData!$CB$4)</f>
        <v>0</v>
      </c>
      <c r="X26" s="41">
        <f>IF(ISNUMBER(Knoten!D25),W26+Q26*$E$1,W26)</f>
        <v>0</v>
      </c>
      <c r="Y26" s="41">
        <f>IF(ISNUMBER(Knoten!D25),X26-Q26*$L$1*$E$1+P26*$J$1*$E$1,W26)</f>
        <v>0</v>
      </c>
      <c r="Z26" s="41">
        <f>IF(ISNUMBER(Knoten!D25),X26-Q26*$L$1*$E$1-P26*$J$1*$E$1,W26)</f>
        <v>0</v>
      </c>
      <c r="AA26" s="800">
        <f t="shared" si="5"/>
        <v>0</v>
      </c>
    </row>
    <row r="27" spans="1:27" x14ac:dyDescent="0.25">
      <c r="A27" s="744">
        <v>1</v>
      </c>
      <c r="B27" s="735">
        <f>SIGN(Knoten!H3)</f>
        <v>1</v>
      </c>
      <c r="C27" s="775">
        <f>IF(ISNUMBER(Knoten!C3),Knoten!C3-$Q$1-B27*(($H$1+1)*$E$1),PlotData!$CB$3)</f>
        <v>-20.729350596345142</v>
      </c>
      <c r="D27" s="768">
        <f>IF(ISNUMBER(Knoten!C3),C27+B27*$E$1,C27)</f>
        <v>13.211774900609143</v>
      </c>
      <c r="E27" s="776">
        <f>IF(ISNUMBER(Knoten!C3),D27-$L$1*$E$1*B27,C27)</f>
        <v>1.3323809766751431</v>
      </c>
      <c r="F27" s="768">
        <f t="shared" ref="F27:F44" si="6">E27</f>
        <v>1.3323809766751431</v>
      </c>
      <c r="G27" s="777">
        <f t="shared" ref="G27:G44" si="7">D27</f>
        <v>13.211774900609143</v>
      </c>
      <c r="H27" s="775">
        <f>IF(ISNUMBER(Knoten!D3),Knoten!D3-$T$1,PlotData!$CB$4)</f>
        <v>-40</v>
      </c>
      <c r="I27" s="768">
        <f t="shared" ref="I27:I44" si="8">H27</f>
        <v>-40</v>
      </c>
      <c r="J27" s="776">
        <f>IF(ISNUMBER(Knoten!D3),I27-ABS(B27)*$J$1*$E$1,H27)</f>
        <v>-43.394112549695429</v>
      </c>
      <c r="K27" s="768">
        <f>IF(ISNUMBER(Knoten!D3),J27+ABS(B27)*2*$J$1*$E$1,H27)</f>
        <v>-36.605887450304571</v>
      </c>
      <c r="L27" s="777">
        <f t="shared" ref="L27:L44" si="9">I27</f>
        <v>-40</v>
      </c>
      <c r="N27" s="800">
        <v>24</v>
      </c>
      <c r="O27" s="800">
        <f>SQRT((Knoten!H26+System!BN27)^2+(Knoten!I26+System!BO27)^2)</f>
        <v>0</v>
      </c>
      <c r="P27" s="800">
        <f>IF(O27&lt;&gt;0,((System!BN27)*COS(Knoten!W26/180*PI())+(Knoten!I26+System!BO27)*SIN(Knoten!W26/180*PI()))/O27,0)</f>
        <v>0</v>
      </c>
      <c r="Q27" s="800">
        <f>IF(O27&lt;&gt;0,((Knoten!I26+System!BO27)*COS(Knoten!W26/180*PI())-(Knoten!H26+System!BN27)*SIN(Knoten!W26/180*PI()))/O27,0)</f>
        <v>0</v>
      </c>
      <c r="R27" s="41">
        <f>IF(ISNUMBER(Knoten!C26),Knoten!C26-P27*(($H$1+1)*$E$1),PlotData!$CB$3)</f>
        <v>0</v>
      </c>
      <c r="S27" s="41">
        <f>IF(ISNUMBER(Knoten!C26),R27+P27*$E$1,R27)</f>
        <v>0</v>
      </c>
      <c r="T27" s="41">
        <f>IF(ISNUMBER(Knoten!C26),S27-$L$1*$E$1*P27-$J$1*$E$1*Q27,R27)</f>
        <v>0</v>
      </c>
      <c r="U27" s="41">
        <f>IF(ISNUMBER(Knoten!C26),S27-$L$1*$E$1*P27+$J$1*$E$1*Q27,R27)</f>
        <v>0</v>
      </c>
      <c r="V27" s="800">
        <f t="shared" si="4"/>
        <v>0</v>
      </c>
      <c r="W27" s="41">
        <f>IF(ISNUMBER(Knoten!D26),Knoten!D26-Q27*(($H$1+1)*$E$1),PlotData!$CB$4)</f>
        <v>0</v>
      </c>
      <c r="X27" s="41">
        <f>IF(ISNUMBER(Knoten!D26),W27+Q27*$E$1,W27)</f>
        <v>0</v>
      </c>
      <c r="Y27" s="41">
        <f>IF(ISNUMBER(Knoten!D26),X27-Q27*$L$1*$E$1+P27*$J$1*$E$1,W27)</f>
        <v>0</v>
      </c>
      <c r="Z27" s="41">
        <f>IF(ISNUMBER(Knoten!D26),X27-Q27*$L$1*$E$1-P27*$J$1*$E$1,W27)</f>
        <v>0</v>
      </c>
      <c r="AA27" s="800">
        <f t="shared" si="5"/>
        <v>0</v>
      </c>
    </row>
    <row r="28" spans="1:27" x14ac:dyDescent="0.25">
      <c r="A28" s="750">
        <v>2</v>
      </c>
      <c r="B28" s="749">
        <f>SIGN(Knoten!H4)</f>
        <v>0</v>
      </c>
      <c r="C28" s="778">
        <f>IF(ISNUMBER(Knoten!C4),Knoten!C4-$Q$1-B28*(($H$1+1)*$E$1),PlotData!$CB$3)</f>
        <v>100</v>
      </c>
      <c r="D28" s="737">
        <f>IF(ISNUMBER(Knoten!C4),C28+B28*$E$1,C28)</f>
        <v>100</v>
      </c>
      <c r="E28" s="736">
        <f>IF(ISNUMBER(Knoten!C4),D28-$L$1*$E$1*B28,C28)</f>
        <v>100</v>
      </c>
      <c r="F28" s="737">
        <f t="shared" si="6"/>
        <v>100</v>
      </c>
      <c r="G28" s="738">
        <f t="shared" si="7"/>
        <v>100</v>
      </c>
      <c r="H28" s="778">
        <f>IF(ISNUMBER(Knoten!D4),Knoten!D4-$T$1,PlotData!$CB$4)</f>
        <v>20</v>
      </c>
      <c r="I28" s="737">
        <f t="shared" si="8"/>
        <v>20</v>
      </c>
      <c r="J28" s="736">
        <f>IF(ISNUMBER(Knoten!D4),I28-ABS(B28)*$J$1*$E$1,H28)</f>
        <v>20</v>
      </c>
      <c r="K28" s="737">
        <f>IF(ISNUMBER(Knoten!D4),J28+ABS(B28)*2*$J$1*$E$1,H28)</f>
        <v>20</v>
      </c>
      <c r="L28" s="738">
        <f t="shared" si="9"/>
        <v>20</v>
      </c>
      <c r="N28" s="800">
        <v>25</v>
      </c>
      <c r="O28" s="800">
        <f>SQRT((Knoten!H27+System!BN28)^2+(Knoten!I27+System!BO28)^2)</f>
        <v>0</v>
      </c>
      <c r="P28" s="800">
        <f>IF(O28&lt;&gt;0,((System!BN28)*COS(Knoten!W27/180*PI())+(Knoten!I27+System!BO28)*SIN(Knoten!W27/180*PI()))/O28,0)</f>
        <v>0</v>
      </c>
      <c r="Q28" s="800">
        <f>IF(O28&lt;&gt;0,((Knoten!I27+System!BO28)*COS(Knoten!W27/180*PI())-(Knoten!H27+System!BN28)*SIN(Knoten!W27/180*PI()))/O28,0)</f>
        <v>0</v>
      </c>
      <c r="R28" s="41">
        <f>IF(ISNUMBER(Knoten!C27),Knoten!C27-P28*(($H$1+1)*$E$1),PlotData!$CB$3)</f>
        <v>0</v>
      </c>
      <c r="S28" s="41">
        <f>IF(ISNUMBER(Knoten!C27),R28+P28*$E$1,R28)</f>
        <v>0</v>
      </c>
      <c r="T28" s="41">
        <f>IF(ISNUMBER(Knoten!C27),S28-$L$1*$E$1*P28-$J$1*$E$1*Q28,R28)</f>
        <v>0</v>
      </c>
      <c r="U28" s="41">
        <f>IF(ISNUMBER(Knoten!C27),S28-$L$1*$E$1*P28+$J$1*$E$1*Q28,R28)</f>
        <v>0</v>
      </c>
      <c r="V28" s="800">
        <f t="shared" si="4"/>
        <v>0</v>
      </c>
      <c r="W28" s="41">
        <f>IF(ISNUMBER(Knoten!D27),Knoten!D27-Q28*(($H$1+1)*$E$1),PlotData!$CB$4)</f>
        <v>0</v>
      </c>
      <c r="X28" s="41">
        <f>IF(ISNUMBER(Knoten!D27),W28+Q28*$E$1,W28)</f>
        <v>0</v>
      </c>
      <c r="Y28" s="41">
        <f>IF(ISNUMBER(Knoten!D27),X28-Q28*$L$1*$E$1+P28*$J$1*$E$1,W28)</f>
        <v>0</v>
      </c>
      <c r="Z28" s="41">
        <f>IF(ISNUMBER(Knoten!D27),X28-Q28*$L$1*$E$1-P28*$J$1*$E$1,W28)</f>
        <v>0</v>
      </c>
      <c r="AA28" s="800">
        <f t="shared" si="5"/>
        <v>0</v>
      </c>
    </row>
    <row r="29" spans="1:27" x14ac:dyDescent="0.25">
      <c r="A29" s="750">
        <v>3</v>
      </c>
      <c r="B29" s="749">
        <f>SIGN(Knoten!H5)</f>
        <v>0</v>
      </c>
      <c r="C29" s="778">
        <f>IF(ISNUMBER(Knoten!C5),Knoten!C5-$Q$1-B29*(($H$1+1)*$E$1),PlotData!$CB$3)</f>
        <v>20</v>
      </c>
      <c r="D29" s="737">
        <f>IF(ISNUMBER(Knoten!C5),C29+B29*$E$1,C29)</f>
        <v>20</v>
      </c>
      <c r="E29" s="736">
        <f>IF(ISNUMBER(Knoten!C5),D29-$L$1*$E$1*B29,C29)</f>
        <v>20</v>
      </c>
      <c r="F29" s="737">
        <f t="shared" si="6"/>
        <v>20</v>
      </c>
      <c r="G29" s="738">
        <f t="shared" si="7"/>
        <v>20</v>
      </c>
      <c r="H29" s="778">
        <f>IF(ISNUMBER(Knoten!D5),Knoten!D5-$T$1,PlotData!$CB$4)</f>
        <v>20</v>
      </c>
      <c r="I29" s="737">
        <f t="shared" si="8"/>
        <v>20</v>
      </c>
      <c r="J29" s="736">
        <f>IF(ISNUMBER(Knoten!D5),I29-ABS(B29)*$J$1*$E$1,H29)</f>
        <v>20</v>
      </c>
      <c r="K29" s="737">
        <f>IF(ISNUMBER(Knoten!D5),J29+ABS(B29)*2*$J$1*$E$1,H29)</f>
        <v>20</v>
      </c>
      <c r="L29" s="738">
        <f t="shared" si="9"/>
        <v>20</v>
      </c>
      <c r="N29" s="800">
        <v>26</v>
      </c>
      <c r="O29" s="800">
        <f>SQRT((Knoten!H28+System!BN29)^2+(Knoten!I28+System!BO29)^2)</f>
        <v>0</v>
      </c>
      <c r="P29" s="800">
        <f>IF(O29&lt;&gt;0,((System!BN29)*COS(Knoten!W28/180*PI())+(Knoten!I28+System!BO29)*SIN(Knoten!W28/180*PI()))/O29,0)</f>
        <v>0</v>
      </c>
      <c r="Q29" s="800">
        <f>IF(O29&lt;&gt;0,((Knoten!I28+System!BO29)*COS(Knoten!W28/180*PI())-(Knoten!H28+System!BN29)*SIN(Knoten!W28/180*PI()))/O29,0)</f>
        <v>0</v>
      </c>
      <c r="R29" s="41">
        <f>IF(ISNUMBER(Knoten!C28),Knoten!C28-P29*(($H$1+1)*$E$1),PlotData!$CB$3)</f>
        <v>0</v>
      </c>
      <c r="S29" s="41">
        <f>IF(ISNUMBER(Knoten!C28),R29+P29*$E$1,R29)</f>
        <v>0</v>
      </c>
      <c r="T29" s="41">
        <f>IF(ISNUMBER(Knoten!C28),S29-$L$1*$E$1*P29-$J$1*$E$1*Q29,R29)</f>
        <v>0</v>
      </c>
      <c r="U29" s="41">
        <f>IF(ISNUMBER(Knoten!C28),S29-$L$1*$E$1*P29+$J$1*$E$1*Q29,R29)</f>
        <v>0</v>
      </c>
      <c r="V29" s="800">
        <f t="shared" si="4"/>
        <v>0</v>
      </c>
      <c r="W29" s="41">
        <f>IF(ISNUMBER(Knoten!D28),Knoten!D28-Q29*(($H$1+1)*$E$1),PlotData!$CB$4)</f>
        <v>0</v>
      </c>
      <c r="X29" s="41">
        <f>IF(ISNUMBER(Knoten!D28),W29+Q29*$E$1,W29)</f>
        <v>0</v>
      </c>
      <c r="Y29" s="41">
        <f>IF(ISNUMBER(Knoten!D28),X29-Q29*$L$1*$E$1+P29*$J$1*$E$1,W29)</f>
        <v>0</v>
      </c>
      <c r="Z29" s="41">
        <f>IF(ISNUMBER(Knoten!D28),X29-Q29*$L$1*$E$1-P29*$J$1*$E$1,W29)</f>
        <v>0</v>
      </c>
      <c r="AA29" s="800">
        <f t="shared" si="5"/>
        <v>0</v>
      </c>
    </row>
    <row r="30" spans="1:27" x14ac:dyDescent="0.25">
      <c r="A30" s="750">
        <v>4</v>
      </c>
      <c r="B30" s="749">
        <f>SIGN(Knoten!H6)</f>
        <v>0</v>
      </c>
      <c r="C30" s="778">
        <f>IF(ISNUMBER(Knoten!C6),Knoten!C6-$Q$1-B30*(($H$1+1)*$E$1),PlotData!$CB$3)</f>
        <v>60</v>
      </c>
      <c r="D30" s="737">
        <f>IF(ISNUMBER(Knoten!C6),C30+B30*$E$1,C30)</f>
        <v>60</v>
      </c>
      <c r="E30" s="736">
        <f>IF(ISNUMBER(Knoten!C6),D30-$L$1*$E$1*B30,C30)</f>
        <v>60</v>
      </c>
      <c r="F30" s="737">
        <f t="shared" si="6"/>
        <v>60</v>
      </c>
      <c r="G30" s="738">
        <f t="shared" si="7"/>
        <v>60</v>
      </c>
      <c r="H30" s="778">
        <f>IF(ISNUMBER(Knoten!D6),Knoten!D6-$T$1,PlotData!$CB$4)</f>
        <v>-100</v>
      </c>
      <c r="I30" s="737">
        <f t="shared" si="8"/>
        <v>-100</v>
      </c>
      <c r="J30" s="736">
        <f>IF(ISNUMBER(Knoten!D6),I30-ABS(B30)*$J$1*$E$1,H30)</f>
        <v>-100</v>
      </c>
      <c r="K30" s="737">
        <f>IF(ISNUMBER(Knoten!D6),J30+ABS(B30)*2*$J$1*$E$1,H30)</f>
        <v>-100</v>
      </c>
      <c r="L30" s="738">
        <f t="shared" si="9"/>
        <v>-100</v>
      </c>
      <c r="N30" s="800">
        <v>27</v>
      </c>
      <c r="O30" s="800">
        <f>SQRT((Knoten!H29+System!BN30)^2+(Knoten!I29+System!BO30)^2)</f>
        <v>0</v>
      </c>
      <c r="P30" s="800">
        <f>IF(O30&lt;&gt;0,((System!BN30)*COS(Knoten!W29/180*PI())+(Knoten!I29+System!BO30)*SIN(Knoten!W29/180*PI()))/O30,0)</f>
        <v>0</v>
      </c>
      <c r="Q30" s="800">
        <f>IF(O30&lt;&gt;0,((Knoten!I29+System!BO30)*COS(Knoten!W29/180*PI())-(Knoten!H29+System!BN30)*SIN(Knoten!W29/180*PI()))/O30,0)</f>
        <v>0</v>
      </c>
      <c r="R30" s="41">
        <f>IF(ISNUMBER(Knoten!C29),Knoten!C29-P30*(($H$1+1)*$E$1),PlotData!$CB$3)</f>
        <v>0</v>
      </c>
      <c r="S30" s="41">
        <f>IF(ISNUMBER(Knoten!C29),R30+P30*$E$1,R30)</f>
        <v>0</v>
      </c>
      <c r="T30" s="41">
        <f>IF(ISNUMBER(Knoten!C29),S30-$L$1*$E$1*P30-$J$1*$E$1*Q30,R30)</f>
        <v>0</v>
      </c>
      <c r="U30" s="41">
        <f>IF(ISNUMBER(Knoten!C29),S30-$L$1*$E$1*P30+$J$1*$E$1*Q30,R30)</f>
        <v>0</v>
      </c>
      <c r="V30" s="800">
        <f t="shared" si="4"/>
        <v>0</v>
      </c>
      <c r="W30" s="41">
        <f>IF(ISNUMBER(Knoten!D29),Knoten!D29-Q30*(($H$1+1)*$E$1),PlotData!$CB$4)</f>
        <v>0</v>
      </c>
      <c r="X30" s="41">
        <f>IF(ISNUMBER(Knoten!D29),W30+Q30*$E$1,W30)</f>
        <v>0</v>
      </c>
      <c r="Y30" s="41">
        <f>IF(ISNUMBER(Knoten!D29),X30-Q30*$L$1*$E$1+P30*$J$1*$E$1,W30)</f>
        <v>0</v>
      </c>
      <c r="Z30" s="41">
        <f>IF(ISNUMBER(Knoten!D29),X30-Q30*$L$1*$E$1-P30*$J$1*$E$1,W30)</f>
        <v>0</v>
      </c>
      <c r="AA30" s="800">
        <f t="shared" si="5"/>
        <v>0</v>
      </c>
    </row>
    <row r="31" spans="1:27" x14ac:dyDescent="0.25">
      <c r="A31" s="750">
        <v>5</v>
      </c>
      <c r="B31" s="749">
        <f>SIGN(Knoten!H7)</f>
        <v>0</v>
      </c>
      <c r="C31" s="778">
        <f>IF(ISNUMBER(Knoten!C7),Knoten!C7-$Q$1-B31*(($H$1+1)*$E$1),PlotData!$CB$3)</f>
        <v>-50</v>
      </c>
      <c r="D31" s="737">
        <f>IF(ISNUMBER(Knoten!C7),C31+B31*$E$1,C31)</f>
        <v>-50</v>
      </c>
      <c r="E31" s="736">
        <f>IF(ISNUMBER(Knoten!C7),D31-$L$1*$E$1*B31,C31)</f>
        <v>-50</v>
      </c>
      <c r="F31" s="737">
        <f t="shared" si="6"/>
        <v>-50</v>
      </c>
      <c r="G31" s="738">
        <f t="shared" si="7"/>
        <v>-50</v>
      </c>
      <c r="H31" s="778">
        <f>IF(ISNUMBER(Knoten!D7),Knoten!D7-$T$1,PlotData!$CB$4)</f>
        <v>-70</v>
      </c>
      <c r="I31" s="737">
        <f t="shared" si="8"/>
        <v>-70</v>
      </c>
      <c r="J31" s="736">
        <f>IF(ISNUMBER(Knoten!D7),I31-ABS(B31)*$J$1*$E$1,H31)</f>
        <v>-70</v>
      </c>
      <c r="K31" s="737">
        <f>IF(ISNUMBER(Knoten!D7),J31+ABS(B31)*2*$J$1*$E$1,H31)</f>
        <v>-70</v>
      </c>
      <c r="L31" s="738">
        <f t="shared" si="9"/>
        <v>-70</v>
      </c>
      <c r="N31" s="800">
        <v>28</v>
      </c>
      <c r="O31" s="800">
        <f>SQRT((Knoten!H30+System!BN31)^2+(Knoten!I30+System!BO31)^2)</f>
        <v>0</v>
      </c>
      <c r="P31" s="800">
        <f>IF(O31&lt;&gt;0,((System!BN31)*COS(Knoten!W30/180*PI())+(Knoten!I30+System!BO31)*SIN(Knoten!W30/180*PI()))/O31,0)</f>
        <v>0</v>
      </c>
      <c r="Q31" s="800">
        <f>IF(O31&lt;&gt;0,((Knoten!I30+System!BO31)*COS(Knoten!W30/180*PI())-(Knoten!H30+System!BN31)*SIN(Knoten!W30/180*PI()))/O31,0)</f>
        <v>0</v>
      </c>
      <c r="R31" s="41">
        <f>IF(ISNUMBER(Knoten!C30),Knoten!C30-P31*(($H$1+1)*$E$1),PlotData!$CB$3)</f>
        <v>0</v>
      </c>
      <c r="S31" s="41">
        <f>IF(ISNUMBER(Knoten!C30),R31+P31*$E$1,R31)</f>
        <v>0</v>
      </c>
      <c r="T31" s="41">
        <f>IF(ISNUMBER(Knoten!C30),S31-$L$1*$E$1*P31-$J$1*$E$1*Q31,R31)</f>
        <v>0</v>
      </c>
      <c r="U31" s="41">
        <f>IF(ISNUMBER(Knoten!C30),S31-$L$1*$E$1*P31+$J$1*$E$1*Q31,R31)</f>
        <v>0</v>
      </c>
      <c r="V31" s="800">
        <f t="shared" si="4"/>
        <v>0</v>
      </c>
      <c r="W31" s="41">
        <f>IF(ISNUMBER(Knoten!D30),Knoten!D30-Q31*(($H$1+1)*$E$1),PlotData!$CB$4)</f>
        <v>0</v>
      </c>
      <c r="X31" s="41">
        <f>IF(ISNUMBER(Knoten!D30),W31+Q31*$E$1,W31)</f>
        <v>0</v>
      </c>
      <c r="Y31" s="41">
        <f>IF(ISNUMBER(Knoten!D30),X31-Q31*$L$1*$E$1+P31*$J$1*$E$1,W31)</f>
        <v>0</v>
      </c>
      <c r="Z31" s="41">
        <f>IF(ISNUMBER(Knoten!D30),X31-Q31*$L$1*$E$1-P31*$J$1*$E$1,W31)</f>
        <v>0</v>
      </c>
      <c r="AA31" s="800">
        <f t="shared" si="5"/>
        <v>0</v>
      </c>
    </row>
    <row r="32" spans="1:27" x14ac:dyDescent="0.25">
      <c r="A32" s="750">
        <v>6</v>
      </c>
      <c r="B32" s="749">
        <f>SIGN(Knoten!H8)</f>
        <v>0</v>
      </c>
      <c r="C32" s="778">
        <f>IF(ISNUMBER(Knoten!C8),Knoten!C8-$Q$1-B32*(($H$1+1)*$E$1),PlotData!$CB$3)</f>
        <v>-100</v>
      </c>
      <c r="D32" s="737">
        <f>IF(ISNUMBER(Knoten!C8),C32+B32*$E$1,C32)</f>
        <v>-100</v>
      </c>
      <c r="E32" s="736">
        <f>IF(ISNUMBER(Knoten!C8),D32-$L$1*$E$1*B32,C32)</f>
        <v>-100</v>
      </c>
      <c r="F32" s="737">
        <f t="shared" si="6"/>
        <v>-100</v>
      </c>
      <c r="G32" s="738">
        <f t="shared" si="7"/>
        <v>-100</v>
      </c>
      <c r="H32" s="778">
        <f>IF(ISNUMBER(Knoten!D8),Knoten!D8-$T$1,PlotData!$CB$4)</f>
        <v>100</v>
      </c>
      <c r="I32" s="737">
        <f t="shared" si="8"/>
        <v>100</v>
      </c>
      <c r="J32" s="736">
        <f>IF(ISNUMBER(Knoten!D8),I32-ABS(B32)*$J$1*$E$1,H32)</f>
        <v>100</v>
      </c>
      <c r="K32" s="737">
        <f>IF(ISNUMBER(Knoten!D8),J32+ABS(B32)*2*$J$1*$E$1,H32)</f>
        <v>100</v>
      </c>
      <c r="L32" s="738">
        <f t="shared" si="9"/>
        <v>100</v>
      </c>
      <c r="N32" s="800">
        <v>29</v>
      </c>
      <c r="O32" s="800">
        <f>SQRT((Knoten!H31+System!BN32)^2+(Knoten!I31+System!BO32)^2)</f>
        <v>0</v>
      </c>
      <c r="P32" s="800">
        <f>IF(O32&lt;&gt;0,((System!BN32)*COS(Knoten!W31/180*PI())+(Knoten!I31+System!BO32)*SIN(Knoten!W31/180*PI()))/O32,0)</f>
        <v>0</v>
      </c>
      <c r="Q32" s="800">
        <f>IF(O32&lt;&gt;0,((Knoten!I31+System!BO32)*COS(Knoten!W31/180*PI())-(Knoten!H31+System!BN32)*SIN(Knoten!W31/180*PI()))/O32,0)</f>
        <v>0</v>
      </c>
      <c r="R32" s="41">
        <f>IF(ISNUMBER(Knoten!C31),Knoten!C31-P32*(($H$1+1)*$E$1),PlotData!$CB$3)</f>
        <v>0</v>
      </c>
      <c r="S32" s="41">
        <f>IF(ISNUMBER(Knoten!C31),R32+P32*$E$1,R32)</f>
        <v>0</v>
      </c>
      <c r="T32" s="41">
        <f>IF(ISNUMBER(Knoten!C31),S32-$L$1*$E$1*P32-$J$1*$E$1*Q32,R32)</f>
        <v>0</v>
      </c>
      <c r="U32" s="41">
        <f>IF(ISNUMBER(Knoten!C31),S32-$L$1*$E$1*P32+$J$1*$E$1*Q32,R32)</f>
        <v>0</v>
      </c>
      <c r="V32" s="800">
        <f t="shared" si="4"/>
        <v>0</v>
      </c>
      <c r="W32" s="41">
        <f>IF(ISNUMBER(Knoten!D31),Knoten!D31-Q32*(($H$1+1)*$E$1),PlotData!$CB$4)</f>
        <v>0</v>
      </c>
      <c r="X32" s="41">
        <f>IF(ISNUMBER(Knoten!D31),W32+Q32*$E$1,W32)</f>
        <v>0</v>
      </c>
      <c r="Y32" s="41">
        <f>IF(ISNUMBER(Knoten!D31),X32-Q32*$L$1*$E$1+P32*$J$1*$E$1,W32)</f>
        <v>0</v>
      </c>
      <c r="Z32" s="41">
        <f>IF(ISNUMBER(Knoten!D31),X32-Q32*$L$1*$E$1-P32*$J$1*$E$1,W32)</f>
        <v>0</v>
      </c>
      <c r="AA32" s="800">
        <f t="shared" si="5"/>
        <v>0</v>
      </c>
    </row>
    <row r="33" spans="1:27" x14ac:dyDescent="0.25">
      <c r="A33" s="750">
        <v>7</v>
      </c>
      <c r="B33" s="749">
        <f>SIGN(Knoten!H9)</f>
        <v>0</v>
      </c>
      <c r="C33" s="778">
        <f>IF(ISNUMBER(Knoten!C9),Knoten!C9-$Q$1-B33*(($H$1+1)*$E$1),PlotData!$CB$3)</f>
        <v>0</v>
      </c>
      <c r="D33" s="737">
        <f>IF(ISNUMBER(Knoten!C9),C33+B33*$E$1,C33)</f>
        <v>0</v>
      </c>
      <c r="E33" s="736">
        <f>IF(ISNUMBER(Knoten!C9),D33-$L$1*$E$1*B33,C33)</f>
        <v>0</v>
      </c>
      <c r="F33" s="737">
        <f t="shared" si="6"/>
        <v>0</v>
      </c>
      <c r="G33" s="738">
        <f t="shared" si="7"/>
        <v>0</v>
      </c>
      <c r="H33" s="778">
        <f>IF(ISNUMBER(Knoten!D9),Knoten!D9-$T$1,PlotData!$CB$4)</f>
        <v>0</v>
      </c>
      <c r="I33" s="737">
        <f t="shared" si="8"/>
        <v>0</v>
      </c>
      <c r="J33" s="736">
        <f>IF(ISNUMBER(Knoten!D9),I33-ABS(B33)*$J$1*$E$1,H33)</f>
        <v>0</v>
      </c>
      <c r="K33" s="737">
        <f>IF(ISNUMBER(Knoten!D9),J33+ABS(B33)*2*$J$1*$E$1,H33)</f>
        <v>0</v>
      </c>
      <c r="L33" s="738">
        <f t="shared" si="9"/>
        <v>0</v>
      </c>
      <c r="N33" s="800">
        <v>30</v>
      </c>
      <c r="O33" s="800">
        <f>SQRT((Knoten!H32+System!BN33)^2+(Knoten!I32+System!BO33)^2)</f>
        <v>0</v>
      </c>
      <c r="P33" s="800">
        <f>IF(O33&lt;&gt;0,((System!BN33)*COS(Knoten!W32/180*PI())+(Knoten!I32+System!BO33)*SIN(Knoten!W32/180*PI()))/O33,0)</f>
        <v>0</v>
      </c>
      <c r="Q33" s="800">
        <f>IF(O33&lt;&gt;0,((Knoten!I32+System!BO33)*COS(Knoten!W32/180*PI())-(Knoten!H32+System!BN33)*SIN(Knoten!W32/180*PI()))/O33,0)</f>
        <v>0</v>
      </c>
      <c r="R33" s="41">
        <f>IF(ISNUMBER(Knoten!C32),Knoten!C32-P33*(($H$1+1)*$E$1),PlotData!$CB$3)</f>
        <v>0</v>
      </c>
      <c r="S33" s="41">
        <f>IF(ISNUMBER(Knoten!C32),R33+P33*$E$1,R33)</f>
        <v>0</v>
      </c>
      <c r="T33" s="41">
        <f>IF(ISNUMBER(Knoten!C32),S33-$L$1*$E$1*P33-$J$1*$E$1*Q33,R33)</f>
        <v>0</v>
      </c>
      <c r="U33" s="41">
        <f>IF(ISNUMBER(Knoten!C32),S33-$L$1*$E$1*P33+$J$1*$E$1*Q33,R33)</f>
        <v>0</v>
      </c>
      <c r="V33" s="800">
        <f t="shared" si="4"/>
        <v>0</v>
      </c>
      <c r="W33" s="41">
        <f>IF(ISNUMBER(Knoten!D32),Knoten!D32-Q33*(($H$1+1)*$E$1),PlotData!$CB$4)</f>
        <v>0</v>
      </c>
      <c r="X33" s="41">
        <f>IF(ISNUMBER(Knoten!D32),W33+Q33*$E$1,W33)</f>
        <v>0</v>
      </c>
      <c r="Y33" s="41">
        <f>IF(ISNUMBER(Knoten!D32),X33-Q33*$L$1*$E$1+P33*$J$1*$E$1,W33)</f>
        <v>0</v>
      </c>
      <c r="Z33" s="41">
        <f>IF(ISNUMBER(Knoten!D32),X33-Q33*$L$1*$E$1-P33*$J$1*$E$1,W33)</f>
        <v>0</v>
      </c>
      <c r="AA33" s="800">
        <f t="shared" si="5"/>
        <v>0</v>
      </c>
    </row>
    <row r="34" spans="1:27" x14ac:dyDescent="0.25">
      <c r="A34" s="750">
        <v>8</v>
      </c>
      <c r="B34" s="749">
        <f>SIGN(Knoten!H10)</f>
        <v>0</v>
      </c>
      <c r="C34" s="778">
        <f>IF(ISNUMBER(Knoten!C10),Knoten!C10-$Q$1-B34*(($H$1+1)*$E$1),PlotData!$CB$3)</f>
        <v>0</v>
      </c>
      <c r="D34" s="737">
        <f>IF(ISNUMBER(Knoten!C10),C34+B34*$E$1,C34)</f>
        <v>0</v>
      </c>
      <c r="E34" s="736">
        <f>IF(ISNUMBER(Knoten!C10),D34-$L$1*$E$1*B34,C34)</f>
        <v>0</v>
      </c>
      <c r="F34" s="737">
        <f t="shared" si="6"/>
        <v>0</v>
      </c>
      <c r="G34" s="738">
        <f t="shared" si="7"/>
        <v>0</v>
      </c>
      <c r="H34" s="778">
        <f>IF(ISNUMBER(Knoten!D10),Knoten!D10-$T$1,PlotData!$CB$4)</f>
        <v>0</v>
      </c>
      <c r="I34" s="737">
        <f t="shared" si="8"/>
        <v>0</v>
      </c>
      <c r="J34" s="736">
        <f>IF(ISNUMBER(Knoten!D10),I34-ABS(B34)*$J$1*$E$1,H34)</f>
        <v>0</v>
      </c>
      <c r="K34" s="737">
        <f>IF(ISNUMBER(Knoten!D10),J34+ABS(B34)*2*$J$1*$E$1,H34)</f>
        <v>0</v>
      </c>
      <c r="L34" s="738">
        <f t="shared" si="9"/>
        <v>0</v>
      </c>
      <c r="N34" s="800">
        <v>31</v>
      </c>
      <c r="O34" s="800">
        <f>SQRT((Knoten!H33+System!BN34)^2+(Knoten!I33+System!BO34)^2)</f>
        <v>0</v>
      </c>
      <c r="P34" s="800">
        <f>IF(O34&lt;&gt;0,((System!BN34)*COS(Knoten!W33/180*PI())+(Knoten!I33+System!BO34)*SIN(Knoten!W33/180*PI()))/O34,0)</f>
        <v>0</v>
      </c>
      <c r="Q34" s="800">
        <f>IF(O34&lt;&gt;0,((Knoten!I33+System!BO34)*COS(Knoten!W33/180*PI())-(Knoten!H33+System!BN34)*SIN(Knoten!W33/180*PI()))/O34,0)</f>
        <v>0</v>
      </c>
      <c r="R34" s="41">
        <f>IF(ISNUMBER(Knoten!C33),Knoten!C33-P34*(($H$1+1)*$E$1),PlotData!$CB$3)</f>
        <v>0</v>
      </c>
      <c r="S34" s="41">
        <f>IF(ISNUMBER(Knoten!C33),R34+P34*$E$1,R34)</f>
        <v>0</v>
      </c>
      <c r="T34" s="41">
        <f>IF(ISNUMBER(Knoten!C33),S34-$L$1*$E$1*P34-$J$1*$E$1*Q34,R34)</f>
        <v>0</v>
      </c>
      <c r="U34" s="41">
        <f>IF(ISNUMBER(Knoten!C33),S34-$L$1*$E$1*P34+$J$1*$E$1*Q34,R34)</f>
        <v>0</v>
      </c>
      <c r="V34" s="800">
        <f t="shared" si="4"/>
        <v>0</v>
      </c>
      <c r="W34" s="41">
        <f>IF(ISNUMBER(Knoten!D33),Knoten!D33-Q34*(($H$1+1)*$E$1),PlotData!$CB$4)</f>
        <v>0</v>
      </c>
      <c r="X34" s="41">
        <f>IF(ISNUMBER(Knoten!D33),W34+Q34*$E$1,W34)</f>
        <v>0</v>
      </c>
      <c r="Y34" s="41">
        <f>IF(ISNUMBER(Knoten!D33),X34-Q34*$L$1*$E$1+P34*$J$1*$E$1,W34)</f>
        <v>0</v>
      </c>
      <c r="Z34" s="41">
        <f>IF(ISNUMBER(Knoten!D33),X34-Q34*$L$1*$E$1-P34*$J$1*$E$1,W34)</f>
        <v>0</v>
      </c>
      <c r="AA34" s="800">
        <f t="shared" si="5"/>
        <v>0</v>
      </c>
    </row>
    <row r="35" spans="1:27" x14ac:dyDescent="0.25">
      <c r="A35" s="750">
        <v>9</v>
      </c>
      <c r="B35" s="749">
        <f>SIGN(Knoten!H11)</f>
        <v>0</v>
      </c>
      <c r="C35" s="778">
        <f>IF(ISNUMBER(Knoten!C11),Knoten!C11-$Q$1-B35*(($H$1+1)*$E$1),PlotData!$CB$3)</f>
        <v>0</v>
      </c>
      <c r="D35" s="737">
        <f>IF(ISNUMBER(Knoten!C11),C35+B35*$E$1,C35)</f>
        <v>0</v>
      </c>
      <c r="E35" s="736">
        <f>IF(ISNUMBER(Knoten!C11),D35-$L$1*$E$1*B35,C35)</f>
        <v>0</v>
      </c>
      <c r="F35" s="737">
        <f t="shared" si="6"/>
        <v>0</v>
      </c>
      <c r="G35" s="738">
        <f t="shared" si="7"/>
        <v>0</v>
      </c>
      <c r="H35" s="778">
        <f>IF(ISNUMBER(Knoten!D11),Knoten!D11-$T$1,PlotData!$CB$4)</f>
        <v>0</v>
      </c>
      <c r="I35" s="737">
        <f t="shared" si="8"/>
        <v>0</v>
      </c>
      <c r="J35" s="736">
        <f>IF(ISNUMBER(Knoten!D11),I35-ABS(B35)*$J$1*$E$1,H35)</f>
        <v>0</v>
      </c>
      <c r="K35" s="737">
        <f>IF(ISNUMBER(Knoten!D11),J35+ABS(B35)*2*$J$1*$E$1,H35)</f>
        <v>0</v>
      </c>
      <c r="L35" s="738">
        <f t="shared" si="9"/>
        <v>0</v>
      </c>
      <c r="N35" s="800">
        <v>32</v>
      </c>
      <c r="O35" s="800">
        <f>SQRT((Knoten!H34+System!BN35)^2+(Knoten!I34+System!BO35)^2)</f>
        <v>0</v>
      </c>
      <c r="P35" s="800">
        <f>IF(O35&lt;&gt;0,((System!BN35)*COS(Knoten!W34/180*PI())+(Knoten!I34+System!BO35)*SIN(Knoten!W34/180*PI()))/O35,0)</f>
        <v>0</v>
      </c>
      <c r="Q35" s="800">
        <f>IF(O35&lt;&gt;0,((Knoten!I34+System!BO35)*COS(Knoten!W34/180*PI())-(Knoten!H34+System!BN35)*SIN(Knoten!W34/180*PI()))/O35,0)</f>
        <v>0</v>
      </c>
      <c r="R35" s="41">
        <f>IF(ISNUMBER(Knoten!C34),Knoten!C34-P35*(($H$1+1)*$E$1),PlotData!$CB$3)</f>
        <v>0</v>
      </c>
      <c r="S35" s="41">
        <f>IF(ISNUMBER(Knoten!C34),R35+P35*$E$1,R35)</f>
        <v>0</v>
      </c>
      <c r="T35" s="41">
        <f>IF(ISNUMBER(Knoten!C34),S35-$L$1*$E$1*P35-$J$1*$E$1*Q35,R35)</f>
        <v>0</v>
      </c>
      <c r="U35" s="41">
        <f>IF(ISNUMBER(Knoten!C34),S35-$L$1*$E$1*P35+$J$1*$E$1*Q35,R35)</f>
        <v>0</v>
      </c>
      <c r="V35" s="800">
        <f t="shared" si="4"/>
        <v>0</v>
      </c>
      <c r="W35" s="41">
        <f>IF(ISNUMBER(Knoten!D34),Knoten!D34-Q35*(($H$1+1)*$E$1),PlotData!$CB$4)</f>
        <v>0</v>
      </c>
      <c r="X35" s="41">
        <f>IF(ISNUMBER(Knoten!D34),W35+Q35*$E$1,W35)</f>
        <v>0</v>
      </c>
      <c r="Y35" s="41">
        <f>IF(ISNUMBER(Knoten!D34),X35-Q35*$L$1*$E$1+P35*$J$1*$E$1,W35)</f>
        <v>0</v>
      </c>
      <c r="Z35" s="41">
        <f>IF(ISNUMBER(Knoten!D34),X35-Q35*$L$1*$E$1-P35*$J$1*$E$1,W35)</f>
        <v>0</v>
      </c>
      <c r="AA35" s="800">
        <f t="shared" si="5"/>
        <v>0</v>
      </c>
    </row>
    <row r="36" spans="1:27" x14ac:dyDescent="0.25">
      <c r="A36" s="750">
        <v>10</v>
      </c>
      <c r="B36" s="749">
        <f>SIGN(Knoten!H12)</f>
        <v>0</v>
      </c>
      <c r="C36" s="778">
        <f>IF(ISNUMBER(Knoten!C12),Knoten!C12-$Q$1-B36*(($H$1+1)*$E$1),PlotData!$CB$3)</f>
        <v>0</v>
      </c>
      <c r="D36" s="737">
        <f>IF(ISNUMBER(Knoten!C12),C36+B36*$E$1,C36)</f>
        <v>0</v>
      </c>
      <c r="E36" s="736">
        <f>IF(ISNUMBER(Knoten!C12),D36-$L$1*$E$1*B36,C36)</f>
        <v>0</v>
      </c>
      <c r="F36" s="737">
        <f t="shared" si="6"/>
        <v>0</v>
      </c>
      <c r="G36" s="738">
        <f t="shared" si="7"/>
        <v>0</v>
      </c>
      <c r="H36" s="778">
        <f>IF(ISNUMBER(Knoten!D12),Knoten!D12-$T$1,PlotData!$CB$4)</f>
        <v>0</v>
      </c>
      <c r="I36" s="737">
        <f t="shared" si="8"/>
        <v>0</v>
      </c>
      <c r="J36" s="736">
        <f>IF(ISNUMBER(Knoten!D12),I36-ABS(B36)*$J$1*$E$1,H36)</f>
        <v>0</v>
      </c>
      <c r="K36" s="737">
        <f>IF(ISNUMBER(Knoten!D12),J36+ABS(B36)*2*$J$1*$E$1,H36)</f>
        <v>0</v>
      </c>
      <c r="L36" s="738">
        <f t="shared" si="9"/>
        <v>0</v>
      </c>
      <c r="N36" s="800">
        <v>33</v>
      </c>
      <c r="O36" s="800">
        <f>SQRT((Knoten!H35+System!BN36)^2+(Knoten!I35+System!BO36)^2)</f>
        <v>0</v>
      </c>
      <c r="P36" s="800">
        <f>IF(O36&lt;&gt;0,((System!BN36)*COS(Knoten!W35/180*PI())+(Knoten!I35+System!BO36)*SIN(Knoten!W35/180*PI()))/O36,0)</f>
        <v>0</v>
      </c>
      <c r="Q36" s="800">
        <f>IF(O36&lt;&gt;0,((Knoten!I35+System!BO36)*COS(Knoten!W35/180*PI())-(Knoten!H35+System!BN36)*SIN(Knoten!W35/180*PI()))/O36,0)</f>
        <v>0</v>
      </c>
      <c r="R36" s="41">
        <f>IF(ISNUMBER(Knoten!C35),Knoten!C35-P36*(($H$1+1)*$E$1),PlotData!$CB$3)</f>
        <v>0</v>
      </c>
      <c r="S36" s="41">
        <f>IF(ISNUMBER(Knoten!C35),R36+P36*$E$1,R36)</f>
        <v>0</v>
      </c>
      <c r="T36" s="41">
        <f>IF(ISNUMBER(Knoten!C35),S36-$L$1*$E$1*P36-$J$1*$E$1*Q36,R36)</f>
        <v>0</v>
      </c>
      <c r="U36" s="41">
        <f>IF(ISNUMBER(Knoten!C35),S36-$L$1*$E$1*P36+$J$1*$E$1*Q36,R36)</f>
        <v>0</v>
      </c>
      <c r="V36" s="800">
        <f t="shared" si="4"/>
        <v>0</v>
      </c>
      <c r="W36" s="41">
        <f>IF(ISNUMBER(Knoten!D35),Knoten!D35-Q36*(($H$1+1)*$E$1),PlotData!$CB$4)</f>
        <v>0</v>
      </c>
      <c r="X36" s="41">
        <f>IF(ISNUMBER(Knoten!D35),W36+Q36*$E$1,W36)</f>
        <v>0</v>
      </c>
      <c r="Y36" s="41">
        <f>IF(ISNUMBER(Knoten!D35),X36-Q36*$L$1*$E$1+P36*$J$1*$E$1,W36)</f>
        <v>0</v>
      </c>
      <c r="Z36" s="41">
        <f>IF(ISNUMBER(Knoten!D35),X36-Q36*$L$1*$E$1-P36*$J$1*$E$1,W36)</f>
        <v>0</v>
      </c>
      <c r="AA36" s="800">
        <f t="shared" si="5"/>
        <v>0</v>
      </c>
    </row>
    <row r="37" spans="1:27" x14ac:dyDescent="0.25">
      <c r="A37" s="750">
        <v>11</v>
      </c>
      <c r="B37" s="749">
        <f>SIGN(Knoten!H13)</f>
        <v>0</v>
      </c>
      <c r="C37" s="778">
        <f>IF(ISNUMBER(Knoten!C13),Knoten!C13-$Q$1-B37*(($H$1+1)*$E$1),PlotData!$CB$3)</f>
        <v>0</v>
      </c>
      <c r="D37" s="737">
        <f>IF(ISNUMBER(Knoten!C13),C37+B37*$E$1,C37)</f>
        <v>0</v>
      </c>
      <c r="E37" s="736">
        <f>IF(ISNUMBER(Knoten!C13),D37-$L$1*$E$1*B37,C37)</f>
        <v>0</v>
      </c>
      <c r="F37" s="737">
        <f t="shared" si="6"/>
        <v>0</v>
      </c>
      <c r="G37" s="738">
        <f t="shared" si="7"/>
        <v>0</v>
      </c>
      <c r="H37" s="778">
        <f>IF(ISNUMBER(Knoten!D13),Knoten!D13-$T$1,PlotData!$CB$4)</f>
        <v>0</v>
      </c>
      <c r="I37" s="737">
        <f t="shared" si="8"/>
        <v>0</v>
      </c>
      <c r="J37" s="736">
        <f>IF(ISNUMBER(Knoten!D13),I37-ABS(B37)*$J$1*$E$1,H37)</f>
        <v>0</v>
      </c>
      <c r="K37" s="737">
        <f>IF(ISNUMBER(Knoten!D13),J37+ABS(B37)*2*$J$1*$E$1,H37)</f>
        <v>0</v>
      </c>
      <c r="L37" s="738">
        <f t="shared" si="9"/>
        <v>0</v>
      </c>
      <c r="N37" s="800">
        <v>34</v>
      </c>
      <c r="O37" s="800">
        <f>SQRT((Knoten!H36+System!BN37)^2+(Knoten!I36+System!BO37)^2)</f>
        <v>0</v>
      </c>
      <c r="P37" s="800">
        <f>IF(O37&lt;&gt;0,((System!BN37)*COS(Knoten!W36/180*PI())+(Knoten!I36+System!BO37)*SIN(Knoten!W36/180*PI()))/O37,0)</f>
        <v>0</v>
      </c>
      <c r="Q37" s="800">
        <f>IF(O37&lt;&gt;0,((Knoten!I36+System!BO37)*COS(Knoten!W36/180*PI())-(Knoten!H36+System!BN37)*SIN(Knoten!W36/180*PI()))/O37,0)</f>
        <v>0</v>
      </c>
      <c r="R37" s="41">
        <f>IF(ISNUMBER(Knoten!C36),Knoten!C36-P37*(($H$1+1)*$E$1),PlotData!$CB$3)</f>
        <v>0</v>
      </c>
      <c r="S37" s="41">
        <f>IF(ISNUMBER(Knoten!C36),R37+P37*$E$1,R37)</f>
        <v>0</v>
      </c>
      <c r="T37" s="41">
        <f>IF(ISNUMBER(Knoten!C36),S37-$L$1*$E$1*P37-$J$1*$E$1*Q37,R37)</f>
        <v>0</v>
      </c>
      <c r="U37" s="41">
        <f>IF(ISNUMBER(Knoten!C36),S37-$L$1*$E$1*P37+$J$1*$E$1*Q37,R37)</f>
        <v>0</v>
      </c>
      <c r="V37" s="800">
        <f t="shared" si="4"/>
        <v>0</v>
      </c>
      <c r="W37" s="41">
        <f>IF(ISNUMBER(Knoten!D36),Knoten!D36-Q37*(($H$1+1)*$E$1),PlotData!$CB$4)</f>
        <v>0</v>
      </c>
      <c r="X37" s="41">
        <f>IF(ISNUMBER(Knoten!D36),W37+Q37*$E$1,W37)</f>
        <v>0</v>
      </c>
      <c r="Y37" s="41">
        <f>IF(ISNUMBER(Knoten!D36),X37-Q37*$L$1*$E$1+P37*$J$1*$E$1,W37)</f>
        <v>0</v>
      </c>
      <c r="Z37" s="41">
        <f>IF(ISNUMBER(Knoten!D36),X37-Q37*$L$1*$E$1-P37*$J$1*$E$1,W37)</f>
        <v>0</v>
      </c>
      <c r="AA37" s="800">
        <f t="shared" si="5"/>
        <v>0</v>
      </c>
    </row>
    <row r="38" spans="1:27" x14ac:dyDescent="0.25">
      <c r="A38" s="750">
        <v>12</v>
      </c>
      <c r="B38" s="749">
        <f>SIGN(Knoten!H14)</f>
        <v>0</v>
      </c>
      <c r="C38" s="778">
        <f>IF(ISNUMBER(Knoten!C14),Knoten!C14-$Q$1-B38*(($H$1+1)*$E$1),PlotData!$CB$3)</f>
        <v>0</v>
      </c>
      <c r="D38" s="737">
        <f>IF(ISNUMBER(Knoten!C14),C38+B38*$E$1,C38)</f>
        <v>0</v>
      </c>
      <c r="E38" s="736">
        <f>IF(ISNUMBER(Knoten!C14),D38-$L$1*$E$1*B38,C38)</f>
        <v>0</v>
      </c>
      <c r="F38" s="737">
        <f t="shared" si="6"/>
        <v>0</v>
      </c>
      <c r="G38" s="738">
        <f t="shared" si="7"/>
        <v>0</v>
      </c>
      <c r="H38" s="778">
        <f>IF(ISNUMBER(Knoten!D14),Knoten!D14-$T$1,PlotData!$CB$4)</f>
        <v>0</v>
      </c>
      <c r="I38" s="737">
        <f t="shared" si="8"/>
        <v>0</v>
      </c>
      <c r="J38" s="736">
        <f>IF(ISNUMBER(Knoten!D14),I38-ABS(B38)*$J$1*$E$1,H38)</f>
        <v>0</v>
      </c>
      <c r="K38" s="737">
        <f>IF(ISNUMBER(Knoten!D14),J38+ABS(B38)*2*$J$1*$E$1,H38)</f>
        <v>0</v>
      </c>
      <c r="L38" s="738">
        <f t="shared" si="9"/>
        <v>0</v>
      </c>
      <c r="N38" s="800">
        <v>35</v>
      </c>
      <c r="O38" s="800">
        <f>SQRT((Knoten!H37+System!BN38)^2+(Knoten!I37+System!BO38)^2)</f>
        <v>0</v>
      </c>
      <c r="P38" s="800">
        <f>IF(O38&lt;&gt;0,((System!BN38)*COS(Knoten!W37/180*PI())+(Knoten!I37+System!BO38)*SIN(Knoten!W37/180*PI()))/O38,0)</f>
        <v>0</v>
      </c>
      <c r="Q38" s="800">
        <f>IF(O38&lt;&gt;0,((Knoten!I37+System!BO38)*COS(Knoten!W37/180*PI())-(Knoten!H37+System!BN38)*SIN(Knoten!W37/180*PI()))/O38,0)</f>
        <v>0</v>
      </c>
      <c r="R38" s="41">
        <f>IF(ISNUMBER(Knoten!C37),Knoten!C37-P38*(($H$1+1)*$E$1),PlotData!$CB$3)</f>
        <v>0</v>
      </c>
      <c r="S38" s="41">
        <f>IF(ISNUMBER(Knoten!C37),R38+P38*$E$1,R38)</f>
        <v>0</v>
      </c>
      <c r="T38" s="41">
        <f>IF(ISNUMBER(Knoten!C37),S38-$L$1*$E$1*P38-$J$1*$E$1*Q38,R38)</f>
        <v>0</v>
      </c>
      <c r="U38" s="41">
        <f>IF(ISNUMBER(Knoten!C37),S38-$L$1*$E$1*P38+$J$1*$E$1*Q38,R38)</f>
        <v>0</v>
      </c>
      <c r="V38" s="800">
        <f t="shared" si="4"/>
        <v>0</v>
      </c>
      <c r="W38" s="41">
        <f>IF(ISNUMBER(Knoten!D37),Knoten!D37-Q38*(($H$1+1)*$E$1),PlotData!$CB$4)</f>
        <v>0</v>
      </c>
      <c r="X38" s="41">
        <f>IF(ISNUMBER(Knoten!D37),W38+Q38*$E$1,W38)</f>
        <v>0</v>
      </c>
      <c r="Y38" s="41">
        <f>IF(ISNUMBER(Knoten!D37),X38-Q38*$L$1*$E$1+P38*$J$1*$E$1,W38)</f>
        <v>0</v>
      </c>
      <c r="Z38" s="41">
        <f>IF(ISNUMBER(Knoten!D37),X38-Q38*$L$1*$E$1-P38*$J$1*$E$1,W38)</f>
        <v>0</v>
      </c>
      <c r="AA38" s="800">
        <f t="shared" si="5"/>
        <v>0</v>
      </c>
    </row>
    <row r="39" spans="1:27" x14ac:dyDescent="0.25">
      <c r="A39" s="750">
        <v>13</v>
      </c>
      <c r="B39" s="749">
        <f>SIGN(Knoten!H15)</f>
        <v>0</v>
      </c>
      <c r="C39" s="778">
        <f>IF(ISNUMBER(Knoten!C15),Knoten!C15-$Q$1-B39*(($H$1+1)*$E$1),PlotData!$CB$3)</f>
        <v>0</v>
      </c>
      <c r="D39" s="737">
        <f>IF(ISNUMBER(Knoten!C15),C39+B39*$E$1,C39)</f>
        <v>0</v>
      </c>
      <c r="E39" s="736">
        <f>IF(ISNUMBER(Knoten!C15),D39-$L$1*$E$1*B39,C39)</f>
        <v>0</v>
      </c>
      <c r="F39" s="737">
        <f t="shared" si="6"/>
        <v>0</v>
      </c>
      <c r="G39" s="738">
        <f t="shared" si="7"/>
        <v>0</v>
      </c>
      <c r="H39" s="778">
        <f>IF(ISNUMBER(Knoten!D15),Knoten!D15-$T$1,PlotData!$CB$4)</f>
        <v>0</v>
      </c>
      <c r="I39" s="737">
        <f t="shared" si="8"/>
        <v>0</v>
      </c>
      <c r="J39" s="736">
        <f>IF(ISNUMBER(Knoten!D15),I39-ABS(B39)*$J$1*$E$1,H39)</f>
        <v>0</v>
      </c>
      <c r="K39" s="737">
        <f>IF(ISNUMBER(Knoten!D15),J39+ABS(B39)*2*$J$1*$E$1,H39)</f>
        <v>0</v>
      </c>
      <c r="L39" s="738">
        <f t="shared" si="9"/>
        <v>0</v>
      </c>
      <c r="N39" s="800">
        <v>36</v>
      </c>
      <c r="O39" s="800">
        <f>SQRT((Knoten!H38+System!BN39)^2+(Knoten!I38+System!BO39)^2)</f>
        <v>0</v>
      </c>
      <c r="P39" s="800">
        <f>IF(O39&lt;&gt;0,((System!BN39)*COS(Knoten!W38/180*PI())+(Knoten!I38+System!BO39)*SIN(Knoten!W38/180*PI()))/O39,0)</f>
        <v>0</v>
      </c>
      <c r="Q39" s="800">
        <f>IF(O39&lt;&gt;0,((Knoten!I38+System!BO39)*COS(Knoten!W38/180*PI())-(Knoten!H38+System!BN39)*SIN(Knoten!W38/180*PI()))/O39,0)</f>
        <v>0</v>
      </c>
      <c r="R39" s="41">
        <f>IF(ISNUMBER(Knoten!C38),Knoten!C38-P39*(($H$1+1)*$E$1),PlotData!$CB$3)</f>
        <v>0</v>
      </c>
      <c r="S39" s="41">
        <f>IF(ISNUMBER(Knoten!C38),R39+P39*$E$1,R39)</f>
        <v>0</v>
      </c>
      <c r="T39" s="41">
        <f>IF(ISNUMBER(Knoten!C38),S39-$L$1*$E$1*P39-$J$1*$E$1*Q39,R39)</f>
        <v>0</v>
      </c>
      <c r="U39" s="41">
        <f>IF(ISNUMBER(Knoten!C38),S39-$L$1*$E$1*P39+$J$1*$E$1*Q39,R39)</f>
        <v>0</v>
      </c>
      <c r="V39" s="800">
        <f t="shared" si="4"/>
        <v>0</v>
      </c>
      <c r="W39" s="41">
        <f>IF(ISNUMBER(Knoten!D38),Knoten!D38-Q39*(($H$1+1)*$E$1),PlotData!$CB$4)</f>
        <v>0</v>
      </c>
      <c r="X39" s="41">
        <f>IF(ISNUMBER(Knoten!D38),W39+Q39*$E$1,W39)</f>
        <v>0</v>
      </c>
      <c r="Y39" s="41">
        <f>IF(ISNUMBER(Knoten!D38),X39-Q39*$L$1*$E$1+P39*$J$1*$E$1,W39)</f>
        <v>0</v>
      </c>
      <c r="Z39" s="41">
        <f>IF(ISNUMBER(Knoten!D38),X39-Q39*$L$1*$E$1-P39*$J$1*$E$1,W39)</f>
        <v>0</v>
      </c>
      <c r="AA39" s="800">
        <f t="shared" si="5"/>
        <v>0</v>
      </c>
    </row>
    <row r="40" spans="1:27" x14ac:dyDescent="0.25">
      <c r="A40" s="750">
        <v>14</v>
      </c>
      <c r="B40" s="749">
        <f>SIGN(Knoten!H16)</f>
        <v>0</v>
      </c>
      <c r="C40" s="778">
        <f>IF(ISNUMBER(Knoten!C16),Knoten!C16-$Q$1-B40*(($H$1+1)*$E$1),PlotData!$CB$3)</f>
        <v>0</v>
      </c>
      <c r="D40" s="737">
        <f>IF(ISNUMBER(Knoten!C16),C40+B40*$E$1,C40)</f>
        <v>0</v>
      </c>
      <c r="E40" s="736">
        <f>IF(ISNUMBER(Knoten!C16),D40-$L$1*$E$1*B40,C40)</f>
        <v>0</v>
      </c>
      <c r="F40" s="737">
        <f t="shared" si="6"/>
        <v>0</v>
      </c>
      <c r="G40" s="738">
        <f t="shared" si="7"/>
        <v>0</v>
      </c>
      <c r="H40" s="778">
        <f>IF(ISNUMBER(Knoten!D16),Knoten!D16-$T$1,PlotData!$CB$4)</f>
        <v>0</v>
      </c>
      <c r="I40" s="737">
        <f t="shared" si="8"/>
        <v>0</v>
      </c>
      <c r="J40" s="736">
        <f>IF(ISNUMBER(Knoten!D16),I40-ABS(B40)*$J$1*$E$1,H40)</f>
        <v>0</v>
      </c>
      <c r="K40" s="737">
        <f>IF(ISNUMBER(Knoten!D16),J40+ABS(B40)*2*$J$1*$E$1,H40)</f>
        <v>0</v>
      </c>
      <c r="L40" s="738">
        <f t="shared" si="9"/>
        <v>0</v>
      </c>
      <c r="N40" s="800">
        <v>37</v>
      </c>
      <c r="O40" s="800">
        <f>SQRT((Knoten!H39+System!BN40)^2+(Knoten!I39+System!BO40)^2)</f>
        <v>0</v>
      </c>
      <c r="P40" s="800">
        <f>IF(O40&lt;&gt;0,((System!BN40)*COS(Knoten!W39/180*PI())+(Knoten!I39+System!BO40)*SIN(Knoten!W39/180*PI()))/O40,0)</f>
        <v>0</v>
      </c>
      <c r="Q40" s="800">
        <f>IF(O40&lt;&gt;0,((Knoten!I39+System!BO40)*COS(Knoten!W39/180*PI())-(Knoten!H39+System!BN40)*SIN(Knoten!W39/180*PI()))/O40,0)</f>
        <v>0</v>
      </c>
      <c r="R40" s="41">
        <f>IF(ISNUMBER(Knoten!C39),Knoten!C39-P40*(($H$1+1)*$E$1),PlotData!$CB$3)</f>
        <v>0</v>
      </c>
      <c r="S40" s="41">
        <f>IF(ISNUMBER(Knoten!C39),R40+P40*$E$1,R40)</f>
        <v>0</v>
      </c>
      <c r="T40" s="41">
        <f>IF(ISNUMBER(Knoten!C39),S40-$L$1*$E$1*P40-$J$1*$E$1*Q40,R40)</f>
        <v>0</v>
      </c>
      <c r="U40" s="41">
        <f>IF(ISNUMBER(Knoten!C39),S40-$L$1*$E$1*P40+$J$1*$E$1*Q40,R40)</f>
        <v>0</v>
      </c>
      <c r="V40" s="800">
        <f t="shared" si="4"/>
        <v>0</v>
      </c>
      <c r="W40" s="41">
        <f>IF(ISNUMBER(Knoten!D39),Knoten!D39-Q40*(($H$1+1)*$E$1),PlotData!$CB$4)</f>
        <v>0</v>
      </c>
      <c r="X40" s="41">
        <f>IF(ISNUMBER(Knoten!D39),W40+Q40*$E$1,W40)</f>
        <v>0</v>
      </c>
      <c r="Y40" s="41">
        <f>IF(ISNUMBER(Knoten!D39),X40-Q40*$L$1*$E$1+P40*$J$1*$E$1,W40)</f>
        <v>0</v>
      </c>
      <c r="Z40" s="41">
        <f>IF(ISNUMBER(Knoten!D39),X40-Q40*$L$1*$E$1-P40*$J$1*$E$1,W40)</f>
        <v>0</v>
      </c>
      <c r="AA40" s="800">
        <f t="shared" si="5"/>
        <v>0</v>
      </c>
    </row>
    <row r="41" spans="1:27" x14ac:dyDescent="0.25">
      <c r="A41" s="750">
        <v>15</v>
      </c>
      <c r="B41" s="749">
        <f>SIGN(Knoten!H17)</f>
        <v>0</v>
      </c>
      <c r="C41" s="778">
        <f>IF(ISNUMBER(Knoten!C17),Knoten!C17-$Q$1-B41*(($H$1+1)*$E$1),PlotData!$CB$3)</f>
        <v>0</v>
      </c>
      <c r="D41" s="737">
        <f>IF(ISNUMBER(Knoten!C17),C41+B41*$E$1,C41)</f>
        <v>0</v>
      </c>
      <c r="E41" s="736">
        <f>IF(ISNUMBER(Knoten!C17),D41-$L$1*$E$1*B41,C41)</f>
        <v>0</v>
      </c>
      <c r="F41" s="737">
        <f t="shared" si="6"/>
        <v>0</v>
      </c>
      <c r="G41" s="738">
        <f t="shared" si="7"/>
        <v>0</v>
      </c>
      <c r="H41" s="778">
        <f>IF(ISNUMBER(Knoten!D17),Knoten!D17-$T$1,PlotData!$CB$4)</f>
        <v>0</v>
      </c>
      <c r="I41" s="737">
        <f t="shared" si="8"/>
        <v>0</v>
      </c>
      <c r="J41" s="736">
        <f>IF(ISNUMBER(Knoten!D17),I41-ABS(B41)*$J$1*$E$1,H41)</f>
        <v>0</v>
      </c>
      <c r="K41" s="737">
        <f>IF(ISNUMBER(Knoten!D17),J41+ABS(B41)*2*$J$1*$E$1,H41)</f>
        <v>0</v>
      </c>
      <c r="L41" s="738">
        <f t="shared" si="9"/>
        <v>0</v>
      </c>
      <c r="N41" s="800">
        <v>38</v>
      </c>
      <c r="O41" s="800">
        <f>SQRT((Knoten!H40+System!BN41)^2+(Knoten!I40+System!BO41)^2)</f>
        <v>0</v>
      </c>
      <c r="P41" s="800">
        <f>IF(O41&lt;&gt;0,((System!BN41)*COS(Knoten!W40/180*PI())+(Knoten!I40+System!BO41)*SIN(Knoten!W40/180*PI()))/O41,0)</f>
        <v>0</v>
      </c>
      <c r="Q41" s="800">
        <f>IF(O41&lt;&gt;0,((Knoten!I40+System!BO41)*COS(Knoten!W40/180*PI())-(Knoten!H40+System!BN41)*SIN(Knoten!W40/180*PI()))/O41,0)</f>
        <v>0</v>
      </c>
      <c r="R41" s="41">
        <f>IF(ISNUMBER(Knoten!C40),Knoten!C40-P41*(($H$1+1)*$E$1),PlotData!$CB$3)</f>
        <v>0</v>
      </c>
      <c r="S41" s="41">
        <f>IF(ISNUMBER(Knoten!C40),R41+P41*$E$1,R41)</f>
        <v>0</v>
      </c>
      <c r="T41" s="41">
        <f>IF(ISNUMBER(Knoten!C40),S41-$L$1*$E$1*P41-$J$1*$E$1*Q41,R41)</f>
        <v>0</v>
      </c>
      <c r="U41" s="41">
        <f>IF(ISNUMBER(Knoten!C40),S41-$L$1*$E$1*P41+$J$1*$E$1*Q41,R41)</f>
        <v>0</v>
      </c>
      <c r="V41" s="800">
        <f t="shared" si="4"/>
        <v>0</v>
      </c>
      <c r="W41" s="41">
        <f>IF(ISNUMBER(Knoten!D40),Knoten!D40-Q41*(($H$1+1)*$E$1),PlotData!$CB$4)</f>
        <v>0</v>
      </c>
      <c r="X41" s="41">
        <f>IF(ISNUMBER(Knoten!D40),W41+Q41*$E$1,W41)</f>
        <v>0</v>
      </c>
      <c r="Y41" s="41">
        <f>IF(ISNUMBER(Knoten!D40),X41-Q41*$L$1*$E$1+P41*$J$1*$E$1,W41)</f>
        <v>0</v>
      </c>
      <c r="Z41" s="41">
        <f>IF(ISNUMBER(Knoten!D40),X41-Q41*$L$1*$E$1-P41*$J$1*$E$1,W41)</f>
        <v>0</v>
      </c>
      <c r="AA41" s="800">
        <f t="shared" si="5"/>
        <v>0</v>
      </c>
    </row>
    <row r="42" spans="1:27" x14ac:dyDescent="0.25">
      <c r="A42" s="750">
        <v>16</v>
      </c>
      <c r="B42" s="749">
        <f>SIGN(Knoten!H18)</f>
        <v>0</v>
      </c>
      <c r="C42" s="778">
        <f>IF(ISNUMBER(Knoten!C18),Knoten!C18-$Q$1-B42*(($H$1+1)*$E$1),PlotData!$CB$3)</f>
        <v>0</v>
      </c>
      <c r="D42" s="737">
        <f>IF(ISNUMBER(Knoten!C18),C42+B42*$E$1,C42)</f>
        <v>0</v>
      </c>
      <c r="E42" s="736">
        <f>IF(ISNUMBER(Knoten!C18),D42-$L$1*$E$1*B42,C42)</f>
        <v>0</v>
      </c>
      <c r="F42" s="737">
        <f t="shared" si="6"/>
        <v>0</v>
      </c>
      <c r="G42" s="738">
        <f t="shared" si="7"/>
        <v>0</v>
      </c>
      <c r="H42" s="778">
        <f>IF(ISNUMBER(Knoten!D18),Knoten!D18-$T$1,PlotData!$CB$4)</f>
        <v>0</v>
      </c>
      <c r="I42" s="737">
        <f t="shared" si="8"/>
        <v>0</v>
      </c>
      <c r="J42" s="736">
        <f>IF(ISNUMBER(Knoten!D18),I42-ABS(B42)*$J$1*$E$1,H42)</f>
        <v>0</v>
      </c>
      <c r="K42" s="737">
        <f>IF(ISNUMBER(Knoten!D18),J42+ABS(B42)*2*$J$1*$E$1,H42)</f>
        <v>0</v>
      </c>
      <c r="L42" s="738">
        <f t="shared" si="9"/>
        <v>0</v>
      </c>
      <c r="N42" s="800">
        <v>39</v>
      </c>
      <c r="O42" s="800">
        <f>SQRT((Knoten!H41+System!BN42)^2+(Knoten!I41+System!BO42)^2)</f>
        <v>0</v>
      </c>
      <c r="P42" s="800">
        <f>IF(O42&lt;&gt;0,((System!BN42)*COS(Knoten!W41/180*PI())+(Knoten!I41+System!BO42)*SIN(Knoten!W41/180*PI()))/O42,0)</f>
        <v>0</v>
      </c>
      <c r="Q42" s="800">
        <f>IF(O42&lt;&gt;0,((Knoten!I41+System!BO42)*COS(Knoten!W41/180*PI())-(Knoten!H41+System!BN42)*SIN(Knoten!W41/180*PI()))/O42,0)</f>
        <v>0</v>
      </c>
      <c r="R42" s="41">
        <f>IF(ISNUMBER(Knoten!C41),Knoten!C41-P42*(($H$1+1)*$E$1),PlotData!$CB$3)</f>
        <v>0</v>
      </c>
      <c r="S42" s="41">
        <f>IF(ISNUMBER(Knoten!C41),R42+P42*$E$1,R42)</f>
        <v>0</v>
      </c>
      <c r="T42" s="41">
        <f>IF(ISNUMBER(Knoten!C41),S42-$L$1*$E$1*P42-$J$1*$E$1*Q42,R42)</f>
        <v>0</v>
      </c>
      <c r="U42" s="41">
        <f>IF(ISNUMBER(Knoten!C41),S42-$L$1*$E$1*P42+$J$1*$E$1*Q42,R42)</f>
        <v>0</v>
      </c>
      <c r="V42" s="800">
        <f t="shared" si="4"/>
        <v>0</v>
      </c>
      <c r="W42" s="41">
        <f>IF(ISNUMBER(Knoten!D41),Knoten!D41-Q42*(($H$1+1)*$E$1),PlotData!$CB$4)</f>
        <v>0</v>
      </c>
      <c r="X42" s="41">
        <f>IF(ISNUMBER(Knoten!D41),W42+Q42*$E$1,W42)</f>
        <v>0</v>
      </c>
      <c r="Y42" s="41">
        <f>IF(ISNUMBER(Knoten!D41),X42-Q42*$L$1*$E$1+P42*$J$1*$E$1,W42)</f>
        <v>0</v>
      </c>
      <c r="Z42" s="41">
        <f>IF(ISNUMBER(Knoten!D41),X42-Q42*$L$1*$E$1-P42*$J$1*$E$1,W42)</f>
        <v>0</v>
      </c>
      <c r="AA42" s="800">
        <f t="shared" si="5"/>
        <v>0</v>
      </c>
    </row>
    <row r="43" spans="1:27" x14ac:dyDescent="0.25">
      <c r="A43" s="750">
        <v>17</v>
      </c>
      <c r="B43" s="749">
        <f>SIGN(Knoten!H19)</f>
        <v>0</v>
      </c>
      <c r="C43" s="778">
        <f>IF(ISNUMBER(Knoten!C19),Knoten!C19-$Q$1-B43*(($H$1+1)*$E$1),PlotData!$CB$3)</f>
        <v>0</v>
      </c>
      <c r="D43" s="737">
        <f>IF(ISNUMBER(Knoten!C19),C43+B43*$E$1,C43)</f>
        <v>0</v>
      </c>
      <c r="E43" s="736">
        <f>IF(ISNUMBER(Knoten!C19),D43-$L$1*$E$1*B43,C43)</f>
        <v>0</v>
      </c>
      <c r="F43" s="737">
        <f t="shared" si="6"/>
        <v>0</v>
      </c>
      <c r="G43" s="738">
        <f t="shared" si="7"/>
        <v>0</v>
      </c>
      <c r="H43" s="778">
        <f>IF(ISNUMBER(Knoten!D19),Knoten!D19-$T$1,PlotData!$CB$4)</f>
        <v>0</v>
      </c>
      <c r="I43" s="737">
        <f t="shared" si="8"/>
        <v>0</v>
      </c>
      <c r="J43" s="736">
        <f>IF(ISNUMBER(Knoten!D19),I43-ABS(B43)*$J$1*$E$1,H43)</f>
        <v>0</v>
      </c>
      <c r="K43" s="737">
        <f>IF(ISNUMBER(Knoten!D19),J43+ABS(B43)*2*$J$1*$E$1,H43)</f>
        <v>0</v>
      </c>
      <c r="L43" s="738">
        <f t="shared" si="9"/>
        <v>0</v>
      </c>
      <c r="N43" s="800">
        <v>40</v>
      </c>
      <c r="O43" s="800">
        <f>SQRT((Knoten!H42+System!BN43)^2+(Knoten!I42+System!BO43)^2)</f>
        <v>0</v>
      </c>
      <c r="P43" s="800">
        <f>IF(O43&lt;&gt;0,((System!BN43)*COS(Knoten!W42/180*PI())+(Knoten!I42+System!BO43)*SIN(Knoten!W42/180*PI()))/O43,0)</f>
        <v>0</v>
      </c>
      <c r="Q43" s="800">
        <f>IF(O43&lt;&gt;0,((Knoten!I42+System!BO43)*COS(Knoten!W42/180*PI())-(Knoten!H42+System!BN43)*SIN(Knoten!W42/180*PI()))/O43,0)</f>
        <v>0</v>
      </c>
      <c r="R43" s="41">
        <f>IF(ISNUMBER(Knoten!C42),Knoten!C42-P43*(($H$1+1)*$E$1),PlotData!$CB$3)</f>
        <v>0</v>
      </c>
      <c r="S43" s="41">
        <f>IF(ISNUMBER(Knoten!C42),R43+P43*$E$1,R43)</f>
        <v>0</v>
      </c>
      <c r="T43" s="41">
        <f>IF(ISNUMBER(Knoten!C42),S43-$L$1*$E$1*P43-$J$1*$E$1*Q43,R43)</f>
        <v>0</v>
      </c>
      <c r="U43" s="41">
        <f>IF(ISNUMBER(Knoten!C42),S43-$L$1*$E$1*P43+$J$1*$E$1*Q43,R43)</f>
        <v>0</v>
      </c>
      <c r="V43" s="800">
        <f t="shared" si="4"/>
        <v>0</v>
      </c>
      <c r="W43" s="41">
        <f>IF(ISNUMBER(Knoten!D42),Knoten!D42-Q43*(($H$1+1)*$E$1),PlotData!$CB$4)</f>
        <v>0</v>
      </c>
      <c r="X43" s="41">
        <f>IF(ISNUMBER(Knoten!D42),W43+Q43*$E$1,W43)</f>
        <v>0</v>
      </c>
      <c r="Y43" s="41">
        <f>IF(ISNUMBER(Knoten!D42),X43-Q43*$L$1*$E$1+P43*$J$1*$E$1,W43)</f>
        <v>0</v>
      </c>
      <c r="Z43" s="41">
        <f>IF(ISNUMBER(Knoten!D42),X43-Q43*$L$1*$E$1-P43*$J$1*$E$1,W43)</f>
        <v>0</v>
      </c>
      <c r="AA43" s="800">
        <f t="shared" si="5"/>
        <v>0</v>
      </c>
    </row>
    <row r="44" spans="1:27" x14ac:dyDescent="0.25">
      <c r="A44" s="750">
        <v>18</v>
      </c>
      <c r="B44" s="749">
        <f>SIGN(Knoten!H20)</f>
        <v>0</v>
      </c>
      <c r="C44" s="778">
        <f>IF(ISNUMBER(Knoten!C20),Knoten!C20-$Q$1-B44*(($H$1+1)*$E$1),PlotData!$CB$3)</f>
        <v>0</v>
      </c>
      <c r="D44" s="737">
        <f>IF(ISNUMBER(Knoten!C20),C44+B44*$E$1,C44)</f>
        <v>0</v>
      </c>
      <c r="E44" s="736">
        <f>IF(ISNUMBER(Knoten!C20),D44-$L$1*$E$1*B44,C44)</f>
        <v>0</v>
      </c>
      <c r="F44" s="737">
        <f t="shared" si="6"/>
        <v>0</v>
      </c>
      <c r="G44" s="738">
        <f t="shared" si="7"/>
        <v>0</v>
      </c>
      <c r="H44" s="778">
        <f>IF(ISNUMBER(Knoten!D20),Knoten!D20-$T$1,PlotData!$CB$4)</f>
        <v>0</v>
      </c>
      <c r="I44" s="737">
        <f t="shared" si="8"/>
        <v>0</v>
      </c>
      <c r="J44" s="736">
        <f>IF(ISNUMBER(Knoten!D20),I44-ABS(B44)*$J$1*$E$1,H44)</f>
        <v>0</v>
      </c>
      <c r="K44" s="737">
        <f>IF(ISNUMBER(Knoten!D20),J44+ABS(B44)*2*$J$1*$E$1,H44)</f>
        <v>0</v>
      </c>
      <c r="L44" s="738">
        <f t="shared" si="9"/>
        <v>0</v>
      </c>
    </row>
    <row r="45" spans="1:27" x14ac:dyDescent="0.25">
      <c r="A45" s="750">
        <v>19</v>
      </c>
      <c r="B45" s="749">
        <f>SIGN(Knoten!H21)</f>
        <v>0</v>
      </c>
      <c r="C45" s="778">
        <f>IF(ISNUMBER(Knoten!C21),Knoten!C21-$Q$1-B45*(($H$1+1)*$E$1),PlotData!$CB$3)</f>
        <v>0</v>
      </c>
      <c r="D45" s="737">
        <f>IF(ISNUMBER(Knoten!C21),C45+B45*$E$1,C45)</f>
        <v>0</v>
      </c>
      <c r="E45" s="736">
        <f>IF(ISNUMBER(Knoten!C21),D45-$L$1*$E$1*B45,C45)</f>
        <v>0</v>
      </c>
      <c r="F45" s="737">
        <f>E45</f>
        <v>0</v>
      </c>
      <c r="G45" s="738">
        <f>D45</f>
        <v>0</v>
      </c>
      <c r="H45" s="778">
        <f>IF(ISNUMBER(Knoten!D21),Knoten!D21-$T$1,PlotData!$CB$4)</f>
        <v>0</v>
      </c>
      <c r="I45" s="737">
        <f>H45</f>
        <v>0</v>
      </c>
      <c r="J45" s="736">
        <f>IF(ISNUMBER(Knoten!D21),I45-ABS(B45)*$J$1*$E$1,H45)</f>
        <v>0</v>
      </c>
      <c r="K45" s="737">
        <f>IF(ISNUMBER(Knoten!D21),J45+ABS(B45)*2*$J$1*$E$1,H45)</f>
        <v>0</v>
      </c>
      <c r="L45" s="738">
        <f>I45</f>
        <v>0</v>
      </c>
    </row>
    <row r="46" spans="1:27" ht="13.8" thickBot="1" x14ac:dyDescent="0.3">
      <c r="A46" s="761">
        <v>20</v>
      </c>
      <c r="B46" s="753">
        <f>SIGN(Knoten!H22)</f>
        <v>0</v>
      </c>
      <c r="C46" s="779">
        <f>IF(ISNUMBER(Knoten!C22),Knoten!C22-$Q$1-B46*(($H$1+1)*$E$1),PlotData!$CB$3)</f>
        <v>0</v>
      </c>
      <c r="D46" s="755">
        <f>IF(ISNUMBER(Knoten!C22),C46+B46*$E$1,C46)</f>
        <v>0</v>
      </c>
      <c r="E46" s="754">
        <f>IF(ISNUMBER(Knoten!C22),D46-$L$1*$E$1*B46,C46)</f>
        <v>0</v>
      </c>
      <c r="F46" s="755">
        <f>E46</f>
        <v>0</v>
      </c>
      <c r="G46" s="756">
        <f>D46</f>
        <v>0</v>
      </c>
      <c r="H46" s="779">
        <f>IF(ISNUMBER(Knoten!D22),Knoten!D22-$T$1,PlotData!$CB$4)</f>
        <v>0</v>
      </c>
      <c r="I46" s="755">
        <f>H46</f>
        <v>0</v>
      </c>
      <c r="J46" s="754">
        <f>IF(ISNUMBER(Knoten!D22),I46-ABS(B46)*$J$1*$E$1,H46)</f>
        <v>0</v>
      </c>
      <c r="K46" s="755">
        <f>IF(ISNUMBER(Knoten!D22),J46+ABS(B46)*2*$J$1*$E$1,H46)</f>
        <v>0</v>
      </c>
      <c r="L46" s="756">
        <f>I46</f>
        <v>0</v>
      </c>
    </row>
    <row r="47" spans="1:27" ht="13.8" thickBot="1" x14ac:dyDescent="0.3"/>
    <row r="48" spans="1:27" ht="13.8" thickBot="1" x14ac:dyDescent="0.3">
      <c r="C48" s="670" t="s">
        <v>262</v>
      </c>
      <c r="D48" s="671">
        <f>PI()*7/4</f>
        <v>5.497787143782138</v>
      </c>
      <c r="E48" s="797" t="s">
        <v>263</v>
      </c>
      <c r="F48" s="801">
        <f>PI()*5/4</f>
        <v>3.9269908169872414</v>
      </c>
      <c r="G48" s="797" t="s">
        <v>264</v>
      </c>
      <c r="H48" s="671">
        <f>(D48+F48)/2</f>
        <v>4.7123889803846897</v>
      </c>
      <c r="I48" s="797" t="s">
        <v>265</v>
      </c>
      <c r="J48" s="671">
        <f>(F48-D48)/2</f>
        <v>-0.78539816339744828</v>
      </c>
      <c r="K48" s="797" t="s">
        <v>266</v>
      </c>
      <c r="L48" s="801">
        <f>(1-R48)*J48*2/5</f>
        <v>-0.23561944901923448</v>
      </c>
      <c r="M48" s="797" t="s">
        <v>267</v>
      </c>
      <c r="N48" s="801">
        <f>-$J$48+5*$L$48</f>
        <v>-0.39269908169872414</v>
      </c>
      <c r="O48" s="797" t="s">
        <v>268</v>
      </c>
      <c r="P48" s="801">
        <v>1.5</v>
      </c>
      <c r="Q48" s="797" t="s">
        <v>256</v>
      </c>
      <c r="R48" s="671">
        <v>0.25</v>
      </c>
      <c r="S48" s="116" t="s">
        <v>269</v>
      </c>
      <c r="T48" s="802">
        <f>B1</f>
        <v>0.2</v>
      </c>
      <c r="U48" s="797" t="s">
        <v>196</v>
      </c>
      <c r="V48" s="671">
        <f>T48*PlotData!$CB$5</f>
        <v>33.941125496954285</v>
      </c>
    </row>
    <row r="49" spans="1:22" ht="26.25" customHeight="1" thickBot="1" x14ac:dyDescent="0.3">
      <c r="A49" s="1331" t="s">
        <v>270</v>
      </c>
      <c r="B49" s="1333"/>
      <c r="C49" s="1343" t="s">
        <v>16</v>
      </c>
      <c r="D49" s="1344"/>
      <c r="E49" s="1344"/>
      <c r="F49" s="1344"/>
      <c r="G49" s="1344"/>
      <c r="H49" s="1344"/>
      <c r="I49" s="1344"/>
      <c r="J49" s="1344"/>
      <c r="K49" s="1344"/>
      <c r="L49" s="1345"/>
      <c r="M49" s="1343" t="s">
        <v>228</v>
      </c>
      <c r="N49" s="1344"/>
      <c r="O49" s="1344"/>
      <c r="P49" s="1344"/>
      <c r="Q49" s="1344"/>
      <c r="R49" s="1344"/>
      <c r="S49" s="1344"/>
      <c r="T49" s="1344"/>
      <c r="U49" s="1344"/>
      <c r="V49" s="1345"/>
    </row>
    <row r="50" spans="1:22" x14ac:dyDescent="0.25">
      <c r="A50" s="744">
        <v>1</v>
      </c>
      <c r="B50" s="775">
        <f>SIGN(Knoten!J3)</f>
        <v>1</v>
      </c>
      <c r="C50" s="775">
        <f>IF(AND(ISNUMBER(Knoten!C3),B50&lt;&gt;0),Knoten!C3-$Q$1+$V$48*COS($H$48-B50*$J$48),PlotData!$CB$3)</f>
        <v>44</v>
      </c>
      <c r="D50" s="776">
        <f>IF(AND(ISNUMBER(Knoten!C3),B50&lt;&gt;0),Knoten!$C3-$Q$1+$V$48*COS($H$48+$B50*(-$J$48+$L$48)),PlotData!$CB$3)</f>
        <v>37.734189357002492</v>
      </c>
      <c r="E50" s="776">
        <f>IF(AND(ISNUMBER(Knoten!C3),B50&lt;&gt;0),Knoten!$C3-$Q$1+$V$48*COS($H$48+$B50*(-$J$48+2*$L$48)),PlotData!$CB$3)</f>
        <v>30.488384586771701</v>
      </c>
      <c r="F50" s="776">
        <f>IF(AND(ISNUMBER(Knoten!C3),B50&lt;&gt;0),Knoten!$C3-$Q$1+$V$48*COS($H$48+$B50*(-$J$48+3*$L$48)),PlotData!$CB$3)</f>
        <v>22.662990014476343</v>
      </c>
      <c r="G50" s="776">
        <f>IF(AND(ISNUMBER(Knoten!C3),B50&lt;&gt;0),Knoten!$C3-$Q$1+$V$48*COS($H$48+$B50*(-$J$48+4*$L$48)),PlotData!$CB$3)</f>
        <v>14.690438190020611</v>
      </c>
      <c r="H50" s="776">
        <f>IF(AND(ISNUMBER(Knoten!C3),B50&lt;&gt;0),Knoten!$C3-$Q$1+$V$48*COS($H$48+$B50*$N$48),PlotData!$CB$3)</f>
        <v>7.0112935964912513</v>
      </c>
      <c r="I50" s="776">
        <f>IF(AND(ISNUMBER(Knoten!C3),B50&lt;&gt;0),$H50+$J$1*$V$48*COS($H$48+$B50*$N$48*$P$48),PlotData!$CB$3)</f>
        <v>5.1256256963622064</v>
      </c>
      <c r="J50" s="776">
        <f>IF(AND(ISNUMBER(Knoten!C3),B50&lt;&gt;0),Knoten!$C3-$Q$1+$V$48*COS($H$48+$B50*$J$48),PlotData!$CB$3)</f>
        <v>-4.0000000000000071</v>
      </c>
      <c r="K50" s="776">
        <f>IF(AND(ISNUMBER(Knoten!C3),B50&lt;&gt;0),$H50-$J$1*$V$48*COS($H$48+$B50*$N$48*$P$48),PlotData!$CB$3)</f>
        <v>8.8969614966202961</v>
      </c>
      <c r="L50" s="776">
        <f>H50</f>
        <v>7.0112935964912513</v>
      </c>
      <c r="M50" s="775">
        <f>IF(AND(ISNUMBER(Knoten!D3),B50&lt;&gt;0),Knoten!D3-$T$1+$V$48*SIN($H$48-B50*$J$48),PlotData!$CB$4)</f>
        <v>-64</v>
      </c>
      <c r="N50" s="776">
        <f>IF(AND(ISNUMBER(Knoten!D3),B50&lt;&gt;0),Knoten!$D3-$T$1+$V$48*SIN($H$48+$B50*(-$J$48+$L$48)),PlotData!$CB$4)</f>
        <v>-68.939566822085979</v>
      </c>
      <c r="O50" s="776">
        <f>IF(AND(ISNUMBER(Knoten!D3),$B50&lt;&gt;0),Knoten!$D3-$T$1+$V$48*SIN($H$48+$B50*(-$J$48+2*$L$48)),PlotData!$CB$4)</f>
        <v>-72.27992857426996</v>
      </c>
      <c r="P50" s="776">
        <f>IF(AND(ISNUMBER(Knoten!$D3),$B50&lt;&gt;0),Knoten!$D3-$T$1+$V$48*SIN($H$48+$B50*(-$J$48+3*$L$48)),PlotData!$CB$4)</f>
        <v>-73.836496334325147</v>
      </c>
      <c r="Q50" s="776">
        <f>IF(AND(ISNUMBER(Knoten!$D3),$B50&lt;&gt;0),Knoten!$D3-$T$1+$V$48*SIN($H$48+$B50*(-$J$48+4*$L$48)),PlotData!$CB$4)</f>
        <v>-73.523253920018092</v>
      </c>
      <c r="R50" s="776">
        <f>IF(AND(ISNUMBER(Knoten!$D3),$B50&lt;&gt;0),Knoten!$D3-$T$1+$V$48*SIN($H$48+$B50*$N$48),PlotData!$CB$4)</f>
        <v>-71.357511157033031</v>
      </c>
      <c r="S50" s="776">
        <f>IF(AND(ISNUMBER(Knoten!$D3),$B50&lt;&gt;0),$R50+$J$1*$V$48*SIN($H$48+$B50*$N$48*$P$48),PlotData!$CB$4)</f>
        <v>-74.179612602839498</v>
      </c>
      <c r="T50" s="776">
        <f>IF(AND(ISNUMBER(Knoten!D3),B50&lt;&gt;0),Knoten!$D3-$T$1+$V$48*SIN($H$48+$B50*$J$48),PlotData!$CB$4)</f>
        <v>-64</v>
      </c>
      <c r="U50" s="776">
        <f>IF(AND(ISNUMBER(Knoten!$D3),$B50&lt;&gt;0),$R50-$J$1*$V$48*SIN($H$48+$B50*$N$48*$P$48),PlotData!$CB$4)</f>
        <v>-68.535409711226563</v>
      </c>
      <c r="V50" s="777">
        <f>R50</f>
        <v>-71.357511157033031</v>
      </c>
    </row>
    <row r="51" spans="1:22" x14ac:dyDescent="0.25">
      <c r="A51" s="750">
        <v>2</v>
      </c>
      <c r="B51" s="778">
        <f>SIGN(Knoten!J4)</f>
        <v>0</v>
      </c>
      <c r="C51" s="778">
        <f>IF(AND(ISNUMBER(Knoten!C4),B51&lt;&gt;0),Knoten!C4-$Q$1+$V$48*COS($H$48-B51*$J$48),PlotData!$CB$3)</f>
        <v>0</v>
      </c>
      <c r="D51" s="736">
        <f>IF(AND(ISNUMBER(Knoten!C4),B51&lt;&gt;0),Knoten!$C4-$Q$1+$V$48*COS($H$48+$B51*(-$J$48+$L$48)),PlotData!$CB$3)</f>
        <v>0</v>
      </c>
      <c r="E51" s="736">
        <f>IF(AND(ISNUMBER(Knoten!C4),B51&lt;&gt;0),Knoten!$C4-$Q$1+$V$48*COS($H$48+$B51*(-$J$48+2*$L$48)),PlotData!$CB$3)</f>
        <v>0</v>
      </c>
      <c r="F51" s="736">
        <f>IF(AND(ISNUMBER(Knoten!C4),B51&lt;&gt;0),Knoten!$C4-$Q$1+$V$48*COS($H$48+$B51*(-$J$48+3*$L$48)),PlotData!$CB$3)</f>
        <v>0</v>
      </c>
      <c r="G51" s="736">
        <f>IF(AND(ISNUMBER(Knoten!C4),B51&lt;&gt;0),Knoten!$C4-$Q$1+$V$48*COS($H$48+$B51*(-$J$48+4*$L$48)),PlotData!$CB$3)</f>
        <v>0</v>
      </c>
      <c r="H51" s="736">
        <f>IF(AND(ISNUMBER(Knoten!C4),B51&lt;&gt;0),Knoten!$C4-$Q$1+$V$48*COS($H$48+$B51*$N$48),PlotData!$CB$3)</f>
        <v>0</v>
      </c>
      <c r="I51" s="736">
        <f>IF(AND(ISNUMBER(Knoten!C4),B51&lt;&gt;0),$H51+$J$1*$V$48*COS($H$48+$B51*$N$48*$P$48),PlotData!$CB$3)</f>
        <v>0</v>
      </c>
      <c r="J51" s="736">
        <f>IF(AND(ISNUMBER(Knoten!C4),B51&lt;&gt;0),Knoten!$C4-$Q$1+$V$48*COS($H$48+$B51*$J$48),PlotData!$CB$3)</f>
        <v>0</v>
      </c>
      <c r="K51" s="736">
        <f>IF(AND(ISNUMBER(Knoten!C4),B51&lt;&gt;0),$H51-$J$1*$V$48*COS($H$48+$B51*$N$48*$P$48),PlotData!$CB$3)</f>
        <v>0</v>
      </c>
      <c r="L51" s="736">
        <f t="shared" ref="L51:L89" si="10">H51</f>
        <v>0</v>
      </c>
      <c r="M51" s="778">
        <f>IF(AND(ISNUMBER(Knoten!D4),B51&lt;&gt;0),Knoten!D4-$T$1+$V$48*SIN($H$48-B51*$J$48),PlotData!$CB$4)</f>
        <v>0</v>
      </c>
      <c r="N51" s="736">
        <f>IF(AND(ISNUMBER(Knoten!D4),B51&lt;&gt;0),Knoten!$D4-$T$1+$V$48*SIN($H$48+$B51*(-$J$48+$L$48)),PlotData!$CB$4)</f>
        <v>0</v>
      </c>
      <c r="O51" s="736">
        <f>IF(AND(ISNUMBER(Knoten!D4),$B51&lt;&gt;0),Knoten!$D4-$T$1+$V$48*SIN($H$48+$B51*(-$J$48+2*$L$48)),PlotData!$CB$4)</f>
        <v>0</v>
      </c>
      <c r="P51" s="736">
        <f>IF(AND(ISNUMBER(Knoten!$D4),$B51&lt;&gt;0),Knoten!$D4-$T$1+$V$48*SIN($H$48+$B51*(-$J$48+3*$L$48)),PlotData!$CB$4)</f>
        <v>0</v>
      </c>
      <c r="Q51" s="736">
        <f>IF(AND(ISNUMBER(Knoten!$D4),$B51&lt;&gt;0),Knoten!$D4-$T$1+$V$48*SIN($H$48+$B51*(-$J$48+4*$L$48)),PlotData!$CB$4)</f>
        <v>0</v>
      </c>
      <c r="R51" s="736">
        <f>IF(AND(ISNUMBER(Knoten!$D4),$B51&lt;&gt;0),Knoten!$D4-$T$1+$V$48*SIN($H$48+$B51*$N$48),PlotData!$CB$4)</f>
        <v>0</v>
      </c>
      <c r="S51" s="736">
        <f>IF(AND(ISNUMBER(Knoten!$D4),$B51&lt;&gt;0),$R51+$J$1*$V$48*SIN($H$48+$B51*$N$48*$P$48),PlotData!$CB$4)</f>
        <v>0</v>
      </c>
      <c r="T51" s="736">
        <f>IF(AND(ISNUMBER(Knoten!D4),B51&lt;&gt;0),Knoten!$D4-$T$1+$V$48*SIN($H$48+$B51*$J$48),PlotData!$CB$4)</f>
        <v>0</v>
      </c>
      <c r="U51" s="736">
        <f>IF(AND(ISNUMBER(Knoten!$D4),$B51&lt;&gt;0),$R51-$J$1*$V$48*SIN($H$48+$B51*$N$48*$P$48),PlotData!$CB$4)</f>
        <v>0</v>
      </c>
      <c r="V51" s="738">
        <f t="shared" ref="V51:V89" si="11">R51</f>
        <v>0</v>
      </c>
    </row>
    <row r="52" spans="1:22" x14ac:dyDescent="0.25">
      <c r="A52" s="750">
        <v>3</v>
      </c>
      <c r="B52" s="778">
        <f>SIGN(Knoten!J5)</f>
        <v>0</v>
      </c>
      <c r="C52" s="778">
        <f>IF(AND(ISNUMBER(Knoten!C5),B52&lt;&gt;0),Knoten!C5-$Q$1+$V$48*COS($H$48-B52*$J$48),PlotData!$CB$3)</f>
        <v>0</v>
      </c>
      <c r="D52" s="736">
        <f>IF(AND(ISNUMBER(Knoten!C5),B52&lt;&gt;0),Knoten!$C5-$Q$1+$V$48*COS($H$48+$B52*(-$J$48+$L$48)),PlotData!$CB$3)</f>
        <v>0</v>
      </c>
      <c r="E52" s="736">
        <f>IF(AND(ISNUMBER(Knoten!C5),B52&lt;&gt;0),Knoten!$C5-$Q$1+$V$48*COS($H$48+$B52*(-$J$48+2*$L$48)),PlotData!$CB$3)</f>
        <v>0</v>
      </c>
      <c r="F52" s="736">
        <f>IF(AND(ISNUMBER(Knoten!C5),B52&lt;&gt;0),Knoten!$C5-$Q$1+$V$48*COS($H$48+$B52*(-$J$48+3*$L$48)),PlotData!$CB$3)</f>
        <v>0</v>
      </c>
      <c r="G52" s="736">
        <f>IF(AND(ISNUMBER(Knoten!C5),B52&lt;&gt;0),Knoten!$C5-$Q$1+$V$48*COS($H$48+$B52*(-$J$48+4*$L$48)),PlotData!$CB$3)</f>
        <v>0</v>
      </c>
      <c r="H52" s="736">
        <f>IF(AND(ISNUMBER(Knoten!C5),B52&lt;&gt;0),Knoten!$C5-$Q$1+$V$48*COS($H$48+$B52*$N$48),PlotData!$CB$3)</f>
        <v>0</v>
      </c>
      <c r="I52" s="736">
        <f>IF(AND(ISNUMBER(Knoten!C5),B52&lt;&gt;0),$H52+$J$1*$V$48*COS($H$48+$B52*$N$48*$P$48),PlotData!$CB$3)</f>
        <v>0</v>
      </c>
      <c r="J52" s="736">
        <f>IF(AND(ISNUMBER(Knoten!C5),B52&lt;&gt;0),Knoten!$C5-$Q$1+$V$48*COS($H$48+$B52*$J$48),PlotData!$CB$3)</f>
        <v>0</v>
      </c>
      <c r="K52" s="736">
        <f>IF(AND(ISNUMBER(Knoten!C5),B52&lt;&gt;0),$H52-$J$1*$V$48*COS($H$48+$B52*$N$48*$P$48),PlotData!$CB$3)</f>
        <v>0</v>
      </c>
      <c r="L52" s="736">
        <f t="shared" si="10"/>
        <v>0</v>
      </c>
      <c r="M52" s="778">
        <f>IF(AND(ISNUMBER(Knoten!D5),B52&lt;&gt;0),Knoten!D5-$T$1+$V$48*SIN($H$48-B52*$J$48),PlotData!$CB$4)</f>
        <v>0</v>
      </c>
      <c r="N52" s="736">
        <f>IF(AND(ISNUMBER(Knoten!D5),B52&lt;&gt;0),Knoten!$D5-$T$1+$V$48*SIN($H$48+$B52*(-$J$48+$L$48)),PlotData!$CB$4)</f>
        <v>0</v>
      </c>
      <c r="O52" s="736">
        <f>IF(AND(ISNUMBER(Knoten!D5),$B52&lt;&gt;0),Knoten!$D5-$T$1+$V$48*SIN($H$48+$B52*(-$J$48+2*$L$48)),PlotData!$CB$4)</f>
        <v>0</v>
      </c>
      <c r="P52" s="736">
        <f>IF(AND(ISNUMBER(Knoten!$D5),$B52&lt;&gt;0),Knoten!$D5-$T$1+$V$48*SIN($H$48+$B52*(-$J$48+3*$L$48)),PlotData!$CB$4)</f>
        <v>0</v>
      </c>
      <c r="Q52" s="736">
        <f>IF(AND(ISNUMBER(Knoten!$D5),$B52&lt;&gt;0),Knoten!$D5-$T$1+$V$48*SIN($H$48+$B52*(-$J$48+4*$L$48)),PlotData!$CB$4)</f>
        <v>0</v>
      </c>
      <c r="R52" s="736">
        <f>IF(AND(ISNUMBER(Knoten!$D5),$B52&lt;&gt;0),Knoten!$D5-$T$1+$V$48*SIN($H$48+$B52*$N$48),PlotData!$CB$4)</f>
        <v>0</v>
      </c>
      <c r="S52" s="736">
        <f>IF(AND(ISNUMBER(Knoten!$D5),$B52&lt;&gt;0),$R52+$J$1*$V$48*SIN($H$48+$B52*$N$48*$P$48),PlotData!$CB$4)</f>
        <v>0</v>
      </c>
      <c r="T52" s="736">
        <f>IF(AND(ISNUMBER(Knoten!D5),B52&lt;&gt;0),Knoten!$D5-$T$1+$V$48*SIN($H$48+$B52*$J$48),PlotData!$CB$4)</f>
        <v>0</v>
      </c>
      <c r="U52" s="736">
        <f>IF(AND(ISNUMBER(Knoten!$D5),$B52&lt;&gt;0),$R52-$J$1*$V$48*SIN($H$48+$B52*$N$48*$P$48),PlotData!$CB$4)</f>
        <v>0</v>
      </c>
      <c r="V52" s="738">
        <f t="shared" si="11"/>
        <v>0</v>
      </c>
    </row>
    <row r="53" spans="1:22" x14ac:dyDescent="0.25">
      <c r="A53" s="750">
        <v>4</v>
      </c>
      <c r="B53" s="778">
        <f>SIGN(Knoten!J6)</f>
        <v>0</v>
      </c>
      <c r="C53" s="778">
        <f>IF(AND(ISNUMBER(Knoten!C6),B53&lt;&gt;0),Knoten!C6-$Q$1+$V$48*COS($H$48-B53*$J$48),PlotData!$CB$3)</f>
        <v>0</v>
      </c>
      <c r="D53" s="736">
        <f>IF(AND(ISNUMBER(Knoten!C6),B53&lt;&gt;0),Knoten!$C6-$Q$1+$V$48*COS($H$48+$B53*(-$J$48+$L$48)),PlotData!$CB$3)</f>
        <v>0</v>
      </c>
      <c r="E53" s="736">
        <f>IF(AND(ISNUMBER(Knoten!C6),B53&lt;&gt;0),Knoten!$C6-$Q$1+$V$48*COS($H$48+$B53*(-$J$48+2*$L$48)),PlotData!$CB$3)</f>
        <v>0</v>
      </c>
      <c r="F53" s="736">
        <f>IF(AND(ISNUMBER(Knoten!C6),B53&lt;&gt;0),Knoten!$C6-$Q$1+$V$48*COS($H$48+$B53*(-$J$48+3*$L$48)),PlotData!$CB$3)</f>
        <v>0</v>
      </c>
      <c r="G53" s="736">
        <f>IF(AND(ISNUMBER(Knoten!C6),B53&lt;&gt;0),Knoten!$C6-$Q$1+$V$48*COS($H$48+$B53*(-$J$48+4*$L$48)),PlotData!$CB$3)</f>
        <v>0</v>
      </c>
      <c r="H53" s="736">
        <f>IF(AND(ISNUMBER(Knoten!C6),B53&lt;&gt;0),Knoten!$C6-$Q$1+$V$48*COS($H$48+$B53*$N$48),PlotData!$CB$3)</f>
        <v>0</v>
      </c>
      <c r="I53" s="736">
        <f>IF(AND(ISNUMBER(Knoten!C6),B53&lt;&gt;0),$H53+$J$1*$V$48*COS($H$48+$B53*$N$48*$P$48),PlotData!$CB$3)</f>
        <v>0</v>
      </c>
      <c r="J53" s="736">
        <f>IF(AND(ISNUMBER(Knoten!C6),B53&lt;&gt;0),Knoten!$C6-$Q$1+$V$48*COS($H$48+$B53*$J$48),PlotData!$CB$3)</f>
        <v>0</v>
      </c>
      <c r="K53" s="736">
        <f>IF(AND(ISNUMBER(Knoten!C6),B53&lt;&gt;0),$H53-$J$1*$V$48*COS($H$48+$B53*$N$48*$P$48),PlotData!$CB$3)</f>
        <v>0</v>
      </c>
      <c r="L53" s="736">
        <f t="shared" si="10"/>
        <v>0</v>
      </c>
      <c r="M53" s="778">
        <f>IF(AND(ISNUMBER(Knoten!D6),B53&lt;&gt;0),Knoten!D6-$T$1+$V$48*SIN($H$48-B53*$J$48),PlotData!$CB$4)</f>
        <v>0</v>
      </c>
      <c r="N53" s="736">
        <f>IF(AND(ISNUMBER(Knoten!D6),B53&lt;&gt;0),Knoten!$D6-$T$1+$V$48*SIN($H$48+$B53*(-$J$48+$L$48)),PlotData!$CB$4)</f>
        <v>0</v>
      </c>
      <c r="O53" s="736">
        <f>IF(AND(ISNUMBER(Knoten!D6),$B53&lt;&gt;0),Knoten!$D6-$T$1+$V$48*SIN($H$48+$B53*(-$J$48+2*$L$48)),PlotData!$CB$4)</f>
        <v>0</v>
      </c>
      <c r="P53" s="736">
        <f>IF(AND(ISNUMBER(Knoten!$D6),$B53&lt;&gt;0),Knoten!$D6-$T$1+$V$48*SIN($H$48+$B53*(-$J$48+3*$L$48)),PlotData!$CB$4)</f>
        <v>0</v>
      </c>
      <c r="Q53" s="736">
        <f>IF(AND(ISNUMBER(Knoten!$D6),$B53&lt;&gt;0),Knoten!$D6-$T$1+$V$48*SIN($H$48+$B53*(-$J$48+4*$L$48)),PlotData!$CB$4)</f>
        <v>0</v>
      </c>
      <c r="R53" s="736">
        <f>IF(AND(ISNUMBER(Knoten!$D6),$B53&lt;&gt;0),Knoten!$D6-$T$1+$V$48*SIN($H$48+$B53*$N$48),PlotData!$CB$4)</f>
        <v>0</v>
      </c>
      <c r="S53" s="736">
        <f>IF(AND(ISNUMBER(Knoten!$D6),$B53&lt;&gt;0),$R53+$J$1*$V$48*SIN($H$48+$B53*$N$48*$P$48),PlotData!$CB$4)</f>
        <v>0</v>
      </c>
      <c r="T53" s="736">
        <f>IF(AND(ISNUMBER(Knoten!D6),B53&lt;&gt;0),Knoten!$D6-$T$1+$V$48*SIN($H$48+$B53*$J$48),PlotData!$CB$4)</f>
        <v>0</v>
      </c>
      <c r="U53" s="736">
        <f>IF(AND(ISNUMBER(Knoten!$D6),$B53&lt;&gt;0),$R53-$J$1*$V$48*SIN($H$48+$B53*$N$48*$P$48),PlotData!$CB$4)</f>
        <v>0</v>
      </c>
      <c r="V53" s="738">
        <f t="shared" si="11"/>
        <v>0</v>
      </c>
    </row>
    <row r="54" spans="1:22" x14ac:dyDescent="0.25">
      <c r="A54" s="750">
        <v>5</v>
      </c>
      <c r="B54" s="778">
        <f>SIGN(Knoten!J7)</f>
        <v>0</v>
      </c>
      <c r="C54" s="778">
        <f>IF(AND(ISNUMBER(Knoten!C7),B54&lt;&gt;0),Knoten!C7-$Q$1+$V$48*COS($H$48-B54*$J$48),PlotData!$CB$3)</f>
        <v>0</v>
      </c>
      <c r="D54" s="736">
        <f>IF(AND(ISNUMBER(Knoten!C7),B54&lt;&gt;0),Knoten!$C7-$Q$1+$V$48*COS($H$48+$B54*(-$J$48+$L$48)),PlotData!$CB$3)</f>
        <v>0</v>
      </c>
      <c r="E54" s="736">
        <f>IF(AND(ISNUMBER(Knoten!C7),B54&lt;&gt;0),Knoten!$C7-$Q$1+$V$48*COS($H$48+$B54*(-$J$48+2*$L$48)),PlotData!$CB$3)</f>
        <v>0</v>
      </c>
      <c r="F54" s="736">
        <f>IF(AND(ISNUMBER(Knoten!C7),B54&lt;&gt;0),Knoten!$C7-$Q$1+$V$48*COS($H$48+$B54*(-$J$48+3*$L$48)),PlotData!$CB$3)</f>
        <v>0</v>
      </c>
      <c r="G54" s="736">
        <f>IF(AND(ISNUMBER(Knoten!C7),B54&lt;&gt;0),Knoten!$C7-$Q$1+$V$48*COS($H$48+$B54*(-$J$48+4*$L$48)),PlotData!$CB$3)</f>
        <v>0</v>
      </c>
      <c r="H54" s="736">
        <f>IF(AND(ISNUMBER(Knoten!C7),B54&lt;&gt;0),Knoten!$C7-$Q$1+$V$48*COS($H$48+$B54*$N$48),PlotData!$CB$3)</f>
        <v>0</v>
      </c>
      <c r="I54" s="736">
        <f>IF(AND(ISNUMBER(Knoten!C7),B54&lt;&gt;0),$H54+$J$1*$V$48*COS($H$48+$B54*$N$48*$P$48),PlotData!$CB$3)</f>
        <v>0</v>
      </c>
      <c r="J54" s="736">
        <f>IF(AND(ISNUMBER(Knoten!C7),B54&lt;&gt;0),Knoten!$C7-$Q$1+$V$48*COS($H$48+$B54*$J$48),PlotData!$CB$3)</f>
        <v>0</v>
      </c>
      <c r="K54" s="736">
        <f>IF(AND(ISNUMBER(Knoten!C7),B54&lt;&gt;0),$H54-$J$1*$V$48*COS($H$48+$B54*$N$48*$P$48),PlotData!$CB$3)</f>
        <v>0</v>
      </c>
      <c r="L54" s="736">
        <f t="shared" si="10"/>
        <v>0</v>
      </c>
      <c r="M54" s="778">
        <f>IF(AND(ISNUMBER(Knoten!D7),B54&lt;&gt;0),Knoten!D7-$T$1+$V$48*SIN($H$48-B54*$J$48),PlotData!$CB$4)</f>
        <v>0</v>
      </c>
      <c r="N54" s="736">
        <f>IF(AND(ISNUMBER(Knoten!D7),B54&lt;&gt;0),Knoten!$D7-$T$1+$V$48*SIN($H$48+$B54*(-$J$48+$L$48)),PlotData!$CB$4)</f>
        <v>0</v>
      </c>
      <c r="O54" s="736">
        <f>IF(AND(ISNUMBER(Knoten!D7),$B54&lt;&gt;0),Knoten!$D7-$T$1+$V$48*SIN($H$48+$B54*(-$J$48+2*$L$48)),PlotData!$CB$4)</f>
        <v>0</v>
      </c>
      <c r="P54" s="736">
        <f>IF(AND(ISNUMBER(Knoten!$D7),$B54&lt;&gt;0),Knoten!$D7-$T$1+$V$48*SIN($H$48+$B54*(-$J$48+3*$L$48)),PlotData!$CB$4)</f>
        <v>0</v>
      </c>
      <c r="Q54" s="736">
        <f>IF(AND(ISNUMBER(Knoten!$D7),$B54&lt;&gt;0),Knoten!$D7-$T$1+$V$48*SIN($H$48+$B54*(-$J$48+4*$L$48)),PlotData!$CB$4)</f>
        <v>0</v>
      </c>
      <c r="R54" s="736">
        <f>IF(AND(ISNUMBER(Knoten!$D7),$B54&lt;&gt;0),Knoten!$D7-$T$1+$V$48*SIN($H$48+$B54*$N$48),PlotData!$CB$4)</f>
        <v>0</v>
      </c>
      <c r="S54" s="736">
        <f>IF(AND(ISNUMBER(Knoten!$D7),$B54&lt;&gt;0),$R54+$J$1*$V$48*SIN($H$48+$B54*$N$48*$P$48),PlotData!$CB$4)</f>
        <v>0</v>
      </c>
      <c r="T54" s="736">
        <f>IF(AND(ISNUMBER(Knoten!D7),B54&lt;&gt;0),Knoten!$D7-$T$1+$V$48*SIN($H$48+$B54*$J$48),PlotData!$CB$4)</f>
        <v>0</v>
      </c>
      <c r="U54" s="736">
        <f>IF(AND(ISNUMBER(Knoten!$D7),$B54&lt;&gt;0),$R54-$J$1*$V$48*SIN($H$48+$B54*$N$48*$P$48),PlotData!$CB$4)</f>
        <v>0</v>
      </c>
      <c r="V54" s="738">
        <f t="shared" si="11"/>
        <v>0</v>
      </c>
    </row>
    <row r="55" spans="1:22" x14ac:dyDescent="0.25">
      <c r="A55" s="750">
        <v>6</v>
      </c>
      <c r="B55" s="778">
        <f>SIGN(Knoten!J8)</f>
        <v>0</v>
      </c>
      <c r="C55" s="778">
        <f>IF(AND(ISNUMBER(Knoten!C8),B55&lt;&gt;0),Knoten!C8-$Q$1+$V$48*COS($H$48-B55*$J$48),PlotData!$CB$3)</f>
        <v>0</v>
      </c>
      <c r="D55" s="736">
        <f>IF(AND(ISNUMBER(Knoten!C8),B55&lt;&gt;0),Knoten!$C8-$Q$1+$V$48*COS($H$48+$B55*(-$J$48+$L$48)),PlotData!$CB$3)</f>
        <v>0</v>
      </c>
      <c r="E55" s="736">
        <f>IF(AND(ISNUMBER(Knoten!C8),B55&lt;&gt;0),Knoten!$C8-$Q$1+$V$48*COS($H$48+$B55*(-$J$48+2*$L$48)),PlotData!$CB$3)</f>
        <v>0</v>
      </c>
      <c r="F55" s="736">
        <f>IF(AND(ISNUMBER(Knoten!C8),B55&lt;&gt;0),Knoten!$C8-$Q$1+$V$48*COS($H$48+$B55*(-$J$48+3*$L$48)),PlotData!$CB$3)</f>
        <v>0</v>
      </c>
      <c r="G55" s="736">
        <f>IF(AND(ISNUMBER(Knoten!C8),B55&lt;&gt;0),Knoten!$C8-$Q$1+$V$48*COS($H$48+$B55*(-$J$48+4*$L$48)),PlotData!$CB$3)</f>
        <v>0</v>
      </c>
      <c r="H55" s="736">
        <f>IF(AND(ISNUMBER(Knoten!C8),B55&lt;&gt;0),Knoten!$C8-$Q$1+$V$48*COS($H$48+$B55*$N$48),PlotData!$CB$3)</f>
        <v>0</v>
      </c>
      <c r="I55" s="736">
        <f>IF(AND(ISNUMBER(Knoten!C8),B55&lt;&gt;0),$H55+$J$1*$V$48*COS($H$48+$B55*$N$48*$P$48),PlotData!$CB$3)</f>
        <v>0</v>
      </c>
      <c r="J55" s="736">
        <f>IF(AND(ISNUMBER(Knoten!C8),B55&lt;&gt;0),Knoten!$C8-$Q$1+$V$48*COS($H$48+$B55*$J$48),PlotData!$CB$3)</f>
        <v>0</v>
      </c>
      <c r="K55" s="736">
        <f>IF(AND(ISNUMBER(Knoten!C8),B55&lt;&gt;0),$H55-$J$1*$V$48*COS($H$48+$B55*$N$48*$P$48),PlotData!$CB$3)</f>
        <v>0</v>
      </c>
      <c r="L55" s="736">
        <f t="shared" si="10"/>
        <v>0</v>
      </c>
      <c r="M55" s="778">
        <f>IF(AND(ISNUMBER(Knoten!D8),B55&lt;&gt;0),Knoten!D8-$T$1+$V$48*SIN($H$48-B55*$J$48),PlotData!$CB$4)</f>
        <v>0</v>
      </c>
      <c r="N55" s="736">
        <f>IF(AND(ISNUMBER(Knoten!D8),B55&lt;&gt;0),Knoten!$D8-$T$1+$V$48*SIN($H$48+$B55*(-$J$48+$L$48)),PlotData!$CB$4)</f>
        <v>0</v>
      </c>
      <c r="O55" s="736">
        <f>IF(AND(ISNUMBER(Knoten!D8),$B55&lt;&gt;0),Knoten!$D8-$T$1+$V$48*SIN($H$48+$B55*(-$J$48+2*$L$48)),PlotData!$CB$4)</f>
        <v>0</v>
      </c>
      <c r="P55" s="736">
        <f>IF(AND(ISNUMBER(Knoten!$D8),$B55&lt;&gt;0),Knoten!$D8-$T$1+$V$48*SIN($H$48+$B55*(-$J$48+3*$L$48)),PlotData!$CB$4)</f>
        <v>0</v>
      </c>
      <c r="Q55" s="736">
        <f>IF(AND(ISNUMBER(Knoten!$D8),$B55&lt;&gt;0),Knoten!$D8-$T$1+$V$48*SIN($H$48+$B55*(-$J$48+4*$L$48)),PlotData!$CB$4)</f>
        <v>0</v>
      </c>
      <c r="R55" s="736">
        <f>IF(AND(ISNUMBER(Knoten!$D8),$B55&lt;&gt;0),Knoten!$D8-$T$1+$V$48*SIN($H$48+$B55*$N$48),PlotData!$CB$4)</f>
        <v>0</v>
      </c>
      <c r="S55" s="736">
        <f>IF(AND(ISNUMBER(Knoten!$D8),$B55&lt;&gt;0),$R55+$J$1*$V$48*SIN($H$48+$B55*$N$48*$P$48),PlotData!$CB$4)</f>
        <v>0</v>
      </c>
      <c r="T55" s="736">
        <f>IF(AND(ISNUMBER(Knoten!D8),B55&lt;&gt;0),Knoten!$D8-$T$1+$V$48*SIN($H$48+$B55*$J$48),PlotData!$CB$4)</f>
        <v>0</v>
      </c>
      <c r="U55" s="736">
        <f>IF(AND(ISNUMBER(Knoten!$D8),$B55&lt;&gt;0),$R55-$J$1*$V$48*SIN($H$48+$B55*$N$48*$P$48),PlotData!$CB$4)</f>
        <v>0</v>
      </c>
      <c r="V55" s="738">
        <f t="shared" si="11"/>
        <v>0</v>
      </c>
    </row>
    <row r="56" spans="1:22" x14ac:dyDescent="0.25">
      <c r="A56" s="750">
        <v>7</v>
      </c>
      <c r="B56" s="778">
        <f>SIGN(Knoten!J9)</f>
        <v>0</v>
      </c>
      <c r="C56" s="778">
        <f>IF(AND(ISNUMBER(Knoten!C9),B56&lt;&gt;0),Knoten!C9-$Q$1+$V$48*COS($H$48-B56*$J$48),PlotData!$CB$3)</f>
        <v>0</v>
      </c>
      <c r="D56" s="736">
        <f>IF(AND(ISNUMBER(Knoten!C9),B56&lt;&gt;0),Knoten!$C9-$Q$1+$V$48*COS($H$48+$B56*(-$J$48+$L$48)),PlotData!$CB$3)</f>
        <v>0</v>
      </c>
      <c r="E56" s="736">
        <f>IF(AND(ISNUMBER(Knoten!C9),B56&lt;&gt;0),Knoten!$C9-$Q$1+$V$48*COS($H$48+$B56*(-$J$48+2*$L$48)),PlotData!$CB$3)</f>
        <v>0</v>
      </c>
      <c r="F56" s="736">
        <f>IF(AND(ISNUMBER(Knoten!C9),B56&lt;&gt;0),Knoten!$C9-$Q$1+$V$48*COS($H$48+$B56*(-$J$48+3*$L$48)),PlotData!$CB$3)</f>
        <v>0</v>
      </c>
      <c r="G56" s="736">
        <f>IF(AND(ISNUMBER(Knoten!C9),B56&lt;&gt;0),Knoten!$C9-$Q$1+$V$48*COS($H$48+$B56*(-$J$48+4*$L$48)),PlotData!$CB$3)</f>
        <v>0</v>
      </c>
      <c r="H56" s="736">
        <f>IF(AND(ISNUMBER(Knoten!C9),B56&lt;&gt;0),Knoten!$C9-$Q$1+$V$48*COS($H$48+$B56*$N$48),PlotData!$CB$3)</f>
        <v>0</v>
      </c>
      <c r="I56" s="736">
        <f>IF(AND(ISNUMBER(Knoten!C9),B56&lt;&gt;0),$H56+$J$1*$V$48*COS($H$48+$B56*$N$48*$P$48),PlotData!$CB$3)</f>
        <v>0</v>
      </c>
      <c r="J56" s="736">
        <f>IF(AND(ISNUMBER(Knoten!C9),B56&lt;&gt;0),Knoten!$C9-$Q$1+$V$48*COS($H$48+$B56*$J$48),PlotData!$CB$3)</f>
        <v>0</v>
      </c>
      <c r="K56" s="736">
        <f>IF(AND(ISNUMBER(Knoten!C9),B56&lt;&gt;0),$H56-$J$1*$V$48*COS($H$48+$B56*$N$48*$P$48),PlotData!$CB$3)</f>
        <v>0</v>
      </c>
      <c r="L56" s="736">
        <f t="shared" si="10"/>
        <v>0</v>
      </c>
      <c r="M56" s="778">
        <f>IF(AND(ISNUMBER(Knoten!D9),B56&lt;&gt;0),Knoten!D9-$T$1+$V$48*SIN($H$48-B56*$J$48),PlotData!$CB$4)</f>
        <v>0</v>
      </c>
      <c r="N56" s="736">
        <f>IF(AND(ISNUMBER(Knoten!D9),B56&lt;&gt;0),Knoten!$D9-$T$1+$V$48*SIN($H$48+$B56*(-$J$48+$L$48)),PlotData!$CB$4)</f>
        <v>0</v>
      </c>
      <c r="O56" s="736">
        <f>IF(AND(ISNUMBER(Knoten!D9),$B56&lt;&gt;0),Knoten!$D9-$T$1+$V$48*SIN($H$48+$B56*(-$J$48+2*$L$48)),PlotData!$CB$4)</f>
        <v>0</v>
      </c>
      <c r="P56" s="736">
        <f>IF(AND(ISNUMBER(Knoten!$D9),$B56&lt;&gt;0),Knoten!$D9-$T$1+$V$48*SIN($H$48+$B56*(-$J$48+3*$L$48)),PlotData!$CB$4)</f>
        <v>0</v>
      </c>
      <c r="Q56" s="736">
        <f>IF(AND(ISNUMBER(Knoten!$D9),$B56&lt;&gt;0),Knoten!$D9-$T$1+$V$48*SIN($H$48+$B56*(-$J$48+4*$L$48)),PlotData!$CB$4)</f>
        <v>0</v>
      </c>
      <c r="R56" s="736">
        <f>IF(AND(ISNUMBER(Knoten!$D9),$B56&lt;&gt;0),Knoten!$D9-$T$1+$V$48*SIN($H$48+$B56*$N$48),PlotData!$CB$4)</f>
        <v>0</v>
      </c>
      <c r="S56" s="736">
        <f>IF(AND(ISNUMBER(Knoten!$D9),$B56&lt;&gt;0),$R56+$J$1*$V$48*SIN($H$48+$B56*$N$48*$P$48),PlotData!$CB$4)</f>
        <v>0</v>
      </c>
      <c r="T56" s="736">
        <f>IF(AND(ISNUMBER(Knoten!D9),B56&lt;&gt;0),Knoten!$D9-$T$1+$V$48*SIN($H$48+$B56*$J$48),PlotData!$CB$4)</f>
        <v>0</v>
      </c>
      <c r="U56" s="736">
        <f>IF(AND(ISNUMBER(Knoten!$D9),$B56&lt;&gt;0),$R56-$J$1*$V$48*SIN($H$48+$B56*$N$48*$P$48),PlotData!$CB$4)</f>
        <v>0</v>
      </c>
      <c r="V56" s="738">
        <f t="shared" si="11"/>
        <v>0</v>
      </c>
    </row>
    <row r="57" spans="1:22" x14ac:dyDescent="0.25">
      <c r="A57" s="750">
        <v>8</v>
      </c>
      <c r="B57" s="778">
        <f>SIGN(Knoten!J10)</f>
        <v>0</v>
      </c>
      <c r="C57" s="778">
        <f>IF(AND(ISNUMBER(Knoten!C10),B57&lt;&gt;0),Knoten!C10-$Q$1+$V$48*COS($H$48-B57*$J$48),PlotData!$CB$3)</f>
        <v>0</v>
      </c>
      <c r="D57" s="736">
        <f>IF(AND(ISNUMBER(Knoten!C10),B57&lt;&gt;0),Knoten!$C10-$Q$1+$V$48*COS($H$48+$B57*(-$J$48+$L$48)),PlotData!$CB$3)</f>
        <v>0</v>
      </c>
      <c r="E57" s="736">
        <f>IF(AND(ISNUMBER(Knoten!C10),B57&lt;&gt;0),Knoten!$C10-$Q$1+$V$48*COS($H$48+$B57*(-$J$48+2*$L$48)),PlotData!$CB$3)</f>
        <v>0</v>
      </c>
      <c r="F57" s="736">
        <f>IF(AND(ISNUMBER(Knoten!C10),B57&lt;&gt;0),Knoten!$C10-$Q$1+$V$48*COS($H$48+$B57*(-$J$48+3*$L$48)),PlotData!$CB$3)</f>
        <v>0</v>
      </c>
      <c r="G57" s="736">
        <f>IF(AND(ISNUMBER(Knoten!C10),B57&lt;&gt;0),Knoten!$C10-$Q$1+$V$48*COS($H$48+$B57*(-$J$48+4*$L$48)),PlotData!$CB$3)</f>
        <v>0</v>
      </c>
      <c r="H57" s="736">
        <f>IF(AND(ISNUMBER(Knoten!C10),B57&lt;&gt;0),Knoten!$C10-$Q$1+$V$48*COS($H$48+$B57*$N$48),PlotData!$CB$3)</f>
        <v>0</v>
      </c>
      <c r="I57" s="736">
        <f>IF(AND(ISNUMBER(Knoten!C10),B57&lt;&gt;0),$H57+$J$1*$V$48*COS($H$48+$B57*$N$48*$P$48),PlotData!$CB$3)</f>
        <v>0</v>
      </c>
      <c r="J57" s="736">
        <f>IF(AND(ISNUMBER(Knoten!C10),B57&lt;&gt;0),Knoten!$C10-$Q$1+$V$48*COS($H$48+$B57*$J$48),PlotData!$CB$3)</f>
        <v>0</v>
      </c>
      <c r="K57" s="736">
        <f>IF(AND(ISNUMBER(Knoten!C10),B57&lt;&gt;0),$H57-$J$1*$V$48*COS($H$48+$B57*$N$48*$P$48),PlotData!$CB$3)</f>
        <v>0</v>
      </c>
      <c r="L57" s="736">
        <f t="shared" si="10"/>
        <v>0</v>
      </c>
      <c r="M57" s="778">
        <f>IF(AND(ISNUMBER(Knoten!D10),B57&lt;&gt;0),Knoten!D10-$T$1+$V$48*SIN($H$48-B57*$J$48),PlotData!$CB$4)</f>
        <v>0</v>
      </c>
      <c r="N57" s="736">
        <f>IF(AND(ISNUMBER(Knoten!D10),B57&lt;&gt;0),Knoten!$D10-$T$1+$V$48*SIN($H$48+$B57*(-$J$48+$L$48)),PlotData!$CB$4)</f>
        <v>0</v>
      </c>
      <c r="O57" s="736">
        <f>IF(AND(ISNUMBER(Knoten!D10),$B57&lt;&gt;0),Knoten!$D10-$T$1+$V$48*SIN($H$48+$B57*(-$J$48+2*$L$48)),PlotData!$CB$4)</f>
        <v>0</v>
      </c>
      <c r="P57" s="736">
        <f>IF(AND(ISNUMBER(Knoten!$D10),$B57&lt;&gt;0),Knoten!$D10-$T$1+$V$48*SIN($H$48+$B57*(-$J$48+3*$L$48)),PlotData!$CB$4)</f>
        <v>0</v>
      </c>
      <c r="Q57" s="736">
        <f>IF(AND(ISNUMBER(Knoten!$D10),$B57&lt;&gt;0),Knoten!$D10-$T$1+$V$48*SIN($H$48+$B57*(-$J$48+4*$L$48)),PlotData!$CB$4)</f>
        <v>0</v>
      </c>
      <c r="R57" s="736">
        <f>IF(AND(ISNUMBER(Knoten!$D10),$B57&lt;&gt;0),Knoten!$D10-$T$1+$V$48*SIN($H$48+$B57*$N$48),PlotData!$CB$4)</f>
        <v>0</v>
      </c>
      <c r="S57" s="736">
        <f>IF(AND(ISNUMBER(Knoten!$D10),$B57&lt;&gt;0),$R57+$J$1*$V$48*SIN($H$48+$B57*$N$48*$P$48),PlotData!$CB$4)</f>
        <v>0</v>
      </c>
      <c r="T57" s="736">
        <f>IF(AND(ISNUMBER(Knoten!D10),B57&lt;&gt;0),Knoten!$D10-$T$1+$V$48*SIN($H$48+$B57*$J$48),PlotData!$CB$4)</f>
        <v>0</v>
      </c>
      <c r="U57" s="736">
        <f>IF(AND(ISNUMBER(Knoten!$D10),$B57&lt;&gt;0),$R57-$J$1*$V$48*SIN($H$48+$B57*$N$48*$P$48),PlotData!$CB$4)</f>
        <v>0</v>
      </c>
      <c r="V57" s="738">
        <f t="shared" si="11"/>
        <v>0</v>
      </c>
    </row>
    <row r="58" spans="1:22" x14ac:dyDescent="0.25">
      <c r="A58" s="750">
        <v>9</v>
      </c>
      <c r="B58" s="778">
        <f>SIGN(Knoten!J11)</f>
        <v>0</v>
      </c>
      <c r="C58" s="778">
        <f>IF(AND(ISNUMBER(Knoten!C11),B58&lt;&gt;0),Knoten!C11-$Q$1+$V$48*COS($H$48-B58*$J$48),PlotData!$CB$3)</f>
        <v>0</v>
      </c>
      <c r="D58" s="736">
        <f>IF(AND(ISNUMBER(Knoten!C11),B58&lt;&gt;0),Knoten!$C11-$Q$1+$V$48*COS($H$48+$B58*(-$J$48+$L$48)),PlotData!$CB$3)</f>
        <v>0</v>
      </c>
      <c r="E58" s="736">
        <f>IF(AND(ISNUMBER(Knoten!C11),B58&lt;&gt;0),Knoten!$C11-$Q$1+$V$48*COS($H$48+$B58*(-$J$48+2*$L$48)),PlotData!$CB$3)</f>
        <v>0</v>
      </c>
      <c r="F58" s="736">
        <f>IF(AND(ISNUMBER(Knoten!C11),B58&lt;&gt;0),Knoten!$C11-$Q$1+$V$48*COS($H$48+$B58*(-$J$48+3*$L$48)),PlotData!$CB$3)</f>
        <v>0</v>
      </c>
      <c r="G58" s="736">
        <f>IF(AND(ISNUMBER(Knoten!C11),B58&lt;&gt;0),Knoten!$C11-$Q$1+$V$48*COS($H$48+$B58*(-$J$48+4*$L$48)),PlotData!$CB$3)</f>
        <v>0</v>
      </c>
      <c r="H58" s="736">
        <f>IF(AND(ISNUMBER(Knoten!C11),B58&lt;&gt;0),Knoten!$C11-$Q$1+$V$48*COS($H$48+$B58*$N$48),PlotData!$CB$3)</f>
        <v>0</v>
      </c>
      <c r="I58" s="736">
        <f>IF(AND(ISNUMBER(Knoten!C11),B58&lt;&gt;0),$H58+$J$1*$V$48*COS($H$48+$B58*$N$48*$P$48),PlotData!$CB$3)</f>
        <v>0</v>
      </c>
      <c r="J58" s="736">
        <f>IF(AND(ISNUMBER(Knoten!C11),B58&lt;&gt;0),Knoten!$C11-$Q$1+$V$48*COS($H$48+$B58*$J$48),PlotData!$CB$3)</f>
        <v>0</v>
      </c>
      <c r="K58" s="736">
        <f>IF(AND(ISNUMBER(Knoten!C11),B58&lt;&gt;0),$H58-$J$1*$V$48*COS($H$48+$B58*$N$48*$P$48),PlotData!$CB$3)</f>
        <v>0</v>
      </c>
      <c r="L58" s="736">
        <f t="shared" si="10"/>
        <v>0</v>
      </c>
      <c r="M58" s="778">
        <f>IF(AND(ISNUMBER(Knoten!D11),B58&lt;&gt;0),Knoten!D11-$T$1+$V$48*SIN($H$48-B58*$J$48),PlotData!$CB$4)</f>
        <v>0</v>
      </c>
      <c r="N58" s="736">
        <f>IF(AND(ISNUMBER(Knoten!D11),B58&lt;&gt;0),Knoten!$D11-$T$1+$V$48*SIN($H$48+$B58*(-$J$48+$L$48)),PlotData!$CB$4)</f>
        <v>0</v>
      </c>
      <c r="O58" s="736">
        <f>IF(AND(ISNUMBER(Knoten!D11),$B58&lt;&gt;0),Knoten!$D11-$T$1+$V$48*SIN($H$48+$B58*(-$J$48+2*$L$48)),PlotData!$CB$4)</f>
        <v>0</v>
      </c>
      <c r="P58" s="736">
        <f>IF(AND(ISNUMBER(Knoten!$D11),$B58&lt;&gt;0),Knoten!$D11-$T$1+$V$48*SIN($H$48+$B58*(-$J$48+3*$L$48)),PlotData!$CB$4)</f>
        <v>0</v>
      </c>
      <c r="Q58" s="736">
        <f>IF(AND(ISNUMBER(Knoten!$D11),$B58&lt;&gt;0),Knoten!$D11-$T$1+$V$48*SIN($H$48+$B58*(-$J$48+4*$L$48)),PlotData!$CB$4)</f>
        <v>0</v>
      </c>
      <c r="R58" s="736">
        <f>IF(AND(ISNUMBER(Knoten!$D11),$B58&lt;&gt;0),Knoten!$D11-$T$1+$V$48*SIN($H$48+$B58*$N$48),PlotData!$CB$4)</f>
        <v>0</v>
      </c>
      <c r="S58" s="736">
        <f>IF(AND(ISNUMBER(Knoten!$D11),$B58&lt;&gt;0),$R58+$J$1*$V$48*SIN($H$48+$B58*$N$48*$P$48),PlotData!$CB$4)</f>
        <v>0</v>
      </c>
      <c r="T58" s="736">
        <f>IF(AND(ISNUMBER(Knoten!D11),B58&lt;&gt;0),Knoten!$D11-$T$1+$V$48*SIN($H$48+$B58*$J$48),PlotData!$CB$4)</f>
        <v>0</v>
      </c>
      <c r="U58" s="736">
        <f>IF(AND(ISNUMBER(Knoten!$D11),$B58&lt;&gt;0),$R58-$J$1*$V$48*SIN($H$48+$B58*$N$48*$P$48),PlotData!$CB$4)</f>
        <v>0</v>
      </c>
      <c r="V58" s="738">
        <f t="shared" si="11"/>
        <v>0</v>
      </c>
    </row>
    <row r="59" spans="1:22" x14ac:dyDescent="0.25">
      <c r="A59" s="750">
        <v>10</v>
      </c>
      <c r="B59" s="778">
        <f>SIGN(Knoten!J12)</f>
        <v>0</v>
      </c>
      <c r="C59" s="778">
        <f>IF(AND(ISNUMBER(Knoten!C12),B59&lt;&gt;0),Knoten!C12-$Q$1+$V$48*COS($H$48-B59*$J$48),PlotData!$CB$3)</f>
        <v>0</v>
      </c>
      <c r="D59" s="736">
        <f>IF(AND(ISNUMBER(Knoten!C12),B59&lt;&gt;0),Knoten!$C12-$Q$1+$V$48*COS($H$48+$B59*(-$J$48+$L$48)),PlotData!$CB$3)</f>
        <v>0</v>
      </c>
      <c r="E59" s="736">
        <f>IF(AND(ISNUMBER(Knoten!C12),B59&lt;&gt;0),Knoten!$C12-$Q$1+$V$48*COS($H$48+$B59*(-$J$48+2*$L$48)),PlotData!$CB$3)</f>
        <v>0</v>
      </c>
      <c r="F59" s="736">
        <f>IF(AND(ISNUMBER(Knoten!C12),B59&lt;&gt;0),Knoten!$C12-$Q$1+$V$48*COS($H$48+$B59*(-$J$48+3*$L$48)),PlotData!$CB$3)</f>
        <v>0</v>
      </c>
      <c r="G59" s="736">
        <f>IF(AND(ISNUMBER(Knoten!C12),B59&lt;&gt;0),Knoten!$C12-$Q$1+$V$48*COS($H$48+$B59*(-$J$48+4*$L$48)),PlotData!$CB$3)</f>
        <v>0</v>
      </c>
      <c r="H59" s="736">
        <f>IF(AND(ISNUMBER(Knoten!C12),B59&lt;&gt;0),Knoten!$C12-$Q$1+$V$48*COS($H$48+$B59*$N$48),PlotData!$CB$3)</f>
        <v>0</v>
      </c>
      <c r="I59" s="736">
        <f>IF(AND(ISNUMBER(Knoten!C12),B59&lt;&gt;0),$H59+$J$1*$V$48*COS($H$48+$B59*$N$48*$P$48),PlotData!$CB$3)</f>
        <v>0</v>
      </c>
      <c r="J59" s="736">
        <f>IF(AND(ISNUMBER(Knoten!C12),B59&lt;&gt;0),Knoten!$C12-$Q$1+$V$48*COS($H$48+$B59*$J$48),PlotData!$CB$3)</f>
        <v>0</v>
      </c>
      <c r="K59" s="736">
        <f>IF(AND(ISNUMBER(Knoten!C12),B59&lt;&gt;0),$H59-$J$1*$V$48*COS($H$48+$B59*$N$48*$P$48),PlotData!$CB$3)</f>
        <v>0</v>
      </c>
      <c r="L59" s="736">
        <f t="shared" si="10"/>
        <v>0</v>
      </c>
      <c r="M59" s="778">
        <f>IF(AND(ISNUMBER(Knoten!D12),B59&lt;&gt;0),Knoten!D12-$T$1+$V$48*SIN($H$48-B59*$J$48),PlotData!$CB$4)</f>
        <v>0</v>
      </c>
      <c r="N59" s="736">
        <f>IF(AND(ISNUMBER(Knoten!D12),B59&lt;&gt;0),Knoten!$D12-$T$1+$V$48*SIN($H$48+$B59*(-$J$48+$L$48)),PlotData!$CB$4)</f>
        <v>0</v>
      </c>
      <c r="O59" s="736">
        <f>IF(AND(ISNUMBER(Knoten!D12),$B59&lt;&gt;0),Knoten!$D12-$T$1+$V$48*SIN($H$48+$B59*(-$J$48+2*$L$48)),PlotData!$CB$4)</f>
        <v>0</v>
      </c>
      <c r="P59" s="736">
        <f>IF(AND(ISNUMBER(Knoten!$D12),$B59&lt;&gt;0),Knoten!$D12-$T$1+$V$48*SIN($H$48+$B59*(-$J$48+3*$L$48)),PlotData!$CB$4)</f>
        <v>0</v>
      </c>
      <c r="Q59" s="736">
        <f>IF(AND(ISNUMBER(Knoten!$D12),$B59&lt;&gt;0),Knoten!$D12-$T$1+$V$48*SIN($H$48+$B59*(-$J$48+4*$L$48)),PlotData!$CB$4)</f>
        <v>0</v>
      </c>
      <c r="R59" s="736">
        <f>IF(AND(ISNUMBER(Knoten!$D12),$B59&lt;&gt;0),Knoten!$D12-$T$1+$V$48*SIN($H$48+$B59*$N$48),PlotData!$CB$4)</f>
        <v>0</v>
      </c>
      <c r="S59" s="736">
        <f>IF(AND(ISNUMBER(Knoten!$D12),$B59&lt;&gt;0),$R59+$J$1*$V$48*SIN($H$48+$B59*$N$48*$P$48),PlotData!$CB$4)</f>
        <v>0</v>
      </c>
      <c r="T59" s="736">
        <f>IF(AND(ISNUMBER(Knoten!D12),B59&lt;&gt;0),Knoten!$D12-$T$1+$V$48*SIN($H$48+$B59*$J$48),PlotData!$CB$4)</f>
        <v>0</v>
      </c>
      <c r="U59" s="736">
        <f>IF(AND(ISNUMBER(Knoten!$D12),$B59&lt;&gt;0),$R59-$J$1*$V$48*SIN($H$48+$B59*$N$48*$P$48),PlotData!$CB$4)</f>
        <v>0</v>
      </c>
      <c r="V59" s="738">
        <f t="shared" si="11"/>
        <v>0</v>
      </c>
    </row>
    <row r="60" spans="1:22" x14ac:dyDescent="0.25">
      <c r="A60" s="750">
        <v>11</v>
      </c>
      <c r="B60" s="778">
        <f>SIGN(Knoten!J13)</f>
        <v>0</v>
      </c>
      <c r="C60" s="778">
        <f>IF(AND(ISNUMBER(Knoten!C13),B60&lt;&gt;0),Knoten!C13-$Q$1+$V$48*COS($H$48-B60*$J$48),PlotData!$CB$3)</f>
        <v>0</v>
      </c>
      <c r="D60" s="736">
        <f>IF(AND(ISNUMBER(Knoten!C13),B60&lt;&gt;0),Knoten!$C13-$Q$1+$V$48*COS($H$48+$B60*(-$J$48+$L$48)),PlotData!$CB$3)</f>
        <v>0</v>
      </c>
      <c r="E60" s="736">
        <f>IF(AND(ISNUMBER(Knoten!C13),B60&lt;&gt;0),Knoten!$C13-$Q$1+$V$48*COS($H$48+$B60*(-$J$48+2*$L$48)),PlotData!$CB$3)</f>
        <v>0</v>
      </c>
      <c r="F60" s="736">
        <f>IF(AND(ISNUMBER(Knoten!C13),B60&lt;&gt;0),Knoten!$C13-$Q$1+$V$48*COS($H$48+$B60*(-$J$48+3*$L$48)),PlotData!$CB$3)</f>
        <v>0</v>
      </c>
      <c r="G60" s="736">
        <f>IF(AND(ISNUMBER(Knoten!C13),B60&lt;&gt;0),Knoten!$C13-$Q$1+$V$48*COS($H$48+$B60*(-$J$48+4*$L$48)),PlotData!$CB$3)</f>
        <v>0</v>
      </c>
      <c r="H60" s="736">
        <f>IF(AND(ISNUMBER(Knoten!C13),B60&lt;&gt;0),Knoten!$C13-$Q$1+$V$48*COS($H$48+$B60*$N$48),PlotData!$CB$3)</f>
        <v>0</v>
      </c>
      <c r="I60" s="736">
        <f>IF(AND(ISNUMBER(Knoten!C13),B60&lt;&gt;0),$H60+$J$1*$V$48*COS($H$48+$B60*$N$48*$P$48),PlotData!$CB$3)</f>
        <v>0</v>
      </c>
      <c r="J60" s="736">
        <f>IF(AND(ISNUMBER(Knoten!C13),B60&lt;&gt;0),Knoten!$C13-$Q$1+$V$48*COS($H$48+$B60*$J$48),PlotData!$CB$3)</f>
        <v>0</v>
      </c>
      <c r="K60" s="736">
        <f>IF(AND(ISNUMBER(Knoten!C13),B60&lt;&gt;0),$H60-$J$1*$V$48*COS($H$48+$B60*$N$48*$P$48),PlotData!$CB$3)</f>
        <v>0</v>
      </c>
      <c r="L60" s="736">
        <f t="shared" si="10"/>
        <v>0</v>
      </c>
      <c r="M60" s="778">
        <f>IF(AND(ISNUMBER(Knoten!D13),B60&lt;&gt;0),Knoten!D13-$T$1+$V$48*SIN($H$48-B60*$J$48),PlotData!$CB$4)</f>
        <v>0</v>
      </c>
      <c r="N60" s="736">
        <f>IF(AND(ISNUMBER(Knoten!D13),B60&lt;&gt;0),Knoten!$D13-$T$1+$V$48*SIN($H$48+$B60*(-$J$48+$L$48)),PlotData!$CB$4)</f>
        <v>0</v>
      </c>
      <c r="O60" s="736">
        <f>IF(AND(ISNUMBER(Knoten!D13),$B60&lt;&gt;0),Knoten!$D13-$T$1+$V$48*SIN($H$48+$B60*(-$J$48+2*$L$48)),PlotData!$CB$4)</f>
        <v>0</v>
      </c>
      <c r="P60" s="736">
        <f>IF(AND(ISNUMBER(Knoten!$D13),$B60&lt;&gt;0),Knoten!$D13-$T$1+$V$48*SIN($H$48+$B60*(-$J$48+3*$L$48)),PlotData!$CB$4)</f>
        <v>0</v>
      </c>
      <c r="Q60" s="736">
        <f>IF(AND(ISNUMBER(Knoten!$D13),$B60&lt;&gt;0),Knoten!$D13-$T$1+$V$48*SIN($H$48+$B60*(-$J$48+4*$L$48)),PlotData!$CB$4)</f>
        <v>0</v>
      </c>
      <c r="R60" s="736">
        <f>IF(AND(ISNUMBER(Knoten!$D13),$B60&lt;&gt;0),Knoten!$D13-$T$1+$V$48*SIN($H$48+$B60*$N$48),PlotData!$CB$4)</f>
        <v>0</v>
      </c>
      <c r="S60" s="736">
        <f>IF(AND(ISNUMBER(Knoten!$D13),$B60&lt;&gt;0),$R60+$J$1*$V$48*SIN($H$48+$B60*$N$48*$P$48),PlotData!$CB$4)</f>
        <v>0</v>
      </c>
      <c r="T60" s="736">
        <f>IF(AND(ISNUMBER(Knoten!D13),B60&lt;&gt;0),Knoten!$D13-$T$1+$V$48*SIN($H$48+$B60*$J$48),PlotData!$CB$4)</f>
        <v>0</v>
      </c>
      <c r="U60" s="736">
        <f>IF(AND(ISNUMBER(Knoten!$D13),$B60&lt;&gt;0),$R60-$J$1*$V$48*SIN($H$48+$B60*$N$48*$P$48),PlotData!$CB$4)</f>
        <v>0</v>
      </c>
      <c r="V60" s="738">
        <f t="shared" si="11"/>
        <v>0</v>
      </c>
    </row>
    <row r="61" spans="1:22" x14ac:dyDescent="0.25">
      <c r="A61" s="750">
        <v>12</v>
      </c>
      <c r="B61" s="778">
        <f>SIGN(Knoten!J14)</f>
        <v>0</v>
      </c>
      <c r="C61" s="778">
        <f>IF(AND(ISNUMBER(Knoten!C14),B61&lt;&gt;0),Knoten!C14-$Q$1+$V$48*COS($H$48-B61*$J$48),PlotData!$CB$3)</f>
        <v>0</v>
      </c>
      <c r="D61" s="736">
        <f>IF(AND(ISNUMBER(Knoten!C14),B61&lt;&gt;0),Knoten!$C14-$Q$1+$V$48*COS($H$48+$B61*(-$J$48+$L$48)),PlotData!$CB$3)</f>
        <v>0</v>
      </c>
      <c r="E61" s="736">
        <f>IF(AND(ISNUMBER(Knoten!C14),B61&lt;&gt;0),Knoten!$C14-$Q$1+$V$48*COS($H$48+$B61*(-$J$48+2*$L$48)),PlotData!$CB$3)</f>
        <v>0</v>
      </c>
      <c r="F61" s="736">
        <f>IF(AND(ISNUMBER(Knoten!C14),B61&lt;&gt;0),Knoten!$C14-$Q$1+$V$48*COS($H$48+$B61*(-$J$48+3*$L$48)),PlotData!$CB$3)</f>
        <v>0</v>
      </c>
      <c r="G61" s="736">
        <f>IF(AND(ISNUMBER(Knoten!C14),B61&lt;&gt;0),Knoten!$C14-$Q$1+$V$48*COS($H$48+$B61*(-$J$48+4*$L$48)),PlotData!$CB$3)</f>
        <v>0</v>
      </c>
      <c r="H61" s="736">
        <f>IF(AND(ISNUMBER(Knoten!C14),B61&lt;&gt;0),Knoten!$C14-$Q$1+$V$48*COS($H$48+$B61*$N$48),PlotData!$CB$3)</f>
        <v>0</v>
      </c>
      <c r="I61" s="736">
        <f>IF(AND(ISNUMBER(Knoten!C14),B61&lt;&gt;0),$H61+$J$1*$V$48*COS($H$48+$B61*$N$48*$P$48),PlotData!$CB$3)</f>
        <v>0</v>
      </c>
      <c r="J61" s="736">
        <f>IF(AND(ISNUMBER(Knoten!C14),B61&lt;&gt;0),Knoten!$C14-$Q$1+$V$48*COS($H$48+$B61*$J$48),PlotData!$CB$3)</f>
        <v>0</v>
      </c>
      <c r="K61" s="736">
        <f>IF(AND(ISNUMBER(Knoten!C14),B61&lt;&gt;0),$H61-$J$1*$V$48*COS($H$48+$B61*$N$48*$P$48),PlotData!$CB$3)</f>
        <v>0</v>
      </c>
      <c r="L61" s="736">
        <f t="shared" si="10"/>
        <v>0</v>
      </c>
      <c r="M61" s="778">
        <f>IF(AND(ISNUMBER(Knoten!D14),B61&lt;&gt;0),Knoten!D14-$T$1+$V$48*SIN($H$48-B61*$J$48),PlotData!$CB$4)</f>
        <v>0</v>
      </c>
      <c r="N61" s="736">
        <f>IF(AND(ISNUMBER(Knoten!D14),B61&lt;&gt;0),Knoten!$D14-$T$1+$V$48*SIN($H$48+$B61*(-$J$48+$L$48)),PlotData!$CB$4)</f>
        <v>0</v>
      </c>
      <c r="O61" s="736">
        <f>IF(AND(ISNUMBER(Knoten!D14),$B61&lt;&gt;0),Knoten!$D14-$T$1+$V$48*SIN($H$48+$B61*(-$J$48+2*$L$48)),PlotData!$CB$4)</f>
        <v>0</v>
      </c>
      <c r="P61" s="736">
        <f>IF(AND(ISNUMBER(Knoten!$D14),$B61&lt;&gt;0),Knoten!$D14-$T$1+$V$48*SIN($H$48+$B61*(-$J$48+3*$L$48)),PlotData!$CB$4)</f>
        <v>0</v>
      </c>
      <c r="Q61" s="736">
        <f>IF(AND(ISNUMBER(Knoten!$D14),$B61&lt;&gt;0),Knoten!$D14-$T$1+$V$48*SIN($H$48+$B61*(-$J$48+4*$L$48)),PlotData!$CB$4)</f>
        <v>0</v>
      </c>
      <c r="R61" s="736">
        <f>IF(AND(ISNUMBER(Knoten!$D14),$B61&lt;&gt;0),Knoten!$D14-$T$1+$V$48*SIN($H$48+$B61*$N$48),PlotData!$CB$4)</f>
        <v>0</v>
      </c>
      <c r="S61" s="736">
        <f>IF(AND(ISNUMBER(Knoten!$D14),$B61&lt;&gt;0),$R61+$J$1*$V$48*SIN($H$48+$B61*$N$48*$P$48),PlotData!$CB$4)</f>
        <v>0</v>
      </c>
      <c r="T61" s="736">
        <f>IF(AND(ISNUMBER(Knoten!D14),B61&lt;&gt;0),Knoten!$D14-$T$1+$V$48*SIN($H$48+$B61*$J$48),PlotData!$CB$4)</f>
        <v>0</v>
      </c>
      <c r="U61" s="736">
        <f>IF(AND(ISNUMBER(Knoten!$D14),$B61&lt;&gt;0),$R61-$J$1*$V$48*SIN($H$48+$B61*$N$48*$P$48),PlotData!$CB$4)</f>
        <v>0</v>
      </c>
      <c r="V61" s="738">
        <f t="shared" si="11"/>
        <v>0</v>
      </c>
    </row>
    <row r="62" spans="1:22" x14ac:dyDescent="0.25">
      <c r="A62" s="750">
        <v>13</v>
      </c>
      <c r="B62" s="778">
        <f>SIGN(Knoten!J15)</f>
        <v>0</v>
      </c>
      <c r="C62" s="778">
        <f>IF(AND(ISNUMBER(Knoten!C15),B62&lt;&gt;0),Knoten!C15-$Q$1+$V$48*COS($H$48-B62*$J$48),PlotData!$CB$3)</f>
        <v>0</v>
      </c>
      <c r="D62" s="736">
        <f>IF(AND(ISNUMBER(Knoten!C15),B62&lt;&gt;0),Knoten!$C15-$Q$1+$V$48*COS($H$48+$B62*(-$J$48+$L$48)),PlotData!$CB$3)</f>
        <v>0</v>
      </c>
      <c r="E62" s="736">
        <f>IF(AND(ISNUMBER(Knoten!C15),B62&lt;&gt;0),Knoten!$C15-$Q$1+$V$48*COS($H$48+$B62*(-$J$48+2*$L$48)),PlotData!$CB$3)</f>
        <v>0</v>
      </c>
      <c r="F62" s="736">
        <f>IF(AND(ISNUMBER(Knoten!C15),B62&lt;&gt;0),Knoten!$C15-$Q$1+$V$48*COS($H$48+$B62*(-$J$48+3*$L$48)),PlotData!$CB$3)</f>
        <v>0</v>
      </c>
      <c r="G62" s="736">
        <f>IF(AND(ISNUMBER(Knoten!C15),B62&lt;&gt;0),Knoten!$C15-$Q$1+$V$48*COS($H$48+$B62*(-$J$48+4*$L$48)),PlotData!$CB$3)</f>
        <v>0</v>
      </c>
      <c r="H62" s="736">
        <f>IF(AND(ISNUMBER(Knoten!C15),B62&lt;&gt;0),Knoten!$C15-$Q$1+$V$48*COS($H$48+$B62*$N$48),PlotData!$CB$3)</f>
        <v>0</v>
      </c>
      <c r="I62" s="736">
        <f>IF(AND(ISNUMBER(Knoten!C15),B62&lt;&gt;0),$H62+$J$1*$V$48*COS($H$48+$B62*$N$48*$P$48),PlotData!$CB$3)</f>
        <v>0</v>
      </c>
      <c r="J62" s="736">
        <f>IF(AND(ISNUMBER(Knoten!C15),B62&lt;&gt;0),Knoten!$C15-$Q$1+$V$48*COS($H$48+$B62*$J$48),PlotData!$CB$3)</f>
        <v>0</v>
      </c>
      <c r="K62" s="736">
        <f>IF(AND(ISNUMBER(Knoten!C15),B62&lt;&gt;0),$H62-$J$1*$V$48*COS($H$48+$B62*$N$48*$P$48),PlotData!$CB$3)</f>
        <v>0</v>
      </c>
      <c r="L62" s="736">
        <f t="shared" si="10"/>
        <v>0</v>
      </c>
      <c r="M62" s="778">
        <f>IF(AND(ISNUMBER(Knoten!D15),B62&lt;&gt;0),Knoten!D15-$T$1+$V$48*SIN($H$48-B62*$J$48),PlotData!$CB$4)</f>
        <v>0</v>
      </c>
      <c r="N62" s="736">
        <f>IF(AND(ISNUMBER(Knoten!D15),B62&lt;&gt;0),Knoten!$D15-$T$1+$V$48*SIN($H$48+$B62*(-$J$48+$L$48)),PlotData!$CB$4)</f>
        <v>0</v>
      </c>
      <c r="O62" s="736">
        <f>IF(AND(ISNUMBER(Knoten!D15),$B62&lt;&gt;0),Knoten!$D15-$T$1+$V$48*SIN($H$48+$B62*(-$J$48+2*$L$48)),PlotData!$CB$4)</f>
        <v>0</v>
      </c>
      <c r="P62" s="736">
        <f>IF(AND(ISNUMBER(Knoten!$D15),$B62&lt;&gt;0),Knoten!$D15-$T$1+$V$48*SIN($H$48+$B62*(-$J$48+3*$L$48)),PlotData!$CB$4)</f>
        <v>0</v>
      </c>
      <c r="Q62" s="736">
        <f>IF(AND(ISNUMBER(Knoten!$D15),$B62&lt;&gt;0),Knoten!$D15-$T$1+$V$48*SIN($H$48+$B62*(-$J$48+4*$L$48)),PlotData!$CB$4)</f>
        <v>0</v>
      </c>
      <c r="R62" s="736">
        <f>IF(AND(ISNUMBER(Knoten!$D15),$B62&lt;&gt;0),Knoten!$D15-$T$1+$V$48*SIN($H$48+$B62*$N$48),PlotData!$CB$4)</f>
        <v>0</v>
      </c>
      <c r="S62" s="736">
        <f>IF(AND(ISNUMBER(Knoten!$D15),$B62&lt;&gt;0),$R62+$J$1*$V$48*SIN($H$48+$B62*$N$48*$P$48),PlotData!$CB$4)</f>
        <v>0</v>
      </c>
      <c r="T62" s="736">
        <f>IF(AND(ISNUMBER(Knoten!D15),B62&lt;&gt;0),Knoten!$D15-$T$1+$V$48*SIN($H$48+$B62*$J$48),PlotData!$CB$4)</f>
        <v>0</v>
      </c>
      <c r="U62" s="736">
        <f>IF(AND(ISNUMBER(Knoten!$D15),$B62&lt;&gt;0),$R62-$J$1*$V$48*SIN($H$48+$B62*$N$48*$P$48),PlotData!$CB$4)</f>
        <v>0</v>
      </c>
      <c r="V62" s="738">
        <f t="shared" si="11"/>
        <v>0</v>
      </c>
    </row>
    <row r="63" spans="1:22" x14ac:dyDescent="0.25">
      <c r="A63" s="750">
        <v>14</v>
      </c>
      <c r="B63" s="778">
        <f>SIGN(Knoten!J16)</f>
        <v>0</v>
      </c>
      <c r="C63" s="778">
        <f>IF(AND(ISNUMBER(Knoten!C16),B63&lt;&gt;0),Knoten!C16-$Q$1+$V$48*COS($H$48-B63*$J$48),PlotData!$CB$3)</f>
        <v>0</v>
      </c>
      <c r="D63" s="736">
        <f>IF(AND(ISNUMBER(Knoten!C16),B63&lt;&gt;0),Knoten!$C16-$Q$1+$V$48*COS($H$48+$B63*(-$J$48+$L$48)),PlotData!$CB$3)</f>
        <v>0</v>
      </c>
      <c r="E63" s="736">
        <f>IF(AND(ISNUMBER(Knoten!C16),B63&lt;&gt;0),Knoten!$C16-$Q$1+$V$48*COS($H$48+$B63*(-$J$48+2*$L$48)),PlotData!$CB$3)</f>
        <v>0</v>
      </c>
      <c r="F63" s="736">
        <f>IF(AND(ISNUMBER(Knoten!C16),B63&lt;&gt;0),Knoten!$C16-$Q$1+$V$48*COS($H$48+$B63*(-$J$48+3*$L$48)),PlotData!$CB$3)</f>
        <v>0</v>
      </c>
      <c r="G63" s="736">
        <f>IF(AND(ISNUMBER(Knoten!C16),B63&lt;&gt;0),Knoten!$C16-$Q$1+$V$48*COS($H$48+$B63*(-$J$48+4*$L$48)),PlotData!$CB$3)</f>
        <v>0</v>
      </c>
      <c r="H63" s="736">
        <f>IF(AND(ISNUMBER(Knoten!C16),B63&lt;&gt;0),Knoten!$C16-$Q$1+$V$48*COS($H$48+$B63*$N$48),PlotData!$CB$3)</f>
        <v>0</v>
      </c>
      <c r="I63" s="736">
        <f>IF(AND(ISNUMBER(Knoten!C16),B63&lt;&gt;0),$H63+$J$1*$V$48*COS($H$48+$B63*$N$48*$P$48),PlotData!$CB$3)</f>
        <v>0</v>
      </c>
      <c r="J63" s="736">
        <f>IF(AND(ISNUMBER(Knoten!C16),B63&lt;&gt;0),Knoten!$C16-$Q$1+$V$48*COS($H$48+$B63*$J$48),PlotData!$CB$3)</f>
        <v>0</v>
      </c>
      <c r="K63" s="736">
        <f>IF(AND(ISNUMBER(Knoten!C16),B63&lt;&gt;0),$H63-$J$1*$V$48*COS($H$48+$B63*$N$48*$P$48),PlotData!$CB$3)</f>
        <v>0</v>
      </c>
      <c r="L63" s="736">
        <f t="shared" si="10"/>
        <v>0</v>
      </c>
      <c r="M63" s="778">
        <f>IF(AND(ISNUMBER(Knoten!D16),B63&lt;&gt;0),Knoten!D16-$T$1+$V$48*SIN($H$48-B63*$J$48),PlotData!$CB$4)</f>
        <v>0</v>
      </c>
      <c r="N63" s="736">
        <f>IF(AND(ISNUMBER(Knoten!D16),B63&lt;&gt;0),Knoten!$D16-$T$1+$V$48*SIN($H$48+$B63*(-$J$48+$L$48)),PlotData!$CB$4)</f>
        <v>0</v>
      </c>
      <c r="O63" s="736">
        <f>IF(AND(ISNUMBER(Knoten!D16),$B63&lt;&gt;0),Knoten!$D16-$T$1+$V$48*SIN($H$48+$B63*(-$J$48+2*$L$48)),PlotData!$CB$4)</f>
        <v>0</v>
      </c>
      <c r="P63" s="736">
        <f>IF(AND(ISNUMBER(Knoten!$D16),$B63&lt;&gt;0),Knoten!$D16-$T$1+$V$48*SIN($H$48+$B63*(-$J$48+3*$L$48)),PlotData!$CB$4)</f>
        <v>0</v>
      </c>
      <c r="Q63" s="736">
        <f>IF(AND(ISNUMBER(Knoten!$D16),$B63&lt;&gt;0),Knoten!$D16-$T$1+$V$48*SIN($H$48+$B63*(-$J$48+4*$L$48)),PlotData!$CB$4)</f>
        <v>0</v>
      </c>
      <c r="R63" s="736">
        <f>IF(AND(ISNUMBER(Knoten!$D16),$B63&lt;&gt;0),Knoten!$D16-$T$1+$V$48*SIN($H$48+$B63*$N$48),PlotData!$CB$4)</f>
        <v>0</v>
      </c>
      <c r="S63" s="736">
        <f>IF(AND(ISNUMBER(Knoten!$D16),$B63&lt;&gt;0),$R63+$J$1*$V$48*SIN($H$48+$B63*$N$48*$P$48),PlotData!$CB$4)</f>
        <v>0</v>
      </c>
      <c r="T63" s="736">
        <f>IF(AND(ISNUMBER(Knoten!D16),B63&lt;&gt;0),Knoten!$D16-$T$1+$V$48*SIN($H$48+$B63*$J$48),PlotData!$CB$4)</f>
        <v>0</v>
      </c>
      <c r="U63" s="736">
        <f>IF(AND(ISNUMBER(Knoten!$D16),$B63&lt;&gt;0),$R63-$J$1*$V$48*SIN($H$48+$B63*$N$48*$P$48),PlotData!$CB$4)</f>
        <v>0</v>
      </c>
      <c r="V63" s="738">
        <f t="shared" si="11"/>
        <v>0</v>
      </c>
    </row>
    <row r="64" spans="1:22" x14ac:dyDescent="0.25">
      <c r="A64" s="750">
        <v>15</v>
      </c>
      <c r="B64" s="778">
        <f>SIGN(Knoten!J17)</f>
        <v>0</v>
      </c>
      <c r="C64" s="778">
        <f>IF(AND(ISNUMBER(Knoten!C17),B64&lt;&gt;0),Knoten!C17-$Q$1+$V$48*COS($H$48-B64*$J$48),PlotData!$CB$3)</f>
        <v>0</v>
      </c>
      <c r="D64" s="736">
        <f>IF(AND(ISNUMBER(Knoten!C17),B64&lt;&gt;0),Knoten!$C17-$Q$1+$V$48*COS($H$48+$B64*(-$J$48+$L$48)),PlotData!$CB$3)</f>
        <v>0</v>
      </c>
      <c r="E64" s="736">
        <f>IF(AND(ISNUMBER(Knoten!C17),B64&lt;&gt;0),Knoten!$C17-$Q$1+$V$48*COS($H$48+$B64*(-$J$48+2*$L$48)),PlotData!$CB$3)</f>
        <v>0</v>
      </c>
      <c r="F64" s="736">
        <f>IF(AND(ISNUMBER(Knoten!C17),B64&lt;&gt;0),Knoten!$C17-$Q$1+$V$48*COS($H$48+$B64*(-$J$48+3*$L$48)),PlotData!$CB$3)</f>
        <v>0</v>
      </c>
      <c r="G64" s="736">
        <f>IF(AND(ISNUMBER(Knoten!C17),B64&lt;&gt;0),Knoten!$C17-$Q$1+$V$48*COS($H$48+$B64*(-$J$48+4*$L$48)),PlotData!$CB$3)</f>
        <v>0</v>
      </c>
      <c r="H64" s="736">
        <f>IF(AND(ISNUMBER(Knoten!C17),B64&lt;&gt;0),Knoten!$C17-$Q$1+$V$48*COS($H$48+$B64*$N$48),PlotData!$CB$3)</f>
        <v>0</v>
      </c>
      <c r="I64" s="736">
        <f>IF(AND(ISNUMBER(Knoten!C17),B64&lt;&gt;0),$H64+$J$1*$V$48*COS($H$48+$B64*$N$48*$P$48),PlotData!$CB$3)</f>
        <v>0</v>
      </c>
      <c r="J64" s="736">
        <f>IF(AND(ISNUMBER(Knoten!C17),B64&lt;&gt;0),Knoten!$C17-$Q$1+$V$48*COS($H$48+$B64*$J$48),PlotData!$CB$3)</f>
        <v>0</v>
      </c>
      <c r="K64" s="736">
        <f>IF(AND(ISNUMBER(Knoten!C17),B64&lt;&gt;0),$H64-$J$1*$V$48*COS($H$48+$B64*$N$48*$P$48),PlotData!$CB$3)</f>
        <v>0</v>
      </c>
      <c r="L64" s="736">
        <f t="shared" si="10"/>
        <v>0</v>
      </c>
      <c r="M64" s="778">
        <f>IF(AND(ISNUMBER(Knoten!D17),B64&lt;&gt;0),Knoten!D17-$T$1+$V$48*SIN($H$48-B64*$J$48),PlotData!$CB$4)</f>
        <v>0</v>
      </c>
      <c r="N64" s="736">
        <f>IF(AND(ISNUMBER(Knoten!D17),B64&lt;&gt;0),Knoten!$D17-$T$1+$V$48*SIN($H$48+$B64*(-$J$48+$L$48)),PlotData!$CB$4)</f>
        <v>0</v>
      </c>
      <c r="O64" s="736">
        <f>IF(AND(ISNUMBER(Knoten!D17),$B64&lt;&gt;0),Knoten!$D17-$T$1+$V$48*SIN($H$48+$B64*(-$J$48+2*$L$48)),PlotData!$CB$4)</f>
        <v>0</v>
      </c>
      <c r="P64" s="736">
        <f>IF(AND(ISNUMBER(Knoten!$D17),$B64&lt;&gt;0),Knoten!$D17-$T$1+$V$48*SIN($H$48+$B64*(-$J$48+3*$L$48)),PlotData!$CB$4)</f>
        <v>0</v>
      </c>
      <c r="Q64" s="736">
        <f>IF(AND(ISNUMBER(Knoten!$D17),$B64&lt;&gt;0),Knoten!$D17-$T$1+$V$48*SIN($H$48+$B64*(-$J$48+4*$L$48)),PlotData!$CB$4)</f>
        <v>0</v>
      </c>
      <c r="R64" s="736">
        <f>IF(AND(ISNUMBER(Knoten!$D17),$B64&lt;&gt;0),Knoten!$D17-$T$1+$V$48*SIN($H$48+$B64*$N$48),PlotData!$CB$4)</f>
        <v>0</v>
      </c>
      <c r="S64" s="736">
        <f>IF(AND(ISNUMBER(Knoten!$D17),$B64&lt;&gt;0),$R64+$J$1*$V$48*SIN($H$48+$B64*$N$48*$P$48),PlotData!$CB$4)</f>
        <v>0</v>
      </c>
      <c r="T64" s="736">
        <f>IF(AND(ISNUMBER(Knoten!D17),B64&lt;&gt;0),Knoten!$D17-$T$1+$V$48*SIN($H$48+$B64*$J$48),PlotData!$CB$4)</f>
        <v>0</v>
      </c>
      <c r="U64" s="736">
        <f>IF(AND(ISNUMBER(Knoten!$D17),$B64&lt;&gt;0),$R64-$J$1*$V$48*SIN($H$48+$B64*$N$48*$P$48),PlotData!$CB$4)</f>
        <v>0</v>
      </c>
      <c r="V64" s="738">
        <f t="shared" si="11"/>
        <v>0</v>
      </c>
    </row>
    <row r="65" spans="1:22" x14ac:dyDescent="0.25">
      <c r="A65" s="750">
        <v>16</v>
      </c>
      <c r="B65" s="778">
        <f>SIGN(Knoten!J18)</f>
        <v>0</v>
      </c>
      <c r="C65" s="778">
        <f>IF(AND(ISNUMBER(Knoten!C18),B65&lt;&gt;0),Knoten!C18-$Q$1+$V$48*COS($H$48-B65*$J$48),PlotData!$CB$3)</f>
        <v>0</v>
      </c>
      <c r="D65" s="736">
        <f>IF(AND(ISNUMBER(Knoten!C18),B65&lt;&gt;0),Knoten!$C18-$Q$1+$V$48*COS($H$48+$B65*(-$J$48+$L$48)),PlotData!$CB$3)</f>
        <v>0</v>
      </c>
      <c r="E65" s="736">
        <f>IF(AND(ISNUMBER(Knoten!C18),B65&lt;&gt;0),Knoten!$C18-$Q$1+$V$48*COS($H$48+$B65*(-$J$48+2*$L$48)),PlotData!$CB$3)</f>
        <v>0</v>
      </c>
      <c r="F65" s="736">
        <f>IF(AND(ISNUMBER(Knoten!C18),B65&lt;&gt;0),Knoten!$C18-$Q$1+$V$48*COS($H$48+$B65*(-$J$48+3*$L$48)),PlotData!$CB$3)</f>
        <v>0</v>
      </c>
      <c r="G65" s="736">
        <f>IF(AND(ISNUMBER(Knoten!C18),B65&lt;&gt;0),Knoten!$C18-$Q$1+$V$48*COS($H$48+$B65*(-$J$48+4*$L$48)),PlotData!$CB$3)</f>
        <v>0</v>
      </c>
      <c r="H65" s="736">
        <f>IF(AND(ISNUMBER(Knoten!C18),B65&lt;&gt;0),Knoten!$C18-$Q$1+$V$48*COS($H$48+$B65*$N$48),PlotData!$CB$3)</f>
        <v>0</v>
      </c>
      <c r="I65" s="736">
        <f>IF(AND(ISNUMBER(Knoten!C18),B65&lt;&gt;0),$H65+$J$1*$V$48*COS($H$48+$B65*$N$48*$P$48),PlotData!$CB$3)</f>
        <v>0</v>
      </c>
      <c r="J65" s="736">
        <f>IF(AND(ISNUMBER(Knoten!C18),B65&lt;&gt;0),Knoten!$C18-$Q$1+$V$48*COS($H$48+$B65*$J$48),PlotData!$CB$3)</f>
        <v>0</v>
      </c>
      <c r="K65" s="736">
        <f>IF(AND(ISNUMBER(Knoten!C18),B65&lt;&gt;0),$H65-$J$1*$V$48*COS($H$48+$B65*$N$48*$P$48),PlotData!$CB$3)</f>
        <v>0</v>
      </c>
      <c r="L65" s="736">
        <f t="shared" si="10"/>
        <v>0</v>
      </c>
      <c r="M65" s="778">
        <f>IF(AND(ISNUMBER(Knoten!D18),B65&lt;&gt;0),Knoten!D18-$T$1+$V$48*SIN($H$48-B65*$J$48),PlotData!$CB$4)</f>
        <v>0</v>
      </c>
      <c r="N65" s="736">
        <f>IF(AND(ISNUMBER(Knoten!D18),B65&lt;&gt;0),Knoten!$D18-$T$1+$V$48*SIN($H$48+$B65*(-$J$48+$L$48)),PlotData!$CB$4)</f>
        <v>0</v>
      </c>
      <c r="O65" s="736">
        <f>IF(AND(ISNUMBER(Knoten!D18),$B65&lt;&gt;0),Knoten!$D18-$T$1+$V$48*SIN($H$48+$B65*(-$J$48+2*$L$48)),PlotData!$CB$4)</f>
        <v>0</v>
      </c>
      <c r="P65" s="736">
        <f>IF(AND(ISNUMBER(Knoten!$D18),$B65&lt;&gt;0),Knoten!$D18-$T$1+$V$48*SIN($H$48+$B65*(-$J$48+3*$L$48)),PlotData!$CB$4)</f>
        <v>0</v>
      </c>
      <c r="Q65" s="736">
        <f>IF(AND(ISNUMBER(Knoten!$D18),$B65&lt;&gt;0),Knoten!$D18-$T$1+$V$48*SIN($H$48+$B65*(-$J$48+4*$L$48)),PlotData!$CB$4)</f>
        <v>0</v>
      </c>
      <c r="R65" s="736">
        <f>IF(AND(ISNUMBER(Knoten!$D18),$B65&lt;&gt;0),Knoten!$D18-$T$1+$V$48*SIN($H$48+$B65*$N$48),PlotData!$CB$4)</f>
        <v>0</v>
      </c>
      <c r="S65" s="736">
        <f>IF(AND(ISNUMBER(Knoten!$D18),$B65&lt;&gt;0),$R65+$J$1*$V$48*SIN($H$48+$B65*$N$48*$P$48),PlotData!$CB$4)</f>
        <v>0</v>
      </c>
      <c r="T65" s="736">
        <f>IF(AND(ISNUMBER(Knoten!D18),B65&lt;&gt;0),Knoten!$D18-$T$1+$V$48*SIN($H$48+$B65*$J$48),PlotData!$CB$4)</f>
        <v>0</v>
      </c>
      <c r="U65" s="736">
        <f>IF(AND(ISNUMBER(Knoten!$D18),$B65&lt;&gt;0),$R65-$J$1*$V$48*SIN($H$48+$B65*$N$48*$P$48),PlotData!$CB$4)</f>
        <v>0</v>
      </c>
      <c r="V65" s="738">
        <f t="shared" si="11"/>
        <v>0</v>
      </c>
    </row>
    <row r="66" spans="1:22" x14ac:dyDescent="0.25">
      <c r="A66" s="750">
        <v>17</v>
      </c>
      <c r="B66" s="778">
        <f>SIGN(Knoten!J19)</f>
        <v>0</v>
      </c>
      <c r="C66" s="778">
        <f>IF(AND(ISNUMBER(Knoten!C19),B66&lt;&gt;0),Knoten!C19-$Q$1+$V$48*COS($H$48-B66*$J$48),PlotData!$CB$3)</f>
        <v>0</v>
      </c>
      <c r="D66" s="736">
        <f>IF(AND(ISNUMBER(Knoten!C19),B66&lt;&gt;0),Knoten!$C19-$Q$1+$V$48*COS($H$48+$B66*(-$J$48+$L$48)),PlotData!$CB$3)</f>
        <v>0</v>
      </c>
      <c r="E66" s="736">
        <f>IF(AND(ISNUMBER(Knoten!C19),B66&lt;&gt;0),Knoten!$C19-$Q$1+$V$48*COS($H$48+$B66*(-$J$48+2*$L$48)),PlotData!$CB$3)</f>
        <v>0</v>
      </c>
      <c r="F66" s="736">
        <f>IF(AND(ISNUMBER(Knoten!C19),B66&lt;&gt;0),Knoten!$C19-$Q$1+$V$48*COS($H$48+$B66*(-$J$48+3*$L$48)),PlotData!$CB$3)</f>
        <v>0</v>
      </c>
      <c r="G66" s="736">
        <f>IF(AND(ISNUMBER(Knoten!C19),B66&lt;&gt;0),Knoten!$C19-$Q$1+$V$48*COS($H$48+$B66*(-$J$48+4*$L$48)),PlotData!$CB$3)</f>
        <v>0</v>
      </c>
      <c r="H66" s="736">
        <f>IF(AND(ISNUMBER(Knoten!C19),B66&lt;&gt;0),Knoten!$C19-$Q$1+$V$48*COS($H$48+$B66*$N$48),PlotData!$CB$3)</f>
        <v>0</v>
      </c>
      <c r="I66" s="736">
        <f>IF(AND(ISNUMBER(Knoten!C19),B66&lt;&gt;0),$H66+$J$1*$V$48*COS($H$48+$B66*$N$48*$P$48),PlotData!$CB$3)</f>
        <v>0</v>
      </c>
      <c r="J66" s="736">
        <f>IF(AND(ISNUMBER(Knoten!C19),B66&lt;&gt;0),Knoten!$C19-$Q$1+$V$48*COS($H$48+$B66*$J$48),PlotData!$CB$3)</f>
        <v>0</v>
      </c>
      <c r="K66" s="736">
        <f>IF(AND(ISNUMBER(Knoten!C19),B66&lt;&gt;0),$H66-$J$1*$V$48*COS($H$48+$B66*$N$48*$P$48),PlotData!$CB$3)</f>
        <v>0</v>
      </c>
      <c r="L66" s="736">
        <f t="shared" si="10"/>
        <v>0</v>
      </c>
      <c r="M66" s="778">
        <f>IF(AND(ISNUMBER(Knoten!D19),B66&lt;&gt;0),Knoten!D19-$T$1+$V$48*SIN($H$48-B66*$J$48),PlotData!$CB$4)</f>
        <v>0</v>
      </c>
      <c r="N66" s="736">
        <f>IF(AND(ISNUMBER(Knoten!D19),B66&lt;&gt;0),Knoten!$D19-$T$1+$V$48*SIN($H$48+$B66*(-$J$48+$L$48)),PlotData!$CB$4)</f>
        <v>0</v>
      </c>
      <c r="O66" s="736">
        <f>IF(AND(ISNUMBER(Knoten!D19),$B66&lt;&gt;0),Knoten!$D19-$T$1+$V$48*SIN($H$48+$B66*(-$J$48+2*$L$48)),PlotData!$CB$4)</f>
        <v>0</v>
      </c>
      <c r="P66" s="736">
        <f>IF(AND(ISNUMBER(Knoten!$D19),$B66&lt;&gt;0),Knoten!$D19-$T$1+$V$48*SIN($H$48+$B66*(-$J$48+3*$L$48)),PlotData!$CB$4)</f>
        <v>0</v>
      </c>
      <c r="Q66" s="736">
        <f>IF(AND(ISNUMBER(Knoten!$D19),$B66&lt;&gt;0),Knoten!$D19-$T$1+$V$48*SIN($H$48+$B66*(-$J$48+4*$L$48)),PlotData!$CB$4)</f>
        <v>0</v>
      </c>
      <c r="R66" s="736">
        <f>IF(AND(ISNUMBER(Knoten!$D19),$B66&lt;&gt;0),Knoten!$D19-$T$1+$V$48*SIN($H$48+$B66*$N$48),PlotData!$CB$4)</f>
        <v>0</v>
      </c>
      <c r="S66" s="736">
        <f>IF(AND(ISNUMBER(Knoten!$D19),$B66&lt;&gt;0),$R66+$J$1*$V$48*SIN($H$48+$B66*$N$48*$P$48),PlotData!$CB$4)</f>
        <v>0</v>
      </c>
      <c r="T66" s="736">
        <f>IF(AND(ISNUMBER(Knoten!D19),B66&lt;&gt;0),Knoten!$D19-$T$1+$V$48*SIN($H$48+$B66*$J$48),PlotData!$CB$4)</f>
        <v>0</v>
      </c>
      <c r="U66" s="736">
        <f>IF(AND(ISNUMBER(Knoten!$D19),$B66&lt;&gt;0),$R66-$J$1*$V$48*SIN($H$48+$B66*$N$48*$P$48),PlotData!$CB$4)</f>
        <v>0</v>
      </c>
      <c r="V66" s="738">
        <f t="shared" si="11"/>
        <v>0</v>
      </c>
    </row>
    <row r="67" spans="1:22" x14ac:dyDescent="0.25">
      <c r="A67" s="750">
        <v>18</v>
      </c>
      <c r="B67" s="778">
        <f>SIGN(Knoten!J20)</f>
        <v>0</v>
      </c>
      <c r="C67" s="778">
        <f>IF(AND(ISNUMBER(Knoten!C20),B67&lt;&gt;0),Knoten!C20-$Q$1+$V$48*COS($H$48-B67*$J$48),PlotData!$CB$3)</f>
        <v>0</v>
      </c>
      <c r="D67" s="736">
        <f>IF(AND(ISNUMBER(Knoten!C20),B67&lt;&gt;0),Knoten!$C20-$Q$1+$V$48*COS($H$48+$B67*(-$J$48+$L$48)),PlotData!$CB$3)</f>
        <v>0</v>
      </c>
      <c r="E67" s="736">
        <f>IF(AND(ISNUMBER(Knoten!C20),B67&lt;&gt;0),Knoten!$C20-$Q$1+$V$48*COS($H$48+$B67*(-$J$48+2*$L$48)),PlotData!$CB$3)</f>
        <v>0</v>
      </c>
      <c r="F67" s="736">
        <f>IF(AND(ISNUMBER(Knoten!C20),B67&lt;&gt;0),Knoten!$C20-$Q$1+$V$48*COS($H$48+$B67*(-$J$48+3*$L$48)),PlotData!$CB$3)</f>
        <v>0</v>
      </c>
      <c r="G67" s="736">
        <f>IF(AND(ISNUMBER(Knoten!C20),B67&lt;&gt;0),Knoten!$C20-$Q$1+$V$48*COS($H$48+$B67*(-$J$48+4*$L$48)),PlotData!$CB$3)</f>
        <v>0</v>
      </c>
      <c r="H67" s="736">
        <f>IF(AND(ISNUMBER(Knoten!C20),B67&lt;&gt;0),Knoten!$C20-$Q$1+$V$48*COS($H$48+$B67*$N$48),PlotData!$CB$3)</f>
        <v>0</v>
      </c>
      <c r="I67" s="736">
        <f>IF(AND(ISNUMBER(Knoten!C20),B67&lt;&gt;0),$H67+$J$1*$V$48*COS($H$48+$B67*$N$48*$P$48),PlotData!$CB$3)</f>
        <v>0</v>
      </c>
      <c r="J67" s="736">
        <f>IF(AND(ISNUMBER(Knoten!C20),B67&lt;&gt;0),Knoten!$C20-$Q$1+$V$48*COS($H$48+$B67*$J$48),PlotData!$CB$3)</f>
        <v>0</v>
      </c>
      <c r="K67" s="736">
        <f>IF(AND(ISNUMBER(Knoten!C20),B67&lt;&gt;0),$H67-$J$1*$V$48*COS($H$48+$B67*$N$48*$P$48),PlotData!$CB$3)</f>
        <v>0</v>
      </c>
      <c r="L67" s="736">
        <f t="shared" si="10"/>
        <v>0</v>
      </c>
      <c r="M67" s="778">
        <f>IF(AND(ISNUMBER(Knoten!D20),B67&lt;&gt;0),Knoten!D20-$T$1+$V$48*SIN($H$48-B67*$J$48),PlotData!$CB$4)</f>
        <v>0</v>
      </c>
      <c r="N67" s="736">
        <f>IF(AND(ISNUMBER(Knoten!D20),B67&lt;&gt;0),Knoten!$D20-$T$1+$V$48*SIN($H$48+$B67*(-$J$48+$L$48)),PlotData!$CB$4)</f>
        <v>0</v>
      </c>
      <c r="O67" s="736">
        <f>IF(AND(ISNUMBER(Knoten!D20),$B67&lt;&gt;0),Knoten!$D20-$T$1+$V$48*SIN($H$48+$B67*(-$J$48+2*$L$48)),PlotData!$CB$4)</f>
        <v>0</v>
      </c>
      <c r="P67" s="736">
        <f>IF(AND(ISNUMBER(Knoten!$D20),$B67&lt;&gt;0),Knoten!$D20-$T$1+$V$48*SIN($H$48+$B67*(-$J$48+3*$L$48)),PlotData!$CB$4)</f>
        <v>0</v>
      </c>
      <c r="Q67" s="736">
        <f>IF(AND(ISNUMBER(Knoten!$D20),$B67&lt;&gt;0),Knoten!$D20-$T$1+$V$48*SIN($H$48+$B67*(-$J$48+4*$L$48)),PlotData!$CB$4)</f>
        <v>0</v>
      </c>
      <c r="R67" s="736">
        <f>IF(AND(ISNUMBER(Knoten!$D20),$B67&lt;&gt;0),Knoten!$D20-$T$1+$V$48*SIN($H$48+$B67*$N$48),PlotData!$CB$4)</f>
        <v>0</v>
      </c>
      <c r="S67" s="736">
        <f>IF(AND(ISNUMBER(Knoten!$D20),$B67&lt;&gt;0),$R67+$J$1*$V$48*SIN($H$48+$B67*$N$48*$P$48),PlotData!$CB$4)</f>
        <v>0</v>
      </c>
      <c r="T67" s="736">
        <f>IF(AND(ISNUMBER(Knoten!D20),B67&lt;&gt;0),Knoten!$D20-$T$1+$V$48*SIN($H$48+$B67*$J$48),PlotData!$CB$4)</f>
        <v>0</v>
      </c>
      <c r="U67" s="736">
        <f>IF(AND(ISNUMBER(Knoten!$D20),$B67&lt;&gt;0),$R67-$J$1*$V$48*SIN($H$48+$B67*$N$48*$P$48),PlotData!$CB$4)</f>
        <v>0</v>
      </c>
      <c r="V67" s="738">
        <f t="shared" si="11"/>
        <v>0</v>
      </c>
    </row>
    <row r="68" spans="1:22" x14ac:dyDescent="0.25">
      <c r="A68" s="750">
        <v>19</v>
      </c>
      <c r="B68" s="778">
        <f>SIGN(Knoten!J21)</f>
        <v>0</v>
      </c>
      <c r="C68" s="778">
        <f>IF(AND(ISNUMBER(Knoten!C21),B68&lt;&gt;0),Knoten!C21-$Q$1+$V$48*COS($H$48-B68*$J$48),PlotData!$CB$3)</f>
        <v>0</v>
      </c>
      <c r="D68" s="736">
        <f>IF(AND(ISNUMBER(Knoten!C21),B68&lt;&gt;0),Knoten!$C21-$Q$1+$V$48*COS($H$48+$B68*(-$J$48+$L$48)),PlotData!$CB$3)</f>
        <v>0</v>
      </c>
      <c r="E68" s="736">
        <f>IF(AND(ISNUMBER(Knoten!C21),B68&lt;&gt;0),Knoten!$C21-$Q$1+$V$48*COS($H$48+$B68*(-$J$48+2*$L$48)),PlotData!$CB$3)</f>
        <v>0</v>
      </c>
      <c r="F68" s="736">
        <f>IF(AND(ISNUMBER(Knoten!C21),B68&lt;&gt;0),Knoten!$C21-$Q$1+$V$48*COS($H$48+$B68*(-$J$48+3*$L$48)),PlotData!$CB$3)</f>
        <v>0</v>
      </c>
      <c r="G68" s="736">
        <f>IF(AND(ISNUMBER(Knoten!C21),B68&lt;&gt;0),Knoten!$C21-$Q$1+$V$48*COS($H$48+$B68*(-$J$48+4*$L$48)),PlotData!$CB$3)</f>
        <v>0</v>
      </c>
      <c r="H68" s="736">
        <f>IF(AND(ISNUMBER(Knoten!C21),B68&lt;&gt;0),Knoten!$C21-$Q$1+$V$48*COS($H$48+$B68*$N$48),PlotData!$CB$3)</f>
        <v>0</v>
      </c>
      <c r="I68" s="736">
        <f>IF(AND(ISNUMBER(Knoten!C21),B68&lt;&gt;0),$H68+$J$1*$V$48*COS($H$48+$B68*$N$48*$P$48),PlotData!$CB$3)</f>
        <v>0</v>
      </c>
      <c r="J68" s="736">
        <f>IF(AND(ISNUMBER(Knoten!C21),B68&lt;&gt;0),Knoten!$C21-$Q$1+$V$48*COS($H$48+$B68*$J$48),PlotData!$CB$3)</f>
        <v>0</v>
      </c>
      <c r="K68" s="736">
        <f>IF(AND(ISNUMBER(Knoten!C21),B68&lt;&gt;0),$H68-$J$1*$V$48*COS($H$48+$B68*$N$48*$P$48),PlotData!$CB$3)</f>
        <v>0</v>
      </c>
      <c r="L68" s="736">
        <f t="shared" si="10"/>
        <v>0</v>
      </c>
      <c r="M68" s="778">
        <f>IF(AND(ISNUMBER(Knoten!D21),B68&lt;&gt;0),Knoten!D21-$T$1+$V$48*SIN($H$48-B68*$J$48),PlotData!$CB$4)</f>
        <v>0</v>
      </c>
      <c r="N68" s="736">
        <f>IF(AND(ISNUMBER(Knoten!D21),B68&lt;&gt;0),Knoten!$D21-$T$1+$V$48*SIN($H$48+$B68*(-$J$48+$L$48)),PlotData!$CB$4)</f>
        <v>0</v>
      </c>
      <c r="O68" s="736">
        <f>IF(AND(ISNUMBER(Knoten!D21),$B68&lt;&gt;0),Knoten!$D21-$T$1+$V$48*SIN($H$48+$B68*(-$J$48+2*$L$48)),PlotData!$CB$4)</f>
        <v>0</v>
      </c>
      <c r="P68" s="736">
        <f>IF(AND(ISNUMBER(Knoten!$D21),$B68&lt;&gt;0),Knoten!$D21-$T$1+$V$48*SIN($H$48+$B68*(-$J$48+3*$L$48)),PlotData!$CB$4)</f>
        <v>0</v>
      </c>
      <c r="Q68" s="736">
        <f>IF(AND(ISNUMBER(Knoten!$D21),$B68&lt;&gt;0),Knoten!$D21-$T$1+$V$48*SIN($H$48+$B68*(-$J$48+4*$L$48)),PlotData!$CB$4)</f>
        <v>0</v>
      </c>
      <c r="R68" s="736">
        <f>IF(AND(ISNUMBER(Knoten!$D21),$B68&lt;&gt;0),Knoten!$D21-$T$1+$V$48*SIN($H$48+$B68*$N$48),PlotData!$CB$4)</f>
        <v>0</v>
      </c>
      <c r="S68" s="736">
        <f>IF(AND(ISNUMBER(Knoten!$D21),$B68&lt;&gt;0),$R68+$J$1*$V$48*SIN($H$48+$B68*$N$48*$P$48),PlotData!$CB$4)</f>
        <v>0</v>
      </c>
      <c r="T68" s="736">
        <f>IF(AND(ISNUMBER(Knoten!D21),B68&lt;&gt;0),Knoten!$D21-$T$1+$V$48*SIN($H$48+$B68*$J$48),PlotData!$CB$4)</f>
        <v>0</v>
      </c>
      <c r="U68" s="736">
        <f>IF(AND(ISNUMBER(Knoten!$D21),$B68&lt;&gt;0),$R68-$J$1*$V$48*SIN($H$48+$B68*$N$48*$P$48),PlotData!$CB$4)</f>
        <v>0</v>
      </c>
      <c r="V68" s="738">
        <f t="shared" si="11"/>
        <v>0</v>
      </c>
    </row>
    <row r="69" spans="1:22" x14ac:dyDescent="0.25">
      <c r="A69" s="750">
        <v>20</v>
      </c>
      <c r="B69" s="778">
        <f>SIGN(Knoten!J22)</f>
        <v>0</v>
      </c>
      <c r="C69" s="778">
        <f>IF(AND(ISNUMBER(Knoten!C22),B69&lt;&gt;0),Knoten!C22-$Q$1+$V$48*COS($H$48-B69*$J$48),PlotData!$CB$3)</f>
        <v>0</v>
      </c>
      <c r="D69" s="736">
        <f>IF(AND(ISNUMBER(Knoten!C22),B69&lt;&gt;0),Knoten!$C22-$Q$1+$V$48*COS($H$48+$B69*(-$J$48+$L$48)),PlotData!$CB$3)</f>
        <v>0</v>
      </c>
      <c r="E69" s="736">
        <f>IF(AND(ISNUMBER(Knoten!C22),B69&lt;&gt;0),Knoten!$C22-$Q$1+$V$48*COS($H$48+$B69*(-$J$48+2*$L$48)),PlotData!$CB$3)</f>
        <v>0</v>
      </c>
      <c r="F69" s="736">
        <f>IF(AND(ISNUMBER(Knoten!C22),B69&lt;&gt;0),Knoten!$C22-$Q$1+$V$48*COS($H$48+$B69*(-$J$48+3*$L$48)),PlotData!$CB$3)</f>
        <v>0</v>
      </c>
      <c r="G69" s="736">
        <f>IF(AND(ISNUMBER(Knoten!C22),B69&lt;&gt;0),Knoten!$C22-$Q$1+$V$48*COS($H$48+$B69*(-$J$48+4*$L$48)),PlotData!$CB$3)</f>
        <v>0</v>
      </c>
      <c r="H69" s="736">
        <f>IF(AND(ISNUMBER(Knoten!C22),B69&lt;&gt;0),Knoten!$C22-$Q$1+$V$48*COS($H$48+$B69*$N$48),PlotData!$CB$3)</f>
        <v>0</v>
      </c>
      <c r="I69" s="736">
        <f>IF(AND(ISNUMBER(Knoten!C22),B69&lt;&gt;0),$H69+$J$1*$V$48*COS($H$48+$B69*$N$48*$P$48),PlotData!$CB$3)</f>
        <v>0</v>
      </c>
      <c r="J69" s="736">
        <f>IF(AND(ISNUMBER(Knoten!C22),B69&lt;&gt;0),Knoten!$C22-$Q$1+$V$48*COS($H$48+$B69*$J$48),PlotData!$CB$3)</f>
        <v>0</v>
      </c>
      <c r="K69" s="736">
        <f>IF(AND(ISNUMBER(Knoten!C22),B69&lt;&gt;0),$H69-$J$1*$V$48*COS($H$48+$B69*$N$48*$P$48),PlotData!$CB$3)</f>
        <v>0</v>
      </c>
      <c r="L69" s="736">
        <f t="shared" si="10"/>
        <v>0</v>
      </c>
      <c r="M69" s="778">
        <f>IF(AND(ISNUMBER(Knoten!D22),B69&lt;&gt;0),Knoten!D22-$T$1+$V$48*SIN($H$48-B69*$J$48),PlotData!$CB$4)</f>
        <v>0</v>
      </c>
      <c r="N69" s="736">
        <f>IF(AND(ISNUMBER(Knoten!D22),B69&lt;&gt;0),Knoten!$D22-$T$1+$V$48*SIN($H$48+$B69*(-$J$48+$L$48)),PlotData!$CB$4)</f>
        <v>0</v>
      </c>
      <c r="O69" s="736">
        <f>IF(AND(ISNUMBER(Knoten!D22),$B69&lt;&gt;0),Knoten!$D22-$T$1+$V$48*SIN($H$48+$B69*(-$J$48+2*$L$48)),PlotData!$CB$4)</f>
        <v>0</v>
      </c>
      <c r="P69" s="736">
        <f>IF(AND(ISNUMBER(Knoten!$D22),$B69&lt;&gt;0),Knoten!$D22-$T$1+$V$48*SIN($H$48+$B69*(-$J$48+3*$L$48)),PlotData!$CB$4)</f>
        <v>0</v>
      </c>
      <c r="Q69" s="736">
        <f>IF(AND(ISNUMBER(Knoten!$D22),$B69&lt;&gt;0),Knoten!$D22-$T$1+$V$48*SIN($H$48+$B69*(-$J$48+4*$L$48)),PlotData!$CB$4)</f>
        <v>0</v>
      </c>
      <c r="R69" s="736">
        <f>IF(AND(ISNUMBER(Knoten!$D22),$B69&lt;&gt;0),Knoten!$D22-$T$1+$V$48*SIN($H$48+$B69*$N$48),PlotData!$CB$4)</f>
        <v>0</v>
      </c>
      <c r="S69" s="736">
        <f>IF(AND(ISNUMBER(Knoten!$D22),$B69&lt;&gt;0),$R69+$J$1*$V$48*SIN($H$48+$B69*$N$48*$P$48),PlotData!$CB$4)</f>
        <v>0</v>
      </c>
      <c r="T69" s="736">
        <f>IF(AND(ISNUMBER(Knoten!D22),B69&lt;&gt;0),Knoten!$D22-$T$1+$V$48*SIN($H$48+$B69*$J$48),PlotData!$CB$4)</f>
        <v>0</v>
      </c>
      <c r="U69" s="736">
        <f>IF(AND(ISNUMBER(Knoten!$D22),$B69&lt;&gt;0),$R69-$J$1*$V$48*SIN($H$48+$B69*$N$48*$P$48),PlotData!$CB$4)</f>
        <v>0</v>
      </c>
      <c r="V69" s="738">
        <f t="shared" si="11"/>
        <v>0</v>
      </c>
    </row>
    <row r="70" spans="1:22" x14ac:dyDescent="0.25">
      <c r="A70" s="750">
        <v>21</v>
      </c>
      <c r="B70" s="778">
        <f>SIGN(Knoten!J23)</f>
        <v>0</v>
      </c>
      <c r="C70" s="778">
        <f>IF(AND(ISNUMBER(Knoten!C23),B70&lt;&gt;0),Knoten!C23-$Q$1+$V$48*COS($H$48-B70*$J$48),PlotData!$CB$3)</f>
        <v>0</v>
      </c>
      <c r="D70" s="736">
        <f>IF(AND(ISNUMBER(Knoten!C23),B70&lt;&gt;0),Knoten!$C23-$Q$1+$V$48*COS($H$48+$B70*(-$J$48+$L$48)),PlotData!$CB$3)</f>
        <v>0</v>
      </c>
      <c r="E70" s="736">
        <f>IF(AND(ISNUMBER(Knoten!C23),B70&lt;&gt;0),Knoten!$C23-$Q$1+$V$48*COS($H$48+$B70*(-$J$48+2*$L$48)),PlotData!$CB$3)</f>
        <v>0</v>
      </c>
      <c r="F70" s="736">
        <f>IF(AND(ISNUMBER(Knoten!C23),B70&lt;&gt;0),Knoten!$C23-$Q$1+$V$48*COS($H$48+$B70*(-$J$48+3*$L$48)),PlotData!$CB$3)</f>
        <v>0</v>
      </c>
      <c r="G70" s="736">
        <f>IF(AND(ISNUMBER(Knoten!C23),B70&lt;&gt;0),Knoten!$C23-$Q$1+$V$48*COS($H$48+$B70*(-$J$48+4*$L$48)),PlotData!$CB$3)</f>
        <v>0</v>
      </c>
      <c r="H70" s="736">
        <f>IF(AND(ISNUMBER(Knoten!C23),B70&lt;&gt;0),Knoten!$C23-$Q$1+$V$48*COS($H$48+$B70*$N$48),PlotData!$CB$3)</f>
        <v>0</v>
      </c>
      <c r="I70" s="736">
        <f>IF(AND(ISNUMBER(Knoten!C23),B70&lt;&gt;0),$H70+$J$1*$V$48*COS($H$48+$B70*$N$48*$P$48),PlotData!$CB$3)</f>
        <v>0</v>
      </c>
      <c r="J70" s="736">
        <f>IF(AND(ISNUMBER(Knoten!C23),B70&lt;&gt;0),Knoten!$C23-$Q$1+$V$48*COS($H$48+$B70*$J$48),PlotData!$CB$3)</f>
        <v>0</v>
      </c>
      <c r="K70" s="736">
        <f>IF(AND(ISNUMBER(Knoten!C23),B70&lt;&gt;0),$H70-$J$1*$V$48*COS($H$48+$B70*$N$48*$P$48),PlotData!$CB$3)</f>
        <v>0</v>
      </c>
      <c r="L70" s="736">
        <f t="shared" si="10"/>
        <v>0</v>
      </c>
      <c r="M70" s="778">
        <f>IF(AND(ISNUMBER(Knoten!D23),B70&lt;&gt;0),Knoten!D23-$T$1+$V$48*SIN($H$48-B70*$J$48),PlotData!$CB$4)</f>
        <v>0</v>
      </c>
      <c r="N70" s="736">
        <f>IF(AND(ISNUMBER(Knoten!D23),B70&lt;&gt;0),Knoten!$D23-$T$1+$V$48*SIN($H$48+$B70*(-$J$48+$L$48)),PlotData!$CB$4)</f>
        <v>0</v>
      </c>
      <c r="O70" s="736">
        <f>IF(AND(ISNUMBER(Knoten!D23),$B70&lt;&gt;0),Knoten!$D23-$T$1+$V$48*SIN($H$48+$B70*(-$J$48+2*$L$48)),PlotData!$CB$4)</f>
        <v>0</v>
      </c>
      <c r="P70" s="736">
        <f>IF(AND(ISNUMBER(Knoten!$D23),$B70&lt;&gt;0),Knoten!$D23-$T$1+$V$48*SIN($H$48+$B70*(-$J$48+3*$L$48)),PlotData!$CB$4)</f>
        <v>0</v>
      </c>
      <c r="Q70" s="736">
        <f>IF(AND(ISNUMBER(Knoten!$D23),$B70&lt;&gt;0),Knoten!$D23-$T$1+$V$48*SIN($H$48+$B70*(-$J$48+4*$L$48)),PlotData!$CB$4)</f>
        <v>0</v>
      </c>
      <c r="R70" s="736">
        <f>IF(AND(ISNUMBER(Knoten!$D23),$B70&lt;&gt;0),Knoten!$D23-$T$1+$V$48*SIN($H$48+$B70*$N$48),PlotData!$CB$4)</f>
        <v>0</v>
      </c>
      <c r="S70" s="736">
        <f>IF(AND(ISNUMBER(Knoten!$D23),$B70&lt;&gt;0),$R70+$J$1*$V$48*SIN($H$48+$B70*$N$48*$P$48),PlotData!$CB$4)</f>
        <v>0</v>
      </c>
      <c r="T70" s="736">
        <f>IF(AND(ISNUMBER(Knoten!D23),B70&lt;&gt;0),Knoten!$D23-$T$1+$V$48*SIN($H$48+$B70*$J$48),PlotData!$CB$4)</f>
        <v>0</v>
      </c>
      <c r="U70" s="736">
        <f>IF(AND(ISNUMBER(Knoten!$D23),$B70&lt;&gt;0),$R70-$J$1*$V$48*SIN($H$48+$B70*$N$48*$P$48),PlotData!$CB$4)</f>
        <v>0</v>
      </c>
      <c r="V70" s="738">
        <f t="shared" si="11"/>
        <v>0</v>
      </c>
    </row>
    <row r="71" spans="1:22" x14ac:dyDescent="0.25">
      <c r="A71" s="750">
        <v>22</v>
      </c>
      <c r="B71" s="778">
        <f>SIGN(Knoten!J24)</f>
        <v>0</v>
      </c>
      <c r="C71" s="778">
        <f>IF(AND(ISNUMBER(Knoten!C24),B71&lt;&gt;0),Knoten!C24-$Q$1+$V$48*COS($H$48-B71*$J$48),PlotData!$CB$3)</f>
        <v>0</v>
      </c>
      <c r="D71" s="736">
        <f>IF(AND(ISNUMBER(Knoten!C24),B71&lt;&gt;0),Knoten!$C24-$Q$1+$V$48*COS($H$48+$B71*(-$J$48+$L$48)),PlotData!$CB$3)</f>
        <v>0</v>
      </c>
      <c r="E71" s="736">
        <f>IF(AND(ISNUMBER(Knoten!C24),B71&lt;&gt;0),Knoten!$C24-$Q$1+$V$48*COS($H$48+$B71*(-$J$48+2*$L$48)),PlotData!$CB$3)</f>
        <v>0</v>
      </c>
      <c r="F71" s="736">
        <f>IF(AND(ISNUMBER(Knoten!C24),B71&lt;&gt;0),Knoten!$C24-$Q$1+$V$48*COS($H$48+$B71*(-$J$48+3*$L$48)),PlotData!$CB$3)</f>
        <v>0</v>
      </c>
      <c r="G71" s="736">
        <f>IF(AND(ISNUMBER(Knoten!C24),B71&lt;&gt;0),Knoten!$C24-$Q$1+$V$48*COS($H$48+$B71*(-$J$48+4*$L$48)),PlotData!$CB$3)</f>
        <v>0</v>
      </c>
      <c r="H71" s="736">
        <f>IF(AND(ISNUMBER(Knoten!C24),B71&lt;&gt;0),Knoten!$C24-$Q$1+$V$48*COS($H$48+$B71*$N$48),PlotData!$CB$3)</f>
        <v>0</v>
      </c>
      <c r="I71" s="736">
        <f>IF(AND(ISNUMBER(Knoten!C24),B71&lt;&gt;0),$H71+$J$1*$V$48*COS($H$48+$B71*$N$48*$P$48),PlotData!$CB$3)</f>
        <v>0</v>
      </c>
      <c r="J71" s="736">
        <f>IF(AND(ISNUMBER(Knoten!C24),B71&lt;&gt;0),Knoten!$C24-$Q$1+$V$48*COS($H$48+$B71*$J$48),PlotData!$CB$3)</f>
        <v>0</v>
      </c>
      <c r="K71" s="736">
        <f>IF(AND(ISNUMBER(Knoten!C24),B71&lt;&gt;0),$H71-$J$1*$V$48*COS($H$48+$B71*$N$48*$P$48),PlotData!$CB$3)</f>
        <v>0</v>
      </c>
      <c r="L71" s="736">
        <f t="shared" si="10"/>
        <v>0</v>
      </c>
      <c r="M71" s="778">
        <f>IF(AND(ISNUMBER(Knoten!D24),B71&lt;&gt;0),Knoten!D24-$T$1+$V$48*SIN($H$48-B71*$J$48),PlotData!$CB$4)</f>
        <v>0</v>
      </c>
      <c r="N71" s="736">
        <f>IF(AND(ISNUMBER(Knoten!D24),B71&lt;&gt;0),Knoten!$D24-$T$1+$V$48*SIN($H$48+$B71*(-$J$48+$L$48)),PlotData!$CB$4)</f>
        <v>0</v>
      </c>
      <c r="O71" s="736">
        <f>IF(AND(ISNUMBER(Knoten!D24),$B71&lt;&gt;0),Knoten!$D24-$T$1+$V$48*SIN($H$48+$B71*(-$J$48+2*$L$48)),PlotData!$CB$4)</f>
        <v>0</v>
      </c>
      <c r="P71" s="736">
        <f>IF(AND(ISNUMBER(Knoten!$D24),$B71&lt;&gt;0),Knoten!$D24-$T$1+$V$48*SIN($H$48+$B71*(-$J$48+3*$L$48)),PlotData!$CB$4)</f>
        <v>0</v>
      </c>
      <c r="Q71" s="736">
        <f>IF(AND(ISNUMBER(Knoten!$D24),$B71&lt;&gt;0),Knoten!$D24-$T$1+$V$48*SIN($H$48+$B71*(-$J$48+4*$L$48)),PlotData!$CB$4)</f>
        <v>0</v>
      </c>
      <c r="R71" s="736">
        <f>IF(AND(ISNUMBER(Knoten!$D24),$B71&lt;&gt;0),Knoten!$D24-$T$1+$V$48*SIN($H$48+$B71*$N$48),PlotData!$CB$4)</f>
        <v>0</v>
      </c>
      <c r="S71" s="736">
        <f>IF(AND(ISNUMBER(Knoten!$D24),$B71&lt;&gt;0),$R71+$J$1*$V$48*SIN($H$48+$B71*$N$48*$P$48),PlotData!$CB$4)</f>
        <v>0</v>
      </c>
      <c r="T71" s="736">
        <f>IF(AND(ISNUMBER(Knoten!D24),B71&lt;&gt;0),Knoten!$D24-$T$1+$V$48*SIN($H$48+$B71*$J$48),PlotData!$CB$4)</f>
        <v>0</v>
      </c>
      <c r="U71" s="736">
        <f>IF(AND(ISNUMBER(Knoten!$D24),$B71&lt;&gt;0),$R71-$J$1*$V$48*SIN($H$48+$B71*$N$48*$P$48),PlotData!$CB$4)</f>
        <v>0</v>
      </c>
      <c r="V71" s="738">
        <f t="shared" si="11"/>
        <v>0</v>
      </c>
    </row>
    <row r="72" spans="1:22" x14ac:dyDescent="0.25">
      <c r="A72" s="750">
        <v>23</v>
      </c>
      <c r="B72" s="778">
        <f>SIGN(Knoten!J25)</f>
        <v>0</v>
      </c>
      <c r="C72" s="778">
        <f>IF(AND(ISNUMBER(Knoten!C25),B72&lt;&gt;0),Knoten!C25-$Q$1+$V$48*COS($H$48-B72*$J$48),PlotData!$CB$3)</f>
        <v>0</v>
      </c>
      <c r="D72" s="736">
        <f>IF(AND(ISNUMBER(Knoten!C25),B72&lt;&gt;0),Knoten!$C25-$Q$1+$V$48*COS($H$48+$B72*(-$J$48+$L$48)),PlotData!$CB$3)</f>
        <v>0</v>
      </c>
      <c r="E72" s="736">
        <f>IF(AND(ISNUMBER(Knoten!C25),B72&lt;&gt;0),Knoten!$C25-$Q$1+$V$48*COS($H$48+$B72*(-$J$48+2*$L$48)),PlotData!$CB$3)</f>
        <v>0</v>
      </c>
      <c r="F72" s="736">
        <f>IF(AND(ISNUMBER(Knoten!C25),B72&lt;&gt;0),Knoten!$C25-$Q$1+$V$48*COS($H$48+$B72*(-$J$48+3*$L$48)),PlotData!$CB$3)</f>
        <v>0</v>
      </c>
      <c r="G72" s="736">
        <f>IF(AND(ISNUMBER(Knoten!C25),B72&lt;&gt;0),Knoten!$C25-$Q$1+$V$48*COS($H$48+$B72*(-$J$48+4*$L$48)),PlotData!$CB$3)</f>
        <v>0</v>
      </c>
      <c r="H72" s="736">
        <f>IF(AND(ISNUMBER(Knoten!C25),B72&lt;&gt;0),Knoten!$C25-$Q$1+$V$48*COS($H$48+$B72*$N$48),PlotData!$CB$3)</f>
        <v>0</v>
      </c>
      <c r="I72" s="736">
        <f>IF(AND(ISNUMBER(Knoten!C25),B72&lt;&gt;0),$H72+$J$1*$V$48*COS($H$48+$B72*$N$48*$P$48),PlotData!$CB$3)</f>
        <v>0</v>
      </c>
      <c r="J72" s="736">
        <f>IF(AND(ISNUMBER(Knoten!C25),B72&lt;&gt;0),Knoten!$C25-$Q$1+$V$48*COS($H$48+$B72*$J$48),PlotData!$CB$3)</f>
        <v>0</v>
      </c>
      <c r="K72" s="736">
        <f>IF(AND(ISNUMBER(Knoten!C25),B72&lt;&gt;0),$H72-$J$1*$V$48*COS($H$48+$B72*$N$48*$P$48),PlotData!$CB$3)</f>
        <v>0</v>
      </c>
      <c r="L72" s="736">
        <f t="shared" si="10"/>
        <v>0</v>
      </c>
      <c r="M72" s="778">
        <f>IF(AND(ISNUMBER(Knoten!D25),B72&lt;&gt;0),Knoten!D25-$T$1+$V$48*SIN($H$48-B72*$J$48),PlotData!$CB$4)</f>
        <v>0</v>
      </c>
      <c r="N72" s="736">
        <f>IF(AND(ISNUMBER(Knoten!D25),B72&lt;&gt;0),Knoten!$D25-$T$1+$V$48*SIN($H$48+$B72*(-$J$48+$L$48)),PlotData!$CB$4)</f>
        <v>0</v>
      </c>
      <c r="O72" s="736">
        <f>IF(AND(ISNUMBER(Knoten!D25),$B72&lt;&gt;0),Knoten!$D25-$T$1+$V$48*SIN($H$48+$B72*(-$J$48+2*$L$48)),PlotData!$CB$4)</f>
        <v>0</v>
      </c>
      <c r="P72" s="736">
        <f>IF(AND(ISNUMBER(Knoten!$D25),$B72&lt;&gt;0),Knoten!$D25-$T$1+$V$48*SIN($H$48+$B72*(-$J$48+3*$L$48)),PlotData!$CB$4)</f>
        <v>0</v>
      </c>
      <c r="Q72" s="736">
        <f>IF(AND(ISNUMBER(Knoten!$D25),$B72&lt;&gt;0),Knoten!$D25-$T$1+$V$48*SIN($H$48+$B72*(-$J$48+4*$L$48)),PlotData!$CB$4)</f>
        <v>0</v>
      </c>
      <c r="R72" s="736">
        <f>IF(AND(ISNUMBER(Knoten!$D25),$B72&lt;&gt;0),Knoten!$D25-$T$1+$V$48*SIN($H$48+$B72*$N$48),PlotData!$CB$4)</f>
        <v>0</v>
      </c>
      <c r="S72" s="736">
        <f>IF(AND(ISNUMBER(Knoten!$D25),$B72&lt;&gt;0),$R72+$J$1*$V$48*SIN($H$48+$B72*$N$48*$P$48),PlotData!$CB$4)</f>
        <v>0</v>
      </c>
      <c r="T72" s="736">
        <f>IF(AND(ISNUMBER(Knoten!D25),B72&lt;&gt;0),Knoten!$D25-$T$1+$V$48*SIN($H$48+$B72*$J$48),PlotData!$CB$4)</f>
        <v>0</v>
      </c>
      <c r="U72" s="736">
        <f>IF(AND(ISNUMBER(Knoten!$D25),$B72&lt;&gt;0),$R72-$J$1*$V$48*SIN($H$48+$B72*$N$48*$P$48),PlotData!$CB$4)</f>
        <v>0</v>
      </c>
      <c r="V72" s="738">
        <f t="shared" si="11"/>
        <v>0</v>
      </c>
    </row>
    <row r="73" spans="1:22" x14ac:dyDescent="0.25">
      <c r="A73" s="750">
        <v>24</v>
      </c>
      <c r="B73" s="778">
        <f>SIGN(Knoten!J26)</f>
        <v>0</v>
      </c>
      <c r="C73" s="778">
        <f>IF(AND(ISNUMBER(Knoten!C26),B73&lt;&gt;0),Knoten!C26-$Q$1+$V$48*COS($H$48-B73*$J$48),PlotData!$CB$3)</f>
        <v>0</v>
      </c>
      <c r="D73" s="736">
        <f>IF(AND(ISNUMBER(Knoten!C26),B73&lt;&gt;0),Knoten!$C26-$Q$1+$V$48*COS($H$48+$B73*(-$J$48+$L$48)),PlotData!$CB$3)</f>
        <v>0</v>
      </c>
      <c r="E73" s="736">
        <f>IF(AND(ISNUMBER(Knoten!C26),B73&lt;&gt;0),Knoten!$C26-$Q$1+$V$48*COS($H$48+$B73*(-$J$48+2*$L$48)),PlotData!$CB$3)</f>
        <v>0</v>
      </c>
      <c r="F73" s="736">
        <f>IF(AND(ISNUMBER(Knoten!C26),B73&lt;&gt;0),Knoten!$C26-$Q$1+$V$48*COS($H$48+$B73*(-$J$48+3*$L$48)),PlotData!$CB$3)</f>
        <v>0</v>
      </c>
      <c r="G73" s="736">
        <f>IF(AND(ISNUMBER(Knoten!C26),B73&lt;&gt;0),Knoten!$C26-$Q$1+$V$48*COS($H$48+$B73*(-$J$48+4*$L$48)),PlotData!$CB$3)</f>
        <v>0</v>
      </c>
      <c r="H73" s="736">
        <f>IF(AND(ISNUMBER(Knoten!C26),B73&lt;&gt;0),Knoten!$C26-$Q$1+$V$48*COS($H$48+$B73*$N$48),PlotData!$CB$3)</f>
        <v>0</v>
      </c>
      <c r="I73" s="736">
        <f>IF(AND(ISNUMBER(Knoten!C26),B73&lt;&gt;0),$H73+$J$1*$V$48*COS($H$48+$B73*$N$48*$P$48),PlotData!$CB$3)</f>
        <v>0</v>
      </c>
      <c r="J73" s="736">
        <f>IF(AND(ISNUMBER(Knoten!C26),B73&lt;&gt;0),Knoten!$C26-$Q$1+$V$48*COS($H$48+$B73*$J$48),PlotData!$CB$3)</f>
        <v>0</v>
      </c>
      <c r="K73" s="736">
        <f>IF(AND(ISNUMBER(Knoten!C26),B73&lt;&gt;0),$H73-$J$1*$V$48*COS($H$48+$B73*$N$48*$P$48),PlotData!$CB$3)</f>
        <v>0</v>
      </c>
      <c r="L73" s="736">
        <f t="shared" si="10"/>
        <v>0</v>
      </c>
      <c r="M73" s="778">
        <f>IF(AND(ISNUMBER(Knoten!D26),B73&lt;&gt;0),Knoten!D26-$T$1+$V$48*SIN($H$48-B73*$J$48),PlotData!$CB$4)</f>
        <v>0</v>
      </c>
      <c r="N73" s="736">
        <f>IF(AND(ISNUMBER(Knoten!D26),B73&lt;&gt;0),Knoten!$D26-$T$1+$V$48*SIN($H$48+$B73*(-$J$48+$L$48)),PlotData!$CB$4)</f>
        <v>0</v>
      </c>
      <c r="O73" s="736">
        <f>IF(AND(ISNUMBER(Knoten!D26),$B73&lt;&gt;0),Knoten!$D26-$T$1+$V$48*SIN($H$48+$B73*(-$J$48+2*$L$48)),PlotData!$CB$4)</f>
        <v>0</v>
      </c>
      <c r="P73" s="736">
        <f>IF(AND(ISNUMBER(Knoten!$D26),$B73&lt;&gt;0),Knoten!$D26-$T$1+$V$48*SIN($H$48+$B73*(-$J$48+3*$L$48)),PlotData!$CB$4)</f>
        <v>0</v>
      </c>
      <c r="Q73" s="736">
        <f>IF(AND(ISNUMBER(Knoten!$D26),$B73&lt;&gt;0),Knoten!$D26-$T$1+$V$48*SIN($H$48+$B73*(-$J$48+4*$L$48)),PlotData!$CB$4)</f>
        <v>0</v>
      </c>
      <c r="R73" s="736">
        <f>IF(AND(ISNUMBER(Knoten!$D26),$B73&lt;&gt;0),Knoten!$D26-$T$1+$V$48*SIN($H$48+$B73*$N$48),PlotData!$CB$4)</f>
        <v>0</v>
      </c>
      <c r="S73" s="736">
        <f>IF(AND(ISNUMBER(Knoten!$D26),$B73&lt;&gt;0),$R73+$J$1*$V$48*SIN($H$48+$B73*$N$48*$P$48),PlotData!$CB$4)</f>
        <v>0</v>
      </c>
      <c r="T73" s="736">
        <f>IF(AND(ISNUMBER(Knoten!D26),B73&lt;&gt;0),Knoten!$D26-$T$1+$V$48*SIN($H$48+$B73*$J$48),PlotData!$CB$4)</f>
        <v>0</v>
      </c>
      <c r="U73" s="736">
        <f>IF(AND(ISNUMBER(Knoten!$D26),$B73&lt;&gt;0),$R73-$J$1*$V$48*SIN($H$48+$B73*$N$48*$P$48),PlotData!$CB$4)</f>
        <v>0</v>
      </c>
      <c r="V73" s="738">
        <f t="shared" si="11"/>
        <v>0</v>
      </c>
    </row>
    <row r="74" spans="1:22" x14ac:dyDescent="0.25">
      <c r="A74" s="750">
        <v>25</v>
      </c>
      <c r="B74" s="778">
        <f>SIGN(Knoten!J27)</f>
        <v>0</v>
      </c>
      <c r="C74" s="778">
        <f>IF(AND(ISNUMBER(Knoten!C27),B74&lt;&gt;0),Knoten!C27-$Q$1+$V$48*COS($H$48-B74*$J$48),PlotData!$CB$3)</f>
        <v>0</v>
      </c>
      <c r="D74" s="736">
        <f>IF(AND(ISNUMBER(Knoten!C27),B74&lt;&gt;0),Knoten!$C27-$Q$1+$V$48*COS($H$48+$B74*(-$J$48+$L$48)),PlotData!$CB$3)</f>
        <v>0</v>
      </c>
      <c r="E74" s="736">
        <f>IF(AND(ISNUMBER(Knoten!C27),B74&lt;&gt;0),Knoten!$C27-$Q$1+$V$48*COS($H$48+$B74*(-$J$48+2*$L$48)),PlotData!$CB$3)</f>
        <v>0</v>
      </c>
      <c r="F74" s="736">
        <f>IF(AND(ISNUMBER(Knoten!C27),B74&lt;&gt;0),Knoten!$C27-$Q$1+$V$48*COS($H$48+$B74*(-$J$48+3*$L$48)),PlotData!$CB$3)</f>
        <v>0</v>
      </c>
      <c r="G74" s="736">
        <f>IF(AND(ISNUMBER(Knoten!C27),B74&lt;&gt;0),Knoten!$C27-$Q$1+$V$48*COS($H$48+$B74*(-$J$48+4*$L$48)),PlotData!$CB$3)</f>
        <v>0</v>
      </c>
      <c r="H74" s="736">
        <f>IF(AND(ISNUMBER(Knoten!C27),B74&lt;&gt;0),Knoten!$C27-$Q$1+$V$48*COS($H$48+$B74*$N$48),PlotData!$CB$3)</f>
        <v>0</v>
      </c>
      <c r="I74" s="736">
        <f>IF(AND(ISNUMBER(Knoten!C27),B74&lt;&gt;0),$H74+$J$1*$V$48*COS($H$48+$B74*$N$48*$P$48),PlotData!$CB$3)</f>
        <v>0</v>
      </c>
      <c r="J74" s="736">
        <f>IF(AND(ISNUMBER(Knoten!C27),B74&lt;&gt;0),Knoten!$C27-$Q$1+$V$48*COS($H$48+$B74*$J$48),PlotData!$CB$3)</f>
        <v>0</v>
      </c>
      <c r="K74" s="736">
        <f>IF(AND(ISNUMBER(Knoten!C27),B74&lt;&gt;0),$H74-$J$1*$V$48*COS($H$48+$B74*$N$48*$P$48),PlotData!$CB$3)</f>
        <v>0</v>
      </c>
      <c r="L74" s="736">
        <f t="shared" si="10"/>
        <v>0</v>
      </c>
      <c r="M74" s="778">
        <f>IF(AND(ISNUMBER(Knoten!D27),B74&lt;&gt;0),Knoten!D27-$T$1+$V$48*SIN($H$48-B74*$J$48),PlotData!$CB$4)</f>
        <v>0</v>
      </c>
      <c r="N74" s="736">
        <f>IF(AND(ISNUMBER(Knoten!D27),B74&lt;&gt;0),Knoten!$D27-$T$1+$V$48*SIN($H$48+$B74*(-$J$48+$L$48)),PlotData!$CB$4)</f>
        <v>0</v>
      </c>
      <c r="O74" s="736">
        <f>IF(AND(ISNUMBER(Knoten!D27),$B74&lt;&gt;0),Knoten!$D27-$T$1+$V$48*SIN($H$48+$B74*(-$J$48+2*$L$48)),PlotData!$CB$4)</f>
        <v>0</v>
      </c>
      <c r="P74" s="736">
        <f>IF(AND(ISNUMBER(Knoten!$D27),$B74&lt;&gt;0),Knoten!$D27-$T$1+$V$48*SIN($H$48+$B74*(-$J$48+3*$L$48)),PlotData!$CB$4)</f>
        <v>0</v>
      </c>
      <c r="Q74" s="736">
        <f>IF(AND(ISNUMBER(Knoten!$D27),$B74&lt;&gt;0),Knoten!$D27-$T$1+$V$48*SIN($H$48+$B74*(-$J$48+4*$L$48)),PlotData!$CB$4)</f>
        <v>0</v>
      </c>
      <c r="R74" s="736">
        <f>IF(AND(ISNUMBER(Knoten!$D27),$B74&lt;&gt;0),Knoten!$D27-$T$1+$V$48*SIN($H$48+$B74*$N$48),PlotData!$CB$4)</f>
        <v>0</v>
      </c>
      <c r="S74" s="736">
        <f>IF(AND(ISNUMBER(Knoten!$D27),$B74&lt;&gt;0),$R74+$J$1*$V$48*SIN($H$48+$B74*$N$48*$P$48),PlotData!$CB$4)</f>
        <v>0</v>
      </c>
      <c r="T74" s="736">
        <f>IF(AND(ISNUMBER(Knoten!D27),B74&lt;&gt;0),Knoten!$D27-$T$1+$V$48*SIN($H$48+$B74*$J$48),PlotData!$CB$4)</f>
        <v>0</v>
      </c>
      <c r="U74" s="736">
        <f>IF(AND(ISNUMBER(Knoten!$D27),$B74&lt;&gt;0),$R74-$J$1*$V$48*SIN($H$48+$B74*$N$48*$P$48),PlotData!$CB$4)</f>
        <v>0</v>
      </c>
      <c r="V74" s="738">
        <f t="shared" si="11"/>
        <v>0</v>
      </c>
    </row>
    <row r="75" spans="1:22" x14ac:dyDescent="0.25">
      <c r="A75" s="750">
        <v>26</v>
      </c>
      <c r="B75" s="778">
        <f>SIGN(Knoten!J28)</f>
        <v>0</v>
      </c>
      <c r="C75" s="778">
        <f>IF(AND(ISNUMBER(Knoten!C28),B75&lt;&gt;0),Knoten!C28-$Q$1+$V$48*COS($H$48-B75*$J$48),PlotData!$CB$3)</f>
        <v>0</v>
      </c>
      <c r="D75" s="736">
        <f>IF(AND(ISNUMBER(Knoten!C28),B75&lt;&gt;0),Knoten!$C28-$Q$1+$V$48*COS($H$48+$B75*(-$J$48+$L$48)),PlotData!$CB$3)</f>
        <v>0</v>
      </c>
      <c r="E75" s="736">
        <f>IF(AND(ISNUMBER(Knoten!C28),B75&lt;&gt;0),Knoten!$C28-$Q$1+$V$48*COS($H$48+$B75*(-$J$48+2*$L$48)),PlotData!$CB$3)</f>
        <v>0</v>
      </c>
      <c r="F75" s="736">
        <f>IF(AND(ISNUMBER(Knoten!C28),B75&lt;&gt;0),Knoten!$C28-$Q$1+$V$48*COS($H$48+$B75*(-$J$48+3*$L$48)),PlotData!$CB$3)</f>
        <v>0</v>
      </c>
      <c r="G75" s="736">
        <f>IF(AND(ISNUMBER(Knoten!C28),B75&lt;&gt;0),Knoten!$C28-$Q$1+$V$48*COS($H$48+$B75*(-$J$48+4*$L$48)),PlotData!$CB$3)</f>
        <v>0</v>
      </c>
      <c r="H75" s="736">
        <f>IF(AND(ISNUMBER(Knoten!C28),B75&lt;&gt;0),Knoten!$C28-$Q$1+$V$48*COS($H$48+$B75*$N$48),PlotData!$CB$3)</f>
        <v>0</v>
      </c>
      <c r="I75" s="736">
        <f>IF(AND(ISNUMBER(Knoten!C28),B75&lt;&gt;0),$H75+$J$1*$V$48*COS($H$48+$B75*$N$48*$P$48),PlotData!$CB$3)</f>
        <v>0</v>
      </c>
      <c r="J75" s="736">
        <f>IF(AND(ISNUMBER(Knoten!C28),B75&lt;&gt;0),Knoten!$C28-$Q$1+$V$48*COS($H$48+$B75*$J$48),PlotData!$CB$3)</f>
        <v>0</v>
      </c>
      <c r="K75" s="736">
        <f>IF(AND(ISNUMBER(Knoten!C28),B75&lt;&gt;0),$H75-$J$1*$V$48*COS($H$48+$B75*$N$48*$P$48),PlotData!$CB$3)</f>
        <v>0</v>
      </c>
      <c r="L75" s="736">
        <f t="shared" si="10"/>
        <v>0</v>
      </c>
      <c r="M75" s="778">
        <f>IF(AND(ISNUMBER(Knoten!D28),B75&lt;&gt;0),Knoten!D28-$T$1+$V$48*SIN($H$48-B75*$J$48),PlotData!$CB$4)</f>
        <v>0</v>
      </c>
      <c r="N75" s="736">
        <f>IF(AND(ISNUMBER(Knoten!D28),B75&lt;&gt;0),Knoten!$D28-$T$1+$V$48*SIN($H$48+$B75*(-$J$48+$L$48)),PlotData!$CB$4)</f>
        <v>0</v>
      </c>
      <c r="O75" s="736">
        <f>IF(AND(ISNUMBER(Knoten!D28),$B75&lt;&gt;0),Knoten!$D28-$T$1+$V$48*SIN($H$48+$B75*(-$J$48+2*$L$48)),PlotData!$CB$4)</f>
        <v>0</v>
      </c>
      <c r="P75" s="736">
        <f>IF(AND(ISNUMBER(Knoten!$D28),$B75&lt;&gt;0),Knoten!$D28-$T$1+$V$48*SIN($H$48+$B75*(-$J$48+3*$L$48)),PlotData!$CB$4)</f>
        <v>0</v>
      </c>
      <c r="Q75" s="736">
        <f>IF(AND(ISNUMBER(Knoten!$D28),$B75&lt;&gt;0),Knoten!$D28-$T$1+$V$48*SIN($H$48+$B75*(-$J$48+4*$L$48)),PlotData!$CB$4)</f>
        <v>0</v>
      </c>
      <c r="R75" s="736">
        <f>IF(AND(ISNUMBER(Knoten!$D28),$B75&lt;&gt;0),Knoten!$D28-$T$1+$V$48*SIN($H$48+$B75*$N$48),PlotData!$CB$4)</f>
        <v>0</v>
      </c>
      <c r="S75" s="736">
        <f>IF(AND(ISNUMBER(Knoten!$D28),$B75&lt;&gt;0),$R75+$J$1*$V$48*SIN($H$48+$B75*$N$48*$P$48),PlotData!$CB$4)</f>
        <v>0</v>
      </c>
      <c r="T75" s="736">
        <f>IF(AND(ISNUMBER(Knoten!D28),B75&lt;&gt;0),Knoten!$D28-$T$1+$V$48*SIN($H$48+$B75*$J$48),PlotData!$CB$4)</f>
        <v>0</v>
      </c>
      <c r="U75" s="736">
        <f>IF(AND(ISNUMBER(Knoten!$D28),$B75&lt;&gt;0),$R75-$J$1*$V$48*SIN($H$48+$B75*$N$48*$P$48),PlotData!$CB$4)</f>
        <v>0</v>
      </c>
      <c r="V75" s="738">
        <f t="shared" si="11"/>
        <v>0</v>
      </c>
    </row>
    <row r="76" spans="1:22" x14ac:dyDescent="0.25">
      <c r="A76" s="750">
        <v>27</v>
      </c>
      <c r="B76" s="778">
        <f>SIGN(Knoten!J29)</f>
        <v>0</v>
      </c>
      <c r="C76" s="778">
        <f>IF(AND(ISNUMBER(Knoten!C29),B76&lt;&gt;0),Knoten!C29-$Q$1+$V$48*COS($H$48-B76*$J$48),PlotData!$CB$3)</f>
        <v>0</v>
      </c>
      <c r="D76" s="736">
        <f>IF(AND(ISNUMBER(Knoten!C29),B76&lt;&gt;0),Knoten!$C29-$Q$1+$V$48*COS($H$48+$B76*(-$J$48+$L$48)),PlotData!$CB$3)</f>
        <v>0</v>
      </c>
      <c r="E76" s="736">
        <f>IF(AND(ISNUMBER(Knoten!C29),B76&lt;&gt;0),Knoten!$C29-$Q$1+$V$48*COS($H$48+$B76*(-$J$48+2*$L$48)),PlotData!$CB$3)</f>
        <v>0</v>
      </c>
      <c r="F76" s="736">
        <f>IF(AND(ISNUMBER(Knoten!C29),B76&lt;&gt;0),Knoten!$C29-$Q$1+$V$48*COS($H$48+$B76*(-$J$48+3*$L$48)),PlotData!$CB$3)</f>
        <v>0</v>
      </c>
      <c r="G76" s="736">
        <f>IF(AND(ISNUMBER(Knoten!C29),B76&lt;&gt;0),Knoten!$C29-$Q$1+$V$48*COS($H$48+$B76*(-$J$48+4*$L$48)),PlotData!$CB$3)</f>
        <v>0</v>
      </c>
      <c r="H76" s="736">
        <f>IF(AND(ISNUMBER(Knoten!C29),B76&lt;&gt;0),Knoten!$C29-$Q$1+$V$48*COS($H$48+$B76*$N$48),PlotData!$CB$3)</f>
        <v>0</v>
      </c>
      <c r="I76" s="736">
        <f>IF(AND(ISNUMBER(Knoten!C29),B76&lt;&gt;0),$H76+$J$1*$V$48*COS($H$48+$B76*$N$48*$P$48),PlotData!$CB$3)</f>
        <v>0</v>
      </c>
      <c r="J76" s="736">
        <f>IF(AND(ISNUMBER(Knoten!C29),B76&lt;&gt;0),Knoten!$C29-$Q$1+$V$48*COS($H$48+$B76*$J$48),PlotData!$CB$3)</f>
        <v>0</v>
      </c>
      <c r="K76" s="736">
        <f>IF(AND(ISNUMBER(Knoten!C29),B76&lt;&gt;0),$H76-$J$1*$V$48*COS($H$48+$B76*$N$48*$P$48),PlotData!$CB$3)</f>
        <v>0</v>
      </c>
      <c r="L76" s="736">
        <f t="shared" si="10"/>
        <v>0</v>
      </c>
      <c r="M76" s="778">
        <f>IF(AND(ISNUMBER(Knoten!D29),B76&lt;&gt;0),Knoten!D29-$T$1+$V$48*SIN($H$48-B76*$J$48),PlotData!$CB$4)</f>
        <v>0</v>
      </c>
      <c r="N76" s="736">
        <f>IF(AND(ISNUMBER(Knoten!D29),B76&lt;&gt;0),Knoten!$D29-$T$1+$V$48*SIN($H$48+$B76*(-$J$48+$L$48)),PlotData!$CB$4)</f>
        <v>0</v>
      </c>
      <c r="O76" s="736">
        <f>IF(AND(ISNUMBER(Knoten!D29),$B76&lt;&gt;0),Knoten!$D29-$T$1+$V$48*SIN($H$48+$B76*(-$J$48+2*$L$48)),PlotData!$CB$4)</f>
        <v>0</v>
      </c>
      <c r="P76" s="736">
        <f>IF(AND(ISNUMBER(Knoten!$D29),$B76&lt;&gt;0),Knoten!$D29-$T$1+$V$48*SIN($H$48+$B76*(-$J$48+3*$L$48)),PlotData!$CB$4)</f>
        <v>0</v>
      </c>
      <c r="Q76" s="736">
        <f>IF(AND(ISNUMBER(Knoten!$D29),$B76&lt;&gt;0),Knoten!$D29-$T$1+$V$48*SIN($H$48+$B76*(-$J$48+4*$L$48)),PlotData!$CB$4)</f>
        <v>0</v>
      </c>
      <c r="R76" s="736">
        <f>IF(AND(ISNUMBER(Knoten!$D29),$B76&lt;&gt;0),Knoten!$D29-$T$1+$V$48*SIN($H$48+$B76*$N$48),PlotData!$CB$4)</f>
        <v>0</v>
      </c>
      <c r="S76" s="736">
        <f>IF(AND(ISNUMBER(Knoten!$D29),$B76&lt;&gt;0),$R76+$J$1*$V$48*SIN($H$48+$B76*$N$48*$P$48),PlotData!$CB$4)</f>
        <v>0</v>
      </c>
      <c r="T76" s="736">
        <f>IF(AND(ISNUMBER(Knoten!D29),B76&lt;&gt;0),Knoten!$D29-$T$1+$V$48*SIN($H$48+$B76*$J$48),PlotData!$CB$4)</f>
        <v>0</v>
      </c>
      <c r="U76" s="736">
        <f>IF(AND(ISNUMBER(Knoten!$D29),$B76&lt;&gt;0),$R76-$J$1*$V$48*SIN($H$48+$B76*$N$48*$P$48),PlotData!$CB$4)</f>
        <v>0</v>
      </c>
      <c r="V76" s="738">
        <f t="shared" si="11"/>
        <v>0</v>
      </c>
    </row>
    <row r="77" spans="1:22" x14ac:dyDescent="0.25">
      <c r="A77" s="750">
        <v>28</v>
      </c>
      <c r="B77" s="778">
        <f>SIGN(Knoten!J30)</f>
        <v>0</v>
      </c>
      <c r="C77" s="778">
        <f>IF(AND(ISNUMBER(Knoten!C30),B77&lt;&gt;0),Knoten!C30-$Q$1+$V$48*COS($H$48-B77*$J$48),PlotData!$CB$3)</f>
        <v>0</v>
      </c>
      <c r="D77" s="736">
        <f>IF(AND(ISNUMBER(Knoten!C30),B77&lt;&gt;0),Knoten!$C30-$Q$1+$V$48*COS($H$48+$B77*(-$J$48+$L$48)),PlotData!$CB$3)</f>
        <v>0</v>
      </c>
      <c r="E77" s="736">
        <f>IF(AND(ISNUMBER(Knoten!C30),B77&lt;&gt;0),Knoten!$C30-$Q$1+$V$48*COS($H$48+$B77*(-$J$48+2*$L$48)),PlotData!$CB$3)</f>
        <v>0</v>
      </c>
      <c r="F77" s="736">
        <f>IF(AND(ISNUMBER(Knoten!C30),B77&lt;&gt;0),Knoten!$C30-$Q$1+$V$48*COS($H$48+$B77*(-$J$48+3*$L$48)),PlotData!$CB$3)</f>
        <v>0</v>
      </c>
      <c r="G77" s="736">
        <f>IF(AND(ISNUMBER(Knoten!C30),B77&lt;&gt;0),Knoten!$C30-$Q$1+$V$48*COS($H$48+$B77*(-$J$48+4*$L$48)),PlotData!$CB$3)</f>
        <v>0</v>
      </c>
      <c r="H77" s="736">
        <f>IF(AND(ISNUMBER(Knoten!C30),B77&lt;&gt;0),Knoten!$C30-$Q$1+$V$48*COS($H$48+$B77*$N$48),PlotData!$CB$3)</f>
        <v>0</v>
      </c>
      <c r="I77" s="736">
        <f>IF(AND(ISNUMBER(Knoten!C30),B77&lt;&gt;0),$H77+$J$1*$V$48*COS($H$48+$B77*$N$48*$P$48),PlotData!$CB$3)</f>
        <v>0</v>
      </c>
      <c r="J77" s="736">
        <f>IF(AND(ISNUMBER(Knoten!C30),B77&lt;&gt;0),Knoten!$C30-$Q$1+$V$48*COS($H$48+$B77*$J$48),PlotData!$CB$3)</f>
        <v>0</v>
      </c>
      <c r="K77" s="736">
        <f>IF(AND(ISNUMBER(Knoten!C30),B77&lt;&gt;0),$H77-$J$1*$V$48*COS($H$48+$B77*$N$48*$P$48),PlotData!$CB$3)</f>
        <v>0</v>
      </c>
      <c r="L77" s="736">
        <f t="shared" si="10"/>
        <v>0</v>
      </c>
      <c r="M77" s="778">
        <f>IF(AND(ISNUMBER(Knoten!D30),B77&lt;&gt;0),Knoten!D30-$T$1+$V$48*SIN($H$48-B77*$J$48),PlotData!$CB$4)</f>
        <v>0</v>
      </c>
      <c r="N77" s="736">
        <f>IF(AND(ISNUMBER(Knoten!D30),B77&lt;&gt;0),Knoten!$D30-$T$1+$V$48*SIN($H$48+$B77*(-$J$48+$L$48)),PlotData!$CB$4)</f>
        <v>0</v>
      </c>
      <c r="O77" s="736">
        <f>IF(AND(ISNUMBER(Knoten!D30),$B77&lt;&gt;0),Knoten!$D30-$T$1+$V$48*SIN($H$48+$B77*(-$J$48+2*$L$48)),PlotData!$CB$4)</f>
        <v>0</v>
      </c>
      <c r="P77" s="736">
        <f>IF(AND(ISNUMBER(Knoten!$D30),$B77&lt;&gt;0),Knoten!$D30-$T$1+$V$48*SIN($H$48+$B77*(-$J$48+3*$L$48)),PlotData!$CB$4)</f>
        <v>0</v>
      </c>
      <c r="Q77" s="736">
        <f>IF(AND(ISNUMBER(Knoten!$D30),$B77&lt;&gt;0),Knoten!$D30-$T$1+$V$48*SIN($H$48+$B77*(-$J$48+4*$L$48)),PlotData!$CB$4)</f>
        <v>0</v>
      </c>
      <c r="R77" s="736">
        <f>IF(AND(ISNUMBER(Knoten!$D30),$B77&lt;&gt;0),Knoten!$D30-$T$1+$V$48*SIN($H$48+$B77*$N$48),PlotData!$CB$4)</f>
        <v>0</v>
      </c>
      <c r="S77" s="736">
        <f>IF(AND(ISNUMBER(Knoten!$D30),$B77&lt;&gt;0),$R77+$J$1*$V$48*SIN($H$48+$B77*$N$48*$P$48),PlotData!$CB$4)</f>
        <v>0</v>
      </c>
      <c r="T77" s="736">
        <f>IF(AND(ISNUMBER(Knoten!D30),B77&lt;&gt;0),Knoten!$D30-$T$1+$V$48*SIN($H$48+$B77*$J$48),PlotData!$CB$4)</f>
        <v>0</v>
      </c>
      <c r="U77" s="736">
        <f>IF(AND(ISNUMBER(Knoten!$D30),$B77&lt;&gt;0),$R77-$J$1*$V$48*SIN($H$48+$B77*$N$48*$P$48),PlotData!$CB$4)</f>
        <v>0</v>
      </c>
      <c r="V77" s="738">
        <f t="shared" si="11"/>
        <v>0</v>
      </c>
    </row>
    <row r="78" spans="1:22" x14ac:dyDescent="0.25">
      <c r="A78" s="750">
        <v>29</v>
      </c>
      <c r="B78" s="778">
        <f>SIGN(Knoten!J31)</f>
        <v>0</v>
      </c>
      <c r="C78" s="778">
        <f>IF(AND(ISNUMBER(Knoten!C31),B78&lt;&gt;0),Knoten!C31-$Q$1+$V$48*COS($H$48-B78*$J$48),PlotData!$CB$3)</f>
        <v>0</v>
      </c>
      <c r="D78" s="736">
        <f>IF(AND(ISNUMBER(Knoten!C31),B78&lt;&gt;0),Knoten!$C31-$Q$1+$V$48*COS($H$48+$B78*(-$J$48+$L$48)),PlotData!$CB$3)</f>
        <v>0</v>
      </c>
      <c r="E78" s="736">
        <f>IF(AND(ISNUMBER(Knoten!C31),B78&lt;&gt;0),Knoten!$C31-$Q$1+$V$48*COS($H$48+$B78*(-$J$48+2*$L$48)),PlotData!$CB$3)</f>
        <v>0</v>
      </c>
      <c r="F78" s="736">
        <f>IF(AND(ISNUMBER(Knoten!C31),B78&lt;&gt;0),Knoten!$C31-$Q$1+$V$48*COS($H$48+$B78*(-$J$48+3*$L$48)),PlotData!$CB$3)</f>
        <v>0</v>
      </c>
      <c r="G78" s="736">
        <f>IF(AND(ISNUMBER(Knoten!C31),B78&lt;&gt;0),Knoten!$C31-$Q$1+$V$48*COS($H$48+$B78*(-$J$48+4*$L$48)),PlotData!$CB$3)</f>
        <v>0</v>
      </c>
      <c r="H78" s="736">
        <f>IF(AND(ISNUMBER(Knoten!C31),B78&lt;&gt;0),Knoten!$C31-$Q$1+$V$48*COS($H$48+$B78*$N$48),PlotData!$CB$3)</f>
        <v>0</v>
      </c>
      <c r="I78" s="736">
        <f>IF(AND(ISNUMBER(Knoten!C31),B78&lt;&gt;0),$H78+$J$1*$V$48*COS($H$48+$B78*$N$48*$P$48),PlotData!$CB$3)</f>
        <v>0</v>
      </c>
      <c r="J78" s="736">
        <f>IF(AND(ISNUMBER(Knoten!C31),B78&lt;&gt;0),Knoten!$C31-$Q$1+$V$48*COS($H$48+$B78*$J$48),PlotData!$CB$3)</f>
        <v>0</v>
      </c>
      <c r="K78" s="736">
        <f>IF(AND(ISNUMBER(Knoten!C31),B78&lt;&gt;0),$H78-$J$1*$V$48*COS($H$48+$B78*$N$48*$P$48),PlotData!$CB$3)</f>
        <v>0</v>
      </c>
      <c r="L78" s="736">
        <f t="shared" si="10"/>
        <v>0</v>
      </c>
      <c r="M78" s="778">
        <f>IF(AND(ISNUMBER(Knoten!D31),B78&lt;&gt;0),Knoten!D31-$T$1+$V$48*SIN($H$48-B78*$J$48),PlotData!$CB$4)</f>
        <v>0</v>
      </c>
      <c r="N78" s="736">
        <f>IF(AND(ISNUMBER(Knoten!D31),B78&lt;&gt;0),Knoten!$D31-$T$1+$V$48*SIN($H$48+$B78*(-$J$48+$L$48)),PlotData!$CB$4)</f>
        <v>0</v>
      </c>
      <c r="O78" s="736">
        <f>IF(AND(ISNUMBER(Knoten!D31),$B78&lt;&gt;0),Knoten!$D31-$T$1+$V$48*SIN($H$48+$B78*(-$J$48+2*$L$48)),PlotData!$CB$4)</f>
        <v>0</v>
      </c>
      <c r="P78" s="736">
        <f>IF(AND(ISNUMBER(Knoten!$D31),$B78&lt;&gt;0),Knoten!$D31-$T$1+$V$48*SIN($H$48+$B78*(-$J$48+3*$L$48)),PlotData!$CB$4)</f>
        <v>0</v>
      </c>
      <c r="Q78" s="736">
        <f>IF(AND(ISNUMBER(Knoten!$D31),$B78&lt;&gt;0),Knoten!$D31-$T$1+$V$48*SIN($H$48+$B78*(-$J$48+4*$L$48)),PlotData!$CB$4)</f>
        <v>0</v>
      </c>
      <c r="R78" s="736">
        <f>IF(AND(ISNUMBER(Knoten!$D31),$B78&lt;&gt;0),Knoten!$D31-$T$1+$V$48*SIN($H$48+$B78*$N$48),PlotData!$CB$4)</f>
        <v>0</v>
      </c>
      <c r="S78" s="736">
        <f>IF(AND(ISNUMBER(Knoten!$D31),$B78&lt;&gt;0),$R78+$J$1*$V$48*SIN($H$48+$B78*$N$48*$P$48),PlotData!$CB$4)</f>
        <v>0</v>
      </c>
      <c r="T78" s="736">
        <f>IF(AND(ISNUMBER(Knoten!D31),B78&lt;&gt;0),Knoten!$D31-$T$1+$V$48*SIN($H$48+$B78*$J$48),PlotData!$CB$4)</f>
        <v>0</v>
      </c>
      <c r="U78" s="736">
        <f>IF(AND(ISNUMBER(Knoten!$D31),$B78&lt;&gt;0),$R78-$J$1*$V$48*SIN($H$48+$B78*$N$48*$P$48),PlotData!$CB$4)</f>
        <v>0</v>
      </c>
      <c r="V78" s="738">
        <f t="shared" si="11"/>
        <v>0</v>
      </c>
    </row>
    <row r="79" spans="1:22" x14ac:dyDescent="0.25">
      <c r="A79" s="750">
        <v>30</v>
      </c>
      <c r="B79" s="778">
        <f>SIGN(Knoten!J32)</f>
        <v>0</v>
      </c>
      <c r="C79" s="778">
        <f>IF(AND(ISNUMBER(Knoten!C32),B79&lt;&gt;0),Knoten!C32-$Q$1+$V$48*COS($H$48-B79*$J$48),PlotData!$CB$3)</f>
        <v>0</v>
      </c>
      <c r="D79" s="736">
        <f>IF(AND(ISNUMBER(Knoten!C32),B79&lt;&gt;0),Knoten!$C32-$Q$1+$V$48*COS($H$48+$B79*(-$J$48+$L$48)),PlotData!$CB$3)</f>
        <v>0</v>
      </c>
      <c r="E79" s="736">
        <f>IF(AND(ISNUMBER(Knoten!C32),B79&lt;&gt;0),Knoten!$C32-$Q$1+$V$48*COS($H$48+$B79*(-$J$48+2*$L$48)),PlotData!$CB$3)</f>
        <v>0</v>
      </c>
      <c r="F79" s="736">
        <f>IF(AND(ISNUMBER(Knoten!C32),B79&lt;&gt;0),Knoten!$C32-$Q$1+$V$48*COS($H$48+$B79*(-$J$48+3*$L$48)),PlotData!$CB$3)</f>
        <v>0</v>
      </c>
      <c r="G79" s="736">
        <f>IF(AND(ISNUMBER(Knoten!C32),B79&lt;&gt;0),Knoten!$C32-$Q$1+$V$48*COS($H$48+$B79*(-$J$48+4*$L$48)),PlotData!$CB$3)</f>
        <v>0</v>
      </c>
      <c r="H79" s="736">
        <f>IF(AND(ISNUMBER(Knoten!C32),B79&lt;&gt;0),Knoten!$C32-$Q$1+$V$48*COS($H$48+$B79*$N$48),PlotData!$CB$3)</f>
        <v>0</v>
      </c>
      <c r="I79" s="736">
        <f>IF(AND(ISNUMBER(Knoten!C32),B79&lt;&gt;0),$H79+$J$1*$V$48*COS($H$48+$B79*$N$48*$P$48),PlotData!$CB$3)</f>
        <v>0</v>
      </c>
      <c r="J79" s="736">
        <f>IF(AND(ISNUMBER(Knoten!C32),B79&lt;&gt;0),Knoten!$C32-$Q$1+$V$48*COS($H$48+$B79*$J$48),PlotData!$CB$3)</f>
        <v>0</v>
      </c>
      <c r="K79" s="736">
        <f>IF(AND(ISNUMBER(Knoten!C32),B79&lt;&gt;0),$H79-$J$1*$V$48*COS($H$48+$B79*$N$48*$P$48),PlotData!$CB$3)</f>
        <v>0</v>
      </c>
      <c r="L79" s="736">
        <f t="shared" si="10"/>
        <v>0</v>
      </c>
      <c r="M79" s="778">
        <f>IF(AND(ISNUMBER(Knoten!D32),B79&lt;&gt;0),Knoten!D32-$T$1+$V$48*SIN($H$48-B79*$J$48),PlotData!$CB$4)</f>
        <v>0</v>
      </c>
      <c r="N79" s="736">
        <f>IF(AND(ISNUMBER(Knoten!D32),B79&lt;&gt;0),Knoten!$D32-$T$1+$V$48*SIN($H$48+$B79*(-$J$48+$L$48)),PlotData!$CB$4)</f>
        <v>0</v>
      </c>
      <c r="O79" s="736">
        <f>IF(AND(ISNUMBER(Knoten!D32),$B79&lt;&gt;0),Knoten!$D32-$T$1+$V$48*SIN($H$48+$B79*(-$J$48+2*$L$48)),PlotData!$CB$4)</f>
        <v>0</v>
      </c>
      <c r="P79" s="736">
        <f>IF(AND(ISNUMBER(Knoten!$D32),$B79&lt;&gt;0),Knoten!$D32-$T$1+$V$48*SIN($H$48+$B79*(-$J$48+3*$L$48)),PlotData!$CB$4)</f>
        <v>0</v>
      </c>
      <c r="Q79" s="736">
        <f>IF(AND(ISNUMBER(Knoten!$D32),$B79&lt;&gt;0),Knoten!$D32-$T$1+$V$48*SIN($H$48+$B79*(-$J$48+4*$L$48)),PlotData!$CB$4)</f>
        <v>0</v>
      </c>
      <c r="R79" s="736">
        <f>IF(AND(ISNUMBER(Knoten!$D32),$B79&lt;&gt;0),Knoten!$D32-$T$1+$V$48*SIN($H$48+$B79*$N$48),PlotData!$CB$4)</f>
        <v>0</v>
      </c>
      <c r="S79" s="736">
        <f>IF(AND(ISNUMBER(Knoten!$D32),$B79&lt;&gt;0),$R79+$J$1*$V$48*SIN($H$48+$B79*$N$48*$P$48),PlotData!$CB$4)</f>
        <v>0</v>
      </c>
      <c r="T79" s="736">
        <f>IF(AND(ISNUMBER(Knoten!D32),B79&lt;&gt;0),Knoten!$D32-$T$1+$V$48*SIN($H$48+$B79*$J$48),PlotData!$CB$4)</f>
        <v>0</v>
      </c>
      <c r="U79" s="736">
        <f>IF(AND(ISNUMBER(Knoten!$D32),$B79&lt;&gt;0),$R79-$J$1*$V$48*SIN($H$48+$B79*$N$48*$P$48),PlotData!$CB$4)</f>
        <v>0</v>
      </c>
      <c r="V79" s="738">
        <f t="shared" si="11"/>
        <v>0</v>
      </c>
    </row>
    <row r="80" spans="1:22" x14ac:dyDescent="0.25">
      <c r="A80" s="750">
        <v>31</v>
      </c>
      <c r="B80" s="778">
        <f>SIGN(Knoten!J33)</f>
        <v>0</v>
      </c>
      <c r="C80" s="778">
        <f>IF(AND(ISNUMBER(Knoten!C33),B80&lt;&gt;0),Knoten!C33-$Q$1+$V$48*COS($H$48-B80*$J$48),PlotData!$CB$3)</f>
        <v>0</v>
      </c>
      <c r="D80" s="736">
        <f>IF(AND(ISNUMBER(Knoten!C33),B80&lt;&gt;0),Knoten!$C33-$Q$1+$V$48*COS($H$48+$B80*(-$J$48+$L$48)),PlotData!$CB$3)</f>
        <v>0</v>
      </c>
      <c r="E80" s="736">
        <f>IF(AND(ISNUMBER(Knoten!C33),B80&lt;&gt;0),Knoten!$C33-$Q$1+$V$48*COS($H$48+$B80*(-$J$48+2*$L$48)),PlotData!$CB$3)</f>
        <v>0</v>
      </c>
      <c r="F80" s="736">
        <f>IF(AND(ISNUMBER(Knoten!C33),B80&lt;&gt;0),Knoten!$C33-$Q$1+$V$48*COS($H$48+$B80*(-$J$48+3*$L$48)),PlotData!$CB$3)</f>
        <v>0</v>
      </c>
      <c r="G80" s="736">
        <f>IF(AND(ISNUMBER(Knoten!C33),B80&lt;&gt;0),Knoten!$C33-$Q$1+$V$48*COS($H$48+$B80*(-$J$48+4*$L$48)),PlotData!$CB$3)</f>
        <v>0</v>
      </c>
      <c r="H80" s="736">
        <f>IF(AND(ISNUMBER(Knoten!C33),B80&lt;&gt;0),Knoten!$C33-$Q$1+$V$48*COS($H$48+$B80*$N$48),PlotData!$CB$3)</f>
        <v>0</v>
      </c>
      <c r="I80" s="736">
        <f>IF(AND(ISNUMBER(Knoten!C33),B80&lt;&gt;0),$H80+$J$1*$V$48*COS($H$48+$B80*$N$48*$P$48),PlotData!$CB$3)</f>
        <v>0</v>
      </c>
      <c r="J80" s="736">
        <f>IF(AND(ISNUMBER(Knoten!C33),B80&lt;&gt;0),Knoten!$C33-$Q$1+$V$48*COS($H$48+$B80*$J$48),PlotData!$CB$3)</f>
        <v>0</v>
      </c>
      <c r="K80" s="736">
        <f>IF(AND(ISNUMBER(Knoten!C33),B80&lt;&gt;0),$H80-$J$1*$V$48*COS($H$48+$B80*$N$48*$P$48),PlotData!$CB$3)</f>
        <v>0</v>
      </c>
      <c r="L80" s="736">
        <f t="shared" si="10"/>
        <v>0</v>
      </c>
      <c r="M80" s="778">
        <f>IF(AND(ISNUMBER(Knoten!D33),B80&lt;&gt;0),Knoten!D33-$T$1+$V$48*SIN($H$48-B80*$J$48),PlotData!$CB$4)</f>
        <v>0</v>
      </c>
      <c r="N80" s="736">
        <f>IF(AND(ISNUMBER(Knoten!D33),B80&lt;&gt;0),Knoten!$D33-$T$1+$V$48*SIN($H$48+$B80*(-$J$48+$L$48)),PlotData!$CB$4)</f>
        <v>0</v>
      </c>
      <c r="O80" s="736">
        <f>IF(AND(ISNUMBER(Knoten!D33),$B80&lt;&gt;0),Knoten!$D33-$T$1+$V$48*SIN($H$48+$B80*(-$J$48+2*$L$48)),PlotData!$CB$4)</f>
        <v>0</v>
      </c>
      <c r="P80" s="736">
        <f>IF(AND(ISNUMBER(Knoten!$D33),$B80&lt;&gt;0),Knoten!$D33-$T$1+$V$48*SIN($H$48+$B80*(-$J$48+3*$L$48)),PlotData!$CB$4)</f>
        <v>0</v>
      </c>
      <c r="Q80" s="736">
        <f>IF(AND(ISNUMBER(Knoten!$D33),$B80&lt;&gt;0),Knoten!$D33-$T$1+$V$48*SIN($H$48+$B80*(-$J$48+4*$L$48)),PlotData!$CB$4)</f>
        <v>0</v>
      </c>
      <c r="R80" s="736">
        <f>IF(AND(ISNUMBER(Knoten!$D33),$B80&lt;&gt;0),Knoten!$D33-$T$1+$V$48*SIN($H$48+$B80*$N$48),PlotData!$CB$4)</f>
        <v>0</v>
      </c>
      <c r="S80" s="736">
        <f>IF(AND(ISNUMBER(Knoten!$D33),$B80&lt;&gt;0),$R80+$J$1*$V$48*SIN($H$48+$B80*$N$48*$P$48),PlotData!$CB$4)</f>
        <v>0</v>
      </c>
      <c r="T80" s="736">
        <f>IF(AND(ISNUMBER(Knoten!D33),B80&lt;&gt;0),Knoten!$D33-$T$1+$V$48*SIN($H$48+$B80*$J$48),PlotData!$CB$4)</f>
        <v>0</v>
      </c>
      <c r="U80" s="736">
        <f>IF(AND(ISNUMBER(Knoten!$D33),$B80&lt;&gt;0),$R80-$J$1*$V$48*SIN($H$48+$B80*$N$48*$P$48),PlotData!$CB$4)</f>
        <v>0</v>
      </c>
      <c r="V80" s="738">
        <f t="shared" si="11"/>
        <v>0</v>
      </c>
    </row>
    <row r="81" spans="1:22" x14ac:dyDescent="0.25">
      <c r="A81" s="750">
        <v>32</v>
      </c>
      <c r="B81" s="778">
        <f>SIGN(Knoten!J34)</f>
        <v>0</v>
      </c>
      <c r="C81" s="778">
        <f>IF(AND(ISNUMBER(Knoten!C34),B81&lt;&gt;0),Knoten!C34-$Q$1+$V$48*COS($H$48-B81*$J$48),PlotData!$CB$3)</f>
        <v>0</v>
      </c>
      <c r="D81" s="736">
        <f>IF(AND(ISNUMBER(Knoten!C34),B81&lt;&gt;0),Knoten!$C34-$Q$1+$V$48*COS($H$48+$B81*(-$J$48+$L$48)),PlotData!$CB$3)</f>
        <v>0</v>
      </c>
      <c r="E81" s="736">
        <f>IF(AND(ISNUMBER(Knoten!C34),B81&lt;&gt;0),Knoten!$C34-$Q$1+$V$48*COS($H$48+$B81*(-$J$48+2*$L$48)),PlotData!$CB$3)</f>
        <v>0</v>
      </c>
      <c r="F81" s="736">
        <f>IF(AND(ISNUMBER(Knoten!C34),B81&lt;&gt;0),Knoten!$C34-$Q$1+$V$48*COS($H$48+$B81*(-$J$48+3*$L$48)),PlotData!$CB$3)</f>
        <v>0</v>
      </c>
      <c r="G81" s="736">
        <f>IF(AND(ISNUMBER(Knoten!C34),B81&lt;&gt;0),Knoten!$C34-$Q$1+$V$48*COS($H$48+$B81*(-$J$48+4*$L$48)),PlotData!$CB$3)</f>
        <v>0</v>
      </c>
      <c r="H81" s="736">
        <f>IF(AND(ISNUMBER(Knoten!C34),B81&lt;&gt;0),Knoten!$C34-$Q$1+$V$48*COS($H$48+$B81*$N$48),PlotData!$CB$3)</f>
        <v>0</v>
      </c>
      <c r="I81" s="736">
        <f>IF(AND(ISNUMBER(Knoten!C34),B81&lt;&gt;0),$H81+$J$1*$V$48*COS($H$48+$B81*$N$48*$P$48),PlotData!$CB$3)</f>
        <v>0</v>
      </c>
      <c r="J81" s="736">
        <f>IF(AND(ISNUMBER(Knoten!C34),B81&lt;&gt;0),Knoten!$C34-$Q$1+$V$48*COS($H$48+$B81*$J$48),PlotData!$CB$3)</f>
        <v>0</v>
      </c>
      <c r="K81" s="736">
        <f>IF(AND(ISNUMBER(Knoten!C34),B81&lt;&gt;0),$H81-$J$1*$V$48*COS($H$48+$B81*$N$48*$P$48),PlotData!$CB$3)</f>
        <v>0</v>
      </c>
      <c r="L81" s="736">
        <f t="shared" si="10"/>
        <v>0</v>
      </c>
      <c r="M81" s="778">
        <f>IF(AND(ISNUMBER(Knoten!D34),B81&lt;&gt;0),Knoten!D34-$T$1+$V$48*SIN($H$48-B81*$J$48),PlotData!$CB$4)</f>
        <v>0</v>
      </c>
      <c r="N81" s="736">
        <f>IF(AND(ISNUMBER(Knoten!D34),B81&lt;&gt;0),Knoten!$D34-$T$1+$V$48*SIN($H$48+$B81*(-$J$48+$L$48)),PlotData!$CB$4)</f>
        <v>0</v>
      </c>
      <c r="O81" s="736">
        <f>IF(AND(ISNUMBER(Knoten!D34),$B81&lt;&gt;0),Knoten!$D34-$T$1+$V$48*SIN($H$48+$B81*(-$J$48+2*$L$48)),PlotData!$CB$4)</f>
        <v>0</v>
      </c>
      <c r="P81" s="736">
        <f>IF(AND(ISNUMBER(Knoten!$D34),$B81&lt;&gt;0),Knoten!$D34-$T$1+$V$48*SIN($H$48+$B81*(-$J$48+3*$L$48)),PlotData!$CB$4)</f>
        <v>0</v>
      </c>
      <c r="Q81" s="736">
        <f>IF(AND(ISNUMBER(Knoten!$D34),$B81&lt;&gt;0),Knoten!$D34-$T$1+$V$48*SIN($H$48+$B81*(-$J$48+4*$L$48)),PlotData!$CB$4)</f>
        <v>0</v>
      </c>
      <c r="R81" s="736">
        <f>IF(AND(ISNUMBER(Knoten!$D34),$B81&lt;&gt;0),Knoten!$D34-$T$1+$V$48*SIN($H$48+$B81*$N$48),PlotData!$CB$4)</f>
        <v>0</v>
      </c>
      <c r="S81" s="736">
        <f>IF(AND(ISNUMBER(Knoten!$D34),$B81&lt;&gt;0),$R81+$J$1*$V$48*SIN($H$48+$B81*$N$48*$P$48),PlotData!$CB$4)</f>
        <v>0</v>
      </c>
      <c r="T81" s="736">
        <f>IF(AND(ISNUMBER(Knoten!D34),B81&lt;&gt;0),Knoten!$D34-$T$1+$V$48*SIN($H$48+$B81*$J$48),PlotData!$CB$4)</f>
        <v>0</v>
      </c>
      <c r="U81" s="736">
        <f>IF(AND(ISNUMBER(Knoten!$D34),$B81&lt;&gt;0),$R81-$J$1*$V$48*SIN($H$48+$B81*$N$48*$P$48),PlotData!$CB$4)</f>
        <v>0</v>
      </c>
      <c r="V81" s="738">
        <f t="shared" si="11"/>
        <v>0</v>
      </c>
    </row>
    <row r="82" spans="1:22" x14ac:dyDescent="0.25">
      <c r="A82" s="750">
        <v>33</v>
      </c>
      <c r="B82" s="778">
        <f>SIGN(Knoten!J35)</f>
        <v>0</v>
      </c>
      <c r="C82" s="778">
        <f>IF(AND(ISNUMBER(Knoten!C35),B82&lt;&gt;0),Knoten!C35-$Q$1+$V$48*COS($H$48-B82*$J$48),PlotData!$CB$3)</f>
        <v>0</v>
      </c>
      <c r="D82" s="736">
        <f>IF(AND(ISNUMBER(Knoten!C35),B82&lt;&gt;0),Knoten!$C35-$Q$1+$V$48*COS($H$48+$B82*(-$J$48+$L$48)),PlotData!$CB$3)</f>
        <v>0</v>
      </c>
      <c r="E82" s="736">
        <f>IF(AND(ISNUMBER(Knoten!C35),B82&lt;&gt;0),Knoten!$C35-$Q$1+$V$48*COS($H$48+$B82*(-$J$48+2*$L$48)),PlotData!$CB$3)</f>
        <v>0</v>
      </c>
      <c r="F82" s="736">
        <f>IF(AND(ISNUMBER(Knoten!C35),B82&lt;&gt;0),Knoten!$C35-$Q$1+$V$48*COS($H$48+$B82*(-$J$48+3*$L$48)),PlotData!$CB$3)</f>
        <v>0</v>
      </c>
      <c r="G82" s="736">
        <f>IF(AND(ISNUMBER(Knoten!C35),B82&lt;&gt;0),Knoten!$C35-$Q$1+$V$48*COS($H$48+$B82*(-$J$48+4*$L$48)),PlotData!$CB$3)</f>
        <v>0</v>
      </c>
      <c r="H82" s="736">
        <f>IF(AND(ISNUMBER(Knoten!C35),B82&lt;&gt;0),Knoten!$C35-$Q$1+$V$48*COS($H$48+$B82*$N$48),PlotData!$CB$3)</f>
        <v>0</v>
      </c>
      <c r="I82" s="736">
        <f>IF(AND(ISNUMBER(Knoten!C35),B82&lt;&gt;0),$H82+$J$1*$V$48*COS($H$48+$B82*$N$48*$P$48),PlotData!$CB$3)</f>
        <v>0</v>
      </c>
      <c r="J82" s="736">
        <f>IF(AND(ISNUMBER(Knoten!C35),B82&lt;&gt;0),Knoten!$C35-$Q$1+$V$48*COS($H$48+$B82*$J$48),PlotData!$CB$3)</f>
        <v>0</v>
      </c>
      <c r="K82" s="736">
        <f>IF(AND(ISNUMBER(Knoten!C35),B82&lt;&gt;0),$H82-$J$1*$V$48*COS($H$48+$B82*$N$48*$P$48),PlotData!$CB$3)</f>
        <v>0</v>
      </c>
      <c r="L82" s="736">
        <f t="shared" si="10"/>
        <v>0</v>
      </c>
      <c r="M82" s="778">
        <f>IF(AND(ISNUMBER(Knoten!D35),B82&lt;&gt;0),Knoten!D35-$T$1+$V$48*SIN($H$48-B82*$J$48),PlotData!$CB$4)</f>
        <v>0</v>
      </c>
      <c r="N82" s="736">
        <f>IF(AND(ISNUMBER(Knoten!D35),B82&lt;&gt;0),Knoten!$D35-$T$1+$V$48*SIN($H$48+$B82*(-$J$48+$L$48)),PlotData!$CB$4)</f>
        <v>0</v>
      </c>
      <c r="O82" s="736">
        <f>IF(AND(ISNUMBER(Knoten!D35),$B82&lt;&gt;0),Knoten!$D35-$T$1+$V$48*SIN($H$48+$B82*(-$J$48+2*$L$48)),PlotData!$CB$4)</f>
        <v>0</v>
      </c>
      <c r="P82" s="736">
        <f>IF(AND(ISNUMBER(Knoten!$D35),$B82&lt;&gt;0),Knoten!$D35-$T$1+$V$48*SIN($H$48+$B82*(-$J$48+3*$L$48)),PlotData!$CB$4)</f>
        <v>0</v>
      </c>
      <c r="Q82" s="736">
        <f>IF(AND(ISNUMBER(Knoten!$D35),$B82&lt;&gt;0),Knoten!$D35-$T$1+$V$48*SIN($H$48+$B82*(-$J$48+4*$L$48)),PlotData!$CB$4)</f>
        <v>0</v>
      </c>
      <c r="R82" s="736">
        <f>IF(AND(ISNUMBER(Knoten!$D35),$B82&lt;&gt;0),Knoten!$D35-$T$1+$V$48*SIN($H$48+$B82*$N$48),PlotData!$CB$4)</f>
        <v>0</v>
      </c>
      <c r="S82" s="736">
        <f>IF(AND(ISNUMBER(Knoten!$D35),$B82&lt;&gt;0),$R82+$J$1*$V$48*SIN($H$48+$B82*$N$48*$P$48),PlotData!$CB$4)</f>
        <v>0</v>
      </c>
      <c r="T82" s="736">
        <f>IF(AND(ISNUMBER(Knoten!D35),B82&lt;&gt;0),Knoten!$D35-$T$1+$V$48*SIN($H$48+$B82*$J$48),PlotData!$CB$4)</f>
        <v>0</v>
      </c>
      <c r="U82" s="736">
        <f>IF(AND(ISNUMBER(Knoten!$D35),$B82&lt;&gt;0),$R82-$J$1*$V$48*SIN($H$48+$B82*$N$48*$P$48),PlotData!$CB$4)</f>
        <v>0</v>
      </c>
      <c r="V82" s="738">
        <f t="shared" si="11"/>
        <v>0</v>
      </c>
    </row>
    <row r="83" spans="1:22" x14ac:dyDescent="0.25">
      <c r="A83" s="750">
        <v>34</v>
      </c>
      <c r="B83" s="778">
        <f>SIGN(Knoten!J36)</f>
        <v>0</v>
      </c>
      <c r="C83" s="778">
        <f>IF(AND(ISNUMBER(Knoten!C36),B83&lt;&gt;0),Knoten!C36-$Q$1+$V$48*COS($H$48-B83*$J$48),PlotData!$CB$3)</f>
        <v>0</v>
      </c>
      <c r="D83" s="736">
        <f>IF(AND(ISNUMBER(Knoten!C36),B83&lt;&gt;0),Knoten!$C36-$Q$1+$V$48*COS($H$48+$B83*(-$J$48+$L$48)),PlotData!$CB$3)</f>
        <v>0</v>
      </c>
      <c r="E83" s="736">
        <f>IF(AND(ISNUMBER(Knoten!C36),B83&lt;&gt;0),Knoten!$C36-$Q$1+$V$48*COS($H$48+$B83*(-$J$48+2*$L$48)),PlotData!$CB$3)</f>
        <v>0</v>
      </c>
      <c r="F83" s="736">
        <f>IF(AND(ISNUMBER(Knoten!C36),B83&lt;&gt;0),Knoten!$C36-$Q$1+$V$48*COS($H$48+$B83*(-$J$48+3*$L$48)),PlotData!$CB$3)</f>
        <v>0</v>
      </c>
      <c r="G83" s="736">
        <f>IF(AND(ISNUMBER(Knoten!C36),B83&lt;&gt;0),Knoten!$C36-$Q$1+$V$48*COS($H$48+$B83*(-$J$48+4*$L$48)),PlotData!$CB$3)</f>
        <v>0</v>
      </c>
      <c r="H83" s="736">
        <f>IF(AND(ISNUMBER(Knoten!C36),B83&lt;&gt;0),Knoten!$C36-$Q$1+$V$48*COS($H$48+$B83*$N$48),PlotData!$CB$3)</f>
        <v>0</v>
      </c>
      <c r="I83" s="736">
        <f>IF(AND(ISNUMBER(Knoten!C36),B83&lt;&gt;0),$H83+$J$1*$V$48*COS($H$48+$B83*$N$48*$P$48),PlotData!$CB$3)</f>
        <v>0</v>
      </c>
      <c r="J83" s="736">
        <f>IF(AND(ISNUMBER(Knoten!C36),B83&lt;&gt;0),Knoten!$C36-$Q$1+$V$48*COS($H$48+$B83*$J$48),PlotData!$CB$3)</f>
        <v>0</v>
      </c>
      <c r="K83" s="736">
        <f>IF(AND(ISNUMBER(Knoten!C36),B83&lt;&gt;0),$H83-$J$1*$V$48*COS($H$48+$B83*$N$48*$P$48),PlotData!$CB$3)</f>
        <v>0</v>
      </c>
      <c r="L83" s="736">
        <f t="shared" si="10"/>
        <v>0</v>
      </c>
      <c r="M83" s="778">
        <f>IF(AND(ISNUMBER(Knoten!D36),B83&lt;&gt;0),Knoten!D36-$T$1+$V$48*SIN($H$48-B83*$J$48),PlotData!$CB$4)</f>
        <v>0</v>
      </c>
      <c r="N83" s="736">
        <f>IF(AND(ISNUMBER(Knoten!D36),B83&lt;&gt;0),Knoten!$D36-$T$1+$V$48*SIN($H$48+$B83*(-$J$48+$L$48)),PlotData!$CB$4)</f>
        <v>0</v>
      </c>
      <c r="O83" s="736">
        <f>IF(AND(ISNUMBER(Knoten!D36),$B83&lt;&gt;0),Knoten!$D36-$T$1+$V$48*SIN($H$48+$B83*(-$J$48+2*$L$48)),PlotData!$CB$4)</f>
        <v>0</v>
      </c>
      <c r="P83" s="736">
        <f>IF(AND(ISNUMBER(Knoten!$D36),$B83&lt;&gt;0),Knoten!$D36-$T$1+$V$48*SIN($H$48+$B83*(-$J$48+3*$L$48)),PlotData!$CB$4)</f>
        <v>0</v>
      </c>
      <c r="Q83" s="736">
        <f>IF(AND(ISNUMBER(Knoten!$D36),$B83&lt;&gt;0),Knoten!$D36-$T$1+$V$48*SIN($H$48+$B83*(-$J$48+4*$L$48)),PlotData!$CB$4)</f>
        <v>0</v>
      </c>
      <c r="R83" s="736">
        <f>IF(AND(ISNUMBER(Knoten!$D36),$B83&lt;&gt;0),Knoten!$D36-$T$1+$V$48*SIN($H$48+$B83*$N$48),PlotData!$CB$4)</f>
        <v>0</v>
      </c>
      <c r="S83" s="736">
        <f>IF(AND(ISNUMBER(Knoten!$D36),$B83&lt;&gt;0),$R83+$J$1*$V$48*SIN($H$48+$B83*$N$48*$P$48),PlotData!$CB$4)</f>
        <v>0</v>
      </c>
      <c r="T83" s="736">
        <f>IF(AND(ISNUMBER(Knoten!D36),B83&lt;&gt;0),Knoten!$D36-$T$1+$V$48*SIN($H$48+$B83*$J$48),PlotData!$CB$4)</f>
        <v>0</v>
      </c>
      <c r="U83" s="736">
        <f>IF(AND(ISNUMBER(Knoten!$D36),$B83&lt;&gt;0),$R83-$J$1*$V$48*SIN($H$48+$B83*$N$48*$P$48),PlotData!$CB$4)</f>
        <v>0</v>
      </c>
      <c r="V83" s="738">
        <f t="shared" si="11"/>
        <v>0</v>
      </c>
    </row>
    <row r="84" spans="1:22" x14ac:dyDescent="0.25">
      <c r="A84" s="750">
        <v>35</v>
      </c>
      <c r="B84" s="778">
        <f>SIGN(Knoten!J37)</f>
        <v>0</v>
      </c>
      <c r="C84" s="778">
        <f>IF(AND(ISNUMBER(Knoten!C37),B84&lt;&gt;0),Knoten!C37-$Q$1+$V$48*COS($H$48-B84*$J$48),PlotData!$CB$3)</f>
        <v>0</v>
      </c>
      <c r="D84" s="736">
        <f>IF(AND(ISNUMBER(Knoten!C37),B84&lt;&gt;0),Knoten!$C37-$Q$1+$V$48*COS($H$48+$B84*(-$J$48+$L$48)),PlotData!$CB$3)</f>
        <v>0</v>
      </c>
      <c r="E84" s="736">
        <f>IF(AND(ISNUMBER(Knoten!C37),B84&lt;&gt;0),Knoten!$C37-$Q$1+$V$48*COS($H$48+$B84*(-$J$48+2*$L$48)),PlotData!$CB$3)</f>
        <v>0</v>
      </c>
      <c r="F84" s="736">
        <f>IF(AND(ISNUMBER(Knoten!C37),B84&lt;&gt;0),Knoten!$C37-$Q$1+$V$48*COS($H$48+$B84*(-$J$48+3*$L$48)),PlotData!$CB$3)</f>
        <v>0</v>
      </c>
      <c r="G84" s="736">
        <f>IF(AND(ISNUMBER(Knoten!C37),B84&lt;&gt;0),Knoten!$C37-$Q$1+$V$48*COS($H$48+$B84*(-$J$48+4*$L$48)),PlotData!$CB$3)</f>
        <v>0</v>
      </c>
      <c r="H84" s="736">
        <f>IF(AND(ISNUMBER(Knoten!C37),B84&lt;&gt;0),Knoten!$C37-$Q$1+$V$48*COS($H$48+$B84*$N$48),PlotData!$CB$3)</f>
        <v>0</v>
      </c>
      <c r="I84" s="736">
        <f>IF(AND(ISNUMBER(Knoten!C37),B84&lt;&gt;0),$H84+$J$1*$V$48*COS($H$48+$B84*$N$48*$P$48),PlotData!$CB$3)</f>
        <v>0</v>
      </c>
      <c r="J84" s="736">
        <f>IF(AND(ISNUMBER(Knoten!C37),B84&lt;&gt;0),Knoten!$C37-$Q$1+$V$48*COS($H$48+$B84*$J$48),PlotData!$CB$3)</f>
        <v>0</v>
      </c>
      <c r="K84" s="736">
        <f>IF(AND(ISNUMBER(Knoten!C37),B84&lt;&gt;0),$H84-$J$1*$V$48*COS($H$48+$B84*$N$48*$P$48),PlotData!$CB$3)</f>
        <v>0</v>
      </c>
      <c r="L84" s="736">
        <f t="shared" si="10"/>
        <v>0</v>
      </c>
      <c r="M84" s="778">
        <f>IF(AND(ISNUMBER(Knoten!D37),B84&lt;&gt;0),Knoten!D37-$T$1+$V$48*SIN($H$48-B84*$J$48),PlotData!$CB$4)</f>
        <v>0</v>
      </c>
      <c r="N84" s="736">
        <f>IF(AND(ISNUMBER(Knoten!D37),B84&lt;&gt;0),Knoten!$D37-$T$1+$V$48*SIN($H$48+$B84*(-$J$48+$L$48)),PlotData!$CB$4)</f>
        <v>0</v>
      </c>
      <c r="O84" s="736">
        <f>IF(AND(ISNUMBER(Knoten!D37),$B84&lt;&gt;0),Knoten!$D37-$T$1+$V$48*SIN($H$48+$B84*(-$J$48+2*$L$48)),PlotData!$CB$4)</f>
        <v>0</v>
      </c>
      <c r="P84" s="736">
        <f>IF(AND(ISNUMBER(Knoten!$D37),$B84&lt;&gt;0),Knoten!$D37-$T$1+$V$48*SIN($H$48+$B84*(-$J$48+3*$L$48)),PlotData!$CB$4)</f>
        <v>0</v>
      </c>
      <c r="Q84" s="736">
        <f>IF(AND(ISNUMBER(Knoten!$D37),$B84&lt;&gt;0),Knoten!$D37-$T$1+$V$48*SIN($H$48+$B84*(-$J$48+4*$L$48)),PlotData!$CB$4)</f>
        <v>0</v>
      </c>
      <c r="R84" s="736">
        <f>IF(AND(ISNUMBER(Knoten!$D37),$B84&lt;&gt;0),Knoten!$D37-$T$1+$V$48*SIN($H$48+$B84*$N$48),PlotData!$CB$4)</f>
        <v>0</v>
      </c>
      <c r="S84" s="736">
        <f>IF(AND(ISNUMBER(Knoten!$D37),$B84&lt;&gt;0),$R84+$J$1*$V$48*SIN($H$48+$B84*$N$48*$P$48),PlotData!$CB$4)</f>
        <v>0</v>
      </c>
      <c r="T84" s="736">
        <f>IF(AND(ISNUMBER(Knoten!D37),B84&lt;&gt;0),Knoten!$D37-$T$1+$V$48*SIN($H$48+$B84*$J$48),PlotData!$CB$4)</f>
        <v>0</v>
      </c>
      <c r="U84" s="736">
        <f>IF(AND(ISNUMBER(Knoten!$D37),$B84&lt;&gt;0),$R84-$J$1*$V$48*SIN($H$48+$B84*$N$48*$P$48),PlotData!$CB$4)</f>
        <v>0</v>
      </c>
      <c r="V84" s="738">
        <f t="shared" si="11"/>
        <v>0</v>
      </c>
    </row>
    <row r="85" spans="1:22" x14ac:dyDescent="0.25">
      <c r="A85" s="750">
        <v>36</v>
      </c>
      <c r="B85" s="778">
        <f>SIGN(Knoten!J38)</f>
        <v>0</v>
      </c>
      <c r="C85" s="778">
        <f>IF(AND(ISNUMBER(Knoten!C38),B85&lt;&gt;0),Knoten!C38-$Q$1+$V$48*COS($H$48-B85*$J$48),PlotData!$CB$3)</f>
        <v>0</v>
      </c>
      <c r="D85" s="736">
        <f>IF(AND(ISNUMBER(Knoten!C38),B85&lt;&gt;0),Knoten!$C38-$Q$1+$V$48*COS($H$48+$B85*(-$J$48+$L$48)),PlotData!$CB$3)</f>
        <v>0</v>
      </c>
      <c r="E85" s="736">
        <f>IF(AND(ISNUMBER(Knoten!C38),B85&lt;&gt;0),Knoten!$C38-$Q$1+$V$48*COS($H$48+$B85*(-$J$48+2*$L$48)),PlotData!$CB$3)</f>
        <v>0</v>
      </c>
      <c r="F85" s="736">
        <f>IF(AND(ISNUMBER(Knoten!C38),B85&lt;&gt;0),Knoten!$C38-$Q$1+$V$48*COS($H$48+$B85*(-$J$48+3*$L$48)),PlotData!$CB$3)</f>
        <v>0</v>
      </c>
      <c r="G85" s="736">
        <f>IF(AND(ISNUMBER(Knoten!C38),B85&lt;&gt;0),Knoten!$C38-$Q$1+$V$48*COS($H$48+$B85*(-$J$48+4*$L$48)),PlotData!$CB$3)</f>
        <v>0</v>
      </c>
      <c r="H85" s="736">
        <f>IF(AND(ISNUMBER(Knoten!C38),B85&lt;&gt;0),Knoten!$C38-$Q$1+$V$48*COS($H$48+$B85*$N$48),PlotData!$CB$3)</f>
        <v>0</v>
      </c>
      <c r="I85" s="736">
        <f>IF(AND(ISNUMBER(Knoten!C38),B85&lt;&gt;0),$H85+$J$1*$V$48*COS($H$48+$B85*$N$48*$P$48),PlotData!$CB$3)</f>
        <v>0</v>
      </c>
      <c r="J85" s="736">
        <f>IF(AND(ISNUMBER(Knoten!C38),B85&lt;&gt;0),Knoten!$C38-$Q$1+$V$48*COS($H$48+$B85*$J$48),PlotData!$CB$3)</f>
        <v>0</v>
      </c>
      <c r="K85" s="736">
        <f>IF(AND(ISNUMBER(Knoten!C38),B85&lt;&gt;0),$H85-$J$1*$V$48*COS($H$48+$B85*$N$48*$P$48),PlotData!$CB$3)</f>
        <v>0</v>
      </c>
      <c r="L85" s="736">
        <f t="shared" si="10"/>
        <v>0</v>
      </c>
      <c r="M85" s="778">
        <f>IF(AND(ISNUMBER(Knoten!D38),B85&lt;&gt;0),Knoten!D38-$T$1+$V$48*SIN($H$48-B85*$J$48),PlotData!$CB$4)</f>
        <v>0</v>
      </c>
      <c r="N85" s="736">
        <f>IF(AND(ISNUMBER(Knoten!D38),B85&lt;&gt;0),Knoten!$D38-$T$1+$V$48*SIN($H$48+$B85*(-$J$48+$L$48)),PlotData!$CB$4)</f>
        <v>0</v>
      </c>
      <c r="O85" s="736">
        <f>IF(AND(ISNUMBER(Knoten!D38),$B85&lt;&gt;0),Knoten!$D38-$T$1+$V$48*SIN($H$48+$B85*(-$J$48+2*$L$48)),PlotData!$CB$4)</f>
        <v>0</v>
      </c>
      <c r="P85" s="736">
        <f>IF(AND(ISNUMBER(Knoten!$D38),$B85&lt;&gt;0),Knoten!$D38-$T$1+$V$48*SIN($H$48+$B85*(-$J$48+3*$L$48)),PlotData!$CB$4)</f>
        <v>0</v>
      </c>
      <c r="Q85" s="736">
        <f>IF(AND(ISNUMBER(Knoten!$D38),$B85&lt;&gt;0),Knoten!$D38-$T$1+$V$48*SIN($H$48+$B85*(-$J$48+4*$L$48)),PlotData!$CB$4)</f>
        <v>0</v>
      </c>
      <c r="R85" s="736">
        <f>IF(AND(ISNUMBER(Knoten!$D38),$B85&lt;&gt;0),Knoten!$D38-$T$1+$V$48*SIN($H$48+$B85*$N$48),PlotData!$CB$4)</f>
        <v>0</v>
      </c>
      <c r="S85" s="736">
        <f>IF(AND(ISNUMBER(Knoten!$D38),$B85&lt;&gt;0),$R85+$J$1*$V$48*SIN($H$48+$B85*$N$48*$P$48),PlotData!$CB$4)</f>
        <v>0</v>
      </c>
      <c r="T85" s="736">
        <f>IF(AND(ISNUMBER(Knoten!D38),B85&lt;&gt;0),Knoten!$D38-$T$1+$V$48*SIN($H$48+$B85*$J$48),PlotData!$CB$4)</f>
        <v>0</v>
      </c>
      <c r="U85" s="736">
        <f>IF(AND(ISNUMBER(Knoten!$D38),$B85&lt;&gt;0),$R85-$J$1*$V$48*SIN($H$48+$B85*$N$48*$P$48),PlotData!$CB$4)</f>
        <v>0</v>
      </c>
      <c r="V85" s="738">
        <f t="shared" si="11"/>
        <v>0</v>
      </c>
    </row>
    <row r="86" spans="1:22" x14ac:dyDescent="0.25">
      <c r="A86" s="750">
        <v>37</v>
      </c>
      <c r="B86" s="778">
        <f>SIGN(Knoten!J39)</f>
        <v>0</v>
      </c>
      <c r="C86" s="778">
        <f>IF(AND(ISNUMBER(Knoten!C39),B86&lt;&gt;0),Knoten!C39-$Q$1+$V$48*COS($H$48-B86*$J$48),PlotData!$CB$3)</f>
        <v>0</v>
      </c>
      <c r="D86" s="736">
        <f>IF(AND(ISNUMBER(Knoten!C39),B86&lt;&gt;0),Knoten!$C39-$Q$1+$V$48*COS($H$48+$B86*(-$J$48+$L$48)),PlotData!$CB$3)</f>
        <v>0</v>
      </c>
      <c r="E86" s="736">
        <f>IF(AND(ISNUMBER(Knoten!C39),B86&lt;&gt;0),Knoten!$C39-$Q$1+$V$48*COS($H$48+$B86*(-$J$48+2*$L$48)),PlotData!$CB$3)</f>
        <v>0</v>
      </c>
      <c r="F86" s="736">
        <f>IF(AND(ISNUMBER(Knoten!C39),B86&lt;&gt;0),Knoten!$C39-$Q$1+$V$48*COS($H$48+$B86*(-$J$48+3*$L$48)),PlotData!$CB$3)</f>
        <v>0</v>
      </c>
      <c r="G86" s="736">
        <f>IF(AND(ISNUMBER(Knoten!C39),B86&lt;&gt;0),Knoten!$C39-$Q$1+$V$48*COS($H$48+$B86*(-$J$48+4*$L$48)),PlotData!$CB$3)</f>
        <v>0</v>
      </c>
      <c r="H86" s="736">
        <f>IF(AND(ISNUMBER(Knoten!C39),B86&lt;&gt;0),Knoten!$C39-$Q$1+$V$48*COS($H$48+$B86*$N$48),PlotData!$CB$3)</f>
        <v>0</v>
      </c>
      <c r="I86" s="736">
        <f>IF(AND(ISNUMBER(Knoten!C39),B86&lt;&gt;0),$H86+$J$1*$V$48*COS($H$48+$B86*$N$48*$P$48),PlotData!$CB$3)</f>
        <v>0</v>
      </c>
      <c r="J86" s="736">
        <f>IF(AND(ISNUMBER(Knoten!C39),B86&lt;&gt;0),Knoten!$C39-$Q$1+$V$48*COS($H$48+$B86*$J$48),PlotData!$CB$3)</f>
        <v>0</v>
      </c>
      <c r="K86" s="736">
        <f>IF(AND(ISNUMBER(Knoten!C39),B86&lt;&gt;0),$H86-$J$1*$V$48*COS($H$48+$B86*$N$48*$P$48),PlotData!$CB$3)</f>
        <v>0</v>
      </c>
      <c r="L86" s="736">
        <f t="shared" si="10"/>
        <v>0</v>
      </c>
      <c r="M86" s="778">
        <f>IF(AND(ISNUMBER(Knoten!D39),B86&lt;&gt;0),Knoten!D39-$T$1+$V$48*SIN($H$48-B86*$J$48),PlotData!$CB$4)</f>
        <v>0</v>
      </c>
      <c r="N86" s="736">
        <f>IF(AND(ISNUMBER(Knoten!D39),B86&lt;&gt;0),Knoten!$D39-$T$1+$V$48*SIN($H$48+$B86*(-$J$48+$L$48)),PlotData!$CB$4)</f>
        <v>0</v>
      </c>
      <c r="O86" s="736">
        <f>IF(AND(ISNUMBER(Knoten!D39),$B86&lt;&gt;0),Knoten!$D39-$T$1+$V$48*SIN($H$48+$B86*(-$J$48+2*$L$48)),PlotData!$CB$4)</f>
        <v>0</v>
      </c>
      <c r="P86" s="736">
        <f>IF(AND(ISNUMBER(Knoten!$D39),$B86&lt;&gt;0),Knoten!$D39-$T$1+$V$48*SIN($H$48+$B86*(-$J$48+3*$L$48)),PlotData!$CB$4)</f>
        <v>0</v>
      </c>
      <c r="Q86" s="736">
        <f>IF(AND(ISNUMBER(Knoten!$D39),$B86&lt;&gt;0),Knoten!$D39-$T$1+$V$48*SIN($H$48+$B86*(-$J$48+4*$L$48)),PlotData!$CB$4)</f>
        <v>0</v>
      </c>
      <c r="R86" s="736">
        <f>IF(AND(ISNUMBER(Knoten!$D39),$B86&lt;&gt;0),Knoten!$D39-$T$1+$V$48*SIN($H$48+$B86*$N$48),PlotData!$CB$4)</f>
        <v>0</v>
      </c>
      <c r="S86" s="736">
        <f>IF(AND(ISNUMBER(Knoten!$D39),$B86&lt;&gt;0),$R86+$J$1*$V$48*SIN($H$48+$B86*$N$48*$P$48),PlotData!$CB$4)</f>
        <v>0</v>
      </c>
      <c r="T86" s="736">
        <f>IF(AND(ISNUMBER(Knoten!D39),B86&lt;&gt;0),Knoten!$D39-$T$1+$V$48*SIN($H$48+$B86*$J$48),PlotData!$CB$4)</f>
        <v>0</v>
      </c>
      <c r="U86" s="736">
        <f>IF(AND(ISNUMBER(Knoten!$D39),$B86&lt;&gt;0),$R86-$J$1*$V$48*SIN($H$48+$B86*$N$48*$P$48),PlotData!$CB$4)</f>
        <v>0</v>
      </c>
      <c r="V86" s="738">
        <f t="shared" si="11"/>
        <v>0</v>
      </c>
    </row>
    <row r="87" spans="1:22" x14ac:dyDescent="0.25">
      <c r="A87" s="750">
        <v>38</v>
      </c>
      <c r="B87" s="778">
        <f>SIGN(Knoten!J40)</f>
        <v>0</v>
      </c>
      <c r="C87" s="778">
        <f>IF(AND(ISNUMBER(Knoten!C40),B87&lt;&gt;0),Knoten!C40-$Q$1+$V$48*COS($H$48-B87*$J$48),PlotData!$CB$3)</f>
        <v>0</v>
      </c>
      <c r="D87" s="736">
        <f>IF(AND(ISNUMBER(Knoten!C40),B87&lt;&gt;0),Knoten!$C40-$Q$1+$V$48*COS($H$48+$B87*(-$J$48+$L$48)),PlotData!$CB$3)</f>
        <v>0</v>
      </c>
      <c r="E87" s="736">
        <f>IF(AND(ISNUMBER(Knoten!C40),B87&lt;&gt;0),Knoten!$C40-$Q$1+$V$48*COS($H$48+$B87*(-$J$48+2*$L$48)),PlotData!$CB$3)</f>
        <v>0</v>
      </c>
      <c r="F87" s="736">
        <f>IF(AND(ISNUMBER(Knoten!C40),B87&lt;&gt;0),Knoten!$C40-$Q$1+$V$48*COS($H$48+$B87*(-$J$48+3*$L$48)),PlotData!$CB$3)</f>
        <v>0</v>
      </c>
      <c r="G87" s="736">
        <f>IF(AND(ISNUMBER(Knoten!C40),B87&lt;&gt;0),Knoten!$C40-$Q$1+$V$48*COS($H$48+$B87*(-$J$48+4*$L$48)),PlotData!$CB$3)</f>
        <v>0</v>
      </c>
      <c r="H87" s="736">
        <f>IF(AND(ISNUMBER(Knoten!C40),B87&lt;&gt;0),Knoten!$C40-$Q$1+$V$48*COS($H$48+$B87*$N$48),PlotData!$CB$3)</f>
        <v>0</v>
      </c>
      <c r="I87" s="736">
        <f>IF(AND(ISNUMBER(Knoten!C40),B87&lt;&gt;0),$H87+$J$1*$V$48*COS($H$48+$B87*$N$48*$P$48),PlotData!$CB$3)</f>
        <v>0</v>
      </c>
      <c r="J87" s="736">
        <f>IF(AND(ISNUMBER(Knoten!C40),B87&lt;&gt;0),Knoten!$C40-$Q$1+$V$48*COS($H$48+$B87*$J$48),PlotData!$CB$3)</f>
        <v>0</v>
      </c>
      <c r="K87" s="736">
        <f>IF(AND(ISNUMBER(Knoten!C40),B87&lt;&gt;0),$H87-$J$1*$V$48*COS($H$48+$B87*$N$48*$P$48),PlotData!$CB$3)</f>
        <v>0</v>
      </c>
      <c r="L87" s="736">
        <f t="shared" si="10"/>
        <v>0</v>
      </c>
      <c r="M87" s="778">
        <f>IF(AND(ISNUMBER(Knoten!D40),B87&lt;&gt;0),Knoten!D40-$T$1+$V$48*SIN($H$48-B87*$J$48),PlotData!$CB$4)</f>
        <v>0</v>
      </c>
      <c r="N87" s="736">
        <f>IF(AND(ISNUMBER(Knoten!D40),B87&lt;&gt;0),Knoten!$D40-$T$1+$V$48*SIN($H$48+$B87*(-$J$48+$L$48)),PlotData!$CB$4)</f>
        <v>0</v>
      </c>
      <c r="O87" s="736">
        <f>IF(AND(ISNUMBER(Knoten!D40),$B87&lt;&gt;0),Knoten!$D40-$T$1+$V$48*SIN($H$48+$B87*(-$J$48+2*$L$48)),PlotData!$CB$4)</f>
        <v>0</v>
      </c>
      <c r="P87" s="736">
        <f>IF(AND(ISNUMBER(Knoten!$D40),$B87&lt;&gt;0),Knoten!$D40-$T$1+$V$48*SIN($H$48+$B87*(-$J$48+3*$L$48)),PlotData!$CB$4)</f>
        <v>0</v>
      </c>
      <c r="Q87" s="736">
        <f>IF(AND(ISNUMBER(Knoten!$D40),$B87&lt;&gt;0),Knoten!$D40-$T$1+$V$48*SIN($H$48+$B87*(-$J$48+4*$L$48)),PlotData!$CB$4)</f>
        <v>0</v>
      </c>
      <c r="R87" s="736">
        <f>IF(AND(ISNUMBER(Knoten!$D40),$B87&lt;&gt;0),Knoten!$D40-$T$1+$V$48*SIN($H$48+$B87*$N$48),PlotData!$CB$4)</f>
        <v>0</v>
      </c>
      <c r="S87" s="736">
        <f>IF(AND(ISNUMBER(Knoten!$D40),$B87&lt;&gt;0),$R87+$J$1*$V$48*SIN($H$48+$B87*$N$48*$P$48),PlotData!$CB$4)</f>
        <v>0</v>
      </c>
      <c r="T87" s="736">
        <f>IF(AND(ISNUMBER(Knoten!D40),B87&lt;&gt;0),Knoten!$D40-$T$1+$V$48*SIN($H$48+$B87*$J$48),PlotData!$CB$4)</f>
        <v>0</v>
      </c>
      <c r="U87" s="736">
        <f>IF(AND(ISNUMBER(Knoten!$D40),$B87&lt;&gt;0),$R87-$J$1*$V$48*SIN($H$48+$B87*$N$48*$P$48),PlotData!$CB$4)</f>
        <v>0</v>
      </c>
      <c r="V87" s="738">
        <f t="shared" si="11"/>
        <v>0</v>
      </c>
    </row>
    <row r="88" spans="1:22" x14ac:dyDescent="0.25">
      <c r="A88" s="750">
        <v>39</v>
      </c>
      <c r="B88" s="778">
        <f>SIGN(Knoten!J41)</f>
        <v>0</v>
      </c>
      <c r="C88" s="778">
        <f>IF(AND(ISNUMBER(Knoten!C41),B88&lt;&gt;0),Knoten!C41-$Q$1+$V$48*COS($H$48-B88*$J$48),PlotData!$CB$3)</f>
        <v>0</v>
      </c>
      <c r="D88" s="736">
        <f>IF(AND(ISNUMBER(Knoten!C41),B88&lt;&gt;0),Knoten!$C41-$Q$1+$V$48*COS($H$48+$B88*(-$J$48+$L$48)),PlotData!$CB$3)</f>
        <v>0</v>
      </c>
      <c r="E88" s="736">
        <f>IF(AND(ISNUMBER(Knoten!C41),B88&lt;&gt;0),Knoten!$C41-$Q$1+$V$48*COS($H$48+$B88*(-$J$48+2*$L$48)),PlotData!$CB$3)</f>
        <v>0</v>
      </c>
      <c r="F88" s="736">
        <f>IF(AND(ISNUMBER(Knoten!C41),B88&lt;&gt;0),Knoten!$C41-$Q$1+$V$48*COS($H$48+$B88*(-$J$48+3*$L$48)),PlotData!$CB$3)</f>
        <v>0</v>
      </c>
      <c r="G88" s="736">
        <f>IF(AND(ISNUMBER(Knoten!C41),B88&lt;&gt;0),Knoten!$C41-$Q$1+$V$48*COS($H$48+$B88*(-$J$48+4*$L$48)),PlotData!$CB$3)</f>
        <v>0</v>
      </c>
      <c r="H88" s="736">
        <f>IF(AND(ISNUMBER(Knoten!C41),B88&lt;&gt;0),Knoten!$C41-$Q$1+$V$48*COS($H$48+$B88*$N$48),PlotData!$CB$3)</f>
        <v>0</v>
      </c>
      <c r="I88" s="736">
        <f>IF(AND(ISNUMBER(Knoten!C41),B88&lt;&gt;0),$H88+$J$1*$V$48*COS($H$48+$B88*$N$48*$P$48),PlotData!$CB$3)</f>
        <v>0</v>
      </c>
      <c r="J88" s="736">
        <f>IF(AND(ISNUMBER(Knoten!C41),B88&lt;&gt;0),Knoten!$C41-$Q$1+$V$48*COS($H$48+$B88*$J$48),PlotData!$CB$3)</f>
        <v>0</v>
      </c>
      <c r="K88" s="736">
        <f>IF(AND(ISNUMBER(Knoten!C41),B88&lt;&gt;0),$H88-$J$1*$V$48*COS($H$48+$B88*$N$48*$P$48),PlotData!$CB$3)</f>
        <v>0</v>
      </c>
      <c r="L88" s="736">
        <f t="shared" si="10"/>
        <v>0</v>
      </c>
      <c r="M88" s="778">
        <f>IF(AND(ISNUMBER(Knoten!D41),B88&lt;&gt;0),Knoten!D41-$T$1+$V$48*SIN($H$48-B88*$J$48),PlotData!$CB$4)</f>
        <v>0</v>
      </c>
      <c r="N88" s="736">
        <f>IF(AND(ISNUMBER(Knoten!D41),B88&lt;&gt;0),Knoten!$D41-$T$1+$V$48*SIN($H$48+$B88*(-$J$48+$L$48)),PlotData!$CB$4)</f>
        <v>0</v>
      </c>
      <c r="O88" s="736">
        <f>IF(AND(ISNUMBER(Knoten!D41),$B88&lt;&gt;0),Knoten!$D41-$T$1+$V$48*SIN($H$48+$B88*(-$J$48+2*$L$48)),PlotData!$CB$4)</f>
        <v>0</v>
      </c>
      <c r="P88" s="736">
        <f>IF(AND(ISNUMBER(Knoten!$D41),$B88&lt;&gt;0),Knoten!$D41-$T$1+$V$48*SIN($H$48+$B88*(-$J$48+3*$L$48)),PlotData!$CB$4)</f>
        <v>0</v>
      </c>
      <c r="Q88" s="736">
        <f>IF(AND(ISNUMBER(Knoten!$D41),$B88&lt;&gt;0),Knoten!$D41-$T$1+$V$48*SIN($H$48+$B88*(-$J$48+4*$L$48)),PlotData!$CB$4)</f>
        <v>0</v>
      </c>
      <c r="R88" s="736">
        <f>IF(AND(ISNUMBER(Knoten!$D41),$B88&lt;&gt;0),Knoten!$D41-$T$1+$V$48*SIN($H$48+$B88*$N$48),PlotData!$CB$4)</f>
        <v>0</v>
      </c>
      <c r="S88" s="736">
        <f>IF(AND(ISNUMBER(Knoten!$D41),$B88&lt;&gt;0),$R88+$J$1*$V$48*SIN($H$48+$B88*$N$48*$P$48),PlotData!$CB$4)</f>
        <v>0</v>
      </c>
      <c r="T88" s="736">
        <f>IF(AND(ISNUMBER(Knoten!D41),B88&lt;&gt;0),Knoten!$D41-$T$1+$V$48*SIN($H$48+$B88*$J$48),PlotData!$CB$4)</f>
        <v>0</v>
      </c>
      <c r="U88" s="736">
        <f>IF(AND(ISNUMBER(Knoten!$D41),$B88&lt;&gt;0),$R88-$J$1*$V$48*SIN($H$48+$B88*$N$48*$P$48),PlotData!$CB$4)</f>
        <v>0</v>
      </c>
      <c r="V88" s="738">
        <f t="shared" si="11"/>
        <v>0</v>
      </c>
    </row>
    <row r="89" spans="1:22" ht="13.8" thickBot="1" x14ac:dyDescent="0.3">
      <c r="A89" s="761">
        <v>40</v>
      </c>
      <c r="B89" s="779">
        <f>SIGN(Knoten!J42)</f>
        <v>0</v>
      </c>
      <c r="C89" s="779">
        <f>IF(AND(ISNUMBER(Knoten!C42),B89&lt;&gt;0),Knoten!C42-$Q$1+$V$48*COS($H$48-B89*$J$48),PlotData!$CB$3)</f>
        <v>0</v>
      </c>
      <c r="D89" s="754">
        <f>IF(AND(ISNUMBER(Knoten!C42),B89&lt;&gt;0),Knoten!$C42-$Q$1+$V$48*COS($H$48+$B89*(-$J$48+$L$48)),PlotData!$CB$3)</f>
        <v>0</v>
      </c>
      <c r="E89" s="754">
        <f>IF(AND(ISNUMBER(Knoten!C42),B89&lt;&gt;0),Knoten!$C42-$Q$1+$V$48*COS($H$48+$B89*(-$J$48+2*$L$48)),PlotData!$CB$3)</f>
        <v>0</v>
      </c>
      <c r="F89" s="754">
        <f>IF(AND(ISNUMBER(Knoten!C42),B89&lt;&gt;0),Knoten!$C42-$Q$1+$V$48*COS($H$48+$B89*(-$J$48+3*$L$48)),PlotData!$CB$3)</f>
        <v>0</v>
      </c>
      <c r="G89" s="754">
        <f>IF(AND(ISNUMBER(Knoten!C42),B89&lt;&gt;0),Knoten!$C42-$Q$1+$V$48*COS($H$48+$B89*(-$J$48+4*$L$48)),PlotData!$CB$3)</f>
        <v>0</v>
      </c>
      <c r="H89" s="754">
        <f>IF(AND(ISNUMBER(Knoten!C42),B89&lt;&gt;0),Knoten!$C42-$Q$1+$V$48*COS($H$48+$B89*$N$48),PlotData!$CB$3)</f>
        <v>0</v>
      </c>
      <c r="I89" s="754">
        <f>IF(AND(ISNUMBER(Knoten!C42),B89&lt;&gt;0),$H89+$J$1*$V$48*COS($H$48+$B89*$N$48*$P$48),PlotData!$CB$3)</f>
        <v>0</v>
      </c>
      <c r="J89" s="754">
        <f>IF(AND(ISNUMBER(Knoten!C42),B89&lt;&gt;0),Knoten!$C42-$Q$1+$V$48*COS($H$48+$B89*$J$48),PlotData!$CB$3)</f>
        <v>0</v>
      </c>
      <c r="K89" s="754">
        <f>IF(AND(ISNUMBER(Knoten!C42),B89&lt;&gt;0),$H89-$J$1*$V$48*COS($H$48+$B89*$N$48*$P$48),PlotData!$CB$3)</f>
        <v>0</v>
      </c>
      <c r="L89" s="754">
        <f t="shared" si="10"/>
        <v>0</v>
      </c>
      <c r="M89" s="779">
        <f>IF(AND(ISNUMBER(Knoten!D42),B89&lt;&gt;0),Knoten!D42-$T$1+$V$48*SIN($H$48-B89*$J$48),PlotData!$CB$4)</f>
        <v>0</v>
      </c>
      <c r="N89" s="754">
        <f>IF(AND(ISNUMBER(Knoten!D42),B89&lt;&gt;0),Knoten!$D42-$T$1+$V$48*SIN($H$48+$B89*(-$J$48+$L$48)),PlotData!$CB$4)</f>
        <v>0</v>
      </c>
      <c r="O89" s="754">
        <f>IF(AND(ISNUMBER(Knoten!D42),$B89&lt;&gt;0),Knoten!$D42-$T$1+$V$48*SIN($H$48+$B89*(-$J$48+2*$L$48)),PlotData!$CB$4)</f>
        <v>0</v>
      </c>
      <c r="P89" s="754">
        <f>IF(AND(ISNUMBER(Knoten!$D42),$B89&lt;&gt;0),Knoten!$D42-$T$1+$V$48*SIN($H$48+$B89*(-$J$48+3*$L$48)),PlotData!$CB$4)</f>
        <v>0</v>
      </c>
      <c r="Q89" s="754">
        <f>IF(AND(ISNUMBER(Knoten!$D42),$B89&lt;&gt;0),Knoten!$D42-$T$1+$V$48*SIN($H$48+$B89*(-$J$48+4*$L$48)),PlotData!$CB$4)</f>
        <v>0</v>
      </c>
      <c r="R89" s="754">
        <f>IF(AND(ISNUMBER(Knoten!$D42),$B89&lt;&gt;0),Knoten!$D42-$T$1+$V$48*SIN($H$48+$B89*$N$48),PlotData!$CB$4)</f>
        <v>0</v>
      </c>
      <c r="S89" s="754">
        <f>IF(AND(ISNUMBER(Knoten!$D42),$B89&lt;&gt;0),$R89+$J$1*$V$48*SIN($H$48+$B89*$N$48*$P$48),PlotData!$CB$4)</f>
        <v>0</v>
      </c>
      <c r="T89" s="754">
        <f>IF(AND(ISNUMBER(Knoten!D42),B89&lt;&gt;0),Knoten!$D42-$T$1+$V$48*SIN($H$48+$B89*$J$48),PlotData!$CB$4)</f>
        <v>0</v>
      </c>
      <c r="U89" s="754">
        <f>IF(AND(ISNUMBER(Knoten!$D42),$B89&lt;&gt;0),$R89-$J$1*$V$48*SIN($H$48+$B89*$N$48*$P$48),PlotData!$CB$4)</f>
        <v>0</v>
      </c>
      <c r="V89" s="756">
        <f t="shared" si="11"/>
        <v>0</v>
      </c>
    </row>
  </sheetData>
  <mergeCells count="12">
    <mergeCell ref="M49:V49"/>
    <mergeCell ref="M1:N1"/>
    <mergeCell ref="R2:V2"/>
    <mergeCell ref="W2:AA2"/>
    <mergeCell ref="A3:B3"/>
    <mergeCell ref="C3:G3"/>
    <mergeCell ref="H3:L3"/>
    <mergeCell ref="A26:B26"/>
    <mergeCell ref="C26:G26"/>
    <mergeCell ref="H26:L26"/>
    <mergeCell ref="A49:B49"/>
    <mergeCell ref="C49:L49"/>
  </mergeCells>
  <pageMargins left="0.78740157499999996" right="0.78740157499999996" top="0.984251969" bottom="0.984251969" header="0.4921259845" footer="0.492125984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5"/>
  <dimension ref="A1:CR706"/>
  <sheetViews>
    <sheetView zoomScale="73" zoomScaleNormal="73" workbookViewId="0">
      <selection activeCell="B5" sqref="B5"/>
    </sheetView>
  </sheetViews>
  <sheetFormatPr defaultColWidth="11.44140625" defaultRowHeight="13.2" x14ac:dyDescent="0.25"/>
  <cols>
    <col min="1" max="1" width="6.5546875" style="9" customWidth="1"/>
    <col min="2" max="3" width="9.44140625" style="41" customWidth="1"/>
    <col min="4" max="4" width="11.44140625" style="41"/>
    <col min="5" max="5" width="6.5546875" style="41" customWidth="1"/>
    <col min="6" max="16384" width="11.44140625" style="41"/>
  </cols>
  <sheetData>
    <row r="1" spans="1:24" s="4" customFormat="1" ht="23.25" customHeight="1" thickBot="1" x14ac:dyDescent="0.35">
      <c r="A1" s="1199" t="s">
        <v>190</v>
      </c>
      <c r="B1" s="1199"/>
      <c r="C1" s="803">
        <v>0.1</v>
      </c>
      <c r="D1" s="804" t="s">
        <v>196</v>
      </c>
      <c r="E1" s="805">
        <f>$C$1*PlotData!$CB$5</f>
        <v>16.970562748477143</v>
      </c>
      <c r="G1" s="806" t="s">
        <v>271</v>
      </c>
      <c r="H1" s="807">
        <v>0.3</v>
      </c>
      <c r="I1" s="808" t="s">
        <v>272</v>
      </c>
      <c r="J1" s="809">
        <v>0.3</v>
      </c>
      <c r="K1" s="810" t="s">
        <v>273</v>
      </c>
      <c r="L1" s="811">
        <v>0.1</v>
      </c>
      <c r="M1" s="812" t="s">
        <v>274</v>
      </c>
      <c r="N1" s="813">
        <v>0.35</v>
      </c>
      <c r="O1" s="814" t="s">
        <v>275</v>
      </c>
      <c r="P1" s="815">
        <v>0.1</v>
      </c>
      <c r="Q1" s="816" t="s">
        <v>276</v>
      </c>
      <c r="R1" s="817">
        <v>0.35</v>
      </c>
      <c r="S1" s="818" t="s">
        <v>277</v>
      </c>
      <c r="T1" s="819">
        <f>L1*E1</f>
        <v>1.6970562748477143</v>
      </c>
    </row>
    <row r="2" spans="1:24" ht="13.8" thickBot="1" x14ac:dyDescent="0.3"/>
    <row r="3" spans="1:24" s="9" customFormat="1" ht="23.25" customHeight="1" thickBot="1" x14ac:dyDescent="0.35">
      <c r="B3" s="1377" t="s">
        <v>278</v>
      </c>
      <c r="C3" s="1378"/>
      <c r="D3" s="1379"/>
    </row>
    <row r="4" spans="1:24" s="9" customFormat="1" ht="20.25" customHeight="1" thickBot="1" x14ac:dyDescent="0.35">
      <c r="A4" s="820" t="s">
        <v>43</v>
      </c>
      <c r="B4" s="821" t="s">
        <v>153</v>
      </c>
      <c r="C4" s="822" t="s">
        <v>154</v>
      </c>
      <c r="D4" s="823" t="s">
        <v>62</v>
      </c>
      <c r="E4" s="821" t="s">
        <v>184</v>
      </c>
      <c r="F4" s="822" t="s">
        <v>185</v>
      </c>
      <c r="G4" s="823" t="s">
        <v>97</v>
      </c>
      <c r="H4" s="824" t="s">
        <v>180</v>
      </c>
      <c r="I4" s="825" t="s">
        <v>181</v>
      </c>
      <c r="J4" s="826" t="s">
        <v>279</v>
      </c>
      <c r="K4" s="822" t="s">
        <v>280</v>
      </c>
      <c r="L4" s="821" t="s">
        <v>281</v>
      </c>
      <c r="M4" s="825" t="s">
        <v>282</v>
      </c>
      <c r="N4" s="825" t="s">
        <v>283</v>
      </c>
      <c r="O4" s="822" t="s">
        <v>284</v>
      </c>
      <c r="P4" s="821" t="s">
        <v>182</v>
      </c>
      <c r="Q4" s="825" t="s">
        <v>183</v>
      </c>
      <c r="R4" s="825" t="s">
        <v>285</v>
      </c>
      <c r="S4" s="822" t="s">
        <v>286</v>
      </c>
      <c r="T4" s="821" t="s">
        <v>287</v>
      </c>
      <c r="U4" s="825" t="s">
        <v>288</v>
      </c>
      <c r="V4" s="825" t="s">
        <v>289</v>
      </c>
      <c r="W4" s="822" t="s">
        <v>290</v>
      </c>
      <c r="X4" s="823" t="s">
        <v>170</v>
      </c>
    </row>
    <row r="5" spans="1:24" x14ac:dyDescent="0.25">
      <c r="A5" s="827">
        <v>1</v>
      </c>
      <c r="B5" s="828">
        <f ca="1">IF(ISNUMBER(System!$C4),SIGN(System!BL122),0)</f>
        <v>0</v>
      </c>
      <c r="C5" s="829">
        <f ca="1">IF(ISNUMBER(System!$C4),SIGN(System!BM122),0)</f>
        <v>0</v>
      </c>
      <c r="D5" s="830">
        <f ca="1">IF(ISNUMBER(System!$C4),System!BG122,0)</f>
        <v>100</v>
      </c>
      <c r="E5" s="831">
        <f ca="1">IF(ISNUMBER(System!$C4),System!BJ122,0)</f>
        <v>-0.6</v>
      </c>
      <c r="F5" s="832">
        <f ca="1">IF(ISNUMBER(System!$C4),System!BK122,0)</f>
        <v>0.8</v>
      </c>
      <c r="G5" s="830">
        <f ca="1">IF(F5=0,1,IF(OR(System!N4&lt;&gt;0,System!O4 &lt;&gt;0),0,1))</f>
        <v>1</v>
      </c>
      <c r="H5" s="831">
        <f ca="1">IF(AND(ISNUMBER(System!$C4),ABS(B5)+ABS(C5)&lt;&gt;0),System!BC122+$J$1*MIN($E$1,D5)*F5 - IF(AND(B5&lt;&gt;0,C5=0),1,C5)*$H$1*$E$1*E5,PlotData!$CB$3)</f>
        <v>0</v>
      </c>
      <c r="I5" s="833">
        <f ca="1">IF(AND(ISNUMBER(System!$C4),ABS(B5)+ABS(C5)&lt;&gt;0),System!BD122-$J$1*MIN($E$1,D5)*F5 - IF(AND(B5&lt;&gt;0,C5=0),1,C5)*$H$1*$E$1*E5,PlotData!$CB$3)</f>
        <v>0</v>
      </c>
      <c r="J5" s="833">
        <f ca="1">IF(AND(ISNUMBER(System!$C4),ABS(B5)+ABS(C5)&lt;&gt;0),I5 - IF(AND(B5&lt;&gt;0,C5=0),1,C5)*$E$1*E5*G5,PlotData!$CB$3)</f>
        <v>0</v>
      </c>
      <c r="K5" s="832">
        <f ca="1">IF(AND(ISNUMBER(System!$C4),ABS(B5)+ABS(C5)&lt;&gt;0),H5 - IF(AND(B5&lt;&gt;0,C5=0),1,C5)*$E$1*E5*G5,PlotData!$CB$3)</f>
        <v>0</v>
      </c>
      <c r="L5" s="831">
        <f ca="1">IF(AND(ISNUMBER(System!$C4),ABS(B5)+ABS(C5)&lt;&gt;0),H5 - IF(AND(B5&lt;&gt;0,C5=0),1,C5)*G5*$N$1*$E$1*E5*G5,PlotData!$CB$3)</f>
        <v>0</v>
      </c>
      <c r="M5" s="833">
        <f ca="1">IF(AND(ISNUMBER(System!$C4),ABS(B5)+ABS(C5)&lt;&gt;0),I5 - IF(AND(B5&lt;&gt;0,C5=0),1,C5)*G5*$N$1*$E$1*E5*G5,PlotData!$CB$3)</f>
        <v>0</v>
      </c>
      <c r="N5" s="833">
        <f ca="1">IF(AND(ISNUMBER(System!$C4),ABS(B5)+ABS(C5)&lt;&gt;0),IF(B5&gt;=0,I5,H5)-B5*$R$1*MIN(D5,$E$1)*F5,PlotData!$CB$3)</f>
        <v>0</v>
      </c>
      <c r="O5" s="832">
        <f ca="1">IF(AND(ISNUMBER(System!$C4),ABS(B5)+ABS(C5)&lt;&gt;0),IF(B5&gt;=0,J5,K5)-B5*$R$1*MIN(D5,$E$1)*F5,PlotData!$CB$3)</f>
        <v>0</v>
      </c>
      <c r="P5" s="831">
        <f ca="1">IF(AND(ISNUMBER(System!$C4),ABS(B5)+ABS(C5)&lt;&gt;0),System!BE122-$J$1*MIN($E$1,D5)*E5 - SIGN(C5+0.2)*$H$1*$E$1*F5,PlotData!$CB$4)</f>
        <v>0</v>
      </c>
      <c r="Q5" s="833">
        <f ca="1">IF(AND(ISNUMBER(System!$C4),ABS(B5)+ABS(C5)&lt;&gt;0),System!BF122+$J$1*MIN($E$1,D5)*E5 - SIGN(C5+0.2)*$H$1*$E$1*F5,PlotData!$CB$4)</f>
        <v>0</v>
      </c>
      <c r="R5" s="833">
        <f ca="1">IF(AND(ISNUMBER(System!$C4),ABS(B5)+ABS(C5)&lt;&gt;0),Q5 - SIGN(C5+0.2)*$E$1*F5,PlotData!$CB$4)</f>
        <v>0</v>
      </c>
      <c r="S5" s="832">
        <f ca="1">IF(AND(ISNUMBER(System!$C4),ABS(B5)+ABS(C5)&lt;&gt;0),P5 - SIGN(C5+0.2)*$E$1*F5,PlotData!$CB$4)</f>
        <v>0</v>
      </c>
      <c r="T5" s="831">
        <f ca="1">IF(AND(ISNUMBER(System!$C4),ABS(B5)+ABS(C5)&lt;&gt;0),P5 - SIGN(C5+0.2)*$N$1*$E$1*F5,PlotData!$CB$4)</f>
        <v>0</v>
      </c>
      <c r="U5" s="833">
        <f ca="1">IF(AND(ISNUMBER(System!$C4),ABS(B5)+ABS(C5)&lt;&gt;0),Q5 - SIGN(C5+0.2)*$N$1*$E$1*F5,PlotData!$CB$4)</f>
        <v>0</v>
      </c>
      <c r="V5" s="833">
        <f ca="1">IF(AND(ISNUMBER(System!$C4),ABS(B5)+ABS(C5)&lt;&gt;0),IF(B5&gt;=0,Q5,P5)+B5*$R$1*MIN(D5,$E$1)*E5,PlotData!$CB$4)</f>
        <v>0</v>
      </c>
      <c r="W5" s="832">
        <f ca="1">IF(AND(ISNUMBER(System!$C4),ABS(B5)+ABS(C5)&lt;&gt;0),IF(B5&gt;=0,R5,S5)+B5*$R$1*MIN(D5,$E$1)*E5,PlotData!$CB$4)</f>
        <v>0</v>
      </c>
      <c r="X5" s="830">
        <f>IF(ISNUMBER(System!$C4),SIGN(System!AG4),0)</f>
        <v>0</v>
      </c>
    </row>
    <row r="6" spans="1:24" x14ac:dyDescent="0.25">
      <c r="A6" s="827">
        <v>2</v>
      </c>
      <c r="B6" s="834">
        <f ca="1">IF(ISNUMBER(System!$C5),SIGN(System!BL123),0)</f>
        <v>0</v>
      </c>
      <c r="C6" s="835">
        <f ca="1">IF(ISNUMBER(System!$C5),SIGN(System!BM123),0)</f>
        <v>0</v>
      </c>
      <c r="D6" s="836">
        <f ca="1">IF(ISNUMBER(System!$C5),System!BG123,0)</f>
        <v>60</v>
      </c>
      <c r="E6" s="834">
        <f ca="1">IF(ISNUMBER(System!$C5),System!BJ123,0)</f>
        <v>-1</v>
      </c>
      <c r="F6" s="835">
        <f ca="1">IF(ISNUMBER(System!$C5),System!BK123,0)</f>
        <v>0</v>
      </c>
      <c r="G6" s="836">
        <f ca="1">IF(F6=0,1,IF(OR(System!N5&lt;&gt;0,System!O5 &lt;&gt;0),0,1))</f>
        <v>1</v>
      </c>
      <c r="H6" s="834">
        <f ca="1">IF(AND(ISNUMBER(System!$C5),ABS(B6)+ABS(C6)&lt;&gt;0),System!BC123+$J$1*MIN($E$1,D6)*F6 - IF(AND(B6&lt;&gt;0,C6=0),1,C6)*$H$1*$E$1*E6,PlotData!$CB$3)</f>
        <v>0</v>
      </c>
      <c r="I6" s="837">
        <f ca="1">IF(AND(ISNUMBER(System!$C5),ABS(B6)+ABS(C6)&lt;&gt;0),System!BD123-$J$1*MIN($E$1,D6)*F6 - IF(AND(B6&lt;&gt;0,C6=0),1,C6)*$H$1*$E$1*E6,PlotData!$CB$3)</f>
        <v>0</v>
      </c>
      <c r="J6" s="837">
        <f ca="1">IF(AND(ISNUMBER(System!$C5),ABS(B6)+ABS(C6)&lt;&gt;0),I6 - IF(AND(B6&lt;&gt;0,C6=0),1,C6)*$E$1*E6*G6,PlotData!$CB$3)</f>
        <v>0</v>
      </c>
      <c r="K6" s="835">
        <f ca="1">IF(AND(ISNUMBER(System!$C5),ABS(B6)+ABS(C6)&lt;&gt;0),H6 - IF(AND(B6&lt;&gt;0,C6=0),1,C6)*$E$1*E6*G6,PlotData!$CB$3)</f>
        <v>0</v>
      </c>
      <c r="L6" s="834">
        <f ca="1">IF(AND(ISNUMBER(System!$C5),ABS(B6)+ABS(C6)&lt;&gt;0),H6 - IF(AND(B6&lt;&gt;0,C6=0),1,C6)*G6*$N$1*$E$1*E6*G6,PlotData!$CB$3)</f>
        <v>0</v>
      </c>
      <c r="M6" s="837">
        <f ca="1">IF(AND(ISNUMBER(System!$C5),ABS(B6)+ABS(C6)&lt;&gt;0),I6 - IF(AND(B6&lt;&gt;0,C6=0),1,C6)*G6*$N$1*$E$1*E6*G6,PlotData!$CB$3)</f>
        <v>0</v>
      </c>
      <c r="N6" s="837">
        <f ca="1">IF(AND(ISNUMBER(System!$C5),ABS(B6)+ABS(C6)&lt;&gt;0),IF(B6&gt;=0,I6,H6)-B6*$R$1*MIN(D6,$E$1)*F6,PlotData!$CB$3)</f>
        <v>0</v>
      </c>
      <c r="O6" s="835">
        <f ca="1">IF(AND(ISNUMBER(System!$C5),ABS(B6)+ABS(C6)&lt;&gt;0),IF(B6&gt;=0,J6,K6)-B6*$R$1*MIN(D6,$E$1)*F6,PlotData!$CB$3)</f>
        <v>0</v>
      </c>
      <c r="P6" s="834">
        <f ca="1">IF(AND(ISNUMBER(System!$C5),ABS(B6)+ABS(C6)&lt;&gt;0),System!BE123-$J$1*MIN($E$1,D6)*E6 - SIGN(C6+0.2)*$H$1*$E$1*F6,PlotData!$CB$4)</f>
        <v>0</v>
      </c>
      <c r="Q6" s="837">
        <f ca="1">IF(AND(ISNUMBER(System!$C5),ABS(B6)+ABS(C6)&lt;&gt;0),System!BF123+$J$1*MIN($E$1,D6)*E6 - SIGN(C6+0.2)*$H$1*$E$1*F6,PlotData!$CB$4)</f>
        <v>0</v>
      </c>
      <c r="R6" s="837">
        <f ca="1">IF(AND(ISNUMBER(System!$C5),ABS(B6)+ABS(C6)&lt;&gt;0),Q6 - SIGN(C6+0.2)*$E$1*F6,PlotData!$CB$4)</f>
        <v>0</v>
      </c>
      <c r="S6" s="835">
        <f ca="1">IF(AND(ISNUMBER(System!$C5),ABS(B6)+ABS(C6)&lt;&gt;0),P6 - SIGN(C6+0.2)*$E$1*F6,PlotData!$CB$4)</f>
        <v>0</v>
      </c>
      <c r="T6" s="834">
        <f ca="1">IF(AND(ISNUMBER(System!$C5),ABS(B6)+ABS(C6)&lt;&gt;0),P6 - SIGN(C6+0.2)*$N$1*$E$1*F6,PlotData!$CB$4)</f>
        <v>0</v>
      </c>
      <c r="U6" s="837">
        <f ca="1">IF(AND(ISNUMBER(System!$C5),ABS(B6)+ABS(C6)&lt;&gt;0),Q6 - SIGN(C6+0.2)*$N$1*$E$1*F6,PlotData!$CB$4)</f>
        <v>0</v>
      </c>
      <c r="V6" s="837">
        <f ca="1">IF(AND(ISNUMBER(System!$C5),ABS(B6)+ABS(C6)&lt;&gt;0),IF(B6&gt;=0,Q6,P6)+B6*$R$1*MIN(D6,$E$1)*E6,PlotData!$CB$4)</f>
        <v>0</v>
      </c>
      <c r="W6" s="835">
        <f ca="1">IF(AND(ISNUMBER(System!$C5),ABS(B6)+ABS(C6)&lt;&gt;0),IF(B6&gt;=0,R6,S6)+B6*$R$1*MIN(D6,$E$1)*E6,PlotData!$CB$4)</f>
        <v>0</v>
      </c>
      <c r="X6" s="836">
        <f>IF(ISNUMBER(System!$C5),SIGN(System!AG5),0)</f>
        <v>0</v>
      </c>
    </row>
    <row r="7" spans="1:24" x14ac:dyDescent="0.25">
      <c r="A7" s="827">
        <v>3</v>
      </c>
      <c r="B7" s="834">
        <f ca="1">IF(ISNUMBER(System!$C6),SIGN(System!BL124),0)</f>
        <v>0</v>
      </c>
      <c r="C7" s="835">
        <f ca="1">IF(ISNUMBER(System!$C6),SIGN(System!BM124),0)</f>
        <v>0</v>
      </c>
      <c r="D7" s="836">
        <f ca="1">IF(ISNUMBER(System!$C6),System!BG124,0)</f>
        <v>72.111025509279784</v>
      </c>
      <c r="E7" s="834">
        <f ca="1">IF(ISNUMBER(System!$C6),System!BJ124,0)</f>
        <v>0.83205029433784372</v>
      </c>
      <c r="F7" s="835">
        <f ca="1">IF(ISNUMBER(System!$C6),System!BK124,0)</f>
        <v>0.55470019622522915</v>
      </c>
      <c r="G7" s="836">
        <f ca="1">IF(F7=0,1,IF(OR(System!N6&lt;&gt;0,System!O6 &lt;&gt;0),0,1))</f>
        <v>1</v>
      </c>
      <c r="H7" s="834">
        <f ca="1">IF(AND(ISNUMBER(System!$C6),ABS(B7)+ABS(C7)&lt;&gt;0),System!BC124+$J$1*MIN($E$1,D7)*F7 - IF(AND(B7&lt;&gt;0,C7=0),1,C7)*$H$1*$E$1*E7,PlotData!$CB$3)</f>
        <v>0</v>
      </c>
      <c r="I7" s="837">
        <f ca="1">IF(AND(ISNUMBER(System!$C6),ABS(B7)+ABS(C7)&lt;&gt;0),System!BD124-$J$1*MIN($E$1,D7)*F7 - IF(AND(B7&lt;&gt;0,C7=0),1,C7)*$H$1*$E$1*E7,PlotData!$CB$3)</f>
        <v>0</v>
      </c>
      <c r="J7" s="837">
        <f ca="1">IF(AND(ISNUMBER(System!$C6),ABS(B7)+ABS(C7)&lt;&gt;0),I7 - IF(AND(B7&lt;&gt;0,C7=0),1,C7)*$E$1*E7*G7,PlotData!$CB$3)</f>
        <v>0</v>
      </c>
      <c r="K7" s="835">
        <f ca="1">IF(AND(ISNUMBER(System!$C6),ABS(B7)+ABS(C7)&lt;&gt;0),H7 - IF(AND(B7&lt;&gt;0,C7=0),1,C7)*$E$1*E7*G7,PlotData!$CB$3)</f>
        <v>0</v>
      </c>
      <c r="L7" s="834">
        <f ca="1">IF(AND(ISNUMBER(System!$C6),ABS(B7)+ABS(C7)&lt;&gt;0),H7 - IF(AND(B7&lt;&gt;0,C7=0),1,C7)*G7*$N$1*$E$1*E7*G7,PlotData!$CB$3)</f>
        <v>0</v>
      </c>
      <c r="M7" s="837">
        <f ca="1">IF(AND(ISNUMBER(System!$C6),ABS(B7)+ABS(C7)&lt;&gt;0),I7 - IF(AND(B7&lt;&gt;0,C7=0),1,C7)*G7*$N$1*$E$1*E7*G7,PlotData!$CB$3)</f>
        <v>0</v>
      </c>
      <c r="N7" s="837">
        <f ca="1">IF(AND(ISNUMBER(System!$C6),ABS(B7)+ABS(C7)&lt;&gt;0),IF(B7&gt;=0,I7,H7)-B7*$R$1*MIN(D7,$E$1)*F7,PlotData!$CB$3)</f>
        <v>0</v>
      </c>
      <c r="O7" s="835">
        <f ca="1">IF(AND(ISNUMBER(System!$C6),ABS(B7)+ABS(C7)&lt;&gt;0),IF(B7&gt;=0,J7,K7)-B7*$R$1*MIN(D7,$E$1)*F7,PlotData!$CB$3)</f>
        <v>0</v>
      </c>
      <c r="P7" s="834">
        <f ca="1">IF(AND(ISNUMBER(System!$C6),ABS(B7)+ABS(C7)&lt;&gt;0),System!BE124-$J$1*MIN($E$1,D7)*E7 - SIGN(C7+0.2)*$H$1*$E$1*F7,PlotData!$CB$4)</f>
        <v>0</v>
      </c>
      <c r="Q7" s="837">
        <f ca="1">IF(AND(ISNUMBER(System!$C6),ABS(B7)+ABS(C7)&lt;&gt;0),System!BF124+$J$1*MIN($E$1,D7)*E7 - SIGN(C7+0.2)*$H$1*$E$1*F7,PlotData!$CB$4)</f>
        <v>0</v>
      </c>
      <c r="R7" s="837">
        <f ca="1">IF(AND(ISNUMBER(System!$C6),ABS(B7)+ABS(C7)&lt;&gt;0),Q7 - SIGN(C7+0.2)*$E$1*F7,PlotData!$CB$4)</f>
        <v>0</v>
      </c>
      <c r="S7" s="835">
        <f ca="1">IF(AND(ISNUMBER(System!$C6),ABS(B7)+ABS(C7)&lt;&gt;0),P7 - SIGN(C7+0.2)*$E$1*F7,PlotData!$CB$4)</f>
        <v>0</v>
      </c>
      <c r="T7" s="834">
        <f ca="1">IF(AND(ISNUMBER(System!$C6),ABS(B7)+ABS(C7)&lt;&gt;0),P7 - SIGN(C7+0.2)*$N$1*$E$1*F7,PlotData!$CB$4)</f>
        <v>0</v>
      </c>
      <c r="U7" s="837">
        <f ca="1">IF(AND(ISNUMBER(System!$C6),ABS(B7)+ABS(C7)&lt;&gt;0),Q7 - SIGN(C7+0.2)*$N$1*$E$1*F7,PlotData!$CB$4)</f>
        <v>0</v>
      </c>
      <c r="V7" s="837">
        <f ca="1">IF(AND(ISNUMBER(System!$C6),ABS(B7)+ABS(C7)&lt;&gt;0),IF(B7&gt;=0,Q7,P7)+B7*$R$1*MIN(D7,$E$1)*E7,PlotData!$CB$4)</f>
        <v>0</v>
      </c>
      <c r="W7" s="835">
        <f ca="1">IF(AND(ISNUMBER(System!$C6),ABS(B7)+ABS(C7)&lt;&gt;0),IF(B7&gt;=0,R7,S7)+B7*$R$1*MIN(D7,$E$1)*E7,PlotData!$CB$4)</f>
        <v>0</v>
      </c>
      <c r="X7" s="836">
        <f>IF(ISNUMBER(System!$C6),SIGN(System!AG6),0)</f>
        <v>0</v>
      </c>
    </row>
    <row r="8" spans="1:24" x14ac:dyDescent="0.25">
      <c r="A8" s="827">
        <v>4</v>
      </c>
      <c r="B8" s="834">
        <f ca="1">IF(ISNUMBER(System!$C7),SIGN(System!BL125),0)</f>
        <v>0</v>
      </c>
      <c r="C8" s="835">
        <f ca="1">IF(ISNUMBER(System!$C7),SIGN(System!BM125),0)</f>
        <v>0</v>
      </c>
      <c r="D8" s="836">
        <f ca="1">IF(ISNUMBER(System!$C7),System!BG125,0)</f>
        <v>76.157731058639087</v>
      </c>
      <c r="E8" s="834">
        <f ca="1">IF(ISNUMBER(System!$C7),System!BJ125,0)</f>
        <v>0.39391929857916763</v>
      </c>
      <c r="F8" s="835">
        <f ca="1">IF(ISNUMBER(System!$C7),System!BK125,0)</f>
        <v>-0.91914503001805781</v>
      </c>
      <c r="G8" s="836">
        <f ca="1">IF(F8=0,1,IF(OR(System!N7&lt;&gt;0,System!O7 &lt;&gt;0),0,1))</f>
        <v>1</v>
      </c>
      <c r="H8" s="834">
        <f ca="1">IF(AND(ISNUMBER(System!$C7),ABS(B8)+ABS(C8)&lt;&gt;0),System!BC125+$J$1*MIN($E$1,D8)*F8 - IF(AND(B8&lt;&gt;0,C8=0),1,C8)*$H$1*$E$1*E8,PlotData!$CB$3)</f>
        <v>0</v>
      </c>
      <c r="I8" s="837">
        <f ca="1">IF(AND(ISNUMBER(System!$C7),ABS(B8)+ABS(C8)&lt;&gt;0),System!BD125-$J$1*MIN($E$1,D8)*F8 - IF(AND(B8&lt;&gt;0,C8=0),1,C8)*$H$1*$E$1*E8,PlotData!$CB$3)</f>
        <v>0</v>
      </c>
      <c r="J8" s="837">
        <f ca="1">IF(AND(ISNUMBER(System!$C7),ABS(B8)+ABS(C8)&lt;&gt;0),I8 - IF(AND(B8&lt;&gt;0,C8=0),1,C8)*$E$1*E8*G8,PlotData!$CB$3)</f>
        <v>0</v>
      </c>
      <c r="K8" s="835">
        <f ca="1">IF(AND(ISNUMBER(System!$C7),ABS(B8)+ABS(C8)&lt;&gt;0),H8 - IF(AND(B8&lt;&gt;0,C8=0),1,C8)*$E$1*E8*G8,PlotData!$CB$3)</f>
        <v>0</v>
      </c>
      <c r="L8" s="834">
        <f ca="1">IF(AND(ISNUMBER(System!$C7),ABS(B8)+ABS(C8)&lt;&gt;0),H8 - IF(AND(B8&lt;&gt;0,C8=0),1,C8)*G8*$N$1*$E$1*E8*G8,PlotData!$CB$3)</f>
        <v>0</v>
      </c>
      <c r="M8" s="837">
        <f ca="1">IF(AND(ISNUMBER(System!$C7),ABS(B8)+ABS(C8)&lt;&gt;0),I8 - IF(AND(B8&lt;&gt;0,C8=0),1,C8)*G8*$N$1*$E$1*E8*G8,PlotData!$CB$3)</f>
        <v>0</v>
      </c>
      <c r="N8" s="837">
        <f ca="1">IF(AND(ISNUMBER(System!$C7),ABS(B8)+ABS(C8)&lt;&gt;0),IF(B8&gt;=0,I8,H8)-B8*$R$1*MIN(D8,$E$1)*F8,PlotData!$CB$3)</f>
        <v>0</v>
      </c>
      <c r="O8" s="835">
        <f ca="1">IF(AND(ISNUMBER(System!$C7),ABS(B8)+ABS(C8)&lt;&gt;0),IF(B8&gt;=0,J8,K8)-B8*$R$1*MIN(D8,$E$1)*F8,PlotData!$CB$3)</f>
        <v>0</v>
      </c>
      <c r="P8" s="834">
        <f ca="1">IF(AND(ISNUMBER(System!$C7),ABS(B8)+ABS(C8)&lt;&gt;0),System!BE125-$J$1*MIN($E$1,D8)*E8 - SIGN(C8+0.2)*$H$1*$E$1*F8,PlotData!$CB$4)</f>
        <v>0</v>
      </c>
      <c r="Q8" s="837">
        <f ca="1">IF(AND(ISNUMBER(System!$C7),ABS(B8)+ABS(C8)&lt;&gt;0),System!BF125+$J$1*MIN($E$1,D8)*E8 - SIGN(C8+0.2)*$H$1*$E$1*F8,PlotData!$CB$4)</f>
        <v>0</v>
      </c>
      <c r="R8" s="837">
        <f ca="1">IF(AND(ISNUMBER(System!$C7),ABS(B8)+ABS(C8)&lt;&gt;0),Q8 - SIGN(C8+0.2)*$E$1*F8,PlotData!$CB$4)</f>
        <v>0</v>
      </c>
      <c r="S8" s="835">
        <f ca="1">IF(AND(ISNUMBER(System!$C7),ABS(B8)+ABS(C8)&lt;&gt;0),P8 - SIGN(C8+0.2)*$E$1*F8,PlotData!$CB$4)</f>
        <v>0</v>
      </c>
      <c r="T8" s="834">
        <f ca="1">IF(AND(ISNUMBER(System!$C7),ABS(B8)+ABS(C8)&lt;&gt;0),P8 - SIGN(C8+0.2)*$N$1*$E$1*F8,PlotData!$CB$4)</f>
        <v>0</v>
      </c>
      <c r="U8" s="837">
        <f ca="1">IF(AND(ISNUMBER(System!$C7),ABS(B8)+ABS(C8)&lt;&gt;0),Q8 - SIGN(C8+0.2)*$N$1*$E$1*F8,PlotData!$CB$4)</f>
        <v>0</v>
      </c>
      <c r="V8" s="837">
        <f ca="1">IF(AND(ISNUMBER(System!$C7),ABS(B8)+ABS(C8)&lt;&gt;0),IF(B8&gt;=0,Q8,P8)+B8*$R$1*MIN(D8,$E$1)*E8,PlotData!$CB$4)</f>
        <v>0</v>
      </c>
      <c r="W8" s="835">
        <f ca="1">IF(AND(ISNUMBER(System!$C7),ABS(B8)+ABS(C8)&lt;&gt;0),IF(B8&gt;=0,R8,S8)+B8*$R$1*MIN(D8,$E$1)*E8,PlotData!$CB$4)</f>
        <v>0</v>
      </c>
      <c r="X8" s="836">
        <f>IF(ISNUMBER(System!$C7),SIGN(System!AG7),0)</f>
        <v>0</v>
      </c>
    </row>
    <row r="9" spans="1:24" x14ac:dyDescent="0.25">
      <c r="A9" s="827">
        <v>5</v>
      </c>
      <c r="B9" s="834">
        <f ca="1">IF(ISNUMBER(System!$C8),SIGN(System!BL126),0)</f>
        <v>0</v>
      </c>
      <c r="C9" s="835">
        <f ca="1">IF(ISNUMBER(System!$C8),SIGN(System!BM126),0)</f>
        <v>0</v>
      </c>
      <c r="D9" s="836">
        <f ca="1">IF(ISNUMBER(System!$C8),System!BG126,0)</f>
        <v>184.39088914585776</v>
      </c>
      <c r="E9" s="834">
        <f ca="1">IF(ISNUMBER(System!$C8),System!BJ126,0)</f>
        <v>-0.75925660236529657</v>
      </c>
      <c r="F9" s="835">
        <f ca="1">IF(ISNUMBER(System!$C8),System!BK126,0)</f>
        <v>-0.65079137345596849</v>
      </c>
      <c r="G9" s="836">
        <f ca="1">IF(F9=0,1,IF(OR(System!N8&lt;&gt;0,System!O8 &lt;&gt;0),0,1))</f>
        <v>1</v>
      </c>
      <c r="H9" s="834">
        <f ca="1">IF(AND(ISNUMBER(System!$C8),ABS(B9)+ABS(C9)&lt;&gt;0),System!BC126+$J$1*MIN($E$1,D9)*F9 - IF(AND(B9&lt;&gt;0,C9=0),1,C9)*$H$1*$E$1*E9,PlotData!$CB$3)</f>
        <v>0</v>
      </c>
      <c r="I9" s="837">
        <f ca="1">IF(AND(ISNUMBER(System!$C8),ABS(B9)+ABS(C9)&lt;&gt;0),System!BD126-$J$1*MIN($E$1,D9)*F9 - IF(AND(B9&lt;&gt;0,C9=0),1,C9)*$H$1*$E$1*E9,PlotData!$CB$3)</f>
        <v>0</v>
      </c>
      <c r="J9" s="837">
        <f ca="1">IF(AND(ISNUMBER(System!$C8),ABS(B9)+ABS(C9)&lt;&gt;0),I9 - IF(AND(B9&lt;&gt;0,C9=0),1,C9)*$E$1*E9*G9,PlotData!$CB$3)</f>
        <v>0</v>
      </c>
      <c r="K9" s="835">
        <f ca="1">IF(AND(ISNUMBER(System!$C8),ABS(B9)+ABS(C9)&lt;&gt;0),H9 - IF(AND(B9&lt;&gt;0,C9=0),1,C9)*$E$1*E9*G9,PlotData!$CB$3)</f>
        <v>0</v>
      </c>
      <c r="L9" s="834">
        <f ca="1">IF(AND(ISNUMBER(System!$C8),ABS(B9)+ABS(C9)&lt;&gt;0),H9 - IF(AND(B9&lt;&gt;0,C9=0),1,C9)*G9*$N$1*$E$1*E9*G9,PlotData!$CB$3)</f>
        <v>0</v>
      </c>
      <c r="M9" s="837">
        <f ca="1">IF(AND(ISNUMBER(System!$C8),ABS(B9)+ABS(C9)&lt;&gt;0),I9 - IF(AND(B9&lt;&gt;0,C9=0),1,C9)*G9*$N$1*$E$1*E9*G9,PlotData!$CB$3)</f>
        <v>0</v>
      </c>
      <c r="N9" s="837">
        <f ca="1">IF(AND(ISNUMBER(System!$C8),ABS(B9)+ABS(C9)&lt;&gt;0),IF(B9&gt;=0,I9,H9)-B9*$R$1*MIN(D9,$E$1)*F9,PlotData!$CB$3)</f>
        <v>0</v>
      </c>
      <c r="O9" s="835">
        <f ca="1">IF(AND(ISNUMBER(System!$C8),ABS(B9)+ABS(C9)&lt;&gt;0),IF(B9&gt;=0,J9,K9)-B9*$R$1*MIN(D9,$E$1)*F9,PlotData!$CB$3)</f>
        <v>0</v>
      </c>
      <c r="P9" s="834">
        <f ca="1">IF(AND(ISNUMBER(System!$C8),ABS(B9)+ABS(C9)&lt;&gt;0),System!BE126-$J$1*MIN($E$1,D9)*E9 - SIGN(C9+0.2)*$H$1*$E$1*F9,PlotData!$CB$4)</f>
        <v>0</v>
      </c>
      <c r="Q9" s="837">
        <f ca="1">IF(AND(ISNUMBER(System!$C8),ABS(B9)+ABS(C9)&lt;&gt;0),System!BF126+$J$1*MIN($E$1,D9)*E9 - SIGN(C9+0.2)*$H$1*$E$1*F9,PlotData!$CB$4)</f>
        <v>0</v>
      </c>
      <c r="R9" s="837">
        <f ca="1">IF(AND(ISNUMBER(System!$C8),ABS(B9)+ABS(C9)&lt;&gt;0),Q9 - SIGN(C9+0.2)*$E$1*F9,PlotData!$CB$4)</f>
        <v>0</v>
      </c>
      <c r="S9" s="835">
        <f ca="1">IF(AND(ISNUMBER(System!$C8),ABS(B9)+ABS(C9)&lt;&gt;0),P9 - SIGN(C9+0.2)*$E$1*F9,PlotData!$CB$4)</f>
        <v>0</v>
      </c>
      <c r="T9" s="834">
        <f ca="1">IF(AND(ISNUMBER(System!$C8),ABS(B9)+ABS(C9)&lt;&gt;0),P9 - SIGN(C9+0.2)*$N$1*$E$1*F9,PlotData!$CB$4)</f>
        <v>0</v>
      </c>
      <c r="U9" s="837">
        <f ca="1">IF(AND(ISNUMBER(System!$C8),ABS(B9)+ABS(C9)&lt;&gt;0),Q9 - SIGN(C9+0.2)*$N$1*$E$1*F9,PlotData!$CB$4)</f>
        <v>0</v>
      </c>
      <c r="V9" s="837">
        <f ca="1">IF(AND(ISNUMBER(System!$C8),ABS(B9)+ABS(C9)&lt;&gt;0),IF(B9&gt;=0,Q9,P9)+B9*$R$1*MIN(D9,$E$1)*E9,PlotData!$CB$4)</f>
        <v>0</v>
      </c>
      <c r="W9" s="835">
        <f ca="1">IF(AND(ISNUMBER(System!$C8),ABS(B9)+ABS(C9)&lt;&gt;0),IF(B9&gt;=0,R9,S9)+B9*$R$1*MIN(D9,$E$1)*E9,PlotData!$CB$4)</f>
        <v>0</v>
      </c>
      <c r="X9" s="836">
        <f>IF(ISNUMBER(System!$C8),SIGN(System!AG8),0)</f>
        <v>0</v>
      </c>
    </row>
    <row r="10" spans="1:24" x14ac:dyDescent="0.25">
      <c r="A10" s="827">
        <v>6</v>
      </c>
      <c r="B10" s="834">
        <f>IF(ISNUMBER(System!$C9),SIGN(System!BL127),0)</f>
        <v>0</v>
      </c>
      <c r="C10" s="835">
        <f>IF(ISNUMBER(System!$C9),SIGN(System!BM127),0)</f>
        <v>0</v>
      </c>
      <c r="D10" s="836">
        <f>IF(ISNUMBER(System!$C9),System!BG127,0)</f>
        <v>0</v>
      </c>
      <c r="E10" s="834">
        <f>IF(ISNUMBER(System!$C9),System!BJ127,0)</f>
        <v>0</v>
      </c>
      <c r="F10" s="835">
        <f>IF(ISNUMBER(System!$C9),System!BK127,0)</f>
        <v>0</v>
      </c>
      <c r="G10" s="836">
        <f>IF(F10=0,1,IF(OR(System!N9&lt;&gt;0,System!O9 &lt;&gt;0),0,1))</f>
        <v>1</v>
      </c>
      <c r="H10" s="834">
        <f>IF(AND(ISNUMBER(System!$C9),ABS(B10)+ABS(C10)&lt;&gt;0),System!BC127+$J$1*MIN($E$1,D10)*F10 - IF(AND(B10&lt;&gt;0,C10=0),1,C10)*$H$1*$E$1*E10,PlotData!$CB$3)</f>
        <v>0</v>
      </c>
      <c r="I10" s="837">
        <f>IF(AND(ISNUMBER(System!$C9),ABS(B10)+ABS(C10)&lt;&gt;0),System!BD127-$J$1*MIN($E$1,D10)*F10 - IF(AND(B10&lt;&gt;0,C10=0),1,C10)*$H$1*$E$1*E10,PlotData!$CB$3)</f>
        <v>0</v>
      </c>
      <c r="J10" s="837">
        <f>IF(AND(ISNUMBER(System!$C9),ABS(B10)+ABS(C10)&lt;&gt;0),I10 - IF(AND(B10&lt;&gt;0,C10=0),1,C10)*$E$1*E10*G10,PlotData!$CB$3)</f>
        <v>0</v>
      </c>
      <c r="K10" s="835">
        <f>IF(AND(ISNUMBER(System!$C9),ABS(B10)+ABS(C10)&lt;&gt;0),H10 - IF(AND(B10&lt;&gt;0,C10=0),1,C10)*$E$1*E10*G10,PlotData!$CB$3)</f>
        <v>0</v>
      </c>
      <c r="L10" s="834">
        <f>IF(AND(ISNUMBER(System!$C9),ABS(B10)+ABS(C10)&lt;&gt;0),H10 - IF(AND(B10&lt;&gt;0,C10=0),1,C10)*G10*$N$1*$E$1*E10*G10,PlotData!$CB$3)</f>
        <v>0</v>
      </c>
      <c r="M10" s="837">
        <f>IF(AND(ISNUMBER(System!$C9),ABS(B10)+ABS(C10)&lt;&gt;0),I10 - IF(AND(B10&lt;&gt;0,C10=0),1,C10)*G10*$N$1*$E$1*E10*G10,PlotData!$CB$3)</f>
        <v>0</v>
      </c>
      <c r="N10" s="837">
        <f>IF(AND(ISNUMBER(System!$C9),ABS(B10)+ABS(C10)&lt;&gt;0),IF(B10&gt;=0,I10,H10)-B10*$R$1*MIN(D10,$E$1)*F10,PlotData!$CB$3)</f>
        <v>0</v>
      </c>
      <c r="O10" s="835">
        <f>IF(AND(ISNUMBER(System!$C9),ABS(B10)+ABS(C10)&lt;&gt;0),IF(B10&gt;=0,J10,K10)-B10*$R$1*MIN(D10,$E$1)*F10,PlotData!$CB$3)</f>
        <v>0</v>
      </c>
      <c r="P10" s="834">
        <f>IF(AND(ISNUMBER(System!$C9),ABS(B10)+ABS(C10)&lt;&gt;0),System!BE127-$J$1*MIN($E$1,D10)*E10 - SIGN(C10+0.2)*$H$1*$E$1*F10,PlotData!$CB$4)</f>
        <v>0</v>
      </c>
      <c r="Q10" s="837">
        <f>IF(AND(ISNUMBER(System!$C9),ABS(B10)+ABS(C10)&lt;&gt;0),System!BF127+$J$1*MIN($E$1,D10)*E10 - SIGN(C10+0.2)*$H$1*$E$1*F10,PlotData!$CB$4)</f>
        <v>0</v>
      </c>
      <c r="R10" s="837">
        <f>IF(AND(ISNUMBER(System!$C9),ABS(B10)+ABS(C10)&lt;&gt;0),Q10 - SIGN(C10+0.2)*$E$1*F10,PlotData!$CB$4)</f>
        <v>0</v>
      </c>
      <c r="S10" s="835">
        <f>IF(AND(ISNUMBER(System!$C9),ABS(B10)+ABS(C10)&lt;&gt;0),P10 - SIGN(C10+0.2)*$E$1*F10,PlotData!$CB$4)</f>
        <v>0</v>
      </c>
      <c r="T10" s="834">
        <f>IF(AND(ISNUMBER(System!$C9),ABS(B10)+ABS(C10)&lt;&gt;0),P10 - SIGN(C10+0.2)*$N$1*$E$1*F10,PlotData!$CB$4)</f>
        <v>0</v>
      </c>
      <c r="U10" s="837">
        <f>IF(AND(ISNUMBER(System!$C9),ABS(B10)+ABS(C10)&lt;&gt;0),Q10 - SIGN(C10+0.2)*$N$1*$E$1*F10,PlotData!$CB$4)</f>
        <v>0</v>
      </c>
      <c r="V10" s="837">
        <f>IF(AND(ISNUMBER(System!$C9),ABS(B10)+ABS(C10)&lt;&gt;0),IF(B10&gt;=0,Q10,P10)+B10*$R$1*MIN(D10,$E$1)*E10,PlotData!$CB$4)</f>
        <v>0</v>
      </c>
      <c r="W10" s="835">
        <f>IF(AND(ISNUMBER(System!$C9),ABS(B10)+ABS(C10)&lt;&gt;0),IF(B10&gt;=0,R10,S10)+B10*$R$1*MIN(D10,$E$1)*E10,PlotData!$CB$4)</f>
        <v>0</v>
      </c>
      <c r="X10" s="836">
        <f>IF(ISNUMBER(System!$C9),SIGN(System!AG9),0)</f>
        <v>0</v>
      </c>
    </row>
    <row r="11" spans="1:24" x14ac:dyDescent="0.25">
      <c r="A11" s="827">
        <v>7</v>
      </c>
      <c r="B11" s="834">
        <f>IF(ISNUMBER(System!$C10),SIGN(System!BL128),0)</f>
        <v>0</v>
      </c>
      <c r="C11" s="835">
        <f>IF(ISNUMBER(System!$C10),SIGN(System!BM128),0)</f>
        <v>0</v>
      </c>
      <c r="D11" s="836">
        <f>IF(ISNUMBER(System!$C10),System!BG128,0)</f>
        <v>0</v>
      </c>
      <c r="E11" s="834">
        <f>IF(ISNUMBER(System!$C10),System!BJ128,0)</f>
        <v>0</v>
      </c>
      <c r="F11" s="835">
        <f>IF(ISNUMBER(System!$C10),System!BK128,0)</f>
        <v>0</v>
      </c>
      <c r="G11" s="836">
        <f>IF(F11=0,1,IF(OR(System!N10&lt;&gt;0,System!O10 &lt;&gt;0),0,1))</f>
        <v>1</v>
      </c>
      <c r="H11" s="834">
        <f>IF(AND(ISNUMBER(System!$C10),ABS(B11)+ABS(C11)&lt;&gt;0),System!BC128+$J$1*MIN($E$1,D11)*F11 - IF(AND(B11&lt;&gt;0,C11=0),1,C11)*$H$1*$E$1*E11,PlotData!$CB$3)</f>
        <v>0</v>
      </c>
      <c r="I11" s="837">
        <f>IF(AND(ISNUMBER(System!$C10),ABS(B11)+ABS(C11)&lt;&gt;0),System!BD128-$J$1*MIN($E$1,D11)*F11 - IF(AND(B11&lt;&gt;0,C11=0),1,C11)*$H$1*$E$1*E11,PlotData!$CB$3)</f>
        <v>0</v>
      </c>
      <c r="J11" s="837">
        <f>IF(AND(ISNUMBER(System!$C10),ABS(B11)+ABS(C11)&lt;&gt;0),I11 - IF(AND(B11&lt;&gt;0,C11=0),1,C11)*$E$1*E11*G11,PlotData!$CB$3)</f>
        <v>0</v>
      </c>
      <c r="K11" s="835">
        <f>IF(AND(ISNUMBER(System!$C10),ABS(B11)+ABS(C11)&lt;&gt;0),H11 - IF(AND(B11&lt;&gt;0,C11=0),1,C11)*$E$1*E11*G11,PlotData!$CB$3)</f>
        <v>0</v>
      </c>
      <c r="L11" s="834">
        <f>IF(AND(ISNUMBER(System!$C10),ABS(B11)+ABS(C11)&lt;&gt;0),H11 - IF(AND(B11&lt;&gt;0,C11=0),1,C11)*G11*$N$1*$E$1*E11*G11,PlotData!$CB$3)</f>
        <v>0</v>
      </c>
      <c r="M11" s="837">
        <f>IF(AND(ISNUMBER(System!$C10),ABS(B11)+ABS(C11)&lt;&gt;0),I11 - IF(AND(B11&lt;&gt;0,C11=0),1,C11)*G11*$N$1*$E$1*E11*G11,PlotData!$CB$3)</f>
        <v>0</v>
      </c>
      <c r="N11" s="837">
        <f>IF(AND(ISNUMBER(System!$C10),ABS(B11)+ABS(C11)&lt;&gt;0),IF(B11&gt;=0,I11,H11)-B11*$R$1*MIN(D11,$E$1)*F11,PlotData!$CB$3)</f>
        <v>0</v>
      </c>
      <c r="O11" s="835">
        <f>IF(AND(ISNUMBER(System!$C10),ABS(B11)+ABS(C11)&lt;&gt;0),IF(B11&gt;=0,J11,K11)-B11*$R$1*MIN(D11,$E$1)*F11,PlotData!$CB$3)</f>
        <v>0</v>
      </c>
      <c r="P11" s="834">
        <f>IF(AND(ISNUMBER(System!$C10),ABS(B11)+ABS(C11)&lt;&gt;0),System!BE128-$J$1*MIN($E$1,D11)*E11 - SIGN(C11+0.2)*$H$1*$E$1*F11,PlotData!$CB$4)</f>
        <v>0</v>
      </c>
      <c r="Q11" s="837">
        <f>IF(AND(ISNUMBER(System!$C10),ABS(B11)+ABS(C11)&lt;&gt;0),System!BF128+$J$1*MIN($E$1,D11)*E11 - SIGN(C11+0.2)*$H$1*$E$1*F11,PlotData!$CB$4)</f>
        <v>0</v>
      </c>
      <c r="R11" s="837">
        <f>IF(AND(ISNUMBER(System!$C10),ABS(B11)+ABS(C11)&lt;&gt;0),Q11 - SIGN(C11+0.2)*$E$1*F11,PlotData!$CB$4)</f>
        <v>0</v>
      </c>
      <c r="S11" s="835">
        <f>IF(AND(ISNUMBER(System!$C10),ABS(B11)+ABS(C11)&lt;&gt;0),P11 - SIGN(C11+0.2)*$E$1*F11,PlotData!$CB$4)</f>
        <v>0</v>
      </c>
      <c r="T11" s="834">
        <f>IF(AND(ISNUMBER(System!$C10),ABS(B11)+ABS(C11)&lt;&gt;0),P11 - SIGN(C11+0.2)*$N$1*$E$1*F11,PlotData!$CB$4)</f>
        <v>0</v>
      </c>
      <c r="U11" s="837">
        <f>IF(AND(ISNUMBER(System!$C10),ABS(B11)+ABS(C11)&lt;&gt;0),Q11 - SIGN(C11+0.2)*$N$1*$E$1*F11,PlotData!$CB$4)</f>
        <v>0</v>
      </c>
      <c r="V11" s="837">
        <f>IF(AND(ISNUMBER(System!$C10),ABS(B11)+ABS(C11)&lt;&gt;0),IF(B11&gt;=0,Q11,P11)+B11*$R$1*MIN(D11,$E$1)*E11,PlotData!$CB$4)</f>
        <v>0</v>
      </c>
      <c r="W11" s="835">
        <f>IF(AND(ISNUMBER(System!$C10),ABS(B11)+ABS(C11)&lt;&gt;0),IF(B11&gt;=0,R11,S11)+B11*$R$1*MIN(D11,$E$1)*E11,PlotData!$CB$4)</f>
        <v>0</v>
      </c>
      <c r="X11" s="836">
        <f>IF(ISNUMBER(System!$C10),SIGN(System!AG10),0)</f>
        <v>0</v>
      </c>
    </row>
    <row r="12" spans="1:24" x14ac:dyDescent="0.25">
      <c r="A12" s="827">
        <v>8</v>
      </c>
      <c r="B12" s="834">
        <f>IF(ISNUMBER(System!$C11),SIGN(System!BL129),0)</f>
        <v>0</v>
      </c>
      <c r="C12" s="835">
        <f>IF(ISNUMBER(System!$C11),SIGN(System!BM129),0)</f>
        <v>0</v>
      </c>
      <c r="D12" s="836">
        <f>IF(ISNUMBER(System!$C11),System!BG129,0)</f>
        <v>0</v>
      </c>
      <c r="E12" s="834">
        <f>IF(ISNUMBER(System!$C11),System!BJ129,0)</f>
        <v>0</v>
      </c>
      <c r="F12" s="835">
        <f>IF(ISNUMBER(System!$C11),System!BK129,0)</f>
        <v>0</v>
      </c>
      <c r="G12" s="836">
        <f>IF(F12=0,1,IF(OR(System!N11&lt;&gt;0,System!O11 &lt;&gt;0),0,1))</f>
        <v>1</v>
      </c>
      <c r="H12" s="834">
        <f>IF(AND(ISNUMBER(System!$C11),ABS(B12)+ABS(C12)&lt;&gt;0),System!BC129+$J$1*MIN($E$1,D12)*F12 - IF(AND(B12&lt;&gt;0,C12=0),1,C12)*$H$1*$E$1*E12,PlotData!$CB$3)</f>
        <v>0</v>
      </c>
      <c r="I12" s="837">
        <f>IF(AND(ISNUMBER(System!$C11),ABS(B12)+ABS(C12)&lt;&gt;0),System!BD129-$J$1*MIN($E$1,D12)*F12 - IF(AND(B12&lt;&gt;0,C12=0),1,C12)*$H$1*$E$1*E12,PlotData!$CB$3)</f>
        <v>0</v>
      </c>
      <c r="J12" s="837">
        <f>IF(AND(ISNUMBER(System!$C11),ABS(B12)+ABS(C12)&lt;&gt;0),I12 - IF(AND(B12&lt;&gt;0,C12=0),1,C12)*$E$1*E12*G12,PlotData!$CB$3)</f>
        <v>0</v>
      </c>
      <c r="K12" s="835">
        <f>IF(AND(ISNUMBER(System!$C11),ABS(B12)+ABS(C12)&lt;&gt;0),H12 - IF(AND(B12&lt;&gt;0,C12=0),1,C12)*$E$1*E12*G12,PlotData!$CB$3)</f>
        <v>0</v>
      </c>
      <c r="L12" s="834">
        <f>IF(AND(ISNUMBER(System!$C11),ABS(B12)+ABS(C12)&lt;&gt;0),H12 - IF(AND(B12&lt;&gt;0,C12=0),1,C12)*G12*$N$1*$E$1*E12*G12,PlotData!$CB$3)</f>
        <v>0</v>
      </c>
      <c r="M12" s="837">
        <f>IF(AND(ISNUMBER(System!$C11),ABS(B12)+ABS(C12)&lt;&gt;0),I12 - IF(AND(B12&lt;&gt;0,C12=0),1,C12)*G12*$N$1*$E$1*E12*G12,PlotData!$CB$3)</f>
        <v>0</v>
      </c>
      <c r="N12" s="837">
        <f>IF(AND(ISNUMBER(System!$C11),ABS(B12)+ABS(C12)&lt;&gt;0),IF(B12&gt;=0,I12,H12)-B12*$R$1*MIN(D12,$E$1)*F12,PlotData!$CB$3)</f>
        <v>0</v>
      </c>
      <c r="O12" s="835">
        <f>IF(AND(ISNUMBER(System!$C11),ABS(B12)+ABS(C12)&lt;&gt;0),IF(B12&gt;=0,J12,K12)-B12*$R$1*MIN(D12,$E$1)*F12,PlotData!$CB$3)</f>
        <v>0</v>
      </c>
      <c r="P12" s="834">
        <f>IF(AND(ISNUMBER(System!$C11),ABS(B12)+ABS(C12)&lt;&gt;0),System!BE129-$J$1*MIN($E$1,D12)*E12 - SIGN(C12+0.2)*$H$1*$E$1*F12,PlotData!$CB$4)</f>
        <v>0</v>
      </c>
      <c r="Q12" s="837">
        <f>IF(AND(ISNUMBER(System!$C11),ABS(B12)+ABS(C12)&lt;&gt;0),System!BF129+$J$1*MIN($E$1,D12)*E12 - SIGN(C12+0.2)*$H$1*$E$1*F12,PlotData!$CB$4)</f>
        <v>0</v>
      </c>
      <c r="R12" s="837">
        <f>IF(AND(ISNUMBER(System!$C11),ABS(B12)+ABS(C12)&lt;&gt;0),Q12 - SIGN(C12+0.2)*$E$1*F12,PlotData!$CB$4)</f>
        <v>0</v>
      </c>
      <c r="S12" s="835">
        <f>IF(AND(ISNUMBER(System!$C11),ABS(B12)+ABS(C12)&lt;&gt;0),P12 - SIGN(C12+0.2)*$E$1*F12,PlotData!$CB$4)</f>
        <v>0</v>
      </c>
      <c r="T12" s="834">
        <f>IF(AND(ISNUMBER(System!$C11),ABS(B12)+ABS(C12)&lt;&gt;0),P12 - SIGN(C12+0.2)*$N$1*$E$1*F12,PlotData!$CB$4)</f>
        <v>0</v>
      </c>
      <c r="U12" s="837">
        <f>IF(AND(ISNUMBER(System!$C11),ABS(B12)+ABS(C12)&lt;&gt;0),Q12 - SIGN(C12+0.2)*$N$1*$E$1*F12,PlotData!$CB$4)</f>
        <v>0</v>
      </c>
      <c r="V12" s="837">
        <f>IF(AND(ISNUMBER(System!$C11),ABS(B12)+ABS(C12)&lt;&gt;0),IF(B12&gt;=0,Q12,P12)+B12*$R$1*MIN(D12,$E$1)*E12,PlotData!$CB$4)</f>
        <v>0</v>
      </c>
      <c r="W12" s="835">
        <f>IF(AND(ISNUMBER(System!$C11),ABS(B12)+ABS(C12)&lt;&gt;0),IF(B12&gt;=0,R12,S12)+B12*$R$1*MIN(D12,$E$1)*E12,PlotData!$CB$4)</f>
        <v>0</v>
      </c>
      <c r="X12" s="836">
        <f>IF(ISNUMBER(System!$C11),SIGN(System!AG11),0)</f>
        <v>0</v>
      </c>
    </row>
    <row r="13" spans="1:24" x14ac:dyDescent="0.25">
      <c r="A13" s="827">
        <v>9</v>
      </c>
      <c r="B13" s="834">
        <f>IF(ISNUMBER(System!$C12),SIGN(System!BL130),0)</f>
        <v>0</v>
      </c>
      <c r="C13" s="835">
        <f>IF(ISNUMBER(System!$C12),SIGN(System!BM130),0)</f>
        <v>0</v>
      </c>
      <c r="D13" s="836">
        <f>IF(ISNUMBER(System!$C12),System!BG130,0)</f>
        <v>0</v>
      </c>
      <c r="E13" s="834">
        <f>IF(ISNUMBER(System!$C12),System!BJ130,0)</f>
        <v>0</v>
      </c>
      <c r="F13" s="835">
        <f>IF(ISNUMBER(System!$C12),System!BK130,0)</f>
        <v>0</v>
      </c>
      <c r="G13" s="836">
        <f>IF(F13=0,1,IF(OR(System!N12&lt;&gt;0,System!O12 &lt;&gt;0),0,1))</f>
        <v>1</v>
      </c>
      <c r="H13" s="834">
        <f>IF(AND(ISNUMBER(System!$C12),ABS(B13)+ABS(C13)&lt;&gt;0),System!BC130+$J$1*MIN($E$1,D13)*F13 - IF(AND(B13&lt;&gt;0,C13=0),1,C13)*$H$1*$E$1*E13,PlotData!$CB$3)</f>
        <v>0</v>
      </c>
      <c r="I13" s="837">
        <f>IF(AND(ISNUMBER(System!$C12),ABS(B13)+ABS(C13)&lt;&gt;0),System!BD130-$J$1*MIN($E$1,D13)*F13 - IF(AND(B13&lt;&gt;0,C13=0),1,C13)*$H$1*$E$1*E13,PlotData!$CB$3)</f>
        <v>0</v>
      </c>
      <c r="J13" s="837">
        <f>IF(AND(ISNUMBER(System!$C12),ABS(B13)+ABS(C13)&lt;&gt;0),I13 - IF(AND(B13&lt;&gt;0,C13=0),1,C13)*$E$1*E13*G13,PlotData!$CB$3)</f>
        <v>0</v>
      </c>
      <c r="K13" s="835">
        <f>IF(AND(ISNUMBER(System!$C12),ABS(B13)+ABS(C13)&lt;&gt;0),H13 - IF(AND(B13&lt;&gt;0,C13=0),1,C13)*$E$1*E13*G13,PlotData!$CB$3)</f>
        <v>0</v>
      </c>
      <c r="L13" s="834">
        <f>IF(AND(ISNUMBER(System!$C12),ABS(B13)+ABS(C13)&lt;&gt;0),H13 - IF(AND(B13&lt;&gt;0,C13=0),1,C13)*G13*$N$1*$E$1*E13*G13,PlotData!$CB$3)</f>
        <v>0</v>
      </c>
      <c r="M13" s="837">
        <f>IF(AND(ISNUMBER(System!$C12),ABS(B13)+ABS(C13)&lt;&gt;0),I13 - IF(AND(B13&lt;&gt;0,C13=0),1,C13)*G13*$N$1*$E$1*E13*G13,PlotData!$CB$3)</f>
        <v>0</v>
      </c>
      <c r="N13" s="837">
        <f>IF(AND(ISNUMBER(System!$C12),ABS(B13)+ABS(C13)&lt;&gt;0),IF(B13&gt;=0,I13,H13)-B13*$R$1*MIN(D13,$E$1)*F13,PlotData!$CB$3)</f>
        <v>0</v>
      </c>
      <c r="O13" s="835">
        <f>IF(AND(ISNUMBER(System!$C12),ABS(B13)+ABS(C13)&lt;&gt;0),IF(B13&gt;=0,J13,K13)-B13*$R$1*MIN(D13,$E$1)*F13,PlotData!$CB$3)</f>
        <v>0</v>
      </c>
      <c r="P13" s="834">
        <f>IF(AND(ISNUMBER(System!$C12),ABS(B13)+ABS(C13)&lt;&gt;0),System!BE130-$J$1*MIN($E$1,D13)*E13 - SIGN(C13+0.2)*$H$1*$E$1*F13,PlotData!$CB$4)</f>
        <v>0</v>
      </c>
      <c r="Q13" s="837">
        <f>IF(AND(ISNUMBER(System!$C12),ABS(B13)+ABS(C13)&lt;&gt;0),System!BF130+$J$1*MIN($E$1,D13)*E13 - SIGN(C13+0.2)*$H$1*$E$1*F13,PlotData!$CB$4)</f>
        <v>0</v>
      </c>
      <c r="R13" s="837">
        <f>IF(AND(ISNUMBER(System!$C12),ABS(B13)+ABS(C13)&lt;&gt;0),Q13 - SIGN(C13+0.2)*$E$1*F13,PlotData!$CB$4)</f>
        <v>0</v>
      </c>
      <c r="S13" s="835">
        <f>IF(AND(ISNUMBER(System!$C12),ABS(B13)+ABS(C13)&lt;&gt;0),P13 - SIGN(C13+0.2)*$E$1*F13,PlotData!$CB$4)</f>
        <v>0</v>
      </c>
      <c r="T13" s="834">
        <f>IF(AND(ISNUMBER(System!$C12),ABS(B13)+ABS(C13)&lt;&gt;0),P13 - SIGN(C13+0.2)*$N$1*$E$1*F13,PlotData!$CB$4)</f>
        <v>0</v>
      </c>
      <c r="U13" s="837">
        <f>IF(AND(ISNUMBER(System!$C12),ABS(B13)+ABS(C13)&lt;&gt;0),Q13 - SIGN(C13+0.2)*$N$1*$E$1*F13,PlotData!$CB$4)</f>
        <v>0</v>
      </c>
      <c r="V13" s="837">
        <f>IF(AND(ISNUMBER(System!$C12),ABS(B13)+ABS(C13)&lt;&gt;0),IF(B13&gt;=0,Q13,P13)+B13*$R$1*MIN(D13,$E$1)*E13,PlotData!$CB$4)</f>
        <v>0</v>
      </c>
      <c r="W13" s="835">
        <f>IF(AND(ISNUMBER(System!$C12),ABS(B13)+ABS(C13)&lt;&gt;0),IF(B13&gt;=0,R13,S13)+B13*$R$1*MIN(D13,$E$1)*E13,PlotData!$CB$4)</f>
        <v>0</v>
      </c>
      <c r="X13" s="836">
        <f>IF(ISNUMBER(System!$C12),SIGN(System!AG12),0)</f>
        <v>0</v>
      </c>
    </row>
    <row r="14" spans="1:24" x14ac:dyDescent="0.25">
      <c r="A14" s="827">
        <v>10</v>
      </c>
      <c r="B14" s="834">
        <f>IF(ISNUMBER(System!$C13),SIGN(System!BL131),0)</f>
        <v>0</v>
      </c>
      <c r="C14" s="835">
        <f>IF(ISNUMBER(System!$C13),SIGN(System!BM131),0)</f>
        <v>0</v>
      </c>
      <c r="D14" s="836">
        <f>IF(ISNUMBER(System!$C13),System!BG131,0)</f>
        <v>0</v>
      </c>
      <c r="E14" s="834">
        <f>IF(ISNUMBER(System!$C13),System!BJ131,0)</f>
        <v>0</v>
      </c>
      <c r="F14" s="835">
        <f>IF(ISNUMBER(System!$C13),System!BK131,0)</f>
        <v>0</v>
      </c>
      <c r="G14" s="836">
        <f>IF(F14=0,1,IF(OR(System!N13&lt;&gt;0,System!O13 &lt;&gt;0),0,1))</f>
        <v>1</v>
      </c>
      <c r="H14" s="834">
        <f>IF(AND(ISNUMBER(System!$C13),ABS(B14)+ABS(C14)&lt;&gt;0),System!BC131+$J$1*MIN($E$1,D14)*F14 - IF(AND(B14&lt;&gt;0,C14=0),1,C14)*$H$1*$E$1*E14,PlotData!$CB$3)</f>
        <v>0</v>
      </c>
      <c r="I14" s="837">
        <f>IF(AND(ISNUMBER(System!$C13),ABS(B14)+ABS(C14)&lt;&gt;0),System!BD131-$J$1*MIN($E$1,D14)*F14 - IF(AND(B14&lt;&gt;0,C14=0),1,C14)*$H$1*$E$1*E14,PlotData!$CB$3)</f>
        <v>0</v>
      </c>
      <c r="J14" s="837">
        <f>IF(AND(ISNUMBER(System!$C13),ABS(B14)+ABS(C14)&lt;&gt;0),I14 - IF(AND(B14&lt;&gt;0,C14=0),1,C14)*$E$1*E14*G14,PlotData!$CB$3)</f>
        <v>0</v>
      </c>
      <c r="K14" s="835">
        <f>IF(AND(ISNUMBER(System!$C13),ABS(B14)+ABS(C14)&lt;&gt;0),H14 - IF(AND(B14&lt;&gt;0,C14=0),1,C14)*$E$1*E14*G14,PlotData!$CB$3)</f>
        <v>0</v>
      </c>
      <c r="L14" s="834">
        <f>IF(AND(ISNUMBER(System!$C13),ABS(B14)+ABS(C14)&lt;&gt;0),H14 - IF(AND(B14&lt;&gt;0,C14=0),1,C14)*G14*$N$1*$E$1*E14*G14,PlotData!$CB$3)</f>
        <v>0</v>
      </c>
      <c r="M14" s="837">
        <f>IF(AND(ISNUMBER(System!$C13),ABS(B14)+ABS(C14)&lt;&gt;0),I14 - IF(AND(B14&lt;&gt;0,C14=0),1,C14)*G14*$N$1*$E$1*E14*G14,PlotData!$CB$3)</f>
        <v>0</v>
      </c>
      <c r="N14" s="837">
        <f>IF(AND(ISNUMBER(System!$C13),ABS(B14)+ABS(C14)&lt;&gt;0),IF(B14&gt;=0,I14,H14)-B14*$R$1*MIN(D14,$E$1)*F14,PlotData!$CB$3)</f>
        <v>0</v>
      </c>
      <c r="O14" s="835">
        <f>IF(AND(ISNUMBER(System!$C13),ABS(B14)+ABS(C14)&lt;&gt;0),IF(B14&gt;=0,J14,K14)-B14*$R$1*MIN(D14,$E$1)*F14,PlotData!$CB$3)</f>
        <v>0</v>
      </c>
      <c r="P14" s="834">
        <f>IF(AND(ISNUMBER(System!$C13),ABS(B14)+ABS(C14)&lt;&gt;0),System!BE131-$J$1*MIN($E$1,D14)*E14 - SIGN(C14+0.2)*$H$1*$E$1*F14,PlotData!$CB$4)</f>
        <v>0</v>
      </c>
      <c r="Q14" s="837">
        <f>IF(AND(ISNUMBER(System!$C13),ABS(B14)+ABS(C14)&lt;&gt;0),System!BF131+$J$1*MIN($E$1,D14)*E14 - SIGN(C14+0.2)*$H$1*$E$1*F14,PlotData!$CB$4)</f>
        <v>0</v>
      </c>
      <c r="R14" s="837">
        <f>IF(AND(ISNUMBER(System!$C13),ABS(B14)+ABS(C14)&lt;&gt;0),Q14 - SIGN(C14+0.2)*$E$1*F14,PlotData!$CB$4)</f>
        <v>0</v>
      </c>
      <c r="S14" s="835">
        <f>IF(AND(ISNUMBER(System!$C13),ABS(B14)+ABS(C14)&lt;&gt;0),P14 - SIGN(C14+0.2)*$E$1*F14,PlotData!$CB$4)</f>
        <v>0</v>
      </c>
      <c r="T14" s="834">
        <f>IF(AND(ISNUMBER(System!$C13),ABS(B14)+ABS(C14)&lt;&gt;0),P14 - SIGN(C14+0.2)*$N$1*$E$1*F14,PlotData!$CB$4)</f>
        <v>0</v>
      </c>
      <c r="U14" s="837">
        <f>IF(AND(ISNUMBER(System!$C13),ABS(B14)+ABS(C14)&lt;&gt;0),Q14 - SIGN(C14+0.2)*$N$1*$E$1*F14,PlotData!$CB$4)</f>
        <v>0</v>
      </c>
      <c r="V14" s="837">
        <f>IF(AND(ISNUMBER(System!$C13),ABS(B14)+ABS(C14)&lt;&gt;0),IF(B14&gt;=0,Q14,P14)+B14*$R$1*MIN(D14,$E$1)*E14,PlotData!$CB$4)</f>
        <v>0</v>
      </c>
      <c r="W14" s="835">
        <f>IF(AND(ISNUMBER(System!$C13),ABS(B14)+ABS(C14)&lt;&gt;0),IF(B14&gt;=0,R14,S14)+B14*$R$1*MIN(D14,$E$1)*E14,PlotData!$CB$4)</f>
        <v>0</v>
      </c>
      <c r="X14" s="836">
        <f>IF(ISNUMBER(System!$C13),SIGN(System!AG13),0)</f>
        <v>0</v>
      </c>
    </row>
    <row r="15" spans="1:24" x14ac:dyDescent="0.25">
      <c r="A15" s="827">
        <v>11</v>
      </c>
      <c r="B15" s="834">
        <f>IF(ISNUMBER(System!$C14),SIGN(System!BL132),0)</f>
        <v>0</v>
      </c>
      <c r="C15" s="835">
        <f>IF(ISNUMBER(System!$C14),SIGN(System!BM132),0)</f>
        <v>0</v>
      </c>
      <c r="D15" s="836">
        <f>IF(ISNUMBER(System!$C14),System!BG132,0)</f>
        <v>0</v>
      </c>
      <c r="E15" s="834">
        <f>IF(ISNUMBER(System!$C14),System!BJ132,0)</f>
        <v>0</v>
      </c>
      <c r="F15" s="835">
        <f>IF(ISNUMBER(System!$C14),System!BK132,0)</f>
        <v>0</v>
      </c>
      <c r="G15" s="836">
        <f>IF(F15=0,1,IF(OR(System!N14&lt;&gt;0,System!O14 &lt;&gt;0),0,1))</f>
        <v>1</v>
      </c>
      <c r="H15" s="834">
        <f>IF(AND(ISNUMBER(System!$C14),ABS(B15)+ABS(C15)&lt;&gt;0),System!BC132+$J$1*MIN($E$1,D15)*F15 - IF(AND(B15&lt;&gt;0,C15=0),1,C15)*$H$1*$E$1*E15,PlotData!$CB$3)</f>
        <v>0</v>
      </c>
      <c r="I15" s="837">
        <f>IF(AND(ISNUMBER(System!$C14),ABS(B15)+ABS(C15)&lt;&gt;0),System!BD132-$J$1*MIN($E$1,D15)*F15 - IF(AND(B15&lt;&gt;0,C15=0),1,C15)*$H$1*$E$1*E15,PlotData!$CB$3)</f>
        <v>0</v>
      </c>
      <c r="J15" s="837">
        <f>IF(AND(ISNUMBER(System!$C14),ABS(B15)+ABS(C15)&lt;&gt;0),I15 - IF(AND(B15&lt;&gt;0,C15=0),1,C15)*$E$1*E15*G15,PlotData!$CB$3)</f>
        <v>0</v>
      </c>
      <c r="K15" s="835">
        <f>IF(AND(ISNUMBER(System!$C14),ABS(B15)+ABS(C15)&lt;&gt;0),H15 - IF(AND(B15&lt;&gt;0,C15=0),1,C15)*$E$1*E15*G15,PlotData!$CB$3)</f>
        <v>0</v>
      </c>
      <c r="L15" s="834">
        <f>IF(AND(ISNUMBER(System!$C14),ABS(B15)+ABS(C15)&lt;&gt;0),H15 - IF(AND(B15&lt;&gt;0,C15=0),1,C15)*G15*$N$1*$E$1*E15*G15,PlotData!$CB$3)</f>
        <v>0</v>
      </c>
      <c r="M15" s="837">
        <f>IF(AND(ISNUMBER(System!$C14),ABS(B15)+ABS(C15)&lt;&gt;0),I15 - IF(AND(B15&lt;&gt;0,C15=0),1,C15)*G15*$N$1*$E$1*E15*G15,PlotData!$CB$3)</f>
        <v>0</v>
      </c>
      <c r="N15" s="837">
        <f>IF(AND(ISNUMBER(System!$C14),ABS(B15)+ABS(C15)&lt;&gt;0),IF(B15&gt;=0,I15,H15)-B15*$R$1*MIN(D15,$E$1)*F15,PlotData!$CB$3)</f>
        <v>0</v>
      </c>
      <c r="O15" s="835">
        <f>IF(AND(ISNUMBER(System!$C14),ABS(B15)+ABS(C15)&lt;&gt;0),IF(B15&gt;=0,J15,K15)-B15*$R$1*MIN(D15,$E$1)*F15,PlotData!$CB$3)</f>
        <v>0</v>
      </c>
      <c r="P15" s="834">
        <f>IF(AND(ISNUMBER(System!$C14),ABS(B15)+ABS(C15)&lt;&gt;0),System!BE132-$J$1*MIN($E$1,D15)*E15 - SIGN(C15+0.2)*$H$1*$E$1*F15,PlotData!$CB$4)</f>
        <v>0</v>
      </c>
      <c r="Q15" s="837">
        <f>IF(AND(ISNUMBER(System!$C14),ABS(B15)+ABS(C15)&lt;&gt;0),System!BF132+$J$1*MIN($E$1,D15)*E15 - SIGN(C15+0.2)*$H$1*$E$1*F15,PlotData!$CB$4)</f>
        <v>0</v>
      </c>
      <c r="R15" s="837">
        <f>IF(AND(ISNUMBER(System!$C14),ABS(B15)+ABS(C15)&lt;&gt;0),Q15 - SIGN(C15+0.2)*$E$1*F15,PlotData!$CB$4)</f>
        <v>0</v>
      </c>
      <c r="S15" s="835">
        <f>IF(AND(ISNUMBER(System!$C14),ABS(B15)+ABS(C15)&lt;&gt;0),P15 - SIGN(C15+0.2)*$E$1*F15,PlotData!$CB$4)</f>
        <v>0</v>
      </c>
      <c r="T15" s="834">
        <f>IF(AND(ISNUMBER(System!$C14),ABS(B15)+ABS(C15)&lt;&gt;0),P15 - SIGN(C15+0.2)*$N$1*$E$1*F15,PlotData!$CB$4)</f>
        <v>0</v>
      </c>
      <c r="U15" s="837">
        <f>IF(AND(ISNUMBER(System!$C14),ABS(B15)+ABS(C15)&lt;&gt;0),Q15 - SIGN(C15+0.2)*$N$1*$E$1*F15,PlotData!$CB$4)</f>
        <v>0</v>
      </c>
      <c r="V15" s="837">
        <f>IF(AND(ISNUMBER(System!$C14),ABS(B15)+ABS(C15)&lt;&gt;0),IF(B15&gt;=0,Q15,P15)+B15*$R$1*MIN(D15,$E$1)*E15,PlotData!$CB$4)</f>
        <v>0</v>
      </c>
      <c r="W15" s="835">
        <f>IF(AND(ISNUMBER(System!$C14),ABS(B15)+ABS(C15)&lt;&gt;0),IF(B15&gt;=0,R15,S15)+B15*$R$1*MIN(D15,$E$1)*E15,PlotData!$CB$4)</f>
        <v>0</v>
      </c>
      <c r="X15" s="836">
        <f>IF(ISNUMBER(System!$C14),SIGN(System!AG14),0)</f>
        <v>0</v>
      </c>
    </row>
    <row r="16" spans="1:24" x14ac:dyDescent="0.25">
      <c r="A16" s="827">
        <v>12</v>
      </c>
      <c r="B16" s="834">
        <f>IF(ISNUMBER(System!$C15),SIGN(System!BL133),0)</f>
        <v>0</v>
      </c>
      <c r="C16" s="835">
        <f>IF(ISNUMBER(System!$C15),SIGN(System!BM133),0)</f>
        <v>0</v>
      </c>
      <c r="D16" s="836">
        <f>IF(ISNUMBER(System!$C15),System!BG133,0)</f>
        <v>0</v>
      </c>
      <c r="E16" s="834">
        <f>IF(ISNUMBER(System!$C15),System!BJ133,0)</f>
        <v>0</v>
      </c>
      <c r="F16" s="835">
        <f>IF(ISNUMBER(System!$C15),System!BK133,0)</f>
        <v>0</v>
      </c>
      <c r="G16" s="836">
        <f>IF(F16=0,1,IF(OR(System!N15&lt;&gt;0,System!O15 &lt;&gt;0),0,1))</f>
        <v>1</v>
      </c>
      <c r="H16" s="834">
        <f>IF(AND(ISNUMBER(System!$C15),ABS(B16)+ABS(C16)&lt;&gt;0),System!BC133+$J$1*MIN($E$1,D16)*F16 - IF(AND(B16&lt;&gt;0,C16=0),1,C16)*$H$1*$E$1*E16,PlotData!$CB$3)</f>
        <v>0</v>
      </c>
      <c r="I16" s="837">
        <f>IF(AND(ISNUMBER(System!$C15),ABS(B16)+ABS(C16)&lt;&gt;0),System!BD133-$J$1*MIN($E$1,D16)*F16 - IF(AND(B16&lt;&gt;0,C16=0),1,C16)*$H$1*$E$1*E16,PlotData!$CB$3)</f>
        <v>0</v>
      </c>
      <c r="J16" s="837">
        <f>IF(AND(ISNUMBER(System!$C15),ABS(B16)+ABS(C16)&lt;&gt;0),I16 - IF(AND(B16&lt;&gt;0,C16=0),1,C16)*$E$1*E16*G16,PlotData!$CB$3)</f>
        <v>0</v>
      </c>
      <c r="K16" s="835">
        <f>IF(AND(ISNUMBER(System!$C15),ABS(B16)+ABS(C16)&lt;&gt;0),H16 - IF(AND(B16&lt;&gt;0,C16=0),1,C16)*$E$1*E16*G16,PlotData!$CB$3)</f>
        <v>0</v>
      </c>
      <c r="L16" s="834">
        <f>IF(AND(ISNUMBER(System!$C15),ABS(B16)+ABS(C16)&lt;&gt;0),H16 - IF(AND(B16&lt;&gt;0,C16=0),1,C16)*G16*$N$1*$E$1*E16*G16,PlotData!$CB$3)</f>
        <v>0</v>
      </c>
      <c r="M16" s="837">
        <f>IF(AND(ISNUMBER(System!$C15),ABS(B16)+ABS(C16)&lt;&gt;0),I16 - IF(AND(B16&lt;&gt;0,C16=0),1,C16)*G16*$N$1*$E$1*E16*G16,PlotData!$CB$3)</f>
        <v>0</v>
      </c>
      <c r="N16" s="837">
        <f>IF(AND(ISNUMBER(System!$C15),ABS(B16)+ABS(C16)&lt;&gt;0),IF(B16&gt;=0,I16,H16)-B16*$R$1*MIN(D16,$E$1)*F16,PlotData!$CB$3)</f>
        <v>0</v>
      </c>
      <c r="O16" s="835">
        <f>IF(AND(ISNUMBER(System!$C15),ABS(B16)+ABS(C16)&lt;&gt;0),IF(B16&gt;=0,J16,K16)-B16*$R$1*MIN(D16,$E$1)*F16,PlotData!$CB$3)</f>
        <v>0</v>
      </c>
      <c r="P16" s="834">
        <f>IF(AND(ISNUMBER(System!$C15),ABS(B16)+ABS(C16)&lt;&gt;0),System!BE133-$J$1*MIN($E$1,D16)*E16 - SIGN(C16+0.2)*$H$1*$E$1*F16,PlotData!$CB$4)</f>
        <v>0</v>
      </c>
      <c r="Q16" s="837">
        <f>IF(AND(ISNUMBER(System!$C15),ABS(B16)+ABS(C16)&lt;&gt;0),System!BF133+$J$1*MIN($E$1,D16)*E16 - SIGN(C16+0.2)*$H$1*$E$1*F16,PlotData!$CB$4)</f>
        <v>0</v>
      </c>
      <c r="R16" s="837">
        <f>IF(AND(ISNUMBER(System!$C15),ABS(B16)+ABS(C16)&lt;&gt;0),Q16 - SIGN(C16+0.2)*$E$1*F16,PlotData!$CB$4)</f>
        <v>0</v>
      </c>
      <c r="S16" s="835">
        <f>IF(AND(ISNUMBER(System!$C15),ABS(B16)+ABS(C16)&lt;&gt;0),P16 - SIGN(C16+0.2)*$E$1*F16,PlotData!$CB$4)</f>
        <v>0</v>
      </c>
      <c r="T16" s="834">
        <f>IF(AND(ISNUMBER(System!$C15),ABS(B16)+ABS(C16)&lt;&gt;0),P16 - SIGN(C16+0.2)*$N$1*$E$1*F16,PlotData!$CB$4)</f>
        <v>0</v>
      </c>
      <c r="U16" s="837">
        <f>IF(AND(ISNUMBER(System!$C15),ABS(B16)+ABS(C16)&lt;&gt;0),Q16 - SIGN(C16+0.2)*$N$1*$E$1*F16,PlotData!$CB$4)</f>
        <v>0</v>
      </c>
      <c r="V16" s="837">
        <f>IF(AND(ISNUMBER(System!$C15),ABS(B16)+ABS(C16)&lt;&gt;0),IF(B16&gt;=0,Q16,P16)+B16*$R$1*MIN(D16,$E$1)*E16,PlotData!$CB$4)</f>
        <v>0</v>
      </c>
      <c r="W16" s="835">
        <f>IF(AND(ISNUMBER(System!$C15),ABS(B16)+ABS(C16)&lt;&gt;0),IF(B16&gt;=0,R16,S16)+B16*$R$1*MIN(D16,$E$1)*E16,PlotData!$CB$4)</f>
        <v>0</v>
      </c>
      <c r="X16" s="836">
        <f>IF(ISNUMBER(System!$C15),SIGN(System!AG15),0)</f>
        <v>0</v>
      </c>
    </row>
    <row r="17" spans="1:24" x14ac:dyDescent="0.25">
      <c r="A17" s="827">
        <v>13</v>
      </c>
      <c r="B17" s="834">
        <f>IF(ISNUMBER(System!$C16),SIGN(System!BL134),0)</f>
        <v>0</v>
      </c>
      <c r="C17" s="835">
        <f>IF(ISNUMBER(System!$C16),SIGN(System!BM134),0)</f>
        <v>0</v>
      </c>
      <c r="D17" s="836">
        <f>IF(ISNUMBER(System!$C16),System!BG134,0)</f>
        <v>0</v>
      </c>
      <c r="E17" s="834">
        <f>IF(ISNUMBER(System!$C16),System!BJ134,0)</f>
        <v>0</v>
      </c>
      <c r="F17" s="835">
        <f>IF(ISNUMBER(System!$C16),System!BK134,0)</f>
        <v>0</v>
      </c>
      <c r="G17" s="836">
        <f>IF(F17=0,1,IF(OR(System!N16&lt;&gt;0,System!O16 &lt;&gt;0),0,1))</f>
        <v>1</v>
      </c>
      <c r="H17" s="834">
        <f>IF(AND(ISNUMBER(System!$C16),ABS(B17)+ABS(C17)&lt;&gt;0),System!BC134+$J$1*MIN($E$1,D17)*F17 - IF(AND(B17&lt;&gt;0,C17=0),1,C17)*$H$1*$E$1*E17,PlotData!$CB$3)</f>
        <v>0</v>
      </c>
      <c r="I17" s="837">
        <f>IF(AND(ISNUMBER(System!$C16),ABS(B17)+ABS(C17)&lt;&gt;0),System!BD134-$J$1*MIN($E$1,D17)*F17 - IF(AND(B17&lt;&gt;0,C17=0),1,C17)*$H$1*$E$1*E17,PlotData!$CB$3)</f>
        <v>0</v>
      </c>
      <c r="J17" s="837">
        <f>IF(AND(ISNUMBER(System!$C16),ABS(B17)+ABS(C17)&lt;&gt;0),I17 - IF(AND(B17&lt;&gt;0,C17=0),1,C17)*$E$1*E17*G17,PlotData!$CB$3)</f>
        <v>0</v>
      </c>
      <c r="K17" s="835">
        <f>IF(AND(ISNUMBER(System!$C16),ABS(B17)+ABS(C17)&lt;&gt;0),H17 - IF(AND(B17&lt;&gt;0,C17=0),1,C17)*$E$1*E17*G17,PlotData!$CB$3)</f>
        <v>0</v>
      </c>
      <c r="L17" s="834">
        <f>IF(AND(ISNUMBER(System!$C16),ABS(B17)+ABS(C17)&lt;&gt;0),H17 - IF(AND(B17&lt;&gt;0,C17=0),1,C17)*G17*$N$1*$E$1*E17*G17,PlotData!$CB$3)</f>
        <v>0</v>
      </c>
      <c r="M17" s="837">
        <f>IF(AND(ISNUMBER(System!$C16),ABS(B17)+ABS(C17)&lt;&gt;0),I17 - IF(AND(B17&lt;&gt;0,C17=0),1,C17)*G17*$N$1*$E$1*E17*G17,PlotData!$CB$3)</f>
        <v>0</v>
      </c>
      <c r="N17" s="837">
        <f>IF(AND(ISNUMBER(System!$C16),ABS(B17)+ABS(C17)&lt;&gt;0),IF(B17&gt;=0,I17,H17)-B17*$R$1*MIN(D17,$E$1)*F17,PlotData!$CB$3)</f>
        <v>0</v>
      </c>
      <c r="O17" s="835">
        <f>IF(AND(ISNUMBER(System!$C16),ABS(B17)+ABS(C17)&lt;&gt;0),IF(B17&gt;=0,J17,K17)-B17*$R$1*MIN(D17,$E$1)*F17,PlotData!$CB$3)</f>
        <v>0</v>
      </c>
      <c r="P17" s="834">
        <f>IF(AND(ISNUMBER(System!$C16),ABS(B17)+ABS(C17)&lt;&gt;0),System!BE134-$J$1*MIN($E$1,D17)*E17 - SIGN(C17+0.2)*$H$1*$E$1*F17,PlotData!$CB$4)</f>
        <v>0</v>
      </c>
      <c r="Q17" s="837">
        <f>IF(AND(ISNUMBER(System!$C16),ABS(B17)+ABS(C17)&lt;&gt;0),System!BF134+$J$1*MIN($E$1,D17)*E17 - SIGN(C17+0.2)*$H$1*$E$1*F17,PlotData!$CB$4)</f>
        <v>0</v>
      </c>
      <c r="R17" s="837">
        <f>IF(AND(ISNUMBER(System!$C16),ABS(B17)+ABS(C17)&lt;&gt;0),Q17 - SIGN(C17+0.2)*$E$1*F17,PlotData!$CB$4)</f>
        <v>0</v>
      </c>
      <c r="S17" s="835">
        <f>IF(AND(ISNUMBER(System!$C16),ABS(B17)+ABS(C17)&lt;&gt;0),P17 - SIGN(C17+0.2)*$E$1*F17,PlotData!$CB$4)</f>
        <v>0</v>
      </c>
      <c r="T17" s="834">
        <f>IF(AND(ISNUMBER(System!$C16),ABS(B17)+ABS(C17)&lt;&gt;0),P17 - SIGN(C17+0.2)*$N$1*$E$1*F17,PlotData!$CB$4)</f>
        <v>0</v>
      </c>
      <c r="U17" s="837">
        <f>IF(AND(ISNUMBER(System!$C16),ABS(B17)+ABS(C17)&lt;&gt;0),Q17 - SIGN(C17+0.2)*$N$1*$E$1*F17,PlotData!$CB$4)</f>
        <v>0</v>
      </c>
      <c r="V17" s="837">
        <f>IF(AND(ISNUMBER(System!$C16),ABS(B17)+ABS(C17)&lt;&gt;0),IF(B17&gt;=0,Q17,P17)+B17*$R$1*MIN(D17,$E$1)*E17,PlotData!$CB$4)</f>
        <v>0</v>
      </c>
      <c r="W17" s="835">
        <f>IF(AND(ISNUMBER(System!$C16),ABS(B17)+ABS(C17)&lt;&gt;0),IF(B17&gt;=0,R17,S17)+B17*$R$1*MIN(D17,$E$1)*E17,PlotData!$CB$4)</f>
        <v>0</v>
      </c>
      <c r="X17" s="836">
        <f>IF(ISNUMBER(System!$C16),SIGN(System!AG16),0)</f>
        <v>0</v>
      </c>
    </row>
    <row r="18" spans="1:24" x14ac:dyDescent="0.25">
      <c r="A18" s="827">
        <v>14</v>
      </c>
      <c r="B18" s="834">
        <f>IF(ISNUMBER(System!$C17),SIGN(System!BL135),0)</f>
        <v>0</v>
      </c>
      <c r="C18" s="835">
        <f>IF(ISNUMBER(System!$C17),SIGN(System!BM135),0)</f>
        <v>0</v>
      </c>
      <c r="D18" s="836">
        <f>IF(ISNUMBER(System!$C17),System!BG135,0)</f>
        <v>0</v>
      </c>
      <c r="E18" s="834">
        <f>IF(ISNUMBER(System!$C17),System!BJ135,0)</f>
        <v>0</v>
      </c>
      <c r="F18" s="835">
        <f>IF(ISNUMBER(System!$C17),System!BK135,0)</f>
        <v>0</v>
      </c>
      <c r="G18" s="836">
        <f>IF(F18=0,1,IF(OR(System!N17&lt;&gt;0,System!O17 &lt;&gt;0),0,1))</f>
        <v>1</v>
      </c>
      <c r="H18" s="834">
        <f>IF(AND(ISNUMBER(System!$C17),ABS(B18)+ABS(C18)&lt;&gt;0),System!BC135+$J$1*MIN($E$1,D18)*F18 - IF(AND(B18&lt;&gt;0,C18=0),1,C18)*$H$1*$E$1*E18,PlotData!$CB$3)</f>
        <v>0</v>
      </c>
      <c r="I18" s="837">
        <f>IF(AND(ISNUMBER(System!$C17),ABS(B18)+ABS(C18)&lt;&gt;0),System!BD135-$J$1*MIN($E$1,D18)*F18 - IF(AND(B18&lt;&gt;0,C18=0),1,C18)*$H$1*$E$1*E18,PlotData!$CB$3)</f>
        <v>0</v>
      </c>
      <c r="J18" s="837">
        <f>IF(AND(ISNUMBER(System!$C17),ABS(B18)+ABS(C18)&lt;&gt;0),I18 - IF(AND(B18&lt;&gt;0,C18=0),1,C18)*$E$1*E18*G18,PlotData!$CB$3)</f>
        <v>0</v>
      </c>
      <c r="K18" s="835">
        <f>IF(AND(ISNUMBER(System!$C17),ABS(B18)+ABS(C18)&lt;&gt;0),H18 - IF(AND(B18&lt;&gt;0,C18=0),1,C18)*$E$1*E18*G18,PlotData!$CB$3)</f>
        <v>0</v>
      </c>
      <c r="L18" s="834">
        <f>IF(AND(ISNUMBER(System!$C17),ABS(B18)+ABS(C18)&lt;&gt;0),H18 - IF(AND(B18&lt;&gt;0,C18=0),1,C18)*G18*$N$1*$E$1*E18*G18,PlotData!$CB$3)</f>
        <v>0</v>
      </c>
      <c r="M18" s="837">
        <f>IF(AND(ISNUMBER(System!$C17),ABS(B18)+ABS(C18)&lt;&gt;0),I18 - IF(AND(B18&lt;&gt;0,C18=0),1,C18)*G18*$N$1*$E$1*E18*G18,PlotData!$CB$3)</f>
        <v>0</v>
      </c>
      <c r="N18" s="837">
        <f>IF(AND(ISNUMBER(System!$C17),ABS(B18)+ABS(C18)&lt;&gt;0),IF(B18&gt;=0,I18,H18)-B18*$R$1*MIN(D18,$E$1)*F18,PlotData!$CB$3)</f>
        <v>0</v>
      </c>
      <c r="O18" s="835">
        <f>IF(AND(ISNUMBER(System!$C17),ABS(B18)+ABS(C18)&lt;&gt;0),IF(B18&gt;=0,J18,K18)-B18*$R$1*MIN(D18,$E$1)*F18,PlotData!$CB$3)</f>
        <v>0</v>
      </c>
      <c r="P18" s="834">
        <f>IF(AND(ISNUMBER(System!$C17),ABS(B18)+ABS(C18)&lt;&gt;0),System!BE135-$J$1*MIN($E$1,D18)*E18 - SIGN(C18+0.2)*$H$1*$E$1*F18,PlotData!$CB$4)</f>
        <v>0</v>
      </c>
      <c r="Q18" s="837">
        <f>IF(AND(ISNUMBER(System!$C17),ABS(B18)+ABS(C18)&lt;&gt;0),System!BF135+$J$1*MIN($E$1,D18)*E18 - SIGN(C18+0.2)*$H$1*$E$1*F18,PlotData!$CB$4)</f>
        <v>0</v>
      </c>
      <c r="R18" s="837">
        <f>IF(AND(ISNUMBER(System!$C17),ABS(B18)+ABS(C18)&lt;&gt;0),Q18 - SIGN(C18+0.2)*$E$1*F18,PlotData!$CB$4)</f>
        <v>0</v>
      </c>
      <c r="S18" s="835">
        <f>IF(AND(ISNUMBER(System!$C17),ABS(B18)+ABS(C18)&lt;&gt;0),P18 - SIGN(C18+0.2)*$E$1*F18,PlotData!$CB$4)</f>
        <v>0</v>
      </c>
      <c r="T18" s="834">
        <f>IF(AND(ISNUMBER(System!$C17),ABS(B18)+ABS(C18)&lt;&gt;0),P18 - SIGN(C18+0.2)*$N$1*$E$1*F18,PlotData!$CB$4)</f>
        <v>0</v>
      </c>
      <c r="U18" s="837">
        <f>IF(AND(ISNUMBER(System!$C17),ABS(B18)+ABS(C18)&lt;&gt;0),Q18 - SIGN(C18+0.2)*$N$1*$E$1*F18,PlotData!$CB$4)</f>
        <v>0</v>
      </c>
      <c r="V18" s="837">
        <f>IF(AND(ISNUMBER(System!$C17),ABS(B18)+ABS(C18)&lt;&gt;0),IF(B18&gt;=0,Q18,P18)+B18*$R$1*MIN(D18,$E$1)*E18,PlotData!$CB$4)</f>
        <v>0</v>
      </c>
      <c r="W18" s="835">
        <f>IF(AND(ISNUMBER(System!$C17),ABS(B18)+ABS(C18)&lt;&gt;0),IF(B18&gt;=0,R18,S18)+B18*$R$1*MIN(D18,$E$1)*E18,PlotData!$CB$4)</f>
        <v>0</v>
      </c>
      <c r="X18" s="836">
        <f>IF(ISNUMBER(System!$C17),SIGN(System!AG17),0)</f>
        <v>0</v>
      </c>
    </row>
    <row r="19" spans="1:24" x14ac:dyDescent="0.25">
      <c r="A19" s="827">
        <v>15</v>
      </c>
      <c r="B19" s="834">
        <f>IF(ISNUMBER(System!$C18),SIGN(System!BL136),0)</f>
        <v>0</v>
      </c>
      <c r="C19" s="835">
        <f>IF(ISNUMBER(System!$C18),SIGN(System!BM136),0)</f>
        <v>0</v>
      </c>
      <c r="D19" s="836">
        <f>IF(ISNUMBER(System!$C18),System!BG136,0)</f>
        <v>0</v>
      </c>
      <c r="E19" s="834">
        <f>IF(ISNUMBER(System!$C18),System!BJ136,0)</f>
        <v>0</v>
      </c>
      <c r="F19" s="835">
        <f>IF(ISNUMBER(System!$C18),System!BK136,0)</f>
        <v>0</v>
      </c>
      <c r="G19" s="836">
        <f>IF(F19=0,1,IF(OR(System!N18&lt;&gt;0,System!O18 &lt;&gt;0),0,1))</f>
        <v>1</v>
      </c>
      <c r="H19" s="834">
        <f>IF(AND(ISNUMBER(System!$C18),ABS(B19)+ABS(C19)&lt;&gt;0),System!BC136+$J$1*MIN($E$1,D19)*F19 - IF(AND(B19&lt;&gt;0,C19=0),1,C19)*$H$1*$E$1*E19,PlotData!$CB$3)</f>
        <v>0</v>
      </c>
      <c r="I19" s="837">
        <f>IF(AND(ISNUMBER(System!$C18),ABS(B19)+ABS(C19)&lt;&gt;0),System!BD136-$J$1*MIN($E$1,D19)*F19 - IF(AND(B19&lt;&gt;0,C19=0),1,C19)*$H$1*$E$1*E19,PlotData!$CB$3)</f>
        <v>0</v>
      </c>
      <c r="J19" s="837">
        <f>IF(AND(ISNUMBER(System!$C18),ABS(B19)+ABS(C19)&lt;&gt;0),I19 - IF(AND(B19&lt;&gt;0,C19=0),1,C19)*$E$1*E19*G19,PlotData!$CB$3)</f>
        <v>0</v>
      </c>
      <c r="K19" s="835">
        <f>IF(AND(ISNUMBER(System!$C18),ABS(B19)+ABS(C19)&lt;&gt;0),H19 - IF(AND(B19&lt;&gt;0,C19=0),1,C19)*$E$1*E19*G19,PlotData!$CB$3)</f>
        <v>0</v>
      </c>
      <c r="L19" s="834">
        <f>IF(AND(ISNUMBER(System!$C18),ABS(B19)+ABS(C19)&lt;&gt;0),H19 - IF(AND(B19&lt;&gt;0,C19=0),1,C19)*G19*$N$1*$E$1*E19*G19,PlotData!$CB$3)</f>
        <v>0</v>
      </c>
      <c r="M19" s="837">
        <f>IF(AND(ISNUMBER(System!$C18),ABS(B19)+ABS(C19)&lt;&gt;0),I19 - IF(AND(B19&lt;&gt;0,C19=0),1,C19)*G19*$N$1*$E$1*E19*G19,PlotData!$CB$3)</f>
        <v>0</v>
      </c>
      <c r="N19" s="837">
        <f>IF(AND(ISNUMBER(System!$C18),ABS(B19)+ABS(C19)&lt;&gt;0),IF(B19&gt;=0,I19,H19)-B19*$R$1*MIN(D19,$E$1)*F19,PlotData!$CB$3)</f>
        <v>0</v>
      </c>
      <c r="O19" s="835">
        <f>IF(AND(ISNUMBER(System!$C18),ABS(B19)+ABS(C19)&lt;&gt;0),IF(B19&gt;=0,J19,K19)-B19*$R$1*MIN(D19,$E$1)*F19,PlotData!$CB$3)</f>
        <v>0</v>
      </c>
      <c r="P19" s="834">
        <f>IF(AND(ISNUMBER(System!$C18),ABS(B19)+ABS(C19)&lt;&gt;0),System!BE136-$J$1*MIN($E$1,D19)*E19 - SIGN(C19+0.2)*$H$1*$E$1*F19,PlotData!$CB$4)</f>
        <v>0</v>
      </c>
      <c r="Q19" s="837">
        <f>IF(AND(ISNUMBER(System!$C18),ABS(B19)+ABS(C19)&lt;&gt;0),System!BF136+$J$1*MIN($E$1,D19)*E19 - SIGN(C19+0.2)*$H$1*$E$1*F19,PlotData!$CB$4)</f>
        <v>0</v>
      </c>
      <c r="R19" s="837">
        <f>IF(AND(ISNUMBER(System!$C18),ABS(B19)+ABS(C19)&lt;&gt;0),Q19 - SIGN(C19+0.2)*$E$1*F19,PlotData!$CB$4)</f>
        <v>0</v>
      </c>
      <c r="S19" s="835">
        <f>IF(AND(ISNUMBER(System!$C18),ABS(B19)+ABS(C19)&lt;&gt;0),P19 - SIGN(C19+0.2)*$E$1*F19,PlotData!$CB$4)</f>
        <v>0</v>
      </c>
      <c r="T19" s="834">
        <f>IF(AND(ISNUMBER(System!$C18),ABS(B19)+ABS(C19)&lt;&gt;0),P19 - SIGN(C19+0.2)*$N$1*$E$1*F19,PlotData!$CB$4)</f>
        <v>0</v>
      </c>
      <c r="U19" s="837">
        <f>IF(AND(ISNUMBER(System!$C18),ABS(B19)+ABS(C19)&lt;&gt;0),Q19 - SIGN(C19+0.2)*$N$1*$E$1*F19,PlotData!$CB$4)</f>
        <v>0</v>
      </c>
      <c r="V19" s="837">
        <f>IF(AND(ISNUMBER(System!$C18),ABS(B19)+ABS(C19)&lt;&gt;0),IF(B19&gt;=0,Q19,P19)+B19*$R$1*MIN(D19,$E$1)*E19,PlotData!$CB$4)</f>
        <v>0</v>
      </c>
      <c r="W19" s="835">
        <f>IF(AND(ISNUMBER(System!$C18),ABS(B19)+ABS(C19)&lt;&gt;0),IF(B19&gt;=0,R19,S19)+B19*$R$1*MIN(D19,$E$1)*E19,PlotData!$CB$4)</f>
        <v>0</v>
      </c>
      <c r="X19" s="836">
        <f>IF(ISNUMBER(System!$C18),SIGN(System!AG18),0)</f>
        <v>0</v>
      </c>
    </row>
    <row r="20" spans="1:24" x14ac:dyDescent="0.25">
      <c r="A20" s="827">
        <v>16</v>
      </c>
      <c r="B20" s="834">
        <f>IF(ISNUMBER(System!$C19),SIGN(System!BL137),0)</f>
        <v>0</v>
      </c>
      <c r="C20" s="835">
        <f>IF(ISNUMBER(System!$C19),SIGN(System!BM137),0)</f>
        <v>0</v>
      </c>
      <c r="D20" s="836">
        <f>IF(ISNUMBER(System!$C19),System!BG137,0)</f>
        <v>0</v>
      </c>
      <c r="E20" s="834">
        <f>IF(ISNUMBER(System!$C19),System!BJ137,0)</f>
        <v>0</v>
      </c>
      <c r="F20" s="835">
        <f>IF(ISNUMBER(System!$C19),System!BK137,0)</f>
        <v>0</v>
      </c>
      <c r="G20" s="836">
        <f>IF(F20=0,1,IF(OR(System!N19&lt;&gt;0,System!O19 &lt;&gt;0),0,1))</f>
        <v>1</v>
      </c>
      <c r="H20" s="834">
        <f>IF(AND(ISNUMBER(System!$C19),ABS(B20)+ABS(C20)&lt;&gt;0),System!BC137+$J$1*MIN($E$1,D20)*F20 - IF(AND(B20&lt;&gt;0,C20=0),1,C20)*$H$1*$E$1*E20,PlotData!$CB$3)</f>
        <v>0</v>
      </c>
      <c r="I20" s="837">
        <f>IF(AND(ISNUMBER(System!$C19),ABS(B20)+ABS(C20)&lt;&gt;0),System!BD137-$J$1*MIN($E$1,D20)*F20 - IF(AND(B20&lt;&gt;0,C20=0),1,C20)*$H$1*$E$1*E20,PlotData!$CB$3)</f>
        <v>0</v>
      </c>
      <c r="J20" s="837">
        <f>IF(AND(ISNUMBER(System!$C19),ABS(B20)+ABS(C20)&lt;&gt;0),I20 - IF(AND(B20&lt;&gt;0,C20=0),1,C20)*$E$1*E20*G20,PlotData!$CB$3)</f>
        <v>0</v>
      </c>
      <c r="K20" s="835">
        <f>IF(AND(ISNUMBER(System!$C19),ABS(B20)+ABS(C20)&lt;&gt;0),H20 - IF(AND(B20&lt;&gt;0,C20=0),1,C20)*$E$1*E20*G20,PlotData!$CB$3)</f>
        <v>0</v>
      </c>
      <c r="L20" s="834">
        <f>IF(AND(ISNUMBER(System!$C19),ABS(B20)+ABS(C20)&lt;&gt;0),H20 - IF(AND(B20&lt;&gt;0,C20=0),1,C20)*G20*$N$1*$E$1*E20*G20,PlotData!$CB$3)</f>
        <v>0</v>
      </c>
      <c r="M20" s="837">
        <f>IF(AND(ISNUMBER(System!$C19),ABS(B20)+ABS(C20)&lt;&gt;0),I20 - IF(AND(B20&lt;&gt;0,C20=0),1,C20)*G20*$N$1*$E$1*E20*G20,PlotData!$CB$3)</f>
        <v>0</v>
      </c>
      <c r="N20" s="837">
        <f>IF(AND(ISNUMBER(System!$C19),ABS(B20)+ABS(C20)&lt;&gt;0),IF(B20&gt;=0,I20,H20)-B20*$R$1*MIN(D20,$E$1)*F20,PlotData!$CB$3)</f>
        <v>0</v>
      </c>
      <c r="O20" s="835">
        <f>IF(AND(ISNUMBER(System!$C19),ABS(B20)+ABS(C20)&lt;&gt;0),IF(B20&gt;=0,J20,K20)-B20*$R$1*MIN(D20,$E$1)*F20,PlotData!$CB$3)</f>
        <v>0</v>
      </c>
      <c r="P20" s="834">
        <f>IF(AND(ISNUMBER(System!$C19),ABS(B20)+ABS(C20)&lt;&gt;0),System!BE137-$J$1*MIN($E$1,D20)*E20 - SIGN(C20+0.2)*$H$1*$E$1*F20,PlotData!$CB$4)</f>
        <v>0</v>
      </c>
      <c r="Q20" s="837">
        <f>IF(AND(ISNUMBER(System!$C19),ABS(B20)+ABS(C20)&lt;&gt;0),System!BF137+$J$1*MIN($E$1,D20)*E20 - SIGN(C20+0.2)*$H$1*$E$1*F20,PlotData!$CB$4)</f>
        <v>0</v>
      </c>
      <c r="R20" s="837">
        <f>IF(AND(ISNUMBER(System!$C19),ABS(B20)+ABS(C20)&lt;&gt;0),Q20 - SIGN(C20+0.2)*$E$1*F20,PlotData!$CB$4)</f>
        <v>0</v>
      </c>
      <c r="S20" s="835">
        <f>IF(AND(ISNUMBER(System!$C19),ABS(B20)+ABS(C20)&lt;&gt;0),P20 - SIGN(C20+0.2)*$E$1*F20,PlotData!$CB$4)</f>
        <v>0</v>
      </c>
      <c r="T20" s="834">
        <f>IF(AND(ISNUMBER(System!$C19),ABS(B20)+ABS(C20)&lt;&gt;0),P20 - SIGN(C20+0.2)*$N$1*$E$1*F20,PlotData!$CB$4)</f>
        <v>0</v>
      </c>
      <c r="U20" s="837">
        <f>IF(AND(ISNUMBER(System!$C19),ABS(B20)+ABS(C20)&lt;&gt;0),Q20 - SIGN(C20+0.2)*$N$1*$E$1*F20,PlotData!$CB$4)</f>
        <v>0</v>
      </c>
      <c r="V20" s="837">
        <f>IF(AND(ISNUMBER(System!$C19),ABS(B20)+ABS(C20)&lt;&gt;0),IF(B20&gt;=0,Q20,P20)+B20*$R$1*MIN(D20,$E$1)*E20,PlotData!$CB$4)</f>
        <v>0</v>
      </c>
      <c r="W20" s="835">
        <f>IF(AND(ISNUMBER(System!$C19),ABS(B20)+ABS(C20)&lt;&gt;0),IF(B20&gt;=0,R20,S20)+B20*$R$1*MIN(D20,$E$1)*E20,PlotData!$CB$4)</f>
        <v>0</v>
      </c>
      <c r="X20" s="836">
        <f>IF(ISNUMBER(System!$C19),SIGN(System!AG19),0)</f>
        <v>0</v>
      </c>
    </row>
    <row r="21" spans="1:24" x14ac:dyDescent="0.25">
      <c r="A21" s="827">
        <v>17</v>
      </c>
      <c r="B21" s="834">
        <f>IF(ISNUMBER(System!$C20),SIGN(System!BL138),0)</f>
        <v>0</v>
      </c>
      <c r="C21" s="835">
        <f>IF(ISNUMBER(System!$C20),SIGN(System!BM138),0)</f>
        <v>0</v>
      </c>
      <c r="D21" s="836">
        <f>IF(ISNUMBER(System!$C20),System!BG138,0)</f>
        <v>0</v>
      </c>
      <c r="E21" s="834">
        <f>IF(ISNUMBER(System!$C20),System!BJ138,0)</f>
        <v>0</v>
      </c>
      <c r="F21" s="835">
        <f>IF(ISNUMBER(System!$C20),System!BK138,0)</f>
        <v>0</v>
      </c>
      <c r="G21" s="836">
        <f>IF(F21=0,1,IF(OR(System!N20&lt;&gt;0,System!O20 &lt;&gt;0),0,1))</f>
        <v>1</v>
      </c>
      <c r="H21" s="834">
        <f>IF(AND(ISNUMBER(System!$C20),ABS(B21)+ABS(C21)&lt;&gt;0),System!BC138+$J$1*MIN($E$1,D21)*F21 - IF(AND(B21&lt;&gt;0,C21=0),1,C21)*$H$1*$E$1*E21,PlotData!$CB$3)</f>
        <v>0</v>
      </c>
      <c r="I21" s="837">
        <f>IF(AND(ISNUMBER(System!$C20),ABS(B21)+ABS(C21)&lt;&gt;0),System!BD138-$J$1*MIN($E$1,D21)*F21 - IF(AND(B21&lt;&gt;0,C21=0),1,C21)*$H$1*$E$1*E21,PlotData!$CB$3)</f>
        <v>0</v>
      </c>
      <c r="J21" s="837">
        <f>IF(AND(ISNUMBER(System!$C20),ABS(B21)+ABS(C21)&lt;&gt;0),I21 - IF(AND(B21&lt;&gt;0,C21=0),1,C21)*$E$1*E21*G21,PlotData!$CB$3)</f>
        <v>0</v>
      </c>
      <c r="K21" s="835">
        <f>IF(AND(ISNUMBER(System!$C20),ABS(B21)+ABS(C21)&lt;&gt;0),H21 - IF(AND(B21&lt;&gt;0,C21=0),1,C21)*$E$1*E21*G21,PlotData!$CB$3)</f>
        <v>0</v>
      </c>
      <c r="L21" s="834">
        <f>IF(AND(ISNUMBER(System!$C20),ABS(B21)+ABS(C21)&lt;&gt;0),H21 - IF(AND(B21&lt;&gt;0,C21=0),1,C21)*G21*$N$1*$E$1*E21*G21,PlotData!$CB$3)</f>
        <v>0</v>
      </c>
      <c r="M21" s="837">
        <f>IF(AND(ISNUMBER(System!$C20),ABS(B21)+ABS(C21)&lt;&gt;0),I21 - IF(AND(B21&lt;&gt;0,C21=0),1,C21)*G21*$N$1*$E$1*E21*G21,PlotData!$CB$3)</f>
        <v>0</v>
      </c>
      <c r="N21" s="837">
        <f>IF(AND(ISNUMBER(System!$C20),ABS(B21)+ABS(C21)&lt;&gt;0),IF(B21&gt;=0,I21,H21)-B21*$R$1*MIN(D21,$E$1)*F21,PlotData!$CB$3)</f>
        <v>0</v>
      </c>
      <c r="O21" s="835">
        <f>IF(AND(ISNUMBER(System!$C20),ABS(B21)+ABS(C21)&lt;&gt;0),IF(B21&gt;=0,J21,K21)-B21*$R$1*MIN(D21,$E$1)*F21,PlotData!$CB$3)</f>
        <v>0</v>
      </c>
      <c r="P21" s="834">
        <f>IF(AND(ISNUMBER(System!$C20),ABS(B21)+ABS(C21)&lt;&gt;0),System!BE138-$J$1*MIN($E$1,D21)*E21 - SIGN(C21+0.2)*$H$1*$E$1*F21,PlotData!$CB$4)</f>
        <v>0</v>
      </c>
      <c r="Q21" s="837">
        <f>IF(AND(ISNUMBER(System!$C20),ABS(B21)+ABS(C21)&lt;&gt;0),System!BF138+$J$1*MIN($E$1,D21)*E21 - SIGN(C21+0.2)*$H$1*$E$1*F21,PlotData!$CB$4)</f>
        <v>0</v>
      </c>
      <c r="R21" s="837">
        <f>IF(AND(ISNUMBER(System!$C20),ABS(B21)+ABS(C21)&lt;&gt;0),Q21 - SIGN(C21+0.2)*$E$1*F21,PlotData!$CB$4)</f>
        <v>0</v>
      </c>
      <c r="S21" s="835">
        <f>IF(AND(ISNUMBER(System!$C20),ABS(B21)+ABS(C21)&lt;&gt;0),P21 - SIGN(C21+0.2)*$E$1*F21,PlotData!$CB$4)</f>
        <v>0</v>
      </c>
      <c r="T21" s="834">
        <f>IF(AND(ISNUMBER(System!$C20),ABS(B21)+ABS(C21)&lt;&gt;0),P21 - SIGN(C21+0.2)*$N$1*$E$1*F21,PlotData!$CB$4)</f>
        <v>0</v>
      </c>
      <c r="U21" s="837">
        <f>IF(AND(ISNUMBER(System!$C20),ABS(B21)+ABS(C21)&lt;&gt;0),Q21 - SIGN(C21+0.2)*$N$1*$E$1*F21,PlotData!$CB$4)</f>
        <v>0</v>
      </c>
      <c r="V21" s="837">
        <f>IF(AND(ISNUMBER(System!$C20),ABS(B21)+ABS(C21)&lt;&gt;0),IF(B21&gt;=0,Q21,P21)+B21*$R$1*MIN(D21,$E$1)*E21,PlotData!$CB$4)</f>
        <v>0</v>
      </c>
      <c r="W21" s="835">
        <f>IF(AND(ISNUMBER(System!$C20),ABS(B21)+ABS(C21)&lt;&gt;0),IF(B21&gt;=0,R21,S21)+B21*$R$1*MIN(D21,$E$1)*E21,PlotData!$CB$4)</f>
        <v>0</v>
      </c>
      <c r="X21" s="836">
        <f>IF(ISNUMBER(System!$C20),SIGN(System!AG20),0)</f>
        <v>0</v>
      </c>
    </row>
    <row r="22" spans="1:24" x14ac:dyDescent="0.25">
      <c r="A22" s="827">
        <v>18</v>
      </c>
      <c r="B22" s="834">
        <f>IF(ISNUMBER(System!$C21),SIGN(System!BL139),0)</f>
        <v>0</v>
      </c>
      <c r="C22" s="835">
        <f>IF(ISNUMBER(System!$C21),SIGN(System!BM139),0)</f>
        <v>0</v>
      </c>
      <c r="D22" s="836">
        <f>IF(ISNUMBER(System!$C21),System!BG139,0)</f>
        <v>0</v>
      </c>
      <c r="E22" s="834">
        <f>IF(ISNUMBER(System!$C21),System!BJ139,0)</f>
        <v>0</v>
      </c>
      <c r="F22" s="835">
        <f>IF(ISNUMBER(System!$C21),System!BK139,0)</f>
        <v>0</v>
      </c>
      <c r="G22" s="836">
        <f>IF(F22=0,1,IF(OR(System!N21&lt;&gt;0,System!O21 &lt;&gt;0),0,1))</f>
        <v>1</v>
      </c>
      <c r="H22" s="834">
        <f>IF(AND(ISNUMBER(System!$C21),ABS(B22)+ABS(C22)&lt;&gt;0),System!BC139+$J$1*MIN($E$1,D22)*F22 - IF(AND(B22&lt;&gt;0,C22=0),1,C22)*$H$1*$E$1*E22,PlotData!$CB$3)</f>
        <v>0</v>
      </c>
      <c r="I22" s="837">
        <f>IF(AND(ISNUMBER(System!$C21),ABS(B22)+ABS(C22)&lt;&gt;0),System!BD139-$J$1*MIN($E$1,D22)*F22 - IF(AND(B22&lt;&gt;0,C22=0),1,C22)*$H$1*$E$1*E22,PlotData!$CB$3)</f>
        <v>0</v>
      </c>
      <c r="J22" s="837">
        <f>IF(AND(ISNUMBER(System!$C21),ABS(B22)+ABS(C22)&lt;&gt;0),I22 - IF(AND(B22&lt;&gt;0,C22=0),1,C22)*$E$1*E22*G22,PlotData!$CB$3)</f>
        <v>0</v>
      </c>
      <c r="K22" s="835">
        <f>IF(AND(ISNUMBER(System!$C21),ABS(B22)+ABS(C22)&lt;&gt;0),H22 - IF(AND(B22&lt;&gt;0,C22=0),1,C22)*$E$1*E22*G22,PlotData!$CB$3)</f>
        <v>0</v>
      </c>
      <c r="L22" s="834">
        <f>IF(AND(ISNUMBER(System!$C21),ABS(B22)+ABS(C22)&lt;&gt;0),H22 - IF(AND(B22&lt;&gt;0,C22=0),1,C22)*G22*$N$1*$E$1*E22*G22,PlotData!$CB$3)</f>
        <v>0</v>
      </c>
      <c r="M22" s="837">
        <f>IF(AND(ISNUMBER(System!$C21),ABS(B22)+ABS(C22)&lt;&gt;0),I22 - IF(AND(B22&lt;&gt;0,C22=0),1,C22)*G22*$N$1*$E$1*E22*G22,PlotData!$CB$3)</f>
        <v>0</v>
      </c>
      <c r="N22" s="837">
        <f>IF(AND(ISNUMBER(System!$C21),ABS(B22)+ABS(C22)&lt;&gt;0),IF(B22&gt;=0,I22,H22)-B22*$R$1*MIN(D22,$E$1)*F22,PlotData!$CB$3)</f>
        <v>0</v>
      </c>
      <c r="O22" s="835">
        <f>IF(AND(ISNUMBER(System!$C21),ABS(B22)+ABS(C22)&lt;&gt;0),IF(B22&gt;=0,J22,K22)-B22*$R$1*MIN(D22,$E$1)*F22,PlotData!$CB$3)</f>
        <v>0</v>
      </c>
      <c r="P22" s="834">
        <f>IF(AND(ISNUMBER(System!$C21),ABS(B22)+ABS(C22)&lt;&gt;0),System!BE139-$J$1*MIN($E$1,D22)*E22 - SIGN(C22+0.2)*$H$1*$E$1*F22,PlotData!$CB$4)</f>
        <v>0</v>
      </c>
      <c r="Q22" s="837">
        <f>IF(AND(ISNUMBER(System!$C21),ABS(B22)+ABS(C22)&lt;&gt;0),System!BF139+$J$1*MIN($E$1,D22)*E22 - SIGN(C22+0.2)*$H$1*$E$1*F22,PlotData!$CB$4)</f>
        <v>0</v>
      </c>
      <c r="R22" s="837">
        <f>IF(AND(ISNUMBER(System!$C21),ABS(B22)+ABS(C22)&lt;&gt;0),Q22 - SIGN(C22+0.2)*$E$1*F22,PlotData!$CB$4)</f>
        <v>0</v>
      </c>
      <c r="S22" s="835">
        <f>IF(AND(ISNUMBER(System!$C21),ABS(B22)+ABS(C22)&lt;&gt;0),P22 - SIGN(C22+0.2)*$E$1*F22,PlotData!$CB$4)</f>
        <v>0</v>
      </c>
      <c r="T22" s="834">
        <f>IF(AND(ISNUMBER(System!$C21),ABS(B22)+ABS(C22)&lt;&gt;0),P22 - SIGN(C22+0.2)*$N$1*$E$1*F22,PlotData!$CB$4)</f>
        <v>0</v>
      </c>
      <c r="U22" s="837">
        <f>IF(AND(ISNUMBER(System!$C21),ABS(B22)+ABS(C22)&lt;&gt;0),Q22 - SIGN(C22+0.2)*$N$1*$E$1*F22,PlotData!$CB$4)</f>
        <v>0</v>
      </c>
      <c r="V22" s="837">
        <f>IF(AND(ISNUMBER(System!$C21),ABS(B22)+ABS(C22)&lt;&gt;0),IF(B22&gt;=0,Q22,P22)+B22*$R$1*MIN(D22,$E$1)*E22,PlotData!$CB$4)</f>
        <v>0</v>
      </c>
      <c r="W22" s="835">
        <f>IF(AND(ISNUMBER(System!$C21),ABS(B22)+ABS(C22)&lt;&gt;0),IF(B22&gt;=0,R22,S22)+B22*$R$1*MIN(D22,$E$1)*E22,PlotData!$CB$4)</f>
        <v>0</v>
      </c>
      <c r="X22" s="836">
        <f>IF(ISNUMBER(System!$C21),SIGN(System!AG21),0)</f>
        <v>0</v>
      </c>
    </row>
    <row r="23" spans="1:24" x14ac:dyDescent="0.25">
      <c r="A23" s="827">
        <v>19</v>
      </c>
      <c r="B23" s="834">
        <f>IF(ISNUMBER(System!$C22),SIGN(System!BL140),0)</f>
        <v>0</v>
      </c>
      <c r="C23" s="835">
        <f>IF(ISNUMBER(System!$C22),SIGN(System!BM140),0)</f>
        <v>0</v>
      </c>
      <c r="D23" s="836">
        <f>IF(ISNUMBER(System!$C22),System!BG140,0)</f>
        <v>0</v>
      </c>
      <c r="E23" s="834">
        <f>IF(ISNUMBER(System!$C22),System!BJ140,0)</f>
        <v>0</v>
      </c>
      <c r="F23" s="835">
        <f>IF(ISNUMBER(System!$C22),System!BK140,0)</f>
        <v>0</v>
      </c>
      <c r="G23" s="836">
        <f>IF(F23=0,1,IF(OR(System!N22&lt;&gt;0,System!O22 &lt;&gt;0),0,1))</f>
        <v>1</v>
      </c>
      <c r="H23" s="834">
        <f>IF(AND(ISNUMBER(System!$C22),ABS(B23)+ABS(C23)&lt;&gt;0),System!BC140+$J$1*MIN($E$1,D23)*F23 - IF(AND(B23&lt;&gt;0,C23=0),1,C23)*$H$1*$E$1*E23,PlotData!$CB$3)</f>
        <v>0</v>
      </c>
      <c r="I23" s="837">
        <f>IF(AND(ISNUMBER(System!$C22),ABS(B23)+ABS(C23)&lt;&gt;0),System!BD140-$J$1*MIN($E$1,D23)*F23 - IF(AND(B23&lt;&gt;0,C23=0),1,C23)*$H$1*$E$1*E23,PlotData!$CB$3)</f>
        <v>0</v>
      </c>
      <c r="J23" s="837">
        <f>IF(AND(ISNUMBER(System!$C22),ABS(B23)+ABS(C23)&lt;&gt;0),I23 - IF(AND(B23&lt;&gt;0,C23=0),1,C23)*$E$1*E23*G23,PlotData!$CB$3)</f>
        <v>0</v>
      </c>
      <c r="K23" s="835">
        <f>IF(AND(ISNUMBER(System!$C22),ABS(B23)+ABS(C23)&lt;&gt;0),H23 - IF(AND(B23&lt;&gt;0,C23=0),1,C23)*$E$1*E23*G23,PlotData!$CB$3)</f>
        <v>0</v>
      </c>
      <c r="L23" s="834">
        <f>IF(AND(ISNUMBER(System!$C22),ABS(B23)+ABS(C23)&lt;&gt;0),H23 - IF(AND(B23&lt;&gt;0,C23=0),1,C23)*G23*$N$1*$E$1*E23*G23,PlotData!$CB$3)</f>
        <v>0</v>
      </c>
      <c r="M23" s="837">
        <f>IF(AND(ISNUMBER(System!$C22),ABS(B23)+ABS(C23)&lt;&gt;0),I23 - IF(AND(B23&lt;&gt;0,C23=0),1,C23)*G23*$N$1*$E$1*E23*G23,PlotData!$CB$3)</f>
        <v>0</v>
      </c>
      <c r="N23" s="837">
        <f>IF(AND(ISNUMBER(System!$C22),ABS(B23)+ABS(C23)&lt;&gt;0),IF(B23&gt;=0,I23,H23)-B23*$R$1*MIN(D23,$E$1)*F23,PlotData!$CB$3)</f>
        <v>0</v>
      </c>
      <c r="O23" s="835">
        <f>IF(AND(ISNUMBER(System!$C22),ABS(B23)+ABS(C23)&lt;&gt;0),IF(B23&gt;=0,J23,K23)-B23*$R$1*MIN(D23,$E$1)*F23,PlotData!$CB$3)</f>
        <v>0</v>
      </c>
      <c r="P23" s="834">
        <f>IF(AND(ISNUMBER(System!$C22),ABS(B23)+ABS(C23)&lt;&gt;0),System!BE140-$J$1*MIN($E$1,D23)*E23 - SIGN(C23+0.2)*$H$1*$E$1*F23,PlotData!$CB$4)</f>
        <v>0</v>
      </c>
      <c r="Q23" s="837">
        <f>IF(AND(ISNUMBER(System!$C22),ABS(B23)+ABS(C23)&lt;&gt;0),System!BF140+$J$1*MIN($E$1,D23)*E23 - SIGN(C23+0.2)*$H$1*$E$1*F23,PlotData!$CB$4)</f>
        <v>0</v>
      </c>
      <c r="R23" s="837">
        <f>IF(AND(ISNUMBER(System!$C22),ABS(B23)+ABS(C23)&lt;&gt;0),Q23 - SIGN(C23+0.2)*$E$1*F23,PlotData!$CB$4)</f>
        <v>0</v>
      </c>
      <c r="S23" s="835">
        <f>IF(AND(ISNUMBER(System!$C22),ABS(B23)+ABS(C23)&lt;&gt;0),P23 - SIGN(C23+0.2)*$E$1*F23,PlotData!$CB$4)</f>
        <v>0</v>
      </c>
      <c r="T23" s="834">
        <f>IF(AND(ISNUMBER(System!$C22),ABS(B23)+ABS(C23)&lt;&gt;0),P23 - SIGN(C23+0.2)*$N$1*$E$1*F23,PlotData!$CB$4)</f>
        <v>0</v>
      </c>
      <c r="U23" s="837">
        <f>IF(AND(ISNUMBER(System!$C22),ABS(B23)+ABS(C23)&lt;&gt;0),Q23 - SIGN(C23+0.2)*$N$1*$E$1*F23,PlotData!$CB$4)</f>
        <v>0</v>
      </c>
      <c r="V23" s="837">
        <f>IF(AND(ISNUMBER(System!$C22),ABS(B23)+ABS(C23)&lt;&gt;0),IF(B23&gt;=0,Q23,P23)+B23*$R$1*MIN(D23,$E$1)*E23,PlotData!$CB$4)</f>
        <v>0</v>
      </c>
      <c r="W23" s="835">
        <f>IF(AND(ISNUMBER(System!$C22),ABS(B23)+ABS(C23)&lt;&gt;0),IF(B23&gt;=0,R23,S23)+B23*$R$1*MIN(D23,$E$1)*E23,PlotData!$CB$4)</f>
        <v>0</v>
      </c>
      <c r="X23" s="836">
        <f>IF(ISNUMBER(System!$C22),SIGN(System!AG22),0)</f>
        <v>0</v>
      </c>
    </row>
    <row r="24" spans="1:24" x14ac:dyDescent="0.25">
      <c r="A24" s="827">
        <v>20</v>
      </c>
      <c r="B24" s="834">
        <f>IF(ISNUMBER(System!$C23),SIGN(System!BL141),0)</f>
        <v>0</v>
      </c>
      <c r="C24" s="835">
        <f>IF(ISNUMBER(System!$C23),SIGN(System!BM141),0)</f>
        <v>0</v>
      </c>
      <c r="D24" s="836">
        <f>IF(ISNUMBER(System!$C23),System!BG141,0)</f>
        <v>0</v>
      </c>
      <c r="E24" s="834">
        <f>IF(ISNUMBER(System!$C23),System!BJ141,0)</f>
        <v>0</v>
      </c>
      <c r="F24" s="835">
        <f>IF(ISNUMBER(System!$C23),System!BK141,0)</f>
        <v>0</v>
      </c>
      <c r="G24" s="836">
        <f>IF(F24=0,1,IF(OR(System!N23&lt;&gt;0,System!O23 &lt;&gt;0),0,1))</f>
        <v>1</v>
      </c>
      <c r="H24" s="834">
        <f>IF(AND(ISNUMBER(System!$C23),ABS(B24)+ABS(C24)&lt;&gt;0),System!BC141+$J$1*MIN($E$1,D24)*F24 - IF(AND(B24&lt;&gt;0,C24=0),1,C24)*$H$1*$E$1*E24,PlotData!$CB$3)</f>
        <v>0</v>
      </c>
      <c r="I24" s="837">
        <f>IF(AND(ISNUMBER(System!$C23),ABS(B24)+ABS(C24)&lt;&gt;0),System!BD141-$J$1*MIN($E$1,D24)*F24 - IF(AND(B24&lt;&gt;0,C24=0),1,C24)*$H$1*$E$1*E24,PlotData!$CB$3)</f>
        <v>0</v>
      </c>
      <c r="J24" s="837">
        <f>IF(AND(ISNUMBER(System!$C23),ABS(B24)+ABS(C24)&lt;&gt;0),I24 - IF(AND(B24&lt;&gt;0,C24=0),1,C24)*$E$1*E24*G24,PlotData!$CB$3)</f>
        <v>0</v>
      </c>
      <c r="K24" s="835">
        <f>IF(AND(ISNUMBER(System!$C23),ABS(B24)+ABS(C24)&lt;&gt;0),H24 - IF(AND(B24&lt;&gt;0,C24=0),1,C24)*$E$1*E24*G24,PlotData!$CB$3)</f>
        <v>0</v>
      </c>
      <c r="L24" s="834">
        <f>IF(AND(ISNUMBER(System!$C23),ABS(B24)+ABS(C24)&lt;&gt;0),H24 - IF(AND(B24&lt;&gt;0,C24=0),1,C24)*G24*$N$1*$E$1*E24*G24,PlotData!$CB$3)</f>
        <v>0</v>
      </c>
      <c r="M24" s="837">
        <f>IF(AND(ISNUMBER(System!$C23),ABS(B24)+ABS(C24)&lt;&gt;0),I24 - IF(AND(B24&lt;&gt;0,C24=0),1,C24)*G24*$N$1*$E$1*E24*G24,PlotData!$CB$3)</f>
        <v>0</v>
      </c>
      <c r="N24" s="837">
        <f>IF(AND(ISNUMBER(System!$C23),ABS(B24)+ABS(C24)&lt;&gt;0),IF(B24&gt;=0,I24,H24)-B24*$R$1*MIN(D24,$E$1)*F24,PlotData!$CB$3)</f>
        <v>0</v>
      </c>
      <c r="O24" s="835">
        <f>IF(AND(ISNUMBER(System!$C23),ABS(B24)+ABS(C24)&lt;&gt;0),IF(B24&gt;=0,J24,K24)-B24*$R$1*MIN(D24,$E$1)*F24,PlotData!$CB$3)</f>
        <v>0</v>
      </c>
      <c r="P24" s="834">
        <f>IF(AND(ISNUMBER(System!$C23),ABS(B24)+ABS(C24)&lt;&gt;0),System!BE141-$J$1*MIN($E$1,D24)*E24 - SIGN(C24+0.2)*$H$1*$E$1*F24,PlotData!$CB$4)</f>
        <v>0</v>
      </c>
      <c r="Q24" s="837">
        <f>IF(AND(ISNUMBER(System!$C23),ABS(B24)+ABS(C24)&lt;&gt;0),System!BF141+$J$1*MIN($E$1,D24)*E24 - SIGN(C24+0.2)*$H$1*$E$1*F24,PlotData!$CB$4)</f>
        <v>0</v>
      </c>
      <c r="R24" s="837">
        <f>IF(AND(ISNUMBER(System!$C23),ABS(B24)+ABS(C24)&lt;&gt;0),Q24 - SIGN(C24+0.2)*$E$1*F24,PlotData!$CB$4)</f>
        <v>0</v>
      </c>
      <c r="S24" s="835">
        <f>IF(AND(ISNUMBER(System!$C23),ABS(B24)+ABS(C24)&lt;&gt;0),P24 - SIGN(C24+0.2)*$E$1*F24,PlotData!$CB$4)</f>
        <v>0</v>
      </c>
      <c r="T24" s="834">
        <f>IF(AND(ISNUMBER(System!$C23),ABS(B24)+ABS(C24)&lt;&gt;0),P24 - SIGN(C24+0.2)*$N$1*$E$1*F24,PlotData!$CB$4)</f>
        <v>0</v>
      </c>
      <c r="U24" s="837">
        <f>IF(AND(ISNUMBER(System!$C23),ABS(B24)+ABS(C24)&lt;&gt;0),Q24 - SIGN(C24+0.2)*$N$1*$E$1*F24,PlotData!$CB$4)</f>
        <v>0</v>
      </c>
      <c r="V24" s="837">
        <f>IF(AND(ISNUMBER(System!$C23),ABS(B24)+ABS(C24)&lt;&gt;0),IF(B24&gt;=0,Q24,P24)+B24*$R$1*MIN(D24,$E$1)*E24,PlotData!$CB$4)</f>
        <v>0</v>
      </c>
      <c r="W24" s="835">
        <f>IF(AND(ISNUMBER(System!$C23),ABS(B24)+ABS(C24)&lt;&gt;0),IF(B24&gt;=0,R24,S24)+B24*$R$1*MIN(D24,$E$1)*E24,PlotData!$CB$4)</f>
        <v>0</v>
      </c>
      <c r="X24" s="836">
        <f>IF(ISNUMBER(System!$C23),SIGN(System!AG23),0)</f>
        <v>0</v>
      </c>
    </row>
    <row r="25" spans="1:24" x14ac:dyDescent="0.25">
      <c r="A25" s="827">
        <v>21</v>
      </c>
      <c r="B25" s="834">
        <f>IF(ISNUMBER(System!$C24),SIGN(System!BL142),0)</f>
        <v>0</v>
      </c>
      <c r="C25" s="835">
        <f>IF(ISNUMBER(System!$C24),SIGN(System!BM142),0)</f>
        <v>0</v>
      </c>
      <c r="D25" s="836">
        <f>IF(ISNUMBER(System!$C24),System!BG142,0)</f>
        <v>0</v>
      </c>
      <c r="E25" s="834">
        <f>IF(ISNUMBER(System!$C24),System!BJ142,0)</f>
        <v>0</v>
      </c>
      <c r="F25" s="835">
        <f>IF(ISNUMBER(System!$C24),System!BK142,0)</f>
        <v>0</v>
      </c>
      <c r="G25" s="836">
        <f>IF(F25=0,1,IF(OR(System!N24&lt;&gt;0,System!O24 &lt;&gt;0),0,1))</f>
        <v>1</v>
      </c>
      <c r="H25" s="834">
        <f>IF(AND(ISNUMBER(System!$C24),ABS(B25)+ABS(C25)&lt;&gt;0),System!BC142+$J$1*MIN($E$1,D25)*F25 - IF(AND(B25&lt;&gt;0,C25=0),1,C25)*$H$1*$E$1*E25,PlotData!$CB$3)</f>
        <v>0</v>
      </c>
      <c r="I25" s="837">
        <f>IF(AND(ISNUMBER(System!$C24),ABS(B25)+ABS(C25)&lt;&gt;0),System!BD142-$J$1*MIN($E$1,D25)*F25 - IF(AND(B25&lt;&gt;0,C25=0),1,C25)*$H$1*$E$1*E25,PlotData!$CB$3)</f>
        <v>0</v>
      </c>
      <c r="J25" s="837">
        <f>IF(AND(ISNUMBER(System!$C24),ABS(B25)+ABS(C25)&lt;&gt;0),I25 - IF(AND(B25&lt;&gt;0,C25=0),1,C25)*$E$1*E25*G25,PlotData!$CB$3)</f>
        <v>0</v>
      </c>
      <c r="K25" s="835">
        <f>IF(AND(ISNUMBER(System!$C24),ABS(B25)+ABS(C25)&lt;&gt;0),H25 - IF(AND(B25&lt;&gt;0,C25=0),1,C25)*$E$1*E25*G25,PlotData!$CB$3)</f>
        <v>0</v>
      </c>
      <c r="L25" s="834">
        <f>IF(AND(ISNUMBER(System!$C24),ABS(B25)+ABS(C25)&lt;&gt;0),H25 - IF(AND(B25&lt;&gt;0,C25=0),1,C25)*G25*$N$1*$E$1*E25*G25,PlotData!$CB$3)</f>
        <v>0</v>
      </c>
      <c r="M25" s="837">
        <f>IF(AND(ISNUMBER(System!$C24),ABS(B25)+ABS(C25)&lt;&gt;0),I25 - IF(AND(B25&lt;&gt;0,C25=0),1,C25)*G25*$N$1*$E$1*E25*G25,PlotData!$CB$3)</f>
        <v>0</v>
      </c>
      <c r="N25" s="837">
        <f>IF(AND(ISNUMBER(System!$C24),ABS(B25)+ABS(C25)&lt;&gt;0),IF(B25&gt;=0,I25,H25)-B25*$R$1*MIN(D25,$E$1)*F25,PlotData!$CB$3)</f>
        <v>0</v>
      </c>
      <c r="O25" s="835">
        <f>IF(AND(ISNUMBER(System!$C24),ABS(B25)+ABS(C25)&lt;&gt;0),IF(B25&gt;=0,J25,K25)-B25*$R$1*MIN(D25,$E$1)*F25,PlotData!$CB$3)</f>
        <v>0</v>
      </c>
      <c r="P25" s="834">
        <f>IF(AND(ISNUMBER(System!$C24),ABS(B25)+ABS(C25)&lt;&gt;0),System!BE142-$J$1*MIN($E$1,D25)*E25 - SIGN(C25+0.2)*$H$1*$E$1*F25,PlotData!$CB$4)</f>
        <v>0</v>
      </c>
      <c r="Q25" s="837">
        <f>IF(AND(ISNUMBER(System!$C24),ABS(B25)+ABS(C25)&lt;&gt;0),System!BF142+$J$1*MIN($E$1,D25)*E25 - SIGN(C25+0.2)*$H$1*$E$1*F25,PlotData!$CB$4)</f>
        <v>0</v>
      </c>
      <c r="R25" s="837">
        <f>IF(AND(ISNUMBER(System!$C24),ABS(B25)+ABS(C25)&lt;&gt;0),Q25 - SIGN(C25+0.2)*$E$1*F25,PlotData!$CB$4)</f>
        <v>0</v>
      </c>
      <c r="S25" s="835">
        <f>IF(AND(ISNUMBER(System!$C24),ABS(B25)+ABS(C25)&lt;&gt;0),P25 - SIGN(C25+0.2)*$E$1*F25,PlotData!$CB$4)</f>
        <v>0</v>
      </c>
      <c r="T25" s="834">
        <f>IF(AND(ISNUMBER(System!$C24),ABS(B25)+ABS(C25)&lt;&gt;0),P25 - SIGN(C25+0.2)*$N$1*$E$1*F25,PlotData!$CB$4)</f>
        <v>0</v>
      </c>
      <c r="U25" s="837">
        <f>IF(AND(ISNUMBER(System!$C24),ABS(B25)+ABS(C25)&lt;&gt;0),Q25 - SIGN(C25+0.2)*$N$1*$E$1*F25,PlotData!$CB$4)</f>
        <v>0</v>
      </c>
      <c r="V25" s="837">
        <f>IF(AND(ISNUMBER(System!$C24),ABS(B25)+ABS(C25)&lt;&gt;0),IF(B25&gt;=0,Q25,P25)+B25*$R$1*MIN(D25,$E$1)*E25,PlotData!$CB$4)</f>
        <v>0</v>
      </c>
      <c r="W25" s="835">
        <f>IF(AND(ISNUMBER(System!$C24),ABS(B25)+ABS(C25)&lt;&gt;0),IF(B25&gt;=0,R25,S25)+B25*$R$1*MIN(D25,$E$1)*E25,PlotData!$CB$4)</f>
        <v>0</v>
      </c>
      <c r="X25" s="836">
        <f>IF(ISNUMBER(System!$C24),SIGN(System!AG24),0)</f>
        <v>0</v>
      </c>
    </row>
    <row r="26" spans="1:24" x14ac:dyDescent="0.25">
      <c r="A26" s="827">
        <v>22</v>
      </c>
      <c r="B26" s="834">
        <f>IF(ISNUMBER(System!$C25),SIGN(System!BL143),0)</f>
        <v>0</v>
      </c>
      <c r="C26" s="835">
        <f>IF(ISNUMBER(System!$C25),SIGN(System!BM143),0)</f>
        <v>0</v>
      </c>
      <c r="D26" s="836">
        <f>IF(ISNUMBER(System!$C25),System!BG143,0)</f>
        <v>0</v>
      </c>
      <c r="E26" s="834">
        <f>IF(ISNUMBER(System!$C25),System!BJ143,0)</f>
        <v>0</v>
      </c>
      <c r="F26" s="835">
        <f>IF(ISNUMBER(System!$C25),System!BK143,0)</f>
        <v>0</v>
      </c>
      <c r="G26" s="836">
        <f>IF(F26=0,1,IF(OR(System!N25&lt;&gt;0,System!O25 &lt;&gt;0),0,1))</f>
        <v>1</v>
      </c>
      <c r="H26" s="834">
        <f>IF(AND(ISNUMBER(System!$C25),ABS(B26)+ABS(C26)&lt;&gt;0),System!BC143+$J$1*MIN($E$1,D26)*F26 - IF(AND(B26&lt;&gt;0,C26=0),1,C26)*$H$1*$E$1*E26,PlotData!$CB$3)</f>
        <v>0</v>
      </c>
      <c r="I26" s="837">
        <f>IF(AND(ISNUMBER(System!$C25),ABS(B26)+ABS(C26)&lt;&gt;0),System!BD143-$J$1*MIN($E$1,D26)*F26 - IF(AND(B26&lt;&gt;0,C26=0),1,C26)*$H$1*$E$1*E26,PlotData!$CB$3)</f>
        <v>0</v>
      </c>
      <c r="J26" s="837">
        <f>IF(AND(ISNUMBER(System!$C25),ABS(B26)+ABS(C26)&lt;&gt;0),I26 - IF(AND(B26&lt;&gt;0,C26=0),1,C26)*$E$1*E26*G26,PlotData!$CB$3)</f>
        <v>0</v>
      </c>
      <c r="K26" s="835">
        <f>IF(AND(ISNUMBER(System!$C25),ABS(B26)+ABS(C26)&lt;&gt;0),H26 - IF(AND(B26&lt;&gt;0,C26=0),1,C26)*$E$1*E26*G26,PlotData!$CB$3)</f>
        <v>0</v>
      </c>
      <c r="L26" s="834">
        <f>IF(AND(ISNUMBER(System!$C25),ABS(B26)+ABS(C26)&lt;&gt;0),H26 - IF(AND(B26&lt;&gt;0,C26=0),1,C26)*G26*$N$1*$E$1*E26*G26,PlotData!$CB$3)</f>
        <v>0</v>
      </c>
      <c r="M26" s="837">
        <f>IF(AND(ISNUMBER(System!$C25),ABS(B26)+ABS(C26)&lt;&gt;0),I26 - IF(AND(B26&lt;&gt;0,C26=0),1,C26)*G26*$N$1*$E$1*E26*G26,PlotData!$CB$3)</f>
        <v>0</v>
      </c>
      <c r="N26" s="837">
        <f>IF(AND(ISNUMBER(System!$C25),ABS(B26)+ABS(C26)&lt;&gt;0),IF(B26&gt;=0,I26,H26)-B26*$R$1*MIN(D26,$E$1)*F26,PlotData!$CB$3)</f>
        <v>0</v>
      </c>
      <c r="O26" s="835">
        <f>IF(AND(ISNUMBER(System!$C25),ABS(B26)+ABS(C26)&lt;&gt;0),IF(B26&gt;=0,J26,K26)-B26*$R$1*MIN(D26,$E$1)*F26,PlotData!$CB$3)</f>
        <v>0</v>
      </c>
      <c r="P26" s="834">
        <f>IF(AND(ISNUMBER(System!$C25),ABS(B26)+ABS(C26)&lt;&gt;0),System!BE143-$J$1*MIN($E$1,D26)*E26 - SIGN(C26+0.2)*$H$1*$E$1*F26,PlotData!$CB$4)</f>
        <v>0</v>
      </c>
      <c r="Q26" s="837">
        <f>IF(AND(ISNUMBER(System!$C25),ABS(B26)+ABS(C26)&lt;&gt;0),System!BF143+$J$1*MIN($E$1,D26)*E26 - SIGN(C26+0.2)*$H$1*$E$1*F26,PlotData!$CB$4)</f>
        <v>0</v>
      </c>
      <c r="R26" s="837">
        <f>IF(AND(ISNUMBER(System!$C25),ABS(B26)+ABS(C26)&lt;&gt;0),Q26 - SIGN(C26+0.2)*$E$1*F26,PlotData!$CB$4)</f>
        <v>0</v>
      </c>
      <c r="S26" s="835">
        <f>IF(AND(ISNUMBER(System!$C25),ABS(B26)+ABS(C26)&lt;&gt;0),P26 - SIGN(C26+0.2)*$E$1*F26,PlotData!$CB$4)</f>
        <v>0</v>
      </c>
      <c r="T26" s="834">
        <f>IF(AND(ISNUMBER(System!$C25),ABS(B26)+ABS(C26)&lt;&gt;0),P26 - SIGN(C26+0.2)*$N$1*$E$1*F26,PlotData!$CB$4)</f>
        <v>0</v>
      </c>
      <c r="U26" s="837">
        <f>IF(AND(ISNUMBER(System!$C25),ABS(B26)+ABS(C26)&lt;&gt;0),Q26 - SIGN(C26+0.2)*$N$1*$E$1*F26,PlotData!$CB$4)</f>
        <v>0</v>
      </c>
      <c r="V26" s="837">
        <f>IF(AND(ISNUMBER(System!$C25),ABS(B26)+ABS(C26)&lt;&gt;0),IF(B26&gt;=0,Q26,P26)+B26*$R$1*MIN(D26,$E$1)*E26,PlotData!$CB$4)</f>
        <v>0</v>
      </c>
      <c r="W26" s="835">
        <f>IF(AND(ISNUMBER(System!$C25),ABS(B26)+ABS(C26)&lt;&gt;0),IF(B26&gt;=0,R26,S26)+B26*$R$1*MIN(D26,$E$1)*E26,PlotData!$CB$4)</f>
        <v>0</v>
      </c>
      <c r="X26" s="836">
        <f>IF(ISNUMBER(System!$C25),SIGN(System!AG25),0)</f>
        <v>0</v>
      </c>
    </row>
    <row r="27" spans="1:24" x14ac:dyDescent="0.25">
      <c r="A27" s="827">
        <v>23</v>
      </c>
      <c r="B27" s="834">
        <f>IF(ISNUMBER(System!$C26),SIGN(System!BL144),0)</f>
        <v>0</v>
      </c>
      <c r="C27" s="835">
        <f>IF(ISNUMBER(System!$C26),SIGN(System!BM144),0)</f>
        <v>0</v>
      </c>
      <c r="D27" s="836">
        <f>IF(ISNUMBER(System!$C26),System!BG144,0)</f>
        <v>0</v>
      </c>
      <c r="E27" s="834">
        <f>IF(ISNUMBER(System!$C26),System!BJ144,0)</f>
        <v>0</v>
      </c>
      <c r="F27" s="835">
        <f>IF(ISNUMBER(System!$C26),System!BK144,0)</f>
        <v>0</v>
      </c>
      <c r="G27" s="836">
        <f>IF(F27=0,1,IF(OR(System!N26&lt;&gt;0,System!O26 &lt;&gt;0),0,1))</f>
        <v>1</v>
      </c>
      <c r="H27" s="834">
        <f>IF(AND(ISNUMBER(System!$C26),ABS(B27)+ABS(C27)&lt;&gt;0),System!BC144+$J$1*MIN($E$1,D27)*F27 - IF(AND(B27&lt;&gt;0,C27=0),1,C27)*$H$1*$E$1*E27,PlotData!$CB$3)</f>
        <v>0</v>
      </c>
      <c r="I27" s="837">
        <f>IF(AND(ISNUMBER(System!$C26),ABS(B27)+ABS(C27)&lt;&gt;0),System!BD144-$J$1*MIN($E$1,D27)*F27 - IF(AND(B27&lt;&gt;0,C27=0),1,C27)*$H$1*$E$1*E27,PlotData!$CB$3)</f>
        <v>0</v>
      </c>
      <c r="J27" s="837">
        <f>IF(AND(ISNUMBER(System!$C26),ABS(B27)+ABS(C27)&lt;&gt;0),I27 - IF(AND(B27&lt;&gt;0,C27=0),1,C27)*$E$1*E27*G27,PlotData!$CB$3)</f>
        <v>0</v>
      </c>
      <c r="K27" s="835">
        <f>IF(AND(ISNUMBER(System!$C26),ABS(B27)+ABS(C27)&lt;&gt;0),H27 - IF(AND(B27&lt;&gt;0,C27=0),1,C27)*$E$1*E27*G27,PlotData!$CB$3)</f>
        <v>0</v>
      </c>
      <c r="L27" s="834">
        <f>IF(AND(ISNUMBER(System!$C26),ABS(B27)+ABS(C27)&lt;&gt;0),H27 - IF(AND(B27&lt;&gt;0,C27=0),1,C27)*G27*$N$1*$E$1*E27*G27,PlotData!$CB$3)</f>
        <v>0</v>
      </c>
      <c r="M27" s="837">
        <f>IF(AND(ISNUMBER(System!$C26),ABS(B27)+ABS(C27)&lt;&gt;0),I27 - IF(AND(B27&lt;&gt;0,C27=0),1,C27)*G27*$N$1*$E$1*E27*G27,PlotData!$CB$3)</f>
        <v>0</v>
      </c>
      <c r="N27" s="837">
        <f>IF(AND(ISNUMBER(System!$C26),ABS(B27)+ABS(C27)&lt;&gt;0),IF(B27&gt;=0,I27,H27)-B27*$R$1*MIN(D27,$E$1)*F27,PlotData!$CB$3)</f>
        <v>0</v>
      </c>
      <c r="O27" s="835">
        <f>IF(AND(ISNUMBER(System!$C26),ABS(B27)+ABS(C27)&lt;&gt;0),IF(B27&gt;=0,J27,K27)-B27*$R$1*MIN(D27,$E$1)*F27,PlotData!$CB$3)</f>
        <v>0</v>
      </c>
      <c r="P27" s="834">
        <f>IF(AND(ISNUMBER(System!$C26),ABS(B27)+ABS(C27)&lt;&gt;0),System!BE144-$J$1*MIN($E$1,D27)*E27 - SIGN(C27+0.2)*$H$1*$E$1*F27,PlotData!$CB$4)</f>
        <v>0</v>
      </c>
      <c r="Q27" s="837">
        <f>IF(AND(ISNUMBER(System!$C26),ABS(B27)+ABS(C27)&lt;&gt;0),System!BF144+$J$1*MIN($E$1,D27)*E27 - SIGN(C27+0.2)*$H$1*$E$1*F27,PlotData!$CB$4)</f>
        <v>0</v>
      </c>
      <c r="R27" s="837">
        <f>IF(AND(ISNUMBER(System!$C26),ABS(B27)+ABS(C27)&lt;&gt;0),Q27 - SIGN(C27+0.2)*$E$1*F27,PlotData!$CB$4)</f>
        <v>0</v>
      </c>
      <c r="S27" s="835">
        <f>IF(AND(ISNUMBER(System!$C26),ABS(B27)+ABS(C27)&lt;&gt;0),P27 - SIGN(C27+0.2)*$E$1*F27,PlotData!$CB$4)</f>
        <v>0</v>
      </c>
      <c r="T27" s="834">
        <f>IF(AND(ISNUMBER(System!$C26),ABS(B27)+ABS(C27)&lt;&gt;0),P27 - SIGN(C27+0.2)*$N$1*$E$1*F27,PlotData!$CB$4)</f>
        <v>0</v>
      </c>
      <c r="U27" s="837">
        <f>IF(AND(ISNUMBER(System!$C26),ABS(B27)+ABS(C27)&lt;&gt;0),Q27 - SIGN(C27+0.2)*$N$1*$E$1*F27,PlotData!$CB$4)</f>
        <v>0</v>
      </c>
      <c r="V27" s="837">
        <f>IF(AND(ISNUMBER(System!$C26),ABS(B27)+ABS(C27)&lt;&gt;0),IF(B27&gt;=0,Q27,P27)+B27*$R$1*MIN(D27,$E$1)*E27,PlotData!$CB$4)</f>
        <v>0</v>
      </c>
      <c r="W27" s="835">
        <f>IF(AND(ISNUMBER(System!$C26),ABS(B27)+ABS(C27)&lt;&gt;0),IF(B27&gt;=0,R27,S27)+B27*$R$1*MIN(D27,$E$1)*E27,PlotData!$CB$4)</f>
        <v>0</v>
      </c>
      <c r="X27" s="836">
        <f>IF(ISNUMBER(System!$C26),SIGN(System!AG26),0)</f>
        <v>0</v>
      </c>
    </row>
    <row r="28" spans="1:24" x14ac:dyDescent="0.25">
      <c r="A28" s="827">
        <v>24</v>
      </c>
      <c r="B28" s="834">
        <f>IF(ISNUMBER(System!$C27),SIGN(System!BL145),0)</f>
        <v>0</v>
      </c>
      <c r="C28" s="835">
        <f>IF(ISNUMBER(System!$C27),SIGN(System!BM145),0)</f>
        <v>0</v>
      </c>
      <c r="D28" s="836">
        <f>IF(ISNUMBER(System!$C27),System!BG145,0)</f>
        <v>0</v>
      </c>
      <c r="E28" s="834">
        <f>IF(ISNUMBER(System!$C27),System!BJ145,0)</f>
        <v>0</v>
      </c>
      <c r="F28" s="835">
        <f>IF(ISNUMBER(System!$C27),System!BK145,0)</f>
        <v>0</v>
      </c>
      <c r="G28" s="836">
        <f>IF(F28=0,1,IF(OR(System!N27&lt;&gt;0,System!O27 &lt;&gt;0),0,1))</f>
        <v>1</v>
      </c>
      <c r="H28" s="834">
        <f>IF(AND(ISNUMBER(System!$C27),ABS(B28)+ABS(C28)&lt;&gt;0),System!BC145+$J$1*MIN($E$1,D28)*F28 - IF(AND(B28&lt;&gt;0,C28=0),1,C28)*$H$1*$E$1*E28,PlotData!$CB$3)</f>
        <v>0</v>
      </c>
      <c r="I28" s="837">
        <f>IF(AND(ISNUMBER(System!$C27),ABS(B28)+ABS(C28)&lt;&gt;0),System!BD145-$J$1*MIN($E$1,D28)*F28 - IF(AND(B28&lt;&gt;0,C28=0),1,C28)*$H$1*$E$1*E28,PlotData!$CB$3)</f>
        <v>0</v>
      </c>
      <c r="J28" s="837">
        <f>IF(AND(ISNUMBER(System!$C27),ABS(B28)+ABS(C28)&lt;&gt;0),I28 - IF(AND(B28&lt;&gt;0,C28=0),1,C28)*$E$1*E28*G28,PlotData!$CB$3)</f>
        <v>0</v>
      </c>
      <c r="K28" s="835">
        <f>IF(AND(ISNUMBER(System!$C27),ABS(B28)+ABS(C28)&lt;&gt;0),H28 - IF(AND(B28&lt;&gt;0,C28=0),1,C28)*$E$1*E28*G28,PlotData!$CB$3)</f>
        <v>0</v>
      </c>
      <c r="L28" s="834">
        <f>IF(AND(ISNUMBER(System!$C27),ABS(B28)+ABS(C28)&lt;&gt;0),H28 - IF(AND(B28&lt;&gt;0,C28=0),1,C28)*G28*$N$1*$E$1*E28*G28,PlotData!$CB$3)</f>
        <v>0</v>
      </c>
      <c r="M28" s="837">
        <f>IF(AND(ISNUMBER(System!$C27),ABS(B28)+ABS(C28)&lt;&gt;0),I28 - IF(AND(B28&lt;&gt;0,C28=0),1,C28)*G28*$N$1*$E$1*E28*G28,PlotData!$CB$3)</f>
        <v>0</v>
      </c>
      <c r="N28" s="837">
        <f>IF(AND(ISNUMBER(System!$C27),ABS(B28)+ABS(C28)&lt;&gt;0),IF(B28&gt;=0,I28,H28)-B28*$R$1*MIN(D28,$E$1)*F28,PlotData!$CB$3)</f>
        <v>0</v>
      </c>
      <c r="O28" s="835">
        <f>IF(AND(ISNUMBER(System!$C27),ABS(B28)+ABS(C28)&lt;&gt;0),IF(B28&gt;=0,J28,K28)-B28*$R$1*MIN(D28,$E$1)*F28,PlotData!$CB$3)</f>
        <v>0</v>
      </c>
      <c r="P28" s="834">
        <f>IF(AND(ISNUMBER(System!$C27),ABS(B28)+ABS(C28)&lt;&gt;0),System!BE145-$J$1*MIN($E$1,D28)*E28 - SIGN(C28+0.2)*$H$1*$E$1*F28,PlotData!$CB$4)</f>
        <v>0</v>
      </c>
      <c r="Q28" s="837">
        <f>IF(AND(ISNUMBER(System!$C27),ABS(B28)+ABS(C28)&lt;&gt;0),System!BF145+$J$1*MIN($E$1,D28)*E28 - SIGN(C28+0.2)*$H$1*$E$1*F28,PlotData!$CB$4)</f>
        <v>0</v>
      </c>
      <c r="R28" s="837">
        <f>IF(AND(ISNUMBER(System!$C27),ABS(B28)+ABS(C28)&lt;&gt;0),Q28 - SIGN(C28+0.2)*$E$1*F28,PlotData!$CB$4)</f>
        <v>0</v>
      </c>
      <c r="S28" s="835">
        <f>IF(AND(ISNUMBER(System!$C27),ABS(B28)+ABS(C28)&lt;&gt;0),P28 - SIGN(C28+0.2)*$E$1*F28,PlotData!$CB$4)</f>
        <v>0</v>
      </c>
      <c r="T28" s="834">
        <f>IF(AND(ISNUMBER(System!$C27),ABS(B28)+ABS(C28)&lt;&gt;0),P28 - SIGN(C28+0.2)*$N$1*$E$1*F28,PlotData!$CB$4)</f>
        <v>0</v>
      </c>
      <c r="U28" s="837">
        <f>IF(AND(ISNUMBER(System!$C27),ABS(B28)+ABS(C28)&lt;&gt;0),Q28 - SIGN(C28+0.2)*$N$1*$E$1*F28,PlotData!$CB$4)</f>
        <v>0</v>
      </c>
      <c r="V28" s="837">
        <f>IF(AND(ISNUMBER(System!$C27),ABS(B28)+ABS(C28)&lt;&gt;0),IF(B28&gt;=0,Q28,P28)+B28*$R$1*MIN(D28,$E$1)*E28,PlotData!$CB$4)</f>
        <v>0</v>
      </c>
      <c r="W28" s="835">
        <f>IF(AND(ISNUMBER(System!$C27),ABS(B28)+ABS(C28)&lt;&gt;0),IF(B28&gt;=0,R28,S28)+B28*$R$1*MIN(D28,$E$1)*E28,PlotData!$CB$4)</f>
        <v>0</v>
      </c>
      <c r="X28" s="836">
        <f>IF(ISNUMBER(System!$C27),SIGN(System!AG27),0)</f>
        <v>0</v>
      </c>
    </row>
    <row r="29" spans="1:24" x14ac:dyDescent="0.25">
      <c r="A29" s="827">
        <v>25</v>
      </c>
      <c r="B29" s="834">
        <f>IF(ISNUMBER(System!$C28),SIGN(System!BL146),0)</f>
        <v>0</v>
      </c>
      <c r="C29" s="835">
        <f>IF(ISNUMBER(System!$C28),SIGN(System!BM146),0)</f>
        <v>0</v>
      </c>
      <c r="D29" s="836">
        <f>IF(ISNUMBER(System!$C28),System!BG146,0)</f>
        <v>0</v>
      </c>
      <c r="E29" s="834">
        <f>IF(ISNUMBER(System!$C28),System!BJ146,0)</f>
        <v>0</v>
      </c>
      <c r="F29" s="835">
        <f>IF(ISNUMBER(System!$C28),System!BK146,0)</f>
        <v>0</v>
      </c>
      <c r="G29" s="836">
        <f>IF(F29=0,1,IF(OR(System!N28&lt;&gt;0,System!O28 &lt;&gt;0),0,1))</f>
        <v>1</v>
      </c>
      <c r="H29" s="834">
        <f>IF(AND(ISNUMBER(System!$C28),ABS(B29)+ABS(C29)&lt;&gt;0),System!BC146+$J$1*MIN($E$1,D29)*F29 - IF(AND(B29&lt;&gt;0,C29=0),1,C29)*$H$1*$E$1*E29,PlotData!$CB$3)</f>
        <v>0</v>
      </c>
      <c r="I29" s="837">
        <f>IF(AND(ISNUMBER(System!$C28),ABS(B29)+ABS(C29)&lt;&gt;0),System!BD146-$J$1*MIN($E$1,D29)*F29 - IF(AND(B29&lt;&gt;0,C29=0),1,C29)*$H$1*$E$1*E29,PlotData!$CB$3)</f>
        <v>0</v>
      </c>
      <c r="J29" s="837">
        <f>IF(AND(ISNUMBER(System!$C28),ABS(B29)+ABS(C29)&lt;&gt;0),I29 - IF(AND(B29&lt;&gt;0,C29=0),1,C29)*$E$1*E29*G29,PlotData!$CB$3)</f>
        <v>0</v>
      </c>
      <c r="K29" s="835">
        <f>IF(AND(ISNUMBER(System!$C28),ABS(B29)+ABS(C29)&lt;&gt;0),H29 - IF(AND(B29&lt;&gt;0,C29=0),1,C29)*$E$1*E29*G29,PlotData!$CB$3)</f>
        <v>0</v>
      </c>
      <c r="L29" s="834">
        <f>IF(AND(ISNUMBER(System!$C28),ABS(B29)+ABS(C29)&lt;&gt;0),H29 - IF(AND(B29&lt;&gt;0,C29=0),1,C29)*G29*$N$1*$E$1*E29*G29,PlotData!$CB$3)</f>
        <v>0</v>
      </c>
      <c r="M29" s="837">
        <f>IF(AND(ISNUMBER(System!$C28),ABS(B29)+ABS(C29)&lt;&gt;0),I29 - IF(AND(B29&lt;&gt;0,C29=0),1,C29)*G29*$N$1*$E$1*E29*G29,PlotData!$CB$3)</f>
        <v>0</v>
      </c>
      <c r="N29" s="837">
        <f>IF(AND(ISNUMBER(System!$C28),ABS(B29)+ABS(C29)&lt;&gt;0),IF(B29&gt;=0,I29,H29)-B29*$R$1*MIN(D29,$E$1)*F29,PlotData!$CB$3)</f>
        <v>0</v>
      </c>
      <c r="O29" s="835">
        <f>IF(AND(ISNUMBER(System!$C28),ABS(B29)+ABS(C29)&lt;&gt;0),IF(B29&gt;=0,J29,K29)-B29*$R$1*MIN(D29,$E$1)*F29,PlotData!$CB$3)</f>
        <v>0</v>
      </c>
      <c r="P29" s="834">
        <f>IF(AND(ISNUMBER(System!$C28),ABS(B29)+ABS(C29)&lt;&gt;0),System!BE146-$J$1*MIN($E$1,D29)*E29 - SIGN(C29+0.2)*$H$1*$E$1*F29,PlotData!$CB$4)</f>
        <v>0</v>
      </c>
      <c r="Q29" s="837">
        <f>IF(AND(ISNUMBER(System!$C28),ABS(B29)+ABS(C29)&lt;&gt;0),System!BF146+$J$1*MIN($E$1,D29)*E29 - SIGN(C29+0.2)*$H$1*$E$1*F29,PlotData!$CB$4)</f>
        <v>0</v>
      </c>
      <c r="R29" s="837">
        <f>IF(AND(ISNUMBER(System!$C28),ABS(B29)+ABS(C29)&lt;&gt;0),Q29 - SIGN(C29+0.2)*$E$1*F29,PlotData!$CB$4)</f>
        <v>0</v>
      </c>
      <c r="S29" s="835">
        <f>IF(AND(ISNUMBER(System!$C28),ABS(B29)+ABS(C29)&lt;&gt;0),P29 - SIGN(C29+0.2)*$E$1*F29,PlotData!$CB$4)</f>
        <v>0</v>
      </c>
      <c r="T29" s="834">
        <f>IF(AND(ISNUMBER(System!$C28),ABS(B29)+ABS(C29)&lt;&gt;0),P29 - SIGN(C29+0.2)*$N$1*$E$1*F29,PlotData!$CB$4)</f>
        <v>0</v>
      </c>
      <c r="U29" s="837">
        <f>IF(AND(ISNUMBER(System!$C28),ABS(B29)+ABS(C29)&lt;&gt;0),Q29 - SIGN(C29+0.2)*$N$1*$E$1*F29,PlotData!$CB$4)</f>
        <v>0</v>
      </c>
      <c r="V29" s="837">
        <f>IF(AND(ISNUMBER(System!$C28),ABS(B29)+ABS(C29)&lt;&gt;0),IF(B29&gt;=0,Q29,P29)+B29*$R$1*MIN(D29,$E$1)*E29,PlotData!$CB$4)</f>
        <v>0</v>
      </c>
      <c r="W29" s="835">
        <f>IF(AND(ISNUMBER(System!$C28),ABS(B29)+ABS(C29)&lt;&gt;0),IF(B29&gt;=0,R29,S29)+B29*$R$1*MIN(D29,$E$1)*E29,PlotData!$CB$4)</f>
        <v>0</v>
      </c>
      <c r="X29" s="836">
        <f>IF(ISNUMBER(System!$C28),SIGN(System!AG28),0)</f>
        <v>0</v>
      </c>
    </row>
    <row r="30" spans="1:24" x14ac:dyDescent="0.25">
      <c r="A30" s="827">
        <v>26</v>
      </c>
      <c r="B30" s="834">
        <f>IF(ISNUMBER(System!$C29),SIGN(System!BL147),0)</f>
        <v>0</v>
      </c>
      <c r="C30" s="835">
        <f>IF(ISNUMBER(System!$C29),SIGN(System!BM147),0)</f>
        <v>0</v>
      </c>
      <c r="D30" s="836">
        <f>IF(ISNUMBER(System!$C29),System!BG147,0)</f>
        <v>0</v>
      </c>
      <c r="E30" s="834">
        <f>IF(ISNUMBER(System!$C29),System!BJ147,0)</f>
        <v>0</v>
      </c>
      <c r="F30" s="835">
        <f>IF(ISNUMBER(System!$C29),System!BK147,0)</f>
        <v>0</v>
      </c>
      <c r="G30" s="836">
        <f>IF(F30=0,1,IF(OR(System!N29&lt;&gt;0,System!O29 &lt;&gt;0),0,1))</f>
        <v>1</v>
      </c>
      <c r="H30" s="834">
        <f>IF(AND(ISNUMBER(System!$C29),ABS(B30)+ABS(C30)&lt;&gt;0),System!BC147+$J$1*MIN($E$1,D30)*F30 - IF(AND(B30&lt;&gt;0,C30=0),1,C30)*$H$1*$E$1*E30,PlotData!$CB$3)</f>
        <v>0</v>
      </c>
      <c r="I30" s="837">
        <f>IF(AND(ISNUMBER(System!$C29),ABS(B30)+ABS(C30)&lt;&gt;0),System!BD147-$J$1*MIN($E$1,D30)*F30 - IF(AND(B30&lt;&gt;0,C30=0),1,C30)*$H$1*$E$1*E30,PlotData!$CB$3)</f>
        <v>0</v>
      </c>
      <c r="J30" s="837">
        <f>IF(AND(ISNUMBER(System!$C29),ABS(B30)+ABS(C30)&lt;&gt;0),I30 - IF(AND(B30&lt;&gt;0,C30=0),1,C30)*$E$1*E30*G30,PlotData!$CB$3)</f>
        <v>0</v>
      </c>
      <c r="K30" s="835">
        <f>IF(AND(ISNUMBER(System!$C29),ABS(B30)+ABS(C30)&lt;&gt;0),H30 - IF(AND(B30&lt;&gt;0,C30=0),1,C30)*$E$1*E30*G30,PlotData!$CB$3)</f>
        <v>0</v>
      </c>
      <c r="L30" s="834">
        <f>IF(AND(ISNUMBER(System!$C29),ABS(B30)+ABS(C30)&lt;&gt;0),H30 - IF(AND(B30&lt;&gt;0,C30=0),1,C30)*G30*$N$1*$E$1*E30*G30,PlotData!$CB$3)</f>
        <v>0</v>
      </c>
      <c r="M30" s="837">
        <f>IF(AND(ISNUMBER(System!$C29),ABS(B30)+ABS(C30)&lt;&gt;0),I30 - IF(AND(B30&lt;&gt;0,C30=0),1,C30)*G30*$N$1*$E$1*E30*G30,PlotData!$CB$3)</f>
        <v>0</v>
      </c>
      <c r="N30" s="837">
        <f>IF(AND(ISNUMBER(System!$C29),ABS(B30)+ABS(C30)&lt;&gt;0),IF(B30&gt;=0,I30,H30)-B30*$R$1*MIN(D30,$E$1)*F30,PlotData!$CB$3)</f>
        <v>0</v>
      </c>
      <c r="O30" s="835">
        <f>IF(AND(ISNUMBER(System!$C29),ABS(B30)+ABS(C30)&lt;&gt;0),IF(B30&gt;=0,J30,K30)-B30*$R$1*MIN(D30,$E$1)*F30,PlotData!$CB$3)</f>
        <v>0</v>
      </c>
      <c r="P30" s="834">
        <f>IF(AND(ISNUMBER(System!$C29),ABS(B30)+ABS(C30)&lt;&gt;0),System!BE147-$J$1*MIN($E$1,D30)*E30 - SIGN(C30+0.2)*$H$1*$E$1*F30,PlotData!$CB$4)</f>
        <v>0</v>
      </c>
      <c r="Q30" s="837">
        <f>IF(AND(ISNUMBER(System!$C29),ABS(B30)+ABS(C30)&lt;&gt;0),System!BF147+$J$1*MIN($E$1,D30)*E30 - SIGN(C30+0.2)*$H$1*$E$1*F30,PlotData!$CB$4)</f>
        <v>0</v>
      </c>
      <c r="R30" s="837">
        <f>IF(AND(ISNUMBER(System!$C29),ABS(B30)+ABS(C30)&lt;&gt;0),Q30 - SIGN(C30+0.2)*$E$1*F30,PlotData!$CB$4)</f>
        <v>0</v>
      </c>
      <c r="S30" s="835">
        <f>IF(AND(ISNUMBER(System!$C29),ABS(B30)+ABS(C30)&lt;&gt;0),P30 - SIGN(C30+0.2)*$E$1*F30,PlotData!$CB$4)</f>
        <v>0</v>
      </c>
      <c r="T30" s="834">
        <f>IF(AND(ISNUMBER(System!$C29),ABS(B30)+ABS(C30)&lt;&gt;0),P30 - SIGN(C30+0.2)*$N$1*$E$1*F30,PlotData!$CB$4)</f>
        <v>0</v>
      </c>
      <c r="U30" s="837">
        <f>IF(AND(ISNUMBER(System!$C29),ABS(B30)+ABS(C30)&lt;&gt;0),Q30 - SIGN(C30+0.2)*$N$1*$E$1*F30,PlotData!$CB$4)</f>
        <v>0</v>
      </c>
      <c r="V30" s="837">
        <f>IF(AND(ISNUMBER(System!$C29),ABS(B30)+ABS(C30)&lt;&gt;0),IF(B30&gt;=0,Q30,P30)+B30*$R$1*MIN(D30,$E$1)*E30,PlotData!$CB$4)</f>
        <v>0</v>
      </c>
      <c r="W30" s="835">
        <f>IF(AND(ISNUMBER(System!$C29),ABS(B30)+ABS(C30)&lt;&gt;0),IF(B30&gt;=0,R30,S30)+B30*$R$1*MIN(D30,$E$1)*E30,PlotData!$CB$4)</f>
        <v>0</v>
      </c>
      <c r="X30" s="836">
        <f>IF(ISNUMBER(System!$C29),SIGN(System!AG29),0)</f>
        <v>0</v>
      </c>
    </row>
    <row r="31" spans="1:24" x14ac:dyDescent="0.25">
      <c r="A31" s="827">
        <v>27</v>
      </c>
      <c r="B31" s="834">
        <f>IF(ISNUMBER(System!$C30),SIGN(System!BL148),0)</f>
        <v>0</v>
      </c>
      <c r="C31" s="835">
        <f>IF(ISNUMBER(System!$C30),SIGN(System!BM148),0)</f>
        <v>0</v>
      </c>
      <c r="D31" s="836">
        <f>IF(ISNUMBER(System!$C30),System!BG148,0)</f>
        <v>0</v>
      </c>
      <c r="E31" s="834">
        <f>IF(ISNUMBER(System!$C30),System!BJ148,0)</f>
        <v>0</v>
      </c>
      <c r="F31" s="835">
        <f>IF(ISNUMBER(System!$C30),System!BK148,0)</f>
        <v>0</v>
      </c>
      <c r="G31" s="836">
        <f>IF(F31=0,1,IF(OR(System!N30&lt;&gt;0,System!O30 &lt;&gt;0),0,1))</f>
        <v>1</v>
      </c>
      <c r="H31" s="834">
        <f>IF(AND(ISNUMBER(System!$C30),ABS(B31)+ABS(C31)&lt;&gt;0),System!BC148+$J$1*MIN($E$1,D31)*F31 - IF(AND(B31&lt;&gt;0,C31=0),1,C31)*$H$1*$E$1*E31,PlotData!$CB$3)</f>
        <v>0</v>
      </c>
      <c r="I31" s="837">
        <f>IF(AND(ISNUMBER(System!$C30),ABS(B31)+ABS(C31)&lt;&gt;0),System!BD148-$J$1*MIN($E$1,D31)*F31 - IF(AND(B31&lt;&gt;0,C31=0),1,C31)*$H$1*$E$1*E31,PlotData!$CB$3)</f>
        <v>0</v>
      </c>
      <c r="J31" s="837">
        <f>IF(AND(ISNUMBER(System!$C30),ABS(B31)+ABS(C31)&lt;&gt;0),I31 - IF(AND(B31&lt;&gt;0,C31=0),1,C31)*$E$1*E31*G31,PlotData!$CB$3)</f>
        <v>0</v>
      </c>
      <c r="K31" s="835">
        <f>IF(AND(ISNUMBER(System!$C30),ABS(B31)+ABS(C31)&lt;&gt;0),H31 - IF(AND(B31&lt;&gt;0,C31=0),1,C31)*$E$1*E31*G31,PlotData!$CB$3)</f>
        <v>0</v>
      </c>
      <c r="L31" s="834">
        <f>IF(AND(ISNUMBER(System!$C30),ABS(B31)+ABS(C31)&lt;&gt;0),H31 - IF(AND(B31&lt;&gt;0,C31=0),1,C31)*G31*$N$1*$E$1*E31*G31,PlotData!$CB$3)</f>
        <v>0</v>
      </c>
      <c r="M31" s="837">
        <f>IF(AND(ISNUMBER(System!$C30),ABS(B31)+ABS(C31)&lt;&gt;0),I31 - IF(AND(B31&lt;&gt;0,C31=0),1,C31)*G31*$N$1*$E$1*E31*G31,PlotData!$CB$3)</f>
        <v>0</v>
      </c>
      <c r="N31" s="837">
        <f>IF(AND(ISNUMBER(System!$C30),ABS(B31)+ABS(C31)&lt;&gt;0),IF(B31&gt;=0,I31,H31)-B31*$R$1*MIN(D31,$E$1)*F31,PlotData!$CB$3)</f>
        <v>0</v>
      </c>
      <c r="O31" s="835">
        <f>IF(AND(ISNUMBER(System!$C30),ABS(B31)+ABS(C31)&lt;&gt;0),IF(B31&gt;=0,J31,K31)-B31*$R$1*MIN(D31,$E$1)*F31,PlotData!$CB$3)</f>
        <v>0</v>
      </c>
      <c r="P31" s="834">
        <f>IF(AND(ISNUMBER(System!$C30),ABS(B31)+ABS(C31)&lt;&gt;0),System!BE148-$J$1*MIN($E$1,D31)*E31 - SIGN(C31+0.2)*$H$1*$E$1*F31,PlotData!$CB$4)</f>
        <v>0</v>
      </c>
      <c r="Q31" s="837">
        <f>IF(AND(ISNUMBER(System!$C30),ABS(B31)+ABS(C31)&lt;&gt;0),System!BF148+$J$1*MIN($E$1,D31)*E31 - SIGN(C31+0.2)*$H$1*$E$1*F31,PlotData!$CB$4)</f>
        <v>0</v>
      </c>
      <c r="R31" s="837">
        <f>IF(AND(ISNUMBER(System!$C30),ABS(B31)+ABS(C31)&lt;&gt;0),Q31 - SIGN(C31+0.2)*$E$1*F31,PlotData!$CB$4)</f>
        <v>0</v>
      </c>
      <c r="S31" s="835">
        <f>IF(AND(ISNUMBER(System!$C30),ABS(B31)+ABS(C31)&lt;&gt;0),P31 - SIGN(C31+0.2)*$E$1*F31,PlotData!$CB$4)</f>
        <v>0</v>
      </c>
      <c r="T31" s="834">
        <f>IF(AND(ISNUMBER(System!$C30),ABS(B31)+ABS(C31)&lt;&gt;0),P31 - SIGN(C31+0.2)*$N$1*$E$1*F31,PlotData!$CB$4)</f>
        <v>0</v>
      </c>
      <c r="U31" s="837">
        <f>IF(AND(ISNUMBER(System!$C30),ABS(B31)+ABS(C31)&lt;&gt;0),Q31 - SIGN(C31+0.2)*$N$1*$E$1*F31,PlotData!$CB$4)</f>
        <v>0</v>
      </c>
      <c r="V31" s="837">
        <f>IF(AND(ISNUMBER(System!$C30),ABS(B31)+ABS(C31)&lt;&gt;0),IF(B31&gt;=0,Q31,P31)+B31*$R$1*MIN(D31,$E$1)*E31,PlotData!$CB$4)</f>
        <v>0</v>
      </c>
      <c r="W31" s="835">
        <f>IF(AND(ISNUMBER(System!$C30),ABS(B31)+ABS(C31)&lt;&gt;0),IF(B31&gt;=0,R31,S31)+B31*$R$1*MIN(D31,$E$1)*E31,PlotData!$CB$4)</f>
        <v>0</v>
      </c>
      <c r="X31" s="836">
        <f>IF(ISNUMBER(System!$C30),SIGN(System!AG30),0)</f>
        <v>0</v>
      </c>
    </row>
    <row r="32" spans="1:24" x14ac:dyDescent="0.25">
      <c r="A32" s="827">
        <v>28</v>
      </c>
      <c r="B32" s="834">
        <f>IF(ISNUMBER(System!$C31),SIGN(System!BL149),0)</f>
        <v>0</v>
      </c>
      <c r="C32" s="835">
        <f>IF(ISNUMBER(System!$C31),SIGN(System!BM149),0)</f>
        <v>0</v>
      </c>
      <c r="D32" s="836">
        <f>IF(ISNUMBER(System!$C31),System!BG149,0)</f>
        <v>0</v>
      </c>
      <c r="E32" s="834">
        <f>IF(ISNUMBER(System!$C31),System!BJ149,0)</f>
        <v>0</v>
      </c>
      <c r="F32" s="835">
        <f>IF(ISNUMBER(System!$C31),System!BK149,0)</f>
        <v>0</v>
      </c>
      <c r="G32" s="836">
        <f>IF(F32=0,1,IF(OR(System!N31&lt;&gt;0,System!O31 &lt;&gt;0),0,1))</f>
        <v>1</v>
      </c>
      <c r="H32" s="834">
        <f>IF(AND(ISNUMBER(System!$C31),ABS(B32)+ABS(C32)&lt;&gt;0),System!BC149+$J$1*MIN($E$1,D32)*F32 - IF(AND(B32&lt;&gt;0,C32=0),1,C32)*$H$1*$E$1*E32,PlotData!$CB$3)</f>
        <v>0</v>
      </c>
      <c r="I32" s="837">
        <f>IF(AND(ISNUMBER(System!$C31),ABS(B32)+ABS(C32)&lt;&gt;0),System!BD149-$J$1*MIN($E$1,D32)*F32 - IF(AND(B32&lt;&gt;0,C32=0),1,C32)*$H$1*$E$1*E32,PlotData!$CB$3)</f>
        <v>0</v>
      </c>
      <c r="J32" s="837">
        <f>IF(AND(ISNUMBER(System!$C31),ABS(B32)+ABS(C32)&lt;&gt;0),I32 - IF(AND(B32&lt;&gt;0,C32=0),1,C32)*$E$1*E32*G32,PlotData!$CB$3)</f>
        <v>0</v>
      </c>
      <c r="K32" s="835">
        <f>IF(AND(ISNUMBER(System!$C31),ABS(B32)+ABS(C32)&lt;&gt;0),H32 - IF(AND(B32&lt;&gt;0,C32=0),1,C32)*$E$1*E32*G32,PlotData!$CB$3)</f>
        <v>0</v>
      </c>
      <c r="L32" s="834">
        <f>IF(AND(ISNUMBER(System!$C31),ABS(B32)+ABS(C32)&lt;&gt;0),H32 - IF(AND(B32&lt;&gt;0,C32=0),1,C32)*G32*$N$1*$E$1*E32*G32,PlotData!$CB$3)</f>
        <v>0</v>
      </c>
      <c r="M32" s="837">
        <f>IF(AND(ISNUMBER(System!$C31),ABS(B32)+ABS(C32)&lt;&gt;0),I32 - IF(AND(B32&lt;&gt;0,C32=0),1,C32)*G32*$N$1*$E$1*E32*G32,PlotData!$CB$3)</f>
        <v>0</v>
      </c>
      <c r="N32" s="837">
        <f>IF(AND(ISNUMBER(System!$C31),ABS(B32)+ABS(C32)&lt;&gt;0),IF(B32&gt;=0,I32,H32)-B32*$R$1*MIN(D32,$E$1)*F32,PlotData!$CB$3)</f>
        <v>0</v>
      </c>
      <c r="O32" s="835">
        <f>IF(AND(ISNUMBER(System!$C31),ABS(B32)+ABS(C32)&lt;&gt;0),IF(B32&gt;=0,J32,K32)-B32*$R$1*MIN(D32,$E$1)*F32,PlotData!$CB$3)</f>
        <v>0</v>
      </c>
      <c r="P32" s="834">
        <f>IF(AND(ISNUMBER(System!$C31),ABS(B32)+ABS(C32)&lt;&gt;0),System!BE149-$J$1*MIN($E$1,D32)*E32 - SIGN(C32+0.2)*$H$1*$E$1*F32,PlotData!$CB$4)</f>
        <v>0</v>
      </c>
      <c r="Q32" s="837">
        <f>IF(AND(ISNUMBER(System!$C31),ABS(B32)+ABS(C32)&lt;&gt;0),System!BF149+$J$1*MIN($E$1,D32)*E32 - SIGN(C32+0.2)*$H$1*$E$1*F32,PlotData!$CB$4)</f>
        <v>0</v>
      </c>
      <c r="R32" s="837">
        <f>IF(AND(ISNUMBER(System!$C31),ABS(B32)+ABS(C32)&lt;&gt;0),Q32 - SIGN(C32+0.2)*$E$1*F32,PlotData!$CB$4)</f>
        <v>0</v>
      </c>
      <c r="S32" s="835">
        <f>IF(AND(ISNUMBER(System!$C31),ABS(B32)+ABS(C32)&lt;&gt;0),P32 - SIGN(C32+0.2)*$E$1*F32,PlotData!$CB$4)</f>
        <v>0</v>
      </c>
      <c r="T32" s="834">
        <f>IF(AND(ISNUMBER(System!$C31),ABS(B32)+ABS(C32)&lt;&gt;0),P32 - SIGN(C32+0.2)*$N$1*$E$1*F32,PlotData!$CB$4)</f>
        <v>0</v>
      </c>
      <c r="U32" s="837">
        <f>IF(AND(ISNUMBER(System!$C31),ABS(B32)+ABS(C32)&lt;&gt;0),Q32 - SIGN(C32+0.2)*$N$1*$E$1*F32,PlotData!$CB$4)</f>
        <v>0</v>
      </c>
      <c r="V32" s="837">
        <f>IF(AND(ISNUMBER(System!$C31),ABS(B32)+ABS(C32)&lt;&gt;0),IF(B32&gt;=0,Q32,P32)+B32*$R$1*MIN(D32,$E$1)*E32,PlotData!$CB$4)</f>
        <v>0</v>
      </c>
      <c r="W32" s="835">
        <f>IF(AND(ISNUMBER(System!$C31),ABS(B32)+ABS(C32)&lt;&gt;0),IF(B32&gt;=0,R32,S32)+B32*$R$1*MIN(D32,$E$1)*E32,PlotData!$CB$4)</f>
        <v>0</v>
      </c>
      <c r="X32" s="836">
        <f>IF(ISNUMBER(System!$C31),SIGN(System!AG31),0)</f>
        <v>0</v>
      </c>
    </row>
    <row r="33" spans="1:35" x14ac:dyDescent="0.25">
      <c r="A33" s="827">
        <v>29</v>
      </c>
      <c r="B33" s="834">
        <f>IF(ISNUMBER(System!$C32),SIGN(System!BL150),0)</f>
        <v>0</v>
      </c>
      <c r="C33" s="835">
        <f>IF(ISNUMBER(System!$C32),SIGN(System!BM150),0)</f>
        <v>0</v>
      </c>
      <c r="D33" s="836">
        <f>IF(ISNUMBER(System!$C32),System!BG150,0)</f>
        <v>0</v>
      </c>
      <c r="E33" s="834">
        <f>IF(ISNUMBER(System!$C32),System!BJ150,0)</f>
        <v>0</v>
      </c>
      <c r="F33" s="835">
        <f>IF(ISNUMBER(System!$C32),System!BK150,0)</f>
        <v>0</v>
      </c>
      <c r="G33" s="836">
        <f>IF(F33=0,1,IF(OR(System!N32&lt;&gt;0,System!O32 &lt;&gt;0),0,1))</f>
        <v>1</v>
      </c>
      <c r="H33" s="834">
        <f>IF(AND(ISNUMBER(System!$C32),ABS(B33)+ABS(C33)&lt;&gt;0),System!BC150+$J$1*MIN($E$1,D33)*F33 - IF(AND(B33&lt;&gt;0,C33=0),1,C33)*$H$1*$E$1*E33,PlotData!$CB$3)</f>
        <v>0</v>
      </c>
      <c r="I33" s="837">
        <f>IF(AND(ISNUMBER(System!$C32),ABS(B33)+ABS(C33)&lt;&gt;0),System!BD150-$J$1*MIN($E$1,D33)*F33 - IF(AND(B33&lt;&gt;0,C33=0),1,C33)*$H$1*$E$1*E33,PlotData!$CB$3)</f>
        <v>0</v>
      </c>
      <c r="J33" s="837">
        <f>IF(AND(ISNUMBER(System!$C32),ABS(B33)+ABS(C33)&lt;&gt;0),I33 - IF(AND(B33&lt;&gt;0,C33=0),1,C33)*$E$1*E33*G33,PlotData!$CB$3)</f>
        <v>0</v>
      </c>
      <c r="K33" s="835">
        <f>IF(AND(ISNUMBER(System!$C32),ABS(B33)+ABS(C33)&lt;&gt;0),H33 - IF(AND(B33&lt;&gt;0,C33=0),1,C33)*$E$1*E33*G33,PlotData!$CB$3)</f>
        <v>0</v>
      </c>
      <c r="L33" s="834">
        <f>IF(AND(ISNUMBER(System!$C32),ABS(B33)+ABS(C33)&lt;&gt;0),H33 - IF(AND(B33&lt;&gt;0,C33=0),1,C33)*G33*$N$1*$E$1*E33*G33,PlotData!$CB$3)</f>
        <v>0</v>
      </c>
      <c r="M33" s="837">
        <f>IF(AND(ISNUMBER(System!$C32),ABS(B33)+ABS(C33)&lt;&gt;0),I33 - IF(AND(B33&lt;&gt;0,C33=0),1,C33)*G33*$N$1*$E$1*E33*G33,PlotData!$CB$3)</f>
        <v>0</v>
      </c>
      <c r="N33" s="837">
        <f>IF(AND(ISNUMBER(System!$C32),ABS(B33)+ABS(C33)&lt;&gt;0),IF(B33&gt;=0,I33,H33)-B33*$R$1*MIN(D33,$E$1)*F33,PlotData!$CB$3)</f>
        <v>0</v>
      </c>
      <c r="O33" s="835">
        <f>IF(AND(ISNUMBER(System!$C32),ABS(B33)+ABS(C33)&lt;&gt;0),IF(B33&gt;=0,J33,K33)-B33*$R$1*MIN(D33,$E$1)*F33,PlotData!$CB$3)</f>
        <v>0</v>
      </c>
      <c r="P33" s="834">
        <f>IF(AND(ISNUMBER(System!$C32),ABS(B33)+ABS(C33)&lt;&gt;0),System!BE150-$J$1*MIN($E$1,D33)*E33 - SIGN(C33+0.2)*$H$1*$E$1*F33,PlotData!$CB$4)</f>
        <v>0</v>
      </c>
      <c r="Q33" s="837">
        <f>IF(AND(ISNUMBER(System!$C32),ABS(B33)+ABS(C33)&lt;&gt;0),System!BF150+$J$1*MIN($E$1,D33)*E33 - SIGN(C33+0.2)*$H$1*$E$1*F33,PlotData!$CB$4)</f>
        <v>0</v>
      </c>
      <c r="R33" s="837">
        <f>IF(AND(ISNUMBER(System!$C32),ABS(B33)+ABS(C33)&lt;&gt;0),Q33 - SIGN(C33+0.2)*$E$1*F33,PlotData!$CB$4)</f>
        <v>0</v>
      </c>
      <c r="S33" s="835">
        <f>IF(AND(ISNUMBER(System!$C32),ABS(B33)+ABS(C33)&lt;&gt;0),P33 - SIGN(C33+0.2)*$E$1*F33,PlotData!$CB$4)</f>
        <v>0</v>
      </c>
      <c r="T33" s="834">
        <f>IF(AND(ISNUMBER(System!$C32),ABS(B33)+ABS(C33)&lt;&gt;0),P33 - SIGN(C33+0.2)*$N$1*$E$1*F33,PlotData!$CB$4)</f>
        <v>0</v>
      </c>
      <c r="U33" s="837">
        <f>IF(AND(ISNUMBER(System!$C32),ABS(B33)+ABS(C33)&lt;&gt;0),Q33 - SIGN(C33+0.2)*$N$1*$E$1*F33,PlotData!$CB$4)</f>
        <v>0</v>
      </c>
      <c r="V33" s="837">
        <f>IF(AND(ISNUMBER(System!$C32),ABS(B33)+ABS(C33)&lt;&gt;0),IF(B33&gt;=0,Q33,P33)+B33*$R$1*MIN(D33,$E$1)*E33,PlotData!$CB$4)</f>
        <v>0</v>
      </c>
      <c r="W33" s="835">
        <f>IF(AND(ISNUMBER(System!$C32),ABS(B33)+ABS(C33)&lt;&gt;0),IF(B33&gt;=0,R33,S33)+B33*$R$1*MIN(D33,$E$1)*E33,PlotData!$CB$4)</f>
        <v>0</v>
      </c>
      <c r="X33" s="836">
        <f>IF(ISNUMBER(System!$C32),SIGN(System!AG32),0)</f>
        <v>0</v>
      </c>
    </row>
    <row r="34" spans="1:35" x14ac:dyDescent="0.25">
      <c r="A34" s="827">
        <v>30</v>
      </c>
      <c r="B34" s="834">
        <f>IF(ISNUMBER(System!$C33),SIGN(System!BL151),0)</f>
        <v>0</v>
      </c>
      <c r="C34" s="835">
        <f>IF(ISNUMBER(System!$C33),SIGN(System!BM151),0)</f>
        <v>0</v>
      </c>
      <c r="D34" s="836">
        <f>IF(ISNUMBER(System!$C33),System!BG151,0)</f>
        <v>0</v>
      </c>
      <c r="E34" s="834">
        <f>IF(ISNUMBER(System!$C33),System!BJ151,0)</f>
        <v>0</v>
      </c>
      <c r="F34" s="835">
        <f>IF(ISNUMBER(System!$C33),System!BK151,0)</f>
        <v>0</v>
      </c>
      <c r="G34" s="836">
        <f>IF(F34=0,1,IF(OR(System!N33&lt;&gt;0,System!O33 &lt;&gt;0),0,1))</f>
        <v>1</v>
      </c>
      <c r="H34" s="834">
        <f>IF(AND(ISNUMBER(System!$C33),ABS(B34)+ABS(C34)&lt;&gt;0),System!BC151+$J$1*MIN($E$1,D34)*F34 - IF(AND(B34&lt;&gt;0,C34=0),1,C34)*$H$1*$E$1*E34,PlotData!$CB$3)</f>
        <v>0</v>
      </c>
      <c r="I34" s="837">
        <f>IF(AND(ISNUMBER(System!$C33),ABS(B34)+ABS(C34)&lt;&gt;0),System!BD151-$J$1*MIN($E$1,D34)*F34 - IF(AND(B34&lt;&gt;0,C34=0),1,C34)*$H$1*$E$1*E34,PlotData!$CB$3)</f>
        <v>0</v>
      </c>
      <c r="J34" s="837">
        <f>IF(AND(ISNUMBER(System!$C33),ABS(B34)+ABS(C34)&lt;&gt;0),I34 - IF(AND(B34&lt;&gt;0,C34=0),1,C34)*$E$1*E34*G34,PlotData!$CB$3)</f>
        <v>0</v>
      </c>
      <c r="K34" s="835">
        <f>IF(AND(ISNUMBER(System!$C33),ABS(B34)+ABS(C34)&lt;&gt;0),H34 - IF(AND(B34&lt;&gt;0,C34=0),1,C34)*$E$1*E34*G34,PlotData!$CB$3)</f>
        <v>0</v>
      </c>
      <c r="L34" s="834">
        <f>IF(AND(ISNUMBER(System!$C33),ABS(B34)+ABS(C34)&lt;&gt;0),H34 - IF(AND(B34&lt;&gt;0,C34=0),1,C34)*G34*$N$1*$E$1*E34*G34,PlotData!$CB$3)</f>
        <v>0</v>
      </c>
      <c r="M34" s="837">
        <f>IF(AND(ISNUMBER(System!$C33),ABS(B34)+ABS(C34)&lt;&gt;0),I34 - IF(AND(B34&lt;&gt;0,C34=0),1,C34)*G34*$N$1*$E$1*E34*G34,PlotData!$CB$3)</f>
        <v>0</v>
      </c>
      <c r="N34" s="837">
        <f>IF(AND(ISNUMBER(System!$C33),ABS(B34)+ABS(C34)&lt;&gt;0),IF(B34&gt;=0,I34,H34)-B34*$R$1*MIN(D34,$E$1)*F34,PlotData!$CB$3)</f>
        <v>0</v>
      </c>
      <c r="O34" s="835">
        <f>IF(AND(ISNUMBER(System!$C33),ABS(B34)+ABS(C34)&lt;&gt;0),IF(B34&gt;=0,J34,K34)-B34*$R$1*MIN(D34,$E$1)*F34,PlotData!$CB$3)</f>
        <v>0</v>
      </c>
      <c r="P34" s="834">
        <f>IF(AND(ISNUMBER(System!$C33),ABS(B34)+ABS(C34)&lt;&gt;0),System!BE151-$J$1*MIN($E$1,D34)*E34 - SIGN(C34+0.2)*$H$1*$E$1*F34,PlotData!$CB$4)</f>
        <v>0</v>
      </c>
      <c r="Q34" s="837">
        <f>IF(AND(ISNUMBER(System!$C33),ABS(B34)+ABS(C34)&lt;&gt;0),System!BF151+$J$1*MIN($E$1,D34)*E34 - SIGN(C34+0.2)*$H$1*$E$1*F34,PlotData!$CB$4)</f>
        <v>0</v>
      </c>
      <c r="R34" s="837">
        <f>IF(AND(ISNUMBER(System!$C33),ABS(B34)+ABS(C34)&lt;&gt;0),Q34 - SIGN(C34+0.2)*$E$1*F34,PlotData!$CB$4)</f>
        <v>0</v>
      </c>
      <c r="S34" s="835">
        <f>IF(AND(ISNUMBER(System!$C33),ABS(B34)+ABS(C34)&lt;&gt;0),P34 - SIGN(C34+0.2)*$E$1*F34,PlotData!$CB$4)</f>
        <v>0</v>
      </c>
      <c r="T34" s="834">
        <f>IF(AND(ISNUMBER(System!$C33),ABS(B34)+ABS(C34)&lt;&gt;0),P34 - SIGN(C34+0.2)*$N$1*$E$1*F34,PlotData!$CB$4)</f>
        <v>0</v>
      </c>
      <c r="U34" s="837">
        <f>IF(AND(ISNUMBER(System!$C33),ABS(B34)+ABS(C34)&lt;&gt;0),Q34 - SIGN(C34+0.2)*$N$1*$E$1*F34,PlotData!$CB$4)</f>
        <v>0</v>
      </c>
      <c r="V34" s="837">
        <f>IF(AND(ISNUMBER(System!$C33),ABS(B34)+ABS(C34)&lt;&gt;0),IF(B34&gt;=0,Q34,P34)+B34*$R$1*MIN(D34,$E$1)*E34,PlotData!$CB$4)</f>
        <v>0</v>
      </c>
      <c r="W34" s="835">
        <f>IF(AND(ISNUMBER(System!$C33),ABS(B34)+ABS(C34)&lt;&gt;0),IF(B34&gt;=0,R34,S34)+B34*$R$1*MIN(D34,$E$1)*E34,PlotData!$CB$4)</f>
        <v>0</v>
      </c>
      <c r="X34" s="836">
        <f>IF(ISNUMBER(System!$C33),SIGN(System!AG33),0)</f>
        <v>0</v>
      </c>
    </row>
    <row r="35" spans="1:35" x14ac:dyDescent="0.25">
      <c r="A35" s="827">
        <v>31</v>
      </c>
      <c r="B35" s="834">
        <f>IF(ISNUMBER(System!$C34),SIGN(System!BL152),0)</f>
        <v>0</v>
      </c>
      <c r="C35" s="835">
        <f>IF(ISNUMBER(System!$C34),SIGN(System!BM152),0)</f>
        <v>0</v>
      </c>
      <c r="D35" s="836">
        <f>IF(ISNUMBER(System!$C34),System!BG152,0)</f>
        <v>0</v>
      </c>
      <c r="E35" s="834">
        <f>IF(ISNUMBER(System!$C34),System!BJ152,0)</f>
        <v>0</v>
      </c>
      <c r="F35" s="835">
        <f>IF(ISNUMBER(System!$C34),System!BK152,0)</f>
        <v>0</v>
      </c>
      <c r="G35" s="836">
        <f>IF(F35=0,1,IF(OR(System!N34&lt;&gt;0,System!O34 &lt;&gt;0),0,1))</f>
        <v>1</v>
      </c>
      <c r="H35" s="834">
        <f>IF(AND(ISNUMBER(System!$C34),ABS(B35)+ABS(C35)&lt;&gt;0),System!BC152+$J$1*MIN($E$1,D35)*F35 - IF(AND(B35&lt;&gt;0,C35=0),1,C35)*$H$1*$E$1*E35,PlotData!$CB$3)</f>
        <v>0</v>
      </c>
      <c r="I35" s="837">
        <f>IF(AND(ISNUMBER(System!$C34),ABS(B35)+ABS(C35)&lt;&gt;0),System!BD152-$J$1*MIN($E$1,D35)*F35 - IF(AND(B35&lt;&gt;0,C35=0),1,C35)*$H$1*$E$1*E35,PlotData!$CB$3)</f>
        <v>0</v>
      </c>
      <c r="J35" s="837">
        <f>IF(AND(ISNUMBER(System!$C34),ABS(B35)+ABS(C35)&lt;&gt;0),I35 - IF(AND(B35&lt;&gt;0,C35=0),1,C35)*$E$1*E35*G35,PlotData!$CB$3)</f>
        <v>0</v>
      </c>
      <c r="K35" s="835">
        <f>IF(AND(ISNUMBER(System!$C34),ABS(B35)+ABS(C35)&lt;&gt;0),H35 - IF(AND(B35&lt;&gt;0,C35=0),1,C35)*$E$1*E35*G35,PlotData!$CB$3)</f>
        <v>0</v>
      </c>
      <c r="L35" s="834">
        <f>IF(AND(ISNUMBER(System!$C34),ABS(B35)+ABS(C35)&lt;&gt;0),H35 - IF(AND(B35&lt;&gt;0,C35=0),1,C35)*G35*$N$1*$E$1*E35*G35,PlotData!$CB$3)</f>
        <v>0</v>
      </c>
      <c r="M35" s="837">
        <f>IF(AND(ISNUMBER(System!$C34),ABS(B35)+ABS(C35)&lt;&gt;0),I35 - IF(AND(B35&lt;&gt;0,C35=0),1,C35)*G35*$N$1*$E$1*E35*G35,PlotData!$CB$3)</f>
        <v>0</v>
      </c>
      <c r="N35" s="837">
        <f>IF(AND(ISNUMBER(System!$C34),ABS(B35)+ABS(C35)&lt;&gt;0),IF(B35&gt;=0,I35,H35)-B35*$R$1*MIN(D35,$E$1)*F35,PlotData!$CB$3)</f>
        <v>0</v>
      </c>
      <c r="O35" s="835">
        <f>IF(AND(ISNUMBER(System!$C34),ABS(B35)+ABS(C35)&lt;&gt;0),IF(B35&gt;=0,J35,K35)-B35*$R$1*MIN(D35,$E$1)*F35,PlotData!$CB$3)</f>
        <v>0</v>
      </c>
      <c r="P35" s="834">
        <f>IF(AND(ISNUMBER(System!$C34),ABS(B35)+ABS(C35)&lt;&gt;0),System!BE152-$J$1*MIN($E$1,D35)*E35 - SIGN(C35+0.2)*$H$1*$E$1*F35,PlotData!$CB$4)</f>
        <v>0</v>
      </c>
      <c r="Q35" s="837">
        <f>IF(AND(ISNUMBER(System!$C34),ABS(B35)+ABS(C35)&lt;&gt;0),System!BF152+$J$1*MIN($E$1,D35)*E35 - SIGN(C35+0.2)*$H$1*$E$1*F35,PlotData!$CB$4)</f>
        <v>0</v>
      </c>
      <c r="R35" s="837">
        <f>IF(AND(ISNUMBER(System!$C34),ABS(B35)+ABS(C35)&lt;&gt;0),Q35 - SIGN(C35+0.2)*$E$1*F35,PlotData!$CB$4)</f>
        <v>0</v>
      </c>
      <c r="S35" s="835">
        <f>IF(AND(ISNUMBER(System!$C34),ABS(B35)+ABS(C35)&lt;&gt;0),P35 - SIGN(C35+0.2)*$E$1*F35,PlotData!$CB$4)</f>
        <v>0</v>
      </c>
      <c r="T35" s="834">
        <f>IF(AND(ISNUMBER(System!$C34),ABS(B35)+ABS(C35)&lt;&gt;0),P35 - SIGN(C35+0.2)*$N$1*$E$1*F35,PlotData!$CB$4)</f>
        <v>0</v>
      </c>
      <c r="U35" s="837">
        <f>IF(AND(ISNUMBER(System!$C34),ABS(B35)+ABS(C35)&lt;&gt;0),Q35 - SIGN(C35+0.2)*$N$1*$E$1*F35,PlotData!$CB$4)</f>
        <v>0</v>
      </c>
      <c r="V35" s="837">
        <f>IF(AND(ISNUMBER(System!$C34),ABS(B35)+ABS(C35)&lt;&gt;0),IF(B35&gt;=0,Q35,P35)+B35*$R$1*MIN(D35,$E$1)*E35,PlotData!$CB$4)</f>
        <v>0</v>
      </c>
      <c r="W35" s="835">
        <f>IF(AND(ISNUMBER(System!$C34),ABS(B35)+ABS(C35)&lt;&gt;0),IF(B35&gt;=0,R35,S35)+B35*$R$1*MIN(D35,$E$1)*E35,PlotData!$CB$4)</f>
        <v>0</v>
      </c>
      <c r="X35" s="836">
        <f>IF(ISNUMBER(System!$C34),SIGN(System!AG34),0)</f>
        <v>0</v>
      </c>
    </row>
    <row r="36" spans="1:35" x14ac:dyDescent="0.25">
      <c r="A36" s="827">
        <v>32</v>
      </c>
      <c r="B36" s="834">
        <f>IF(ISNUMBER(System!$C35),SIGN(System!BL153),0)</f>
        <v>0</v>
      </c>
      <c r="C36" s="835">
        <f>IF(ISNUMBER(System!$C35),SIGN(System!BM153),0)</f>
        <v>0</v>
      </c>
      <c r="D36" s="836">
        <f>IF(ISNUMBER(System!$C35),System!BG153,0)</f>
        <v>0</v>
      </c>
      <c r="E36" s="834">
        <f>IF(ISNUMBER(System!$C35),System!BJ153,0)</f>
        <v>0</v>
      </c>
      <c r="F36" s="835">
        <f>IF(ISNUMBER(System!$C35),System!BK153,0)</f>
        <v>0</v>
      </c>
      <c r="G36" s="836">
        <f>IF(F36=0,1,IF(OR(System!N35&lt;&gt;0,System!O35 &lt;&gt;0),0,1))</f>
        <v>1</v>
      </c>
      <c r="H36" s="834">
        <f>IF(AND(ISNUMBER(System!$C35),ABS(B36)+ABS(C36)&lt;&gt;0),System!BC153+$J$1*MIN($E$1,D36)*F36 - IF(AND(B36&lt;&gt;0,C36=0),1,C36)*$H$1*$E$1*E36,PlotData!$CB$3)</f>
        <v>0</v>
      </c>
      <c r="I36" s="837">
        <f>IF(AND(ISNUMBER(System!$C35),ABS(B36)+ABS(C36)&lt;&gt;0),System!BD153-$J$1*MIN($E$1,D36)*F36 - IF(AND(B36&lt;&gt;0,C36=0),1,C36)*$H$1*$E$1*E36,PlotData!$CB$3)</f>
        <v>0</v>
      </c>
      <c r="J36" s="837">
        <f>IF(AND(ISNUMBER(System!$C35),ABS(B36)+ABS(C36)&lt;&gt;0),I36 - IF(AND(B36&lt;&gt;0,C36=0),1,C36)*$E$1*E36*G36,PlotData!$CB$3)</f>
        <v>0</v>
      </c>
      <c r="K36" s="835">
        <f>IF(AND(ISNUMBER(System!$C35),ABS(B36)+ABS(C36)&lt;&gt;0),H36 - IF(AND(B36&lt;&gt;0,C36=0),1,C36)*$E$1*E36*G36,PlotData!$CB$3)</f>
        <v>0</v>
      </c>
      <c r="L36" s="834">
        <f>IF(AND(ISNUMBER(System!$C35),ABS(B36)+ABS(C36)&lt;&gt;0),H36 - IF(AND(B36&lt;&gt;0,C36=0),1,C36)*G36*$N$1*$E$1*E36*G36,PlotData!$CB$3)</f>
        <v>0</v>
      </c>
      <c r="M36" s="837">
        <f>IF(AND(ISNUMBER(System!$C35),ABS(B36)+ABS(C36)&lt;&gt;0),I36 - IF(AND(B36&lt;&gt;0,C36=0),1,C36)*G36*$N$1*$E$1*E36*G36,PlotData!$CB$3)</f>
        <v>0</v>
      </c>
      <c r="N36" s="837">
        <f>IF(AND(ISNUMBER(System!$C35),ABS(B36)+ABS(C36)&lt;&gt;0),IF(B36&gt;=0,I36,H36)-B36*$R$1*MIN(D36,$E$1)*F36,PlotData!$CB$3)</f>
        <v>0</v>
      </c>
      <c r="O36" s="835">
        <f>IF(AND(ISNUMBER(System!$C35),ABS(B36)+ABS(C36)&lt;&gt;0),IF(B36&gt;=0,J36,K36)-B36*$R$1*MIN(D36,$E$1)*F36,PlotData!$CB$3)</f>
        <v>0</v>
      </c>
      <c r="P36" s="834">
        <f>IF(AND(ISNUMBER(System!$C35),ABS(B36)+ABS(C36)&lt;&gt;0),System!BE153-$J$1*MIN($E$1,D36)*E36 - SIGN(C36+0.2)*$H$1*$E$1*F36,PlotData!$CB$4)</f>
        <v>0</v>
      </c>
      <c r="Q36" s="837">
        <f>IF(AND(ISNUMBER(System!$C35),ABS(B36)+ABS(C36)&lt;&gt;0),System!BF153+$J$1*MIN($E$1,D36)*E36 - SIGN(C36+0.2)*$H$1*$E$1*F36,PlotData!$CB$4)</f>
        <v>0</v>
      </c>
      <c r="R36" s="837">
        <f>IF(AND(ISNUMBER(System!$C35),ABS(B36)+ABS(C36)&lt;&gt;0),Q36 - SIGN(C36+0.2)*$E$1*F36,PlotData!$CB$4)</f>
        <v>0</v>
      </c>
      <c r="S36" s="835">
        <f>IF(AND(ISNUMBER(System!$C35),ABS(B36)+ABS(C36)&lt;&gt;0),P36 - SIGN(C36+0.2)*$E$1*F36,PlotData!$CB$4)</f>
        <v>0</v>
      </c>
      <c r="T36" s="834">
        <f>IF(AND(ISNUMBER(System!$C35),ABS(B36)+ABS(C36)&lt;&gt;0),P36 - SIGN(C36+0.2)*$N$1*$E$1*F36,PlotData!$CB$4)</f>
        <v>0</v>
      </c>
      <c r="U36" s="837">
        <f>IF(AND(ISNUMBER(System!$C35),ABS(B36)+ABS(C36)&lt;&gt;0),Q36 - SIGN(C36+0.2)*$N$1*$E$1*F36,PlotData!$CB$4)</f>
        <v>0</v>
      </c>
      <c r="V36" s="837">
        <f>IF(AND(ISNUMBER(System!$C35),ABS(B36)+ABS(C36)&lt;&gt;0),IF(B36&gt;=0,Q36,P36)+B36*$R$1*MIN(D36,$E$1)*E36,PlotData!$CB$4)</f>
        <v>0</v>
      </c>
      <c r="W36" s="835">
        <f>IF(AND(ISNUMBER(System!$C35),ABS(B36)+ABS(C36)&lt;&gt;0),IF(B36&gt;=0,R36,S36)+B36*$R$1*MIN(D36,$E$1)*E36,PlotData!$CB$4)</f>
        <v>0</v>
      </c>
      <c r="X36" s="836">
        <f>IF(ISNUMBER(System!$C35),SIGN(System!AG35),0)</f>
        <v>0</v>
      </c>
    </row>
    <row r="37" spans="1:35" x14ac:dyDescent="0.25">
      <c r="A37" s="827">
        <v>33</v>
      </c>
      <c r="B37" s="834">
        <f>IF(ISNUMBER(System!$C36),SIGN(System!BL154),0)</f>
        <v>0</v>
      </c>
      <c r="C37" s="835">
        <f>IF(ISNUMBER(System!$C36),SIGN(System!BM154),0)</f>
        <v>0</v>
      </c>
      <c r="D37" s="836">
        <f>IF(ISNUMBER(System!$C36),System!BG154,0)</f>
        <v>0</v>
      </c>
      <c r="E37" s="834">
        <f>IF(ISNUMBER(System!$C36),System!BJ154,0)</f>
        <v>0</v>
      </c>
      <c r="F37" s="835">
        <f>IF(ISNUMBER(System!$C36),System!BK154,0)</f>
        <v>0</v>
      </c>
      <c r="G37" s="836">
        <f>IF(F37=0,1,IF(OR(System!N36&lt;&gt;0,System!O36 &lt;&gt;0),0,1))</f>
        <v>1</v>
      </c>
      <c r="H37" s="834">
        <f>IF(AND(ISNUMBER(System!$C36),ABS(B37)+ABS(C37)&lt;&gt;0),System!BC154+$J$1*MIN($E$1,D37)*F37 - IF(AND(B37&lt;&gt;0,C37=0),1,C37)*$H$1*$E$1*E37,PlotData!$CB$3)</f>
        <v>0</v>
      </c>
      <c r="I37" s="837">
        <f>IF(AND(ISNUMBER(System!$C36),ABS(B37)+ABS(C37)&lt;&gt;0),System!BD154-$J$1*MIN($E$1,D37)*F37 - IF(AND(B37&lt;&gt;0,C37=0),1,C37)*$H$1*$E$1*E37,PlotData!$CB$3)</f>
        <v>0</v>
      </c>
      <c r="J37" s="837">
        <f>IF(AND(ISNUMBER(System!$C36),ABS(B37)+ABS(C37)&lt;&gt;0),I37 - IF(AND(B37&lt;&gt;0,C37=0),1,C37)*$E$1*E37*G37,PlotData!$CB$3)</f>
        <v>0</v>
      </c>
      <c r="K37" s="835">
        <f>IF(AND(ISNUMBER(System!$C36),ABS(B37)+ABS(C37)&lt;&gt;0),H37 - IF(AND(B37&lt;&gt;0,C37=0),1,C37)*$E$1*E37*G37,PlotData!$CB$3)</f>
        <v>0</v>
      </c>
      <c r="L37" s="834">
        <f>IF(AND(ISNUMBER(System!$C36),ABS(B37)+ABS(C37)&lt;&gt;0),H37 - IF(AND(B37&lt;&gt;0,C37=0),1,C37)*G37*$N$1*$E$1*E37*G37,PlotData!$CB$3)</f>
        <v>0</v>
      </c>
      <c r="M37" s="837">
        <f>IF(AND(ISNUMBER(System!$C36),ABS(B37)+ABS(C37)&lt;&gt;0),I37 - IF(AND(B37&lt;&gt;0,C37=0),1,C37)*G37*$N$1*$E$1*E37*G37,PlotData!$CB$3)</f>
        <v>0</v>
      </c>
      <c r="N37" s="837">
        <f>IF(AND(ISNUMBER(System!$C36),ABS(B37)+ABS(C37)&lt;&gt;0),IF(B37&gt;=0,I37,H37)-B37*$R$1*MIN(D37,$E$1)*F37,PlotData!$CB$3)</f>
        <v>0</v>
      </c>
      <c r="O37" s="835">
        <f>IF(AND(ISNUMBER(System!$C36),ABS(B37)+ABS(C37)&lt;&gt;0),IF(B37&gt;=0,J37,K37)-B37*$R$1*MIN(D37,$E$1)*F37,PlotData!$CB$3)</f>
        <v>0</v>
      </c>
      <c r="P37" s="834">
        <f>IF(AND(ISNUMBER(System!$C36),ABS(B37)+ABS(C37)&lt;&gt;0),System!BE154-$J$1*MIN($E$1,D37)*E37 - SIGN(C37+0.2)*$H$1*$E$1*F37,PlotData!$CB$4)</f>
        <v>0</v>
      </c>
      <c r="Q37" s="837">
        <f>IF(AND(ISNUMBER(System!$C36),ABS(B37)+ABS(C37)&lt;&gt;0),System!BF154+$J$1*MIN($E$1,D37)*E37 - SIGN(C37+0.2)*$H$1*$E$1*F37,PlotData!$CB$4)</f>
        <v>0</v>
      </c>
      <c r="R37" s="837">
        <f>IF(AND(ISNUMBER(System!$C36),ABS(B37)+ABS(C37)&lt;&gt;0),Q37 - SIGN(C37+0.2)*$E$1*F37,PlotData!$CB$4)</f>
        <v>0</v>
      </c>
      <c r="S37" s="835">
        <f>IF(AND(ISNUMBER(System!$C36),ABS(B37)+ABS(C37)&lt;&gt;0),P37 - SIGN(C37+0.2)*$E$1*F37,PlotData!$CB$4)</f>
        <v>0</v>
      </c>
      <c r="T37" s="834">
        <f>IF(AND(ISNUMBER(System!$C36),ABS(B37)+ABS(C37)&lt;&gt;0),P37 - SIGN(C37+0.2)*$N$1*$E$1*F37,PlotData!$CB$4)</f>
        <v>0</v>
      </c>
      <c r="U37" s="837">
        <f>IF(AND(ISNUMBER(System!$C36),ABS(B37)+ABS(C37)&lt;&gt;0),Q37 - SIGN(C37+0.2)*$N$1*$E$1*F37,PlotData!$CB$4)</f>
        <v>0</v>
      </c>
      <c r="V37" s="837">
        <f>IF(AND(ISNUMBER(System!$C36),ABS(B37)+ABS(C37)&lt;&gt;0),IF(B37&gt;=0,Q37,P37)+B37*$R$1*MIN(D37,$E$1)*E37,PlotData!$CB$4)</f>
        <v>0</v>
      </c>
      <c r="W37" s="835">
        <f>IF(AND(ISNUMBER(System!$C36),ABS(B37)+ABS(C37)&lt;&gt;0),IF(B37&gt;=0,R37,S37)+B37*$R$1*MIN(D37,$E$1)*E37,PlotData!$CB$4)</f>
        <v>0</v>
      </c>
      <c r="X37" s="836">
        <f>IF(ISNUMBER(System!$C36),SIGN(System!AG36),0)</f>
        <v>0</v>
      </c>
    </row>
    <row r="38" spans="1:35" x14ac:dyDescent="0.25">
      <c r="A38" s="827">
        <v>34</v>
      </c>
      <c r="B38" s="834">
        <f>IF(ISNUMBER(System!$C37),SIGN(System!BL155),0)</f>
        <v>0</v>
      </c>
      <c r="C38" s="835">
        <f>IF(ISNUMBER(System!$C37),SIGN(System!BM155),0)</f>
        <v>0</v>
      </c>
      <c r="D38" s="836">
        <f>IF(ISNUMBER(System!$C37),System!BG155,0)</f>
        <v>0</v>
      </c>
      <c r="E38" s="834">
        <f>IF(ISNUMBER(System!$C37),System!BJ155,0)</f>
        <v>0</v>
      </c>
      <c r="F38" s="835">
        <f>IF(ISNUMBER(System!$C37),System!BK155,0)</f>
        <v>0</v>
      </c>
      <c r="G38" s="836">
        <f>IF(F38=0,1,IF(OR(System!N37&lt;&gt;0,System!O37 &lt;&gt;0),0,1))</f>
        <v>1</v>
      </c>
      <c r="H38" s="834">
        <f>IF(AND(ISNUMBER(System!$C37),ABS(B38)+ABS(C38)&lt;&gt;0),System!BC155+$J$1*MIN($E$1,D38)*F38 - IF(AND(B38&lt;&gt;0,C38=0),1,C38)*$H$1*$E$1*E38,PlotData!$CB$3)</f>
        <v>0</v>
      </c>
      <c r="I38" s="837">
        <f>IF(AND(ISNUMBER(System!$C37),ABS(B38)+ABS(C38)&lt;&gt;0),System!BD155-$J$1*MIN($E$1,D38)*F38 - IF(AND(B38&lt;&gt;0,C38=0),1,C38)*$H$1*$E$1*E38,PlotData!$CB$3)</f>
        <v>0</v>
      </c>
      <c r="J38" s="837">
        <f>IF(AND(ISNUMBER(System!$C37),ABS(B38)+ABS(C38)&lt;&gt;0),I38 - IF(AND(B38&lt;&gt;0,C38=0),1,C38)*$E$1*E38*G38,PlotData!$CB$3)</f>
        <v>0</v>
      </c>
      <c r="K38" s="835">
        <f>IF(AND(ISNUMBER(System!$C37),ABS(B38)+ABS(C38)&lt;&gt;0),H38 - IF(AND(B38&lt;&gt;0,C38=0),1,C38)*$E$1*E38*G38,PlotData!$CB$3)</f>
        <v>0</v>
      </c>
      <c r="L38" s="834">
        <f>IF(AND(ISNUMBER(System!$C37),ABS(B38)+ABS(C38)&lt;&gt;0),H38 - IF(AND(B38&lt;&gt;0,C38=0),1,C38)*G38*$N$1*$E$1*E38*G38,PlotData!$CB$3)</f>
        <v>0</v>
      </c>
      <c r="M38" s="837">
        <f>IF(AND(ISNUMBER(System!$C37),ABS(B38)+ABS(C38)&lt;&gt;0),I38 - IF(AND(B38&lt;&gt;0,C38=0),1,C38)*G38*$N$1*$E$1*E38*G38,PlotData!$CB$3)</f>
        <v>0</v>
      </c>
      <c r="N38" s="837">
        <f>IF(AND(ISNUMBER(System!$C37),ABS(B38)+ABS(C38)&lt;&gt;0),IF(B38&gt;=0,I38,H38)-B38*$R$1*MIN(D38,$E$1)*F38,PlotData!$CB$3)</f>
        <v>0</v>
      </c>
      <c r="O38" s="835">
        <f>IF(AND(ISNUMBER(System!$C37),ABS(B38)+ABS(C38)&lt;&gt;0),IF(B38&gt;=0,J38,K38)-B38*$R$1*MIN(D38,$E$1)*F38,PlotData!$CB$3)</f>
        <v>0</v>
      </c>
      <c r="P38" s="834">
        <f>IF(AND(ISNUMBER(System!$C37),ABS(B38)+ABS(C38)&lt;&gt;0),System!BE155-$J$1*MIN($E$1,D38)*E38 - SIGN(C38+0.2)*$H$1*$E$1*F38,PlotData!$CB$4)</f>
        <v>0</v>
      </c>
      <c r="Q38" s="837">
        <f>IF(AND(ISNUMBER(System!$C37),ABS(B38)+ABS(C38)&lt;&gt;0),System!BF155+$J$1*MIN($E$1,D38)*E38 - SIGN(C38+0.2)*$H$1*$E$1*F38,PlotData!$CB$4)</f>
        <v>0</v>
      </c>
      <c r="R38" s="837">
        <f>IF(AND(ISNUMBER(System!$C37),ABS(B38)+ABS(C38)&lt;&gt;0),Q38 - SIGN(C38+0.2)*$E$1*F38,PlotData!$CB$4)</f>
        <v>0</v>
      </c>
      <c r="S38" s="835">
        <f>IF(AND(ISNUMBER(System!$C37),ABS(B38)+ABS(C38)&lt;&gt;0),P38 - SIGN(C38+0.2)*$E$1*F38,PlotData!$CB$4)</f>
        <v>0</v>
      </c>
      <c r="T38" s="834">
        <f>IF(AND(ISNUMBER(System!$C37),ABS(B38)+ABS(C38)&lt;&gt;0),P38 - SIGN(C38+0.2)*$N$1*$E$1*F38,PlotData!$CB$4)</f>
        <v>0</v>
      </c>
      <c r="U38" s="837">
        <f>IF(AND(ISNUMBER(System!$C37),ABS(B38)+ABS(C38)&lt;&gt;0),Q38 - SIGN(C38+0.2)*$N$1*$E$1*F38,PlotData!$CB$4)</f>
        <v>0</v>
      </c>
      <c r="V38" s="837">
        <f>IF(AND(ISNUMBER(System!$C37),ABS(B38)+ABS(C38)&lt;&gt;0),IF(B38&gt;=0,Q38,P38)+B38*$R$1*MIN(D38,$E$1)*E38,PlotData!$CB$4)</f>
        <v>0</v>
      </c>
      <c r="W38" s="835">
        <f>IF(AND(ISNUMBER(System!$C37),ABS(B38)+ABS(C38)&lt;&gt;0),IF(B38&gt;=0,R38,S38)+B38*$R$1*MIN(D38,$E$1)*E38,PlotData!$CB$4)</f>
        <v>0</v>
      </c>
      <c r="X38" s="836">
        <f>IF(ISNUMBER(System!$C37),SIGN(System!AG37),0)</f>
        <v>0</v>
      </c>
    </row>
    <row r="39" spans="1:35" x14ac:dyDescent="0.25">
      <c r="A39" s="827">
        <v>35</v>
      </c>
      <c r="B39" s="834">
        <f>IF(ISNUMBER(System!$C38),SIGN(System!BL156),0)</f>
        <v>0</v>
      </c>
      <c r="C39" s="835">
        <f>IF(ISNUMBER(System!$C38),SIGN(System!BM156),0)</f>
        <v>0</v>
      </c>
      <c r="D39" s="836">
        <f>IF(ISNUMBER(System!$C38),System!BG156,0)</f>
        <v>0</v>
      </c>
      <c r="E39" s="834">
        <f>IF(ISNUMBER(System!$C38),System!BJ156,0)</f>
        <v>0</v>
      </c>
      <c r="F39" s="835">
        <f>IF(ISNUMBER(System!$C38),System!BK156,0)</f>
        <v>0</v>
      </c>
      <c r="G39" s="836">
        <f>IF(F39=0,1,IF(OR(System!N38&lt;&gt;0,System!O38 &lt;&gt;0),0,1))</f>
        <v>1</v>
      </c>
      <c r="H39" s="834">
        <f>IF(AND(ISNUMBER(System!$C38),ABS(B39)+ABS(C39)&lt;&gt;0),System!BC156+$J$1*MIN($E$1,D39)*F39 - IF(AND(B39&lt;&gt;0,C39=0),1,C39)*$H$1*$E$1*E39,PlotData!$CB$3)</f>
        <v>0</v>
      </c>
      <c r="I39" s="837">
        <f>IF(AND(ISNUMBER(System!$C38),ABS(B39)+ABS(C39)&lt;&gt;0),System!BD156-$J$1*MIN($E$1,D39)*F39 - IF(AND(B39&lt;&gt;0,C39=0),1,C39)*$H$1*$E$1*E39,PlotData!$CB$3)</f>
        <v>0</v>
      </c>
      <c r="J39" s="837">
        <f>IF(AND(ISNUMBER(System!$C38),ABS(B39)+ABS(C39)&lt;&gt;0),I39 - IF(AND(B39&lt;&gt;0,C39=0),1,C39)*$E$1*E39*G39,PlotData!$CB$3)</f>
        <v>0</v>
      </c>
      <c r="K39" s="835">
        <f>IF(AND(ISNUMBER(System!$C38),ABS(B39)+ABS(C39)&lt;&gt;0),H39 - IF(AND(B39&lt;&gt;0,C39=0),1,C39)*$E$1*E39*G39,PlotData!$CB$3)</f>
        <v>0</v>
      </c>
      <c r="L39" s="834">
        <f>IF(AND(ISNUMBER(System!$C38),ABS(B39)+ABS(C39)&lt;&gt;0),H39 - IF(AND(B39&lt;&gt;0,C39=0),1,C39)*G39*$N$1*$E$1*E39*G39,PlotData!$CB$3)</f>
        <v>0</v>
      </c>
      <c r="M39" s="837">
        <f>IF(AND(ISNUMBER(System!$C38),ABS(B39)+ABS(C39)&lt;&gt;0),I39 - IF(AND(B39&lt;&gt;0,C39=0),1,C39)*G39*$N$1*$E$1*E39*G39,PlotData!$CB$3)</f>
        <v>0</v>
      </c>
      <c r="N39" s="837">
        <f>IF(AND(ISNUMBER(System!$C38),ABS(B39)+ABS(C39)&lt;&gt;0),IF(B39&gt;=0,I39,H39)-B39*$R$1*MIN(D39,$E$1)*F39,PlotData!$CB$3)</f>
        <v>0</v>
      </c>
      <c r="O39" s="835">
        <f>IF(AND(ISNUMBER(System!$C38),ABS(B39)+ABS(C39)&lt;&gt;0),IF(B39&gt;=0,J39,K39)-B39*$R$1*MIN(D39,$E$1)*F39,PlotData!$CB$3)</f>
        <v>0</v>
      </c>
      <c r="P39" s="834">
        <f>IF(AND(ISNUMBER(System!$C38),ABS(B39)+ABS(C39)&lt;&gt;0),System!BE156-$J$1*MIN($E$1,D39)*E39 - SIGN(C39+0.2)*$H$1*$E$1*F39,PlotData!$CB$4)</f>
        <v>0</v>
      </c>
      <c r="Q39" s="837">
        <f>IF(AND(ISNUMBER(System!$C38),ABS(B39)+ABS(C39)&lt;&gt;0),System!BF156+$J$1*MIN($E$1,D39)*E39 - SIGN(C39+0.2)*$H$1*$E$1*F39,PlotData!$CB$4)</f>
        <v>0</v>
      </c>
      <c r="R39" s="837">
        <f>IF(AND(ISNUMBER(System!$C38),ABS(B39)+ABS(C39)&lt;&gt;0),Q39 - SIGN(C39+0.2)*$E$1*F39,PlotData!$CB$4)</f>
        <v>0</v>
      </c>
      <c r="S39" s="835">
        <f>IF(AND(ISNUMBER(System!$C38),ABS(B39)+ABS(C39)&lt;&gt;0),P39 - SIGN(C39+0.2)*$E$1*F39,PlotData!$CB$4)</f>
        <v>0</v>
      </c>
      <c r="T39" s="834">
        <f>IF(AND(ISNUMBER(System!$C38),ABS(B39)+ABS(C39)&lt;&gt;0),P39 - SIGN(C39+0.2)*$N$1*$E$1*F39,PlotData!$CB$4)</f>
        <v>0</v>
      </c>
      <c r="U39" s="837">
        <f>IF(AND(ISNUMBER(System!$C38),ABS(B39)+ABS(C39)&lt;&gt;0),Q39 - SIGN(C39+0.2)*$N$1*$E$1*F39,PlotData!$CB$4)</f>
        <v>0</v>
      </c>
      <c r="V39" s="837">
        <f>IF(AND(ISNUMBER(System!$C38),ABS(B39)+ABS(C39)&lt;&gt;0),IF(B39&gt;=0,Q39,P39)+B39*$R$1*MIN(D39,$E$1)*E39,PlotData!$CB$4)</f>
        <v>0</v>
      </c>
      <c r="W39" s="835">
        <f>IF(AND(ISNUMBER(System!$C38),ABS(B39)+ABS(C39)&lt;&gt;0),IF(B39&gt;=0,R39,S39)+B39*$R$1*MIN(D39,$E$1)*E39,PlotData!$CB$4)</f>
        <v>0</v>
      </c>
      <c r="X39" s="836">
        <f>IF(ISNUMBER(System!$C38),SIGN(System!AG38),0)</f>
        <v>0</v>
      </c>
    </row>
    <row r="40" spans="1:35" x14ac:dyDescent="0.25">
      <c r="A40" s="827">
        <v>36</v>
      </c>
      <c r="B40" s="834">
        <f>IF(ISNUMBER(System!$C39),SIGN(System!BL157),0)</f>
        <v>0</v>
      </c>
      <c r="C40" s="835">
        <f>IF(ISNUMBER(System!$C39),SIGN(System!BM157),0)</f>
        <v>0</v>
      </c>
      <c r="D40" s="836">
        <f>IF(ISNUMBER(System!$C39),System!BG157,0)</f>
        <v>0</v>
      </c>
      <c r="E40" s="834">
        <f>IF(ISNUMBER(System!$C39),System!BJ157,0)</f>
        <v>0</v>
      </c>
      <c r="F40" s="835">
        <f>IF(ISNUMBER(System!$C39),System!BK157,0)</f>
        <v>0</v>
      </c>
      <c r="G40" s="836">
        <f>IF(F40=0,1,IF(OR(System!N39&lt;&gt;0,System!O39 &lt;&gt;0),0,1))</f>
        <v>1</v>
      </c>
      <c r="H40" s="834">
        <f>IF(AND(ISNUMBER(System!$C39),ABS(B40)+ABS(C40)&lt;&gt;0),System!BC157+$J$1*MIN($E$1,D40)*F40 - IF(AND(B40&lt;&gt;0,C40=0),1,C40)*$H$1*$E$1*E40,PlotData!$CB$3)</f>
        <v>0</v>
      </c>
      <c r="I40" s="837">
        <f>IF(AND(ISNUMBER(System!$C39),ABS(B40)+ABS(C40)&lt;&gt;0),System!BD157-$J$1*MIN($E$1,D40)*F40 - IF(AND(B40&lt;&gt;0,C40=0),1,C40)*$H$1*$E$1*E40,PlotData!$CB$3)</f>
        <v>0</v>
      </c>
      <c r="J40" s="837">
        <f>IF(AND(ISNUMBER(System!$C39),ABS(B40)+ABS(C40)&lt;&gt;0),I40 - IF(AND(B40&lt;&gt;0,C40=0),1,C40)*$E$1*E40*G40,PlotData!$CB$3)</f>
        <v>0</v>
      </c>
      <c r="K40" s="835">
        <f>IF(AND(ISNUMBER(System!$C39),ABS(B40)+ABS(C40)&lt;&gt;0),H40 - IF(AND(B40&lt;&gt;0,C40=0),1,C40)*$E$1*E40*G40,PlotData!$CB$3)</f>
        <v>0</v>
      </c>
      <c r="L40" s="834">
        <f>IF(AND(ISNUMBER(System!$C39),ABS(B40)+ABS(C40)&lt;&gt;0),H40 - IF(AND(B40&lt;&gt;0,C40=0),1,C40)*G40*$N$1*$E$1*E40*G40,PlotData!$CB$3)</f>
        <v>0</v>
      </c>
      <c r="M40" s="837">
        <f>IF(AND(ISNUMBER(System!$C39),ABS(B40)+ABS(C40)&lt;&gt;0),I40 - IF(AND(B40&lt;&gt;0,C40=0),1,C40)*G40*$N$1*$E$1*E40*G40,PlotData!$CB$3)</f>
        <v>0</v>
      </c>
      <c r="N40" s="837">
        <f>IF(AND(ISNUMBER(System!$C39),ABS(B40)+ABS(C40)&lt;&gt;0),IF(B40&gt;=0,I40,H40)-B40*$R$1*MIN(D40,$E$1)*F40,PlotData!$CB$3)</f>
        <v>0</v>
      </c>
      <c r="O40" s="835">
        <f>IF(AND(ISNUMBER(System!$C39),ABS(B40)+ABS(C40)&lt;&gt;0),IF(B40&gt;=0,J40,K40)-B40*$R$1*MIN(D40,$E$1)*F40,PlotData!$CB$3)</f>
        <v>0</v>
      </c>
      <c r="P40" s="834">
        <f>IF(AND(ISNUMBER(System!$C39),ABS(B40)+ABS(C40)&lt;&gt;0),System!BE157-$J$1*MIN($E$1,D40)*E40 - SIGN(C40+0.2)*$H$1*$E$1*F40,PlotData!$CB$4)</f>
        <v>0</v>
      </c>
      <c r="Q40" s="837">
        <f>IF(AND(ISNUMBER(System!$C39),ABS(B40)+ABS(C40)&lt;&gt;0),System!BF157+$J$1*MIN($E$1,D40)*E40 - SIGN(C40+0.2)*$H$1*$E$1*F40,PlotData!$CB$4)</f>
        <v>0</v>
      </c>
      <c r="R40" s="837">
        <f>IF(AND(ISNUMBER(System!$C39),ABS(B40)+ABS(C40)&lt;&gt;0),Q40 - SIGN(C40+0.2)*$E$1*F40,PlotData!$CB$4)</f>
        <v>0</v>
      </c>
      <c r="S40" s="835">
        <f>IF(AND(ISNUMBER(System!$C39),ABS(B40)+ABS(C40)&lt;&gt;0),P40 - SIGN(C40+0.2)*$E$1*F40,PlotData!$CB$4)</f>
        <v>0</v>
      </c>
      <c r="T40" s="834">
        <f>IF(AND(ISNUMBER(System!$C39),ABS(B40)+ABS(C40)&lt;&gt;0),P40 - SIGN(C40+0.2)*$N$1*$E$1*F40,PlotData!$CB$4)</f>
        <v>0</v>
      </c>
      <c r="U40" s="837">
        <f>IF(AND(ISNUMBER(System!$C39),ABS(B40)+ABS(C40)&lt;&gt;0),Q40 - SIGN(C40+0.2)*$N$1*$E$1*F40,PlotData!$CB$4)</f>
        <v>0</v>
      </c>
      <c r="V40" s="837">
        <f>IF(AND(ISNUMBER(System!$C39),ABS(B40)+ABS(C40)&lt;&gt;0),IF(B40&gt;=0,Q40,P40)+B40*$R$1*MIN(D40,$E$1)*E40,PlotData!$CB$4)</f>
        <v>0</v>
      </c>
      <c r="W40" s="835">
        <f>IF(AND(ISNUMBER(System!$C39),ABS(B40)+ABS(C40)&lt;&gt;0),IF(B40&gt;=0,R40,S40)+B40*$R$1*MIN(D40,$E$1)*E40,PlotData!$CB$4)</f>
        <v>0</v>
      </c>
      <c r="X40" s="836">
        <f>IF(ISNUMBER(System!$C39),SIGN(System!AG39),0)</f>
        <v>0</v>
      </c>
    </row>
    <row r="41" spans="1:35" x14ac:dyDescent="0.25">
      <c r="A41" s="827">
        <v>37</v>
      </c>
      <c r="B41" s="834">
        <f>IF(ISNUMBER(System!$C40),SIGN(System!BL158),0)</f>
        <v>0</v>
      </c>
      <c r="C41" s="835">
        <f>IF(ISNUMBER(System!$C40),SIGN(System!BM158),0)</f>
        <v>0</v>
      </c>
      <c r="D41" s="836">
        <f>IF(ISNUMBER(System!$C40),System!BG158,0)</f>
        <v>0</v>
      </c>
      <c r="E41" s="834">
        <f>IF(ISNUMBER(System!$C40),System!BJ158,0)</f>
        <v>0</v>
      </c>
      <c r="F41" s="835">
        <f>IF(ISNUMBER(System!$C40),System!BK158,0)</f>
        <v>0</v>
      </c>
      <c r="G41" s="836">
        <f>IF(F41=0,1,IF(OR(System!N40&lt;&gt;0,System!O40 &lt;&gt;0),0,1))</f>
        <v>1</v>
      </c>
      <c r="H41" s="834">
        <f>IF(AND(ISNUMBER(System!$C40),ABS(B41)+ABS(C41)&lt;&gt;0),System!BC158+$J$1*MIN($E$1,D41)*F41 - IF(AND(B41&lt;&gt;0,C41=0),1,C41)*$H$1*$E$1*E41,PlotData!$CB$3)</f>
        <v>0</v>
      </c>
      <c r="I41" s="837">
        <f>IF(AND(ISNUMBER(System!$C40),ABS(B41)+ABS(C41)&lt;&gt;0),System!BD158-$J$1*MIN($E$1,D41)*F41 - IF(AND(B41&lt;&gt;0,C41=0),1,C41)*$H$1*$E$1*E41,PlotData!$CB$3)</f>
        <v>0</v>
      </c>
      <c r="J41" s="837">
        <f>IF(AND(ISNUMBER(System!$C40),ABS(B41)+ABS(C41)&lt;&gt;0),I41 - IF(AND(B41&lt;&gt;0,C41=0),1,C41)*$E$1*E41*G41,PlotData!$CB$3)</f>
        <v>0</v>
      </c>
      <c r="K41" s="835">
        <f>IF(AND(ISNUMBER(System!$C40),ABS(B41)+ABS(C41)&lt;&gt;0),H41 - IF(AND(B41&lt;&gt;0,C41=0),1,C41)*$E$1*E41*G41,PlotData!$CB$3)</f>
        <v>0</v>
      </c>
      <c r="L41" s="834">
        <f>IF(AND(ISNUMBER(System!$C40),ABS(B41)+ABS(C41)&lt;&gt;0),H41 - IF(AND(B41&lt;&gt;0,C41=0),1,C41)*G41*$N$1*$E$1*E41*G41,PlotData!$CB$3)</f>
        <v>0</v>
      </c>
      <c r="M41" s="837">
        <f>IF(AND(ISNUMBER(System!$C40),ABS(B41)+ABS(C41)&lt;&gt;0),I41 - IF(AND(B41&lt;&gt;0,C41=0),1,C41)*G41*$N$1*$E$1*E41*G41,PlotData!$CB$3)</f>
        <v>0</v>
      </c>
      <c r="N41" s="837">
        <f>IF(AND(ISNUMBER(System!$C40),ABS(B41)+ABS(C41)&lt;&gt;0),IF(B41&gt;=0,I41,H41)-B41*$R$1*MIN(D41,$E$1)*F41,PlotData!$CB$3)</f>
        <v>0</v>
      </c>
      <c r="O41" s="835">
        <f>IF(AND(ISNUMBER(System!$C40),ABS(B41)+ABS(C41)&lt;&gt;0),IF(B41&gt;=0,J41,K41)-B41*$R$1*MIN(D41,$E$1)*F41,PlotData!$CB$3)</f>
        <v>0</v>
      </c>
      <c r="P41" s="834">
        <f>IF(AND(ISNUMBER(System!$C40),ABS(B41)+ABS(C41)&lt;&gt;0),System!BE158-$J$1*MIN($E$1,D41)*E41 - SIGN(C41+0.2)*$H$1*$E$1*F41,PlotData!$CB$4)</f>
        <v>0</v>
      </c>
      <c r="Q41" s="837">
        <f>IF(AND(ISNUMBER(System!$C40),ABS(B41)+ABS(C41)&lt;&gt;0),System!BF158+$J$1*MIN($E$1,D41)*E41 - SIGN(C41+0.2)*$H$1*$E$1*F41,PlotData!$CB$4)</f>
        <v>0</v>
      </c>
      <c r="R41" s="837">
        <f>IF(AND(ISNUMBER(System!$C40),ABS(B41)+ABS(C41)&lt;&gt;0),Q41 - SIGN(C41+0.2)*$E$1*F41,PlotData!$CB$4)</f>
        <v>0</v>
      </c>
      <c r="S41" s="835">
        <f>IF(AND(ISNUMBER(System!$C40),ABS(B41)+ABS(C41)&lt;&gt;0),P41 - SIGN(C41+0.2)*$E$1*F41,PlotData!$CB$4)</f>
        <v>0</v>
      </c>
      <c r="T41" s="834">
        <f>IF(AND(ISNUMBER(System!$C40),ABS(B41)+ABS(C41)&lt;&gt;0),P41 - SIGN(C41+0.2)*$N$1*$E$1*F41,PlotData!$CB$4)</f>
        <v>0</v>
      </c>
      <c r="U41" s="837">
        <f>IF(AND(ISNUMBER(System!$C40),ABS(B41)+ABS(C41)&lt;&gt;0),Q41 - SIGN(C41+0.2)*$N$1*$E$1*F41,PlotData!$CB$4)</f>
        <v>0</v>
      </c>
      <c r="V41" s="837">
        <f>IF(AND(ISNUMBER(System!$C40),ABS(B41)+ABS(C41)&lt;&gt;0),IF(B41&gt;=0,Q41,P41)+B41*$R$1*MIN(D41,$E$1)*E41,PlotData!$CB$4)</f>
        <v>0</v>
      </c>
      <c r="W41" s="835">
        <f>IF(AND(ISNUMBER(System!$C40),ABS(B41)+ABS(C41)&lt;&gt;0),IF(B41&gt;=0,R41,S41)+B41*$R$1*MIN(D41,$E$1)*E41,PlotData!$CB$4)</f>
        <v>0</v>
      </c>
      <c r="X41" s="836">
        <f>IF(ISNUMBER(System!$C40),SIGN(System!AG40),0)</f>
        <v>0</v>
      </c>
    </row>
    <row r="42" spans="1:35" x14ac:dyDescent="0.25">
      <c r="A42" s="827">
        <v>38</v>
      </c>
      <c r="B42" s="834">
        <f>IF(ISNUMBER(System!$C41),SIGN(System!BL159),0)</f>
        <v>0</v>
      </c>
      <c r="C42" s="835">
        <f>IF(ISNUMBER(System!$C41),SIGN(System!BM159),0)</f>
        <v>0</v>
      </c>
      <c r="D42" s="836">
        <f>IF(ISNUMBER(System!$C41),System!BG159,0)</f>
        <v>0</v>
      </c>
      <c r="E42" s="834">
        <f>IF(ISNUMBER(System!$C41),System!BJ159,0)</f>
        <v>0</v>
      </c>
      <c r="F42" s="835">
        <f>IF(ISNUMBER(System!$C41),System!BK159,0)</f>
        <v>0</v>
      </c>
      <c r="G42" s="836">
        <f>IF(F42=0,1,IF(OR(System!N41&lt;&gt;0,System!O41 &lt;&gt;0),0,1))</f>
        <v>1</v>
      </c>
      <c r="H42" s="834">
        <f>IF(AND(ISNUMBER(System!$C41),ABS(B42)+ABS(C42)&lt;&gt;0),System!BC159+$J$1*MIN($E$1,D42)*F42 - IF(AND(B42&lt;&gt;0,C42=0),1,C42)*$H$1*$E$1*E42,PlotData!$CB$3)</f>
        <v>0</v>
      </c>
      <c r="I42" s="837">
        <f>IF(AND(ISNUMBER(System!$C41),ABS(B42)+ABS(C42)&lt;&gt;0),System!BD159-$J$1*MIN($E$1,D42)*F42 - IF(AND(B42&lt;&gt;0,C42=0),1,C42)*$H$1*$E$1*E42,PlotData!$CB$3)</f>
        <v>0</v>
      </c>
      <c r="J42" s="837">
        <f>IF(AND(ISNUMBER(System!$C41),ABS(B42)+ABS(C42)&lt;&gt;0),I42 - IF(AND(B42&lt;&gt;0,C42=0),1,C42)*$E$1*E42*G42,PlotData!$CB$3)</f>
        <v>0</v>
      </c>
      <c r="K42" s="835">
        <f>IF(AND(ISNUMBER(System!$C41),ABS(B42)+ABS(C42)&lt;&gt;0),H42 - IF(AND(B42&lt;&gt;0,C42=0),1,C42)*$E$1*E42*G42,PlotData!$CB$3)</f>
        <v>0</v>
      </c>
      <c r="L42" s="834">
        <f>IF(AND(ISNUMBER(System!$C41),ABS(B42)+ABS(C42)&lt;&gt;0),H42 - IF(AND(B42&lt;&gt;0,C42=0),1,C42)*G42*$N$1*$E$1*E42*G42,PlotData!$CB$3)</f>
        <v>0</v>
      </c>
      <c r="M42" s="837">
        <f>IF(AND(ISNUMBER(System!$C41),ABS(B42)+ABS(C42)&lt;&gt;0),I42 - IF(AND(B42&lt;&gt;0,C42=0),1,C42)*G42*$N$1*$E$1*E42*G42,PlotData!$CB$3)</f>
        <v>0</v>
      </c>
      <c r="N42" s="837">
        <f>IF(AND(ISNUMBER(System!$C41),ABS(B42)+ABS(C42)&lt;&gt;0),IF(B42&gt;=0,I42,H42)-B42*$R$1*MIN(D42,$E$1)*F42,PlotData!$CB$3)</f>
        <v>0</v>
      </c>
      <c r="O42" s="835">
        <f>IF(AND(ISNUMBER(System!$C41),ABS(B42)+ABS(C42)&lt;&gt;0),IF(B42&gt;=0,J42,K42)-B42*$R$1*MIN(D42,$E$1)*F42,PlotData!$CB$3)</f>
        <v>0</v>
      </c>
      <c r="P42" s="834">
        <f>IF(AND(ISNUMBER(System!$C41),ABS(B42)+ABS(C42)&lt;&gt;0),System!BE159-$J$1*MIN($E$1,D42)*E42 - SIGN(C42+0.2)*$H$1*$E$1*F42,PlotData!$CB$4)</f>
        <v>0</v>
      </c>
      <c r="Q42" s="837">
        <f>IF(AND(ISNUMBER(System!$C41),ABS(B42)+ABS(C42)&lt;&gt;0),System!BF159+$J$1*MIN($E$1,D42)*E42 - SIGN(C42+0.2)*$H$1*$E$1*F42,PlotData!$CB$4)</f>
        <v>0</v>
      </c>
      <c r="R42" s="837">
        <f>IF(AND(ISNUMBER(System!$C41),ABS(B42)+ABS(C42)&lt;&gt;0),Q42 - SIGN(C42+0.2)*$E$1*F42,PlotData!$CB$4)</f>
        <v>0</v>
      </c>
      <c r="S42" s="835">
        <f>IF(AND(ISNUMBER(System!$C41),ABS(B42)+ABS(C42)&lt;&gt;0),P42 - SIGN(C42+0.2)*$E$1*F42,PlotData!$CB$4)</f>
        <v>0</v>
      </c>
      <c r="T42" s="834">
        <f>IF(AND(ISNUMBER(System!$C41),ABS(B42)+ABS(C42)&lt;&gt;0),P42 - SIGN(C42+0.2)*$N$1*$E$1*F42,PlotData!$CB$4)</f>
        <v>0</v>
      </c>
      <c r="U42" s="837">
        <f>IF(AND(ISNUMBER(System!$C41),ABS(B42)+ABS(C42)&lt;&gt;0),Q42 - SIGN(C42+0.2)*$N$1*$E$1*F42,PlotData!$CB$4)</f>
        <v>0</v>
      </c>
      <c r="V42" s="837">
        <f>IF(AND(ISNUMBER(System!$C41),ABS(B42)+ABS(C42)&lt;&gt;0),IF(B42&gt;=0,Q42,P42)+B42*$R$1*MIN(D42,$E$1)*E42,PlotData!$CB$4)</f>
        <v>0</v>
      </c>
      <c r="W42" s="835">
        <f>IF(AND(ISNUMBER(System!$C41),ABS(B42)+ABS(C42)&lt;&gt;0),IF(B42&gt;=0,R42,S42)+B42*$R$1*MIN(D42,$E$1)*E42,PlotData!$CB$4)</f>
        <v>0</v>
      </c>
      <c r="X42" s="836">
        <f>IF(ISNUMBER(System!$C41),SIGN(System!AG41),0)</f>
        <v>0</v>
      </c>
    </row>
    <row r="43" spans="1:35" x14ac:dyDescent="0.25">
      <c r="A43" s="827">
        <v>39</v>
      </c>
      <c r="B43" s="834">
        <f>IF(ISNUMBER(System!$C42),SIGN(System!BL160),0)</f>
        <v>0</v>
      </c>
      <c r="C43" s="835">
        <f>IF(ISNUMBER(System!$C42),SIGN(System!BM160),0)</f>
        <v>0</v>
      </c>
      <c r="D43" s="836">
        <f>IF(ISNUMBER(System!$C42),System!BG160,0)</f>
        <v>0</v>
      </c>
      <c r="E43" s="834">
        <f>IF(ISNUMBER(System!$C42),System!BJ160,0)</f>
        <v>0</v>
      </c>
      <c r="F43" s="835">
        <f>IF(ISNUMBER(System!$C42),System!BK160,0)</f>
        <v>0</v>
      </c>
      <c r="G43" s="836">
        <f>IF(F43=0,1,IF(OR(System!N42&lt;&gt;0,System!O42 &lt;&gt;0),0,1))</f>
        <v>1</v>
      </c>
      <c r="H43" s="834">
        <f>IF(AND(ISNUMBER(System!$C42),ABS(B43)+ABS(C43)&lt;&gt;0),System!BC160+$J$1*MIN($E$1,D43)*F43 - IF(AND(B43&lt;&gt;0,C43=0),1,C43)*$H$1*$E$1*E43,PlotData!$CB$3)</f>
        <v>0</v>
      </c>
      <c r="I43" s="837">
        <f>IF(AND(ISNUMBER(System!$C42),ABS(B43)+ABS(C43)&lt;&gt;0),System!BD160-$J$1*MIN($E$1,D43)*F43 - IF(AND(B43&lt;&gt;0,C43=0),1,C43)*$H$1*$E$1*E43,PlotData!$CB$3)</f>
        <v>0</v>
      </c>
      <c r="J43" s="837">
        <f>IF(AND(ISNUMBER(System!$C42),ABS(B43)+ABS(C43)&lt;&gt;0),I43 - IF(AND(B43&lt;&gt;0,C43=0),1,C43)*$E$1*E43*G43,PlotData!$CB$3)</f>
        <v>0</v>
      </c>
      <c r="K43" s="835">
        <f>IF(AND(ISNUMBER(System!$C42),ABS(B43)+ABS(C43)&lt;&gt;0),H43 - IF(AND(B43&lt;&gt;0,C43=0),1,C43)*$E$1*E43*G43,PlotData!$CB$3)</f>
        <v>0</v>
      </c>
      <c r="L43" s="834">
        <f>IF(AND(ISNUMBER(System!$C42),ABS(B43)+ABS(C43)&lt;&gt;0),H43 - IF(AND(B43&lt;&gt;0,C43=0),1,C43)*G43*$N$1*$E$1*E43*G43,PlotData!$CB$3)</f>
        <v>0</v>
      </c>
      <c r="M43" s="837">
        <f>IF(AND(ISNUMBER(System!$C42),ABS(B43)+ABS(C43)&lt;&gt;0),I43 - IF(AND(B43&lt;&gt;0,C43=0),1,C43)*G43*$N$1*$E$1*E43*G43,PlotData!$CB$3)</f>
        <v>0</v>
      </c>
      <c r="N43" s="837">
        <f>IF(AND(ISNUMBER(System!$C42),ABS(B43)+ABS(C43)&lt;&gt;0),IF(B43&gt;=0,I43,H43)-B43*$R$1*MIN(D43,$E$1)*F43,PlotData!$CB$3)</f>
        <v>0</v>
      </c>
      <c r="O43" s="835">
        <f>IF(AND(ISNUMBER(System!$C42),ABS(B43)+ABS(C43)&lt;&gt;0),IF(B43&gt;=0,J43,K43)-B43*$R$1*MIN(D43,$E$1)*F43,PlotData!$CB$3)</f>
        <v>0</v>
      </c>
      <c r="P43" s="834">
        <f>IF(AND(ISNUMBER(System!$C42),ABS(B43)+ABS(C43)&lt;&gt;0),System!BE160-$J$1*MIN($E$1,D43)*E43 - SIGN(C43+0.2)*$H$1*$E$1*F43,PlotData!$CB$4)</f>
        <v>0</v>
      </c>
      <c r="Q43" s="837">
        <f>IF(AND(ISNUMBER(System!$C42),ABS(B43)+ABS(C43)&lt;&gt;0),System!BF160+$J$1*MIN($E$1,D43)*E43 - SIGN(C43+0.2)*$H$1*$E$1*F43,PlotData!$CB$4)</f>
        <v>0</v>
      </c>
      <c r="R43" s="837">
        <f>IF(AND(ISNUMBER(System!$C42),ABS(B43)+ABS(C43)&lt;&gt;0),Q43 - SIGN(C43+0.2)*$E$1*F43,PlotData!$CB$4)</f>
        <v>0</v>
      </c>
      <c r="S43" s="835">
        <f>IF(AND(ISNUMBER(System!$C42),ABS(B43)+ABS(C43)&lt;&gt;0),P43 - SIGN(C43+0.2)*$E$1*F43,PlotData!$CB$4)</f>
        <v>0</v>
      </c>
      <c r="T43" s="834">
        <f>IF(AND(ISNUMBER(System!$C42),ABS(B43)+ABS(C43)&lt;&gt;0),P43 - SIGN(C43+0.2)*$N$1*$E$1*F43,PlotData!$CB$4)</f>
        <v>0</v>
      </c>
      <c r="U43" s="837">
        <f>IF(AND(ISNUMBER(System!$C42),ABS(B43)+ABS(C43)&lt;&gt;0),Q43 - SIGN(C43+0.2)*$N$1*$E$1*F43,PlotData!$CB$4)</f>
        <v>0</v>
      </c>
      <c r="V43" s="837">
        <f>IF(AND(ISNUMBER(System!$C42),ABS(B43)+ABS(C43)&lt;&gt;0),IF(B43&gt;=0,Q43,P43)+B43*$R$1*MIN(D43,$E$1)*E43,PlotData!$CB$4)</f>
        <v>0</v>
      </c>
      <c r="W43" s="835">
        <f>IF(AND(ISNUMBER(System!$C42),ABS(B43)+ABS(C43)&lt;&gt;0),IF(B43&gt;=0,R43,S43)+B43*$R$1*MIN(D43,$E$1)*E43,PlotData!$CB$4)</f>
        <v>0</v>
      </c>
      <c r="X43" s="836">
        <f>IF(ISNUMBER(System!$C42),SIGN(System!AG42),0)</f>
        <v>0</v>
      </c>
    </row>
    <row r="44" spans="1:35" ht="13.8" thickBot="1" x14ac:dyDescent="0.3">
      <c r="A44" s="838">
        <v>40</v>
      </c>
      <c r="B44" s="839">
        <f>IF(ISNUMBER(System!$C43),SIGN(System!BL161),0)</f>
        <v>0</v>
      </c>
      <c r="C44" s="840">
        <f>IF(ISNUMBER(System!$C43),SIGN(System!BM161),0)</f>
        <v>0</v>
      </c>
      <c r="D44" s="841">
        <f>IF(ISNUMBER(System!$C43),System!BG161,0)</f>
        <v>0</v>
      </c>
      <c r="E44" s="839">
        <f>IF(ISNUMBER(System!$C43),System!BJ161,0)</f>
        <v>0</v>
      </c>
      <c r="F44" s="840">
        <f>IF(ISNUMBER(System!$C43),System!BK161,0)</f>
        <v>0</v>
      </c>
      <c r="G44" s="841">
        <f>IF(F44=0,1,IF(OR(System!N43&lt;&gt;0,System!O43 &lt;&gt;0),0,1))</f>
        <v>1</v>
      </c>
      <c r="H44" s="839">
        <f>IF(AND(ISNUMBER(System!$C43),ABS(B44)+ABS(C44)&lt;&gt;0),System!BC161+$J$1*MIN($E$1,D44)*F44 - IF(AND(B44&lt;&gt;0,C44=0),1,C44)*$H$1*$E$1*E44,PlotData!$CB$3)</f>
        <v>0</v>
      </c>
      <c r="I44" s="842">
        <f>IF(AND(ISNUMBER(System!$C43),ABS(B44)+ABS(C44)&lt;&gt;0),System!BD161-$J$1*MIN($E$1,D44)*F44 - IF(AND(B44&lt;&gt;0,C44=0),1,C44)*$H$1*$E$1*E44,PlotData!$CB$3)</f>
        <v>0</v>
      </c>
      <c r="J44" s="842">
        <f>IF(AND(ISNUMBER(System!$C43),ABS(B44)+ABS(C44)&lt;&gt;0),I44 - IF(AND(B44&lt;&gt;0,C44=0),1,C44)*$E$1*E44*G44,PlotData!$CB$3)</f>
        <v>0</v>
      </c>
      <c r="K44" s="840">
        <f>IF(AND(ISNUMBER(System!$C43),ABS(B44)+ABS(C44)&lt;&gt;0),H44 - IF(AND(B44&lt;&gt;0,C44=0),1,C44)*$E$1*E44*G44,PlotData!$CB$3)</f>
        <v>0</v>
      </c>
      <c r="L44" s="839">
        <f>IF(AND(ISNUMBER(System!$C43),ABS(B44)+ABS(C44)&lt;&gt;0),H44 - IF(AND(B44&lt;&gt;0,C44=0),1,C44)*G44*$N$1*$E$1*E44*G44,PlotData!$CB$3)</f>
        <v>0</v>
      </c>
      <c r="M44" s="842">
        <f>IF(AND(ISNUMBER(System!$C43),ABS(B44)+ABS(C44)&lt;&gt;0),I44 - IF(AND(B44&lt;&gt;0,C44=0),1,C44)*G44*$N$1*$E$1*E44*G44,PlotData!$CB$3)</f>
        <v>0</v>
      </c>
      <c r="N44" s="842">
        <f>IF(AND(ISNUMBER(System!$C43),ABS(B44)+ABS(C44)&lt;&gt;0),IF(B44&gt;=0,I44,H44)-B44*$R$1*MIN(D44,$E$1)*F44,PlotData!$CB$3)</f>
        <v>0</v>
      </c>
      <c r="O44" s="840">
        <f>IF(AND(ISNUMBER(System!$C43),ABS(B44)+ABS(C44)&lt;&gt;0),IF(B44&gt;=0,J44,K44)-B44*$R$1*MIN(D44,$E$1)*F44,PlotData!$CB$3)</f>
        <v>0</v>
      </c>
      <c r="P44" s="839">
        <f>IF(AND(ISNUMBER(System!$C43),ABS(B44)+ABS(C44)&lt;&gt;0),System!BE161-$J$1*MIN($E$1,D44)*E44 - SIGN(C44+0.2)*$H$1*$E$1*F44,PlotData!$CB$4)</f>
        <v>0</v>
      </c>
      <c r="Q44" s="842">
        <f>IF(AND(ISNUMBER(System!$C43),ABS(B44)+ABS(C44)&lt;&gt;0),System!BF161+$J$1*MIN($E$1,D44)*E44 - SIGN(C44+0.2)*$H$1*$E$1*F44,PlotData!$CB$4)</f>
        <v>0</v>
      </c>
      <c r="R44" s="842">
        <f>IF(AND(ISNUMBER(System!$C43),ABS(B44)+ABS(C44)&lt;&gt;0),Q44 - SIGN(C44+0.2)*$E$1*F44,PlotData!$CB$4)</f>
        <v>0</v>
      </c>
      <c r="S44" s="840">
        <f>IF(AND(ISNUMBER(System!$C43),ABS(B44)+ABS(C44)&lt;&gt;0),P44 - SIGN(C44+0.2)*$E$1*F44,PlotData!$CB$4)</f>
        <v>0</v>
      </c>
      <c r="T44" s="839">
        <f>IF(AND(ISNUMBER(System!$C43),ABS(B44)+ABS(C44)&lt;&gt;0),P44 - SIGN(C44+0.2)*$N$1*$E$1*F44,PlotData!$CB$4)</f>
        <v>0</v>
      </c>
      <c r="U44" s="842">
        <f>IF(AND(ISNUMBER(System!$C43),ABS(B44)+ABS(C44)&lt;&gt;0),Q44 - SIGN(C44+0.2)*$N$1*$E$1*F44,PlotData!$CB$4)</f>
        <v>0</v>
      </c>
      <c r="V44" s="842">
        <f>IF(AND(ISNUMBER(System!$C43),ABS(B44)+ABS(C44)&lt;&gt;0),IF(B44&gt;=0,Q44,P44)+B44*$R$1*MIN(D44,$E$1)*E44,PlotData!$CB$4)</f>
        <v>0</v>
      </c>
      <c r="W44" s="840">
        <f>IF(AND(ISNUMBER(System!$C43),ABS(B44)+ABS(C44)&lt;&gt;0),IF(B44&gt;=0,R44,S44)+B44*$R$1*MIN(D44,$E$1)*E44,PlotData!$CB$4)</f>
        <v>0</v>
      </c>
      <c r="X44" s="841">
        <f>IF(ISNUMBER(System!$C43),SIGN(System!AG43),0)</f>
        <v>0</v>
      </c>
    </row>
    <row r="45" spans="1:35" ht="13.8" thickBot="1" x14ac:dyDescent="0.3">
      <c r="A45" s="843"/>
      <c r="B45" s="844"/>
      <c r="C45" s="844"/>
      <c r="D45" s="844"/>
      <c r="E45" s="844"/>
      <c r="F45" s="844"/>
      <c r="G45" s="844"/>
      <c r="H45" s="844"/>
      <c r="I45" s="844"/>
      <c r="J45" s="844"/>
      <c r="K45" s="844"/>
      <c r="L45" s="845"/>
      <c r="M45" s="845"/>
      <c r="N45" s="845"/>
      <c r="O45" s="845"/>
      <c r="P45" s="845"/>
      <c r="Q45" s="845"/>
      <c r="R45" s="845"/>
      <c r="S45" s="845"/>
      <c r="T45" s="845"/>
      <c r="U45" s="845"/>
      <c r="V45" s="845"/>
      <c r="W45" s="845"/>
      <c r="X45" s="846"/>
    </row>
    <row r="46" spans="1:35" s="9" customFormat="1" ht="21.75" customHeight="1" thickBot="1" x14ac:dyDescent="0.35">
      <c r="A46" s="820" t="s">
        <v>43</v>
      </c>
      <c r="B46" s="821" t="s">
        <v>291</v>
      </c>
      <c r="C46" s="826" t="s">
        <v>292</v>
      </c>
      <c r="D46" s="825" t="s">
        <v>293</v>
      </c>
      <c r="E46" s="826" t="s">
        <v>294</v>
      </c>
      <c r="F46" s="825" t="s">
        <v>295</v>
      </c>
      <c r="G46" s="826" t="s">
        <v>296</v>
      </c>
      <c r="H46" s="825" t="s">
        <v>297</v>
      </c>
      <c r="I46" s="826" t="s">
        <v>298</v>
      </c>
      <c r="J46" s="825" t="s">
        <v>299</v>
      </c>
      <c r="K46" s="826" t="s">
        <v>300</v>
      </c>
      <c r="L46" s="825" t="s">
        <v>301</v>
      </c>
      <c r="M46" s="826" t="s">
        <v>302</v>
      </c>
      <c r="N46" s="825" t="s">
        <v>303</v>
      </c>
      <c r="O46" s="826" t="s">
        <v>304</v>
      </c>
      <c r="P46" s="825" t="s">
        <v>305</v>
      </c>
      <c r="Q46" s="826" t="s">
        <v>306</v>
      </c>
      <c r="R46" s="822" t="s">
        <v>307</v>
      </c>
      <c r="S46" s="824" t="s">
        <v>308</v>
      </c>
      <c r="T46" s="825" t="s">
        <v>309</v>
      </c>
      <c r="U46" s="826" t="s">
        <v>310</v>
      </c>
      <c r="V46" s="825" t="s">
        <v>311</v>
      </c>
      <c r="W46" s="826" t="s">
        <v>312</v>
      </c>
      <c r="X46" s="825" t="s">
        <v>313</v>
      </c>
      <c r="Y46" s="826" t="s">
        <v>314</v>
      </c>
      <c r="Z46" s="825" t="s">
        <v>315</v>
      </c>
      <c r="AA46" s="826" t="s">
        <v>316</v>
      </c>
      <c r="AB46" s="825" t="s">
        <v>317</v>
      </c>
      <c r="AC46" s="826" t="s">
        <v>318</v>
      </c>
      <c r="AD46" s="825" t="s">
        <v>319</v>
      </c>
      <c r="AE46" s="826" t="s">
        <v>320</v>
      </c>
      <c r="AF46" s="825" t="s">
        <v>321</v>
      </c>
      <c r="AG46" s="826" t="s">
        <v>322</v>
      </c>
      <c r="AH46" s="825" t="s">
        <v>323</v>
      </c>
      <c r="AI46" s="847" t="s">
        <v>324</v>
      </c>
    </row>
    <row r="47" spans="1:35" x14ac:dyDescent="0.25">
      <c r="A47" s="827">
        <v>1</v>
      </c>
      <c r="B47" s="848">
        <f t="shared" ref="B47:B86" ca="1" si="0">IF(B5&gt;=0,K5,J5)</f>
        <v>0</v>
      </c>
      <c r="C47" s="849">
        <f t="shared" ref="C47:C86" ca="1" si="1">IF(B5&gt;=0,H5,I5)</f>
        <v>0</v>
      </c>
      <c r="D47" s="850">
        <f ca="1">IF(B5&gt;=0,L5,M5) + C5* $T$1*F5</f>
        <v>0</v>
      </c>
      <c r="E47" s="849">
        <f t="shared" ref="E47:E86" ca="1" si="2">IF(B5&gt;=0,L5,M5) - C5* $T$1*F5</f>
        <v>0</v>
      </c>
      <c r="F47" s="850">
        <f ca="1">C47</f>
        <v>0</v>
      </c>
      <c r="G47" s="849">
        <f t="shared" ref="G47:G86" ca="1" si="3">IF(B5&gt;=0,I5,H5)</f>
        <v>0</v>
      </c>
      <c r="H47" s="850">
        <f t="shared" ref="H47:H86" ca="1" si="4">N5 - B5 * E5 * $T$1</f>
        <v>0</v>
      </c>
      <c r="I47" s="849">
        <f t="shared" ref="I47:I86" ca="1" si="5">N5 + B5 * E5 * $T$1</f>
        <v>0</v>
      </c>
      <c r="J47" s="850">
        <f ca="1">G47</f>
        <v>0</v>
      </c>
      <c r="K47" s="849">
        <f t="shared" ref="K47:K86" ca="1" si="6">IF(B5&gt;=0,M5,L5) + C5* F5 * $T$1</f>
        <v>0</v>
      </c>
      <c r="L47" s="850">
        <f ca="1">IF(B5&gt;=0,M5,L5) - C5* F5 * $T$1</f>
        <v>0</v>
      </c>
      <c r="M47" s="849">
        <f ca="1">J47</f>
        <v>0</v>
      </c>
      <c r="N47" s="850">
        <f t="shared" ref="N47:N86" ca="1" si="7">IF(B5&gt;=0,J5,K5)</f>
        <v>0</v>
      </c>
      <c r="O47" s="849">
        <f t="shared" ref="O47:O86" ca="1" si="8">O5 - B5*E5*$T$1</f>
        <v>0</v>
      </c>
      <c r="P47" s="850">
        <f t="shared" ref="P47:P86" ca="1" si="9">O5 + B5*E5*$T$1</f>
        <v>0</v>
      </c>
      <c r="Q47" s="849">
        <f ca="1">N47</f>
        <v>0</v>
      </c>
      <c r="R47" s="851">
        <f ca="1">B47</f>
        <v>0</v>
      </c>
      <c r="S47" s="852">
        <f t="shared" ref="S47:S86" ca="1" si="10">IF(B5&gt;=0,S5,R5)</f>
        <v>0</v>
      </c>
      <c r="T47" s="850">
        <f t="shared" ref="T47:T86" ca="1" si="11">IF(B5&gt;=0,P5,Q5)</f>
        <v>0</v>
      </c>
      <c r="U47" s="849">
        <f t="shared" ref="U47:U86" ca="1" si="12">IF(B5&gt;=0,T5,U5) - C5*E5*$T$1</f>
        <v>0</v>
      </c>
      <c r="V47" s="850">
        <f t="shared" ref="V47:V86" ca="1" si="13">IF(B5&gt;=0,T5,U5) + C5*E5*$T$1</f>
        <v>0</v>
      </c>
      <c r="W47" s="849">
        <f ca="1">T47</f>
        <v>0</v>
      </c>
      <c r="X47" s="850">
        <f t="shared" ref="X47:X86" ca="1" si="14">IF(B5&gt;=0,Q5,P5)</f>
        <v>0</v>
      </c>
      <c r="Y47" s="849">
        <f ca="1">V5 - B5 *F5*$T$1</f>
        <v>0</v>
      </c>
      <c r="Z47" s="850">
        <f ca="1">V5+ B5 *F5*$T$1</f>
        <v>0</v>
      </c>
      <c r="AA47" s="849">
        <f ca="1">X47</f>
        <v>0</v>
      </c>
      <c r="AB47" s="850">
        <f t="shared" ref="AB47:AB86" ca="1" si="15">IF(B5&gt;=0,U5,T5) - C5*E5*$T$1</f>
        <v>0</v>
      </c>
      <c r="AC47" s="849">
        <f t="shared" ref="AC47:AC86" ca="1" si="16">IF(B5&gt;=0,U5,T5) + C5*E5*$T$1</f>
        <v>0</v>
      </c>
      <c r="AD47" s="850">
        <f ca="1">AA47</f>
        <v>0</v>
      </c>
      <c r="AE47" s="849">
        <f t="shared" ref="AE47:AE86" ca="1" si="17">IF(B5&gt;=0,R5,S5)</f>
        <v>0</v>
      </c>
      <c r="AF47" s="850">
        <f ca="1">W5 - B5*F5*$T$1</f>
        <v>0</v>
      </c>
      <c r="AG47" s="849">
        <f ca="1">W5 + B5*F5*$T$1</f>
        <v>0</v>
      </c>
      <c r="AH47" s="850">
        <f ca="1">AE47</f>
        <v>0</v>
      </c>
      <c r="AI47" s="853">
        <f ca="1">S47</f>
        <v>0</v>
      </c>
    </row>
    <row r="48" spans="1:35" x14ac:dyDescent="0.25">
      <c r="A48" s="827">
        <v>2</v>
      </c>
      <c r="B48" s="848">
        <f t="shared" ca="1" si="0"/>
        <v>0</v>
      </c>
      <c r="C48" s="849">
        <f t="shared" ca="1" si="1"/>
        <v>0</v>
      </c>
      <c r="D48" s="850">
        <f t="shared" ref="D48:D86" ca="1" si="18">IF(B6&gt;=0,L6,M6) + C6* $T$1*F6</f>
        <v>0</v>
      </c>
      <c r="E48" s="849">
        <f t="shared" ca="1" si="2"/>
        <v>0</v>
      </c>
      <c r="F48" s="850">
        <f t="shared" ref="F48:F86" ca="1" si="19">C48</f>
        <v>0</v>
      </c>
      <c r="G48" s="849">
        <f t="shared" ca="1" si="3"/>
        <v>0</v>
      </c>
      <c r="H48" s="850">
        <f t="shared" ca="1" si="4"/>
        <v>0</v>
      </c>
      <c r="I48" s="849">
        <f t="shared" ca="1" si="5"/>
        <v>0</v>
      </c>
      <c r="J48" s="850">
        <f t="shared" ref="J48:J86" ca="1" si="20">G48</f>
        <v>0</v>
      </c>
      <c r="K48" s="849">
        <f t="shared" ca="1" si="6"/>
        <v>0</v>
      </c>
      <c r="L48" s="850">
        <f t="shared" ref="L48:L86" ca="1" si="21">IF(B6&gt;=0,M6,L6) - C6* F6 * $T$1</f>
        <v>0</v>
      </c>
      <c r="M48" s="849">
        <f t="shared" ref="M48:M86" ca="1" si="22">J48</f>
        <v>0</v>
      </c>
      <c r="N48" s="850">
        <f t="shared" ca="1" si="7"/>
        <v>0</v>
      </c>
      <c r="O48" s="849">
        <f t="shared" ca="1" si="8"/>
        <v>0</v>
      </c>
      <c r="P48" s="850">
        <f t="shared" ca="1" si="9"/>
        <v>0</v>
      </c>
      <c r="Q48" s="849">
        <f t="shared" ref="Q48:Q86" ca="1" si="23">N48</f>
        <v>0</v>
      </c>
      <c r="R48" s="851">
        <f t="shared" ref="R48:R86" ca="1" si="24">B48</f>
        <v>0</v>
      </c>
      <c r="S48" s="852">
        <f t="shared" ca="1" si="10"/>
        <v>0</v>
      </c>
      <c r="T48" s="850">
        <f t="shared" ca="1" si="11"/>
        <v>0</v>
      </c>
      <c r="U48" s="849">
        <f t="shared" ca="1" si="12"/>
        <v>0</v>
      </c>
      <c r="V48" s="850">
        <f t="shared" ca="1" si="13"/>
        <v>0</v>
      </c>
      <c r="W48" s="849">
        <f t="shared" ref="W48:W86" ca="1" si="25">T48</f>
        <v>0</v>
      </c>
      <c r="X48" s="850">
        <f t="shared" ca="1" si="14"/>
        <v>0</v>
      </c>
      <c r="Y48" s="849">
        <f t="shared" ref="Y48:Y86" ca="1" si="26">V6 - B6 *F6*$T$1</f>
        <v>0</v>
      </c>
      <c r="Z48" s="850">
        <f t="shared" ref="Z48:Z86" ca="1" si="27">V6 + B6 *F6*$T$1</f>
        <v>0</v>
      </c>
      <c r="AA48" s="849">
        <f t="shared" ref="AA48:AA86" ca="1" si="28">X48</f>
        <v>0</v>
      </c>
      <c r="AB48" s="850">
        <f t="shared" ca="1" si="15"/>
        <v>0</v>
      </c>
      <c r="AC48" s="849">
        <f t="shared" ca="1" si="16"/>
        <v>0</v>
      </c>
      <c r="AD48" s="850">
        <f t="shared" ref="AD48:AD86" ca="1" si="29">AA48</f>
        <v>0</v>
      </c>
      <c r="AE48" s="849">
        <f t="shared" ca="1" si="17"/>
        <v>0</v>
      </c>
      <c r="AF48" s="850">
        <f t="shared" ref="AF48:AF86" ca="1" si="30">W6 - B6*F6*$T$1</f>
        <v>0</v>
      </c>
      <c r="AG48" s="849">
        <f t="shared" ref="AG48:AG86" ca="1" si="31">W6 + B6*F6*$T$1</f>
        <v>0</v>
      </c>
      <c r="AH48" s="850">
        <f t="shared" ref="AH48:AH86" ca="1" si="32">AE48</f>
        <v>0</v>
      </c>
      <c r="AI48" s="853">
        <f t="shared" ref="AI48:AI86" ca="1" si="33">S48</f>
        <v>0</v>
      </c>
    </row>
    <row r="49" spans="1:35" x14ac:dyDescent="0.25">
      <c r="A49" s="827">
        <v>3</v>
      </c>
      <c r="B49" s="848">
        <f t="shared" ca="1" si="0"/>
        <v>0</v>
      </c>
      <c r="C49" s="849">
        <f t="shared" ca="1" si="1"/>
        <v>0</v>
      </c>
      <c r="D49" s="850">
        <f t="shared" ca="1" si="18"/>
        <v>0</v>
      </c>
      <c r="E49" s="849">
        <f t="shared" ca="1" si="2"/>
        <v>0</v>
      </c>
      <c r="F49" s="850">
        <f t="shared" ca="1" si="19"/>
        <v>0</v>
      </c>
      <c r="G49" s="849">
        <f t="shared" ca="1" si="3"/>
        <v>0</v>
      </c>
      <c r="H49" s="850">
        <f t="shared" ca="1" si="4"/>
        <v>0</v>
      </c>
      <c r="I49" s="849">
        <f t="shared" ca="1" si="5"/>
        <v>0</v>
      </c>
      <c r="J49" s="850">
        <f t="shared" ca="1" si="20"/>
        <v>0</v>
      </c>
      <c r="K49" s="849">
        <f t="shared" ca="1" si="6"/>
        <v>0</v>
      </c>
      <c r="L49" s="850">
        <f t="shared" ca="1" si="21"/>
        <v>0</v>
      </c>
      <c r="M49" s="849">
        <f t="shared" ca="1" si="22"/>
        <v>0</v>
      </c>
      <c r="N49" s="850">
        <f t="shared" ca="1" si="7"/>
        <v>0</v>
      </c>
      <c r="O49" s="849">
        <f t="shared" ca="1" si="8"/>
        <v>0</v>
      </c>
      <c r="P49" s="850">
        <f t="shared" ca="1" si="9"/>
        <v>0</v>
      </c>
      <c r="Q49" s="849">
        <f t="shared" ca="1" si="23"/>
        <v>0</v>
      </c>
      <c r="R49" s="851">
        <f t="shared" ca="1" si="24"/>
        <v>0</v>
      </c>
      <c r="S49" s="852">
        <f t="shared" ca="1" si="10"/>
        <v>0</v>
      </c>
      <c r="T49" s="850">
        <f t="shared" ca="1" si="11"/>
        <v>0</v>
      </c>
      <c r="U49" s="849">
        <f t="shared" ca="1" si="12"/>
        <v>0</v>
      </c>
      <c r="V49" s="850">
        <f t="shared" ca="1" si="13"/>
        <v>0</v>
      </c>
      <c r="W49" s="849">
        <f t="shared" ca="1" si="25"/>
        <v>0</v>
      </c>
      <c r="X49" s="850">
        <f t="shared" ca="1" si="14"/>
        <v>0</v>
      </c>
      <c r="Y49" s="849">
        <f t="shared" ca="1" si="26"/>
        <v>0</v>
      </c>
      <c r="Z49" s="850">
        <f t="shared" ca="1" si="27"/>
        <v>0</v>
      </c>
      <c r="AA49" s="849">
        <f t="shared" ca="1" si="28"/>
        <v>0</v>
      </c>
      <c r="AB49" s="850">
        <f t="shared" ca="1" si="15"/>
        <v>0</v>
      </c>
      <c r="AC49" s="849">
        <f t="shared" ca="1" si="16"/>
        <v>0</v>
      </c>
      <c r="AD49" s="850">
        <f t="shared" ca="1" si="29"/>
        <v>0</v>
      </c>
      <c r="AE49" s="849">
        <f t="shared" ca="1" si="17"/>
        <v>0</v>
      </c>
      <c r="AF49" s="850">
        <f t="shared" ca="1" si="30"/>
        <v>0</v>
      </c>
      <c r="AG49" s="849">
        <f t="shared" ca="1" si="31"/>
        <v>0</v>
      </c>
      <c r="AH49" s="850">
        <f t="shared" ca="1" si="32"/>
        <v>0</v>
      </c>
      <c r="AI49" s="853">
        <f t="shared" ca="1" si="33"/>
        <v>0</v>
      </c>
    </row>
    <row r="50" spans="1:35" x14ac:dyDescent="0.25">
      <c r="A50" s="827">
        <v>4</v>
      </c>
      <c r="B50" s="848">
        <f t="shared" ca="1" si="0"/>
        <v>0</v>
      </c>
      <c r="C50" s="849">
        <f t="shared" ca="1" si="1"/>
        <v>0</v>
      </c>
      <c r="D50" s="850">
        <f t="shared" ca="1" si="18"/>
        <v>0</v>
      </c>
      <c r="E50" s="849">
        <f t="shared" ca="1" si="2"/>
        <v>0</v>
      </c>
      <c r="F50" s="850">
        <f t="shared" ca="1" si="19"/>
        <v>0</v>
      </c>
      <c r="G50" s="849">
        <f t="shared" ca="1" si="3"/>
        <v>0</v>
      </c>
      <c r="H50" s="850">
        <f t="shared" ca="1" si="4"/>
        <v>0</v>
      </c>
      <c r="I50" s="849">
        <f t="shared" ca="1" si="5"/>
        <v>0</v>
      </c>
      <c r="J50" s="850">
        <f t="shared" ca="1" si="20"/>
        <v>0</v>
      </c>
      <c r="K50" s="849">
        <f t="shared" ca="1" si="6"/>
        <v>0</v>
      </c>
      <c r="L50" s="850">
        <f t="shared" ca="1" si="21"/>
        <v>0</v>
      </c>
      <c r="M50" s="849">
        <f t="shared" ca="1" si="22"/>
        <v>0</v>
      </c>
      <c r="N50" s="850">
        <f t="shared" ca="1" si="7"/>
        <v>0</v>
      </c>
      <c r="O50" s="849">
        <f t="shared" ca="1" si="8"/>
        <v>0</v>
      </c>
      <c r="P50" s="850">
        <f t="shared" ca="1" si="9"/>
        <v>0</v>
      </c>
      <c r="Q50" s="849">
        <f t="shared" ca="1" si="23"/>
        <v>0</v>
      </c>
      <c r="R50" s="851">
        <f t="shared" ca="1" si="24"/>
        <v>0</v>
      </c>
      <c r="S50" s="852">
        <f t="shared" ca="1" si="10"/>
        <v>0</v>
      </c>
      <c r="T50" s="850">
        <f t="shared" ca="1" si="11"/>
        <v>0</v>
      </c>
      <c r="U50" s="849">
        <f t="shared" ca="1" si="12"/>
        <v>0</v>
      </c>
      <c r="V50" s="850">
        <f t="shared" ca="1" si="13"/>
        <v>0</v>
      </c>
      <c r="W50" s="849">
        <f t="shared" ca="1" si="25"/>
        <v>0</v>
      </c>
      <c r="X50" s="850">
        <f t="shared" ca="1" si="14"/>
        <v>0</v>
      </c>
      <c r="Y50" s="849">
        <f t="shared" ca="1" si="26"/>
        <v>0</v>
      </c>
      <c r="Z50" s="850">
        <f t="shared" ca="1" si="27"/>
        <v>0</v>
      </c>
      <c r="AA50" s="849">
        <f t="shared" ca="1" si="28"/>
        <v>0</v>
      </c>
      <c r="AB50" s="850">
        <f t="shared" ca="1" si="15"/>
        <v>0</v>
      </c>
      <c r="AC50" s="849">
        <f t="shared" ca="1" si="16"/>
        <v>0</v>
      </c>
      <c r="AD50" s="850">
        <f t="shared" ca="1" si="29"/>
        <v>0</v>
      </c>
      <c r="AE50" s="849">
        <f t="shared" ca="1" si="17"/>
        <v>0</v>
      </c>
      <c r="AF50" s="850">
        <f t="shared" ca="1" si="30"/>
        <v>0</v>
      </c>
      <c r="AG50" s="849">
        <f t="shared" ca="1" si="31"/>
        <v>0</v>
      </c>
      <c r="AH50" s="850">
        <f t="shared" ca="1" si="32"/>
        <v>0</v>
      </c>
      <c r="AI50" s="853">
        <f t="shared" ca="1" si="33"/>
        <v>0</v>
      </c>
    </row>
    <row r="51" spans="1:35" x14ac:dyDescent="0.25">
      <c r="A51" s="827">
        <v>5</v>
      </c>
      <c r="B51" s="848">
        <f t="shared" ca="1" si="0"/>
        <v>0</v>
      </c>
      <c r="C51" s="849">
        <f t="shared" ca="1" si="1"/>
        <v>0</v>
      </c>
      <c r="D51" s="850">
        <f t="shared" ca="1" si="18"/>
        <v>0</v>
      </c>
      <c r="E51" s="849">
        <f t="shared" ca="1" si="2"/>
        <v>0</v>
      </c>
      <c r="F51" s="850">
        <f t="shared" ca="1" si="19"/>
        <v>0</v>
      </c>
      <c r="G51" s="849">
        <f t="shared" ca="1" si="3"/>
        <v>0</v>
      </c>
      <c r="H51" s="850">
        <f t="shared" ca="1" si="4"/>
        <v>0</v>
      </c>
      <c r="I51" s="849">
        <f t="shared" ca="1" si="5"/>
        <v>0</v>
      </c>
      <c r="J51" s="850">
        <f t="shared" ca="1" si="20"/>
        <v>0</v>
      </c>
      <c r="K51" s="849">
        <f t="shared" ca="1" si="6"/>
        <v>0</v>
      </c>
      <c r="L51" s="850">
        <f t="shared" ca="1" si="21"/>
        <v>0</v>
      </c>
      <c r="M51" s="849">
        <f t="shared" ca="1" si="22"/>
        <v>0</v>
      </c>
      <c r="N51" s="850">
        <f t="shared" ca="1" si="7"/>
        <v>0</v>
      </c>
      <c r="O51" s="849">
        <f t="shared" ca="1" si="8"/>
        <v>0</v>
      </c>
      <c r="P51" s="850">
        <f t="shared" ca="1" si="9"/>
        <v>0</v>
      </c>
      <c r="Q51" s="849">
        <f t="shared" ca="1" si="23"/>
        <v>0</v>
      </c>
      <c r="R51" s="851">
        <f t="shared" ca="1" si="24"/>
        <v>0</v>
      </c>
      <c r="S51" s="852">
        <f t="shared" ca="1" si="10"/>
        <v>0</v>
      </c>
      <c r="T51" s="850">
        <f t="shared" ca="1" si="11"/>
        <v>0</v>
      </c>
      <c r="U51" s="849">
        <f t="shared" ca="1" si="12"/>
        <v>0</v>
      </c>
      <c r="V51" s="850">
        <f t="shared" ca="1" si="13"/>
        <v>0</v>
      </c>
      <c r="W51" s="849">
        <f t="shared" ca="1" si="25"/>
        <v>0</v>
      </c>
      <c r="X51" s="850">
        <f t="shared" ca="1" si="14"/>
        <v>0</v>
      </c>
      <c r="Y51" s="849">
        <f t="shared" ca="1" si="26"/>
        <v>0</v>
      </c>
      <c r="Z51" s="850">
        <f t="shared" ca="1" si="27"/>
        <v>0</v>
      </c>
      <c r="AA51" s="849">
        <f t="shared" ca="1" si="28"/>
        <v>0</v>
      </c>
      <c r="AB51" s="850">
        <f t="shared" ca="1" si="15"/>
        <v>0</v>
      </c>
      <c r="AC51" s="849">
        <f t="shared" ca="1" si="16"/>
        <v>0</v>
      </c>
      <c r="AD51" s="850">
        <f t="shared" ca="1" si="29"/>
        <v>0</v>
      </c>
      <c r="AE51" s="849">
        <f t="shared" ca="1" si="17"/>
        <v>0</v>
      </c>
      <c r="AF51" s="850">
        <f t="shared" ca="1" si="30"/>
        <v>0</v>
      </c>
      <c r="AG51" s="849">
        <f t="shared" ca="1" si="31"/>
        <v>0</v>
      </c>
      <c r="AH51" s="850">
        <f t="shared" ca="1" si="32"/>
        <v>0</v>
      </c>
      <c r="AI51" s="853">
        <f t="shared" ca="1" si="33"/>
        <v>0</v>
      </c>
    </row>
    <row r="52" spans="1:35" x14ac:dyDescent="0.25">
      <c r="A52" s="827">
        <v>6</v>
      </c>
      <c r="B52" s="848">
        <f t="shared" si="0"/>
        <v>0</v>
      </c>
      <c r="C52" s="849">
        <f t="shared" si="1"/>
        <v>0</v>
      </c>
      <c r="D52" s="850">
        <f t="shared" si="18"/>
        <v>0</v>
      </c>
      <c r="E52" s="849">
        <f t="shared" si="2"/>
        <v>0</v>
      </c>
      <c r="F52" s="850">
        <f t="shared" si="19"/>
        <v>0</v>
      </c>
      <c r="G52" s="849">
        <f t="shared" si="3"/>
        <v>0</v>
      </c>
      <c r="H52" s="850">
        <f t="shared" si="4"/>
        <v>0</v>
      </c>
      <c r="I52" s="849">
        <f t="shared" si="5"/>
        <v>0</v>
      </c>
      <c r="J52" s="850">
        <f t="shared" si="20"/>
        <v>0</v>
      </c>
      <c r="K52" s="849">
        <f t="shared" si="6"/>
        <v>0</v>
      </c>
      <c r="L52" s="850">
        <f t="shared" si="21"/>
        <v>0</v>
      </c>
      <c r="M52" s="849">
        <f t="shared" si="22"/>
        <v>0</v>
      </c>
      <c r="N52" s="850">
        <f t="shared" si="7"/>
        <v>0</v>
      </c>
      <c r="O52" s="849">
        <f t="shared" si="8"/>
        <v>0</v>
      </c>
      <c r="P52" s="850">
        <f t="shared" si="9"/>
        <v>0</v>
      </c>
      <c r="Q52" s="849">
        <f t="shared" si="23"/>
        <v>0</v>
      </c>
      <c r="R52" s="851">
        <f t="shared" si="24"/>
        <v>0</v>
      </c>
      <c r="S52" s="852">
        <f t="shared" si="10"/>
        <v>0</v>
      </c>
      <c r="T52" s="850">
        <f t="shared" si="11"/>
        <v>0</v>
      </c>
      <c r="U52" s="849">
        <f t="shared" si="12"/>
        <v>0</v>
      </c>
      <c r="V52" s="850">
        <f t="shared" si="13"/>
        <v>0</v>
      </c>
      <c r="W52" s="849">
        <f t="shared" si="25"/>
        <v>0</v>
      </c>
      <c r="X52" s="850">
        <f t="shared" si="14"/>
        <v>0</v>
      </c>
      <c r="Y52" s="849">
        <f t="shared" si="26"/>
        <v>0</v>
      </c>
      <c r="Z52" s="850">
        <f t="shared" si="27"/>
        <v>0</v>
      </c>
      <c r="AA52" s="849">
        <f t="shared" si="28"/>
        <v>0</v>
      </c>
      <c r="AB52" s="850">
        <f t="shared" si="15"/>
        <v>0</v>
      </c>
      <c r="AC52" s="849">
        <f t="shared" si="16"/>
        <v>0</v>
      </c>
      <c r="AD52" s="850">
        <f t="shared" si="29"/>
        <v>0</v>
      </c>
      <c r="AE52" s="849">
        <f t="shared" si="17"/>
        <v>0</v>
      </c>
      <c r="AF52" s="850">
        <f t="shared" si="30"/>
        <v>0</v>
      </c>
      <c r="AG52" s="849">
        <f t="shared" si="31"/>
        <v>0</v>
      </c>
      <c r="AH52" s="850">
        <f t="shared" si="32"/>
        <v>0</v>
      </c>
      <c r="AI52" s="853">
        <f t="shared" si="33"/>
        <v>0</v>
      </c>
    </row>
    <row r="53" spans="1:35" x14ac:dyDescent="0.25">
      <c r="A53" s="827">
        <v>7</v>
      </c>
      <c r="B53" s="848">
        <f t="shared" si="0"/>
        <v>0</v>
      </c>
      <c r="C53" s="849">
        <f t="shared" si="1"/>
        <v>0</v>
      </c>
      <c r="D53" s="850">
        <f t="shared" si="18"/>
        <v>0</v>
      </c>
      <c r="E53" s="849">
        <f t="shared" si="2"/>
        <v>0</v>
      </c>
      <c r="F53" s="850">
        <f t="shared" si="19"/>
        <v>0</v>
      </c>
      <c r="G53" s="849">
        <f t="shared" si="3"/>
        <v>0</v>
      </c>
      <c r="H53" s="850">
        <f t="shared" si="4"/>
        <v>0</v>
      </c>
      <c r="I53" s="849">
        <f t="shared" si="5"/>
        <v>0</v>
      </c>
      <c r="J53" s="850">
        <f t="shared" si="20"/>
        <v>0</v>
      </c>
      <c r="K53" s="849">
        <f t="shared" si="6"/>
        <v>0</v>
      </c>
      <c r="L53" s="850">
        <f t="shared" si="21"/>
        <v>0</v>
      </c>
      <c r="M53" s="849">
        <f t="shared" si="22"/>
        <v>0</v>
      </c>
      <c r="N53" s="850">
        <f t="shared" si="7"/>
        <v>0</v>
      </c>
      <c r="O53" s="849">
        <f t="shared" si="8"/>
        <v>0</v>
      </c>
      <c r="P53" s="850">
        <f t="shared" si="9"/>
        <v>0</v>
      </c>
      <c r="Q53" s="849">
        <f>N53</f>
        <v>0</v>
      </c>
      <c r="R53" s="851">
        <f t="shared" si="24"/>
        <v>0</v>
      </c>
      <c r="S53" s="852">
        <f t="shared" si="10"/>
        <v>0</v>
      </c>
      <c r="T53" s="850">
        <f t="shared" si="11"/>
        <v>0</v>
      </c>
      <c r="U53" s="849">
        <f t="shared" si="12"/>
        <v>0</v>
      </c>
      <c r="V53" s="850">
        <f t="shared" si="13"/>
        <v>0</v>
      </c>
      <c r="W53" s="849">
        <f t="shared" si="25"/>
        <v>0</v>
      </c>
      <c r="X53" s="850">
        <f t="shared" si="14"/>
        <v>0</v>
      </c>
      <c r="Y53" s="849">
        <f t="shared" si="26"/>
        <v>0</v>
      </c>
      <c r="Z53" s="850">
        <f t="shared" si="27"/>
        <v>0</v>
      </c>
      <c r="AA53" s="849">
        <f t="shared" si="28"/>
        <v>0</v>
      </c>
      <c r="AB53" s="850">
        <f t="shared" si="15"/>
        <v>0</v>
      </c>
      <c r="AC53" s="849">
        <f t="shared" si="16"/>
        <v>0</v>
      </c>
      <c r="AD53" s="850">
        <f t="shared" si="29"/>
        <v>0</v>
      </c>
      <c r="AE53" s="849">
        <f t="shared" si="17"/>
        <v>0</v>
      </c>
      <c r="AF53" s="850">
        <f t="shared" si="30"/>
        <v>0</v>
      </c>
      <c r="AG53" s="849">
        <f t="shared" si="31"/>
        <v>0</v>
      </c>
      <c r="AH53" s="850">
        <f t="shared" si="32"/>
        <v>0</v>
      </c>
      <c r="AI53" s="853">
        <f t="shared" si="33"/>
        <v>0</v>
      </c>
    </row>
    <row r="54" spans="1:35" x14ac:dyDescent="0.25">
      <c r="A54" s="827">
        <v>8</v>
      </c>
      <c r="B54" s="848">
        <f t="shared" si="0"/>
        <v>0</v>
      </c>
      <c r="C54" s="849">
        <f t="shared" si="1"/>
        <v>0</v>
      </c>
      <c r="D54" s="850">
        <f t="shared" si="18"/>
        <v>0</v>
      </c>
      <c r="E54" s="849">
        <f t="shared" si="2"/>
        <v>0</v>
      </c>
      <c r="F54" s="850">
        <f t="shared" si="19"/>
        <v>0</v>
      </c>
      <c r="G54" s="849">
        <f t="shared" si="3"/>
        <v>0</v>
      </c>
      <c r="H54" s="850">
        <f t="shared" si="4"/>
        <v>0</v>
      </c>
      <c r="I54" s="849">
        <f t="shared" si="5"/>
        <v>0</v>
      </c>
      <c r="J54" s="850">
        <f t="shared" si="20"/>
        <v>0</v>
      </c>
      <c r="K54" s="849">
        <f t="shared" si="6"/>
        <v>0</v>
      </c>
      <c r="L54" s="850">
        <f t="shared" si="21"/>
        <v>0</v>
      </c>
      <c r="M54" s="849">
        <f t="shared" si="22"/>
        <v>0</v>
      </c>
      <c r="N54" s="850">
        <f t="shared" si="7"/>
        <v>0</v>
      </c>
      <c r="O54" s="849">
        <f t="shared" si="8"/>
        <v>0</v>
      </c>
      <c r="P54" s="850">
        <f t="shared" si="9"/>
        <v>0</v>
      </c>
      <c r="Q54" s="849">
        <f t="shared" si="23"/>
        <v>0</v>
      </c>
      <c r="R54" s="851">
        <f t="shared" si="24"/>
        <v>0</v>
      </c>
      <c r="S54" s="852">
        <f t="shared" si="10"/>
        <v>0</v>
      </c>
      <c r="T54" s="850">
        <f t="shared" si="11"/>
        <v>0</v>
      </c>
      <c r="U54" s="849">
        <f t="shared" si="12"/>
        <v>0</v>
      </c>
      <c r="V54" s="850">
        <f t="shared" si="13"/>
        <v>0</v>
      </c>
      <c r="W54" s="849">
        <f t="shared" si="25"/>
        <v>0</v>
      </c>
      <c r="X54" s="850">
        <f t="shared" si="14"/>
        <v>0</v>
      </c>
      <c r="Y54" s="849">
        <f t="shared" si="26"/>
        <v>0</v>
      </c>
      <c r="Z54" s="850">
        <f t="shared" si="27"/>
        <v>0</v>
      </c>
      <c r="AA54" s="849">
        <f t="shared" si="28"/>
        <v>0</v>
      </c>
      <c r="AB54" s="850">
        <f t="shared" si="15"/>
        <v>0</v>
      </c>
      <c r="AC54" s="849">
        <f t="shared" si="16"/>
        <v>0</v>
      </c>
      <c r="AD54" s="850">
        <f t="shared" si="29"/>
        <v>0</v>
      </c>
      <c r="AE54" s="849">
        <f t="shared" si="17"/>
        <v>0</v>
      </c>
      <c r="AF54" s="850">
        <f t="shared" si="30"/>
        <v>0</v>
      </c>
      <c r="AG54" s="849">
        <f t="shared" si="31"/>
        <v>0</v>
      </c>
      <c r="AH54" s="850">
        <f t="shared" si="32"/>
        <v>0</v>
      </c>
      <c r="AI54" s="853">
        <f t="shared" si="33"/>
        <v>0</v>
      </c>
    </row>
    <row r="55" spans="1:35" x14ac:dyDescent="0.25">
      <c r="A55" s="827">
        <v>9</v>
      </c>
      <c r="B55" s="848">
        <f t="shared" si="0"/>
        <v>0</v>
      </c>
      <c r="C55" s="849">
        <f t="shared" si="1"/>
        <v>0</v>
      </c>
      <c r="D55" s="850">
        <f t="shared" si="18"/>
        <v>0</v>
      </c>
      <c r="E55" s="849">
        <f t="shared" si="2"/>
        <v>0</v>
      </c>
      <c r="F55" s="850">
        <f t="shared" si="19"/>
        <v>0</v>
      </c>
      <c r="G55" s="849">
        <f t="shared" si="3"/>
        <v>0</v>
      </c>
      <c r="H55" s="850">
        <f t="shared" si="4"/>
        <v>0</v>
      </c>
      <c r="I55" s="849">
        <f t="shared" si="5"/>
        <v>0</v>
      </c>
      <c r="J55" s="850">
        <f t="shared" si="20"/>
        <v>0</v>
      </c>
      <c r="K55" s="849">
        <f t="shared" si="6"/>
        <v>0</v>
      </c>
      <c r="L55" s="850">
        <f t="shared" si="21"/>
        <v>0</v>
      </c>
      <c r="M55" s="849">
        <f t="shared" si="22"/>
        <v>0</v>
      </c>
      <c r="N55" s="850">
        <f t="shared" si="7"/>
        <v>0</v>
      </c>
      <c r="O55" s="849">
        <f t="shared" si="8"/>
        <v>0</v>
      </c>
      <c r="P55" s="850">
        <f t="shared" si="9"/>
        <v>0</v>
      </c>
      <c r="Q55" s="849">
        <f t="shared" si="23"/>
        <v>0</v>
      </c>
      <c r="R55" s="851">
        <f t="shared" si="24"/>
        <v>0</v>
      </c>
      <c r="S55" s="852">
        <f t="shared" si="10"/>
        <v>0</v>
      </c>
      <c r="T55" s="850">
        <f t="shared" si="11"/>
        <v>0</v>
      </c>
      <c r="U55" s="849">
        <f t="shared" si="12"/>
        <v>0</v>
      </c>
      <c r="V55" s="850">
        <f t="shared" si="13"/>
        <v>0</v>
      </c>
      <c r="W55" s="849">
        <f t="shared" si="25"/>
        <v>0</v>
      </c>
      <c r="X55" s="850">
        <f t="shared" si="14"/>
        <v>0</v>
      </c>
      <c r="Y55" s="849">
        <f t="shared" si="26"/>
        <v>0</v>
      </c>
      <c r="Z55" s="850">
        <f t="shared" si="27"/>
        <v>0</v>
      </c>
      <c r="AA55" s="849">
        <f t="shared" si="28"/>
        <v>0</v>
      </c>
      <c r="AB55" s="850">
        <f t="shared" si="15"/>
        <v>0</v>
      </c>
      <c r="AC55" s="849">
        <f t="shared" si="16"/>
        <v>0</v>
      </c>
      <c r="AD55" s="850">
        <f t="shared" si="29"/>
        <v>0</v>
      </c>
      <c r="AE55" s="849">
        <f t="shared" si="17"/>
        <v>0</v>
      </c>
      <c r="AF55" s="850">
        <f t="shared" si="30"/>
        <v>0</v>
      </c>
      <c r="AG55" s="849">
        <f t="shared" si="31"/>
        <v>0</v>
      </c>
      <c r="AH55" s="850">
        <f t="shared" si="32"/>
        <v>0</v>
      </c>
      <c r="AI55" s="853">
        <f t="shared" si="33"/>
        <v>0</v>
      </c>
    </row>
    <row r="56" spans="1:35" x14ac:dyDescent="0.25">
      <c r="A56" s="827">
        <v>10</v>
      </c>
      <c r="B56" s="848">
        <f t="shared" si="0"/>
        <v>0</v>
      </c>
      <c r="C56" s="849">
        <f t="shared" si="1"/>
        <v>0</v>
      </c>
      <c r="D56" s="850">
        <f t="shared" si="18"/>
        <v>0</v>
      </c>
      <c r="E56" s="849">
        <f t="shared" si="2"/>
        <v>0</v>
      </c>
      <c r="F56" s="850">
        <f t="shared" si="19"/>
        <v>0</v>
      </c>
      <c r="G56" s="849">
        <f t="shared" si="3"/>
        <v>0</v>
      </c>
      <c r="H56" s="850">
        <f t="shared" si="4"/>
        <v>0</v>
      </c>
      <c r="I56" s="849">
        <f t="shared" si="5"/>
        <v>0</v>
      </c>
      <c r="J56" s="850">
        <f t="shared" si="20"/>
        <v>0</v>
      </c>
      <c r="K56" s="849">
        <f t="shared" si="6"/>
        <v>0</v>
      </c>
      <c r="L56" s="850">
        <f t="shared" si="21"/>
        <v>0</v>
      </c>
      <c r="M56" s="849">
        <f t="shared" si="22"/>
        <v>0</v>
      </c>
      <c r="N56" s="850">
        <f t="shared" si="7"/>
        <v>0</v>
      </c>
      <c r="O56" s="849">
        <f t="shared" si="8"/>
        <v>0</v>
      </c>
      <c r="P56" s="850">
        <f t="shared" si="9"/>
        <v>0</v>
      </c>
      <c r="Q56" s="849">
        <f t="shared" si="23"/>
        <v>0</v>
      </c>
      <c r="R56" s="851">
        <f t="shared" si="24"/>
        <v>0</v>
      </c>
      <c r="S56" s="852">
        <f t="shared" si="10"/>
        <v>0</v>
      </c>
      <c r="T56" s="850">
        <f t="shared" si="11"/>
        <v>0</v>
      </c>
      <c r="U56" s="849">
        <f t="shared" si="12"/>
        <v>0</v>
      </c>
      <c r="V56" s="850">
        <f t="shared" si="13"/>
        <v>0</v>
      </c>
      <c r="W56" s="849">
        <f t="shared" si="25"/>
        <v>0</v>
      </c>
      <c r="X56" s="850">
        <f t="shared" si="14"/>
        <v>0</v>
      </c>
      <c r="Y56" s="849">
        <f t="shared" si="26"/>
        <v>0</v>
      </c>
      <c r="Z56" s="850">
        <f t="shared" si="27"/>
        <v>0</v>
      </c>
      <c r="AA56" s="849">
        <f t="shared" si="28"/>
        <v>0</v>
      </c>
      <c r="AB56" s="850">
        <f t="shared" si="15"/>
        <v>0</v>
      </c>
      <c r="AC56" s="849">
        <f t="shared" si="16"/>
        <v>0</v>
      </c>
      <c r="AD56" s="850">
        <f t="shared" si="29"/>
        <v>0</v>
      </c>
      <c r="AE56" s="849">
        <f t="shared" si="17"/>
        <v>0</v>
      </c>
      <c r="AF56" s="850">
        <f t="shared" si="30"/>
        <v>0</v>
      </c>
      <c r="AG56" s="849">
        <f t="shared" si="31"/>
        <v>0</v>
      </c>
      <c r="AH56" s="850">
        <f t="shared" si="32"/>
        <v>0</v>
      </c>
      <c r="AI56" s="853">
        <f t="shared" si="33"/>
        <v>0</v>
      </c>
    </row>
    <row r="57" spans="1:35" x14ac:dyDescent="0.25">
      <c r="A57" s="827">
        <v>11</v>
      </c>
      <c r="B57" s="848">
        <f t="shared" si="0"/>
        <v>0</v>
      </c>
      <c r="C57" s="849">
        <f t="shared" si="1"/>
        <v>0</v>
      </c>
      <c r="D57" s="850">
        <f t="shared" si="18"/>
        <v>0</v>
      </c>
      <c r="E57" s="849">
        <f t="shared" si="2"/>
        <v>0</v>
      </c>
      <c r="F57" s="850">
        <f t="shared" si="19"/>
        <v>0</v>
      </c>
      <c r="G57" s="849">
        <f t="shared" si="3"/>
        <v>0</v>
      </c>
      <c r="H57" s="850">
        <f t="shared" si="4"/>
        <v>0</v>
      </c>
      <c r="I57" s="849">
        <f t="shared" si="5"/>
        <v>0</v>
      </c>
      <c r="J57" s="850">
        <f t="shared" si="20"/>
        <v>0</v>
      </c>
      <c r="K57" s="849">
        <f t="shared" si="6"/>
        <v>0</v>
      </c>
      <c r="L57" s="850">
        <f t="shared" si="21"/>
        <v>0</v>
      </c>
      <c r="M57" s="849">
        <f t="shared" si="22"/>
        <v>0</v>
      </c>
      <c r="N57" s="850">
        <f t="shared" si="7"/>
        <v>0</v>
      </c>
      <c r="O57" s="849">
        <f t="shared" si="8"/>
        <v>0</v>
      </c>
      <c r="P57" s="850">
        <f t="shared" si="9"/>
        <v>0</v>
      </c>
      <c r="Q57" s="849">
        <f t="shared" si="23"/>
        <v>0</v>
      </c>
      <c r="R57" s="851">
        <f t="shared" si="24"/>
        <v>0</v>
      </c>
      <c r="S57" s="852">
        <f t="shared" si="10"/>
        <v>0</v>
      </c>
      <c r="T57" s="850">
        <f t="shared" si="11"/>
        <v>0</v>
      </c>
      <c r="U57" s="849">
        <f t="shared" si="12"/>
        <v>0</v>
      </c>
      <c r="V57" s="850">
        <f t="shared" si="13"/>
        <v>0</v>
      </c>
      <c r="W57" s="849">
        <f t="shared" si="25"/>
        <v>0</v>
      </c>
      <c r="X57" s="850">
        <f t="shared" si="14"/>
        <v>0</v>
      </c>
      <c r="Y57" s="849">
        <f t="shared" si="26"/>
        <v>0</v>
      </c>
      <c r="Z57" s="850">
        <f t="shared" si="27"/>
        <v>0</v>
      </c>
      <c r="AA57" s="849">
        <f t="shared" si="28"/>
        <v>0</v>
      </c>
      <c r="AB57" s="850">
        <f t="shared" si="15"/>
        <v>0</v>
      </c>
      <c r="AC57" s="849">
        <f t="shared" si="16"/>
        <v>0</v>
      </c>
      <c r="AD57" s="850">
        <f t="shared" si="29"/>
        <v>0</v>
      </c>
      <c r="AE57" s="849">
        <f t="shared" si="17"/>
        <v>0</v>
      </c>
      <c r="AF57" s="850">
        <f t="shared" si="30"/>
        <v>0</v>
      </c>
      <c r="AG57" s="849">
        <f t="shared" si="31"/>
        <v>0</v>
      </c>
      <c r="AH57" s="850">
        <f t="shared" si="32"/>
        <v>0</v>
      </c>
      <c r="AI57" s="853">
        <f t="shared" si="33"/>
        <v>0</v>
      </c>
    </row>
    <row r="58" spans="1:35" x14ac:dyDescent="0.25">
      <c r="A58" s="827">
        <v>12</v>
      </c>
      <c r="B58" s="848">
        <f t="shared" si="0"/>
        <v>0</v>
      </c>
      <c r="C58" s="849">
        <f t="shared" si="1"/>
        <v>0</v>
      </c>
      <c r="D58" s="850">
        <f t="shared" si="18"/>
        <v>0</v>
      </c>
      <c r="E58" s="849">
        <f t="shared" si="2"/>
        <v>0</v>
      </c>
      <c r="F58" s="850">
        <f t="shared" si="19"/>
        <v>0</v>
      </c>
      <c r="G58" s="849">
        <f t="shared" si="3"/>
        <v>0</v>
      </c>
      <c r="H58" s="850">
        <f t="shared" si="4"/>
        <v>0</v>
      </c>
      <c r="I58" s="849">
        <f t="shared" si="5"/>
        <v>0</v>
      </c>
      <c r="J58" s="850">
        <f t="shared" si="20"/>
        <v>0</v>
      </c>
      <c r="K58" s="849">
        <f t="shared" si="6"/>
        <v>0</v>
      </c>
      <c r="L58" s="850">
        <f t="shared" si="21"/>
        <v>0</v>
      </c>
      <c r="M58" s="849">
        <f t="shared" si="22"/>
        <v>0</v>
      </c>
      <c r="N58" s="850">
        <f t="shared" si="7"/>
        <v>0</v>
      </c>
      <c r="O58" s="849">
        <f t="shared" si="8"/>
        <v>0</v>
      </c>
      <c r="P58" s="850">
        <f t="shared" si="9"/>
        <v>0</v>
      </c>
      <c r="Q58" s="849">
        <f t="shared" si="23"/>
        <v>0</v>
      </c>
      <c r="R58" s="851">
        <f t="shared" si="24"/>
        <v>0</v>
      </c>
      <c r="S58" s="852">
        <f t="shared" si="10"/>
        <v>0</v>
      </c>
      <c r="T58" s="850">
        <f t="shared" si="11"/>
        <v>0</v>
      </c>
      <c r="U58" s="849">
        <f t="shared" si="12"/>
        <v>0</v>
      </c>
      <c r="V58" s="850">
        <f t="shared" si="13"/>
        <v>0</v>
      </c>
      <c r="W58" s="849">
        <f t="shared" si="25"/>
        <v>0</v>
      </c>
      <c r="X58" s="850">
        <f t="shared" si="14"/>
        <v>0</v>
      </c>
      <c r="Y58" s="849">
        <f t="shared" si="26"/>
        <v>0</v>
      </c>
      <c r="Z58" s="850">
        <f t="shared" si="27"/>
        <v>0</v>
      </c>
      <c r="AA58" s="849">
        <f t="shared" si="28"/>
        <v>0</v>
      </c>
      <c r="AB58" s="850">
        <f t="shared" si="15"/>
        <v>0</v>
      </c>
      <c r="AC58" s="849">
        <f t="shared" si="16"/>
        <v>0</v>
      </c>
      <c r="AD58" s="850">
        <f t="shared" si="29"/>
        <v>0</v>
      </c>
      <c r="AE58" s="849">
        <f t="shared" si="17"/>
        <v>0</v>
      </c>
      <c r="AF58" s="850">
        <f t="shared" si="30"/>
        <v>0</v>
      </c>
      <c r="AG58" s="849">
        <f t="shared" si="31"/>
        <v>0</v>
      </c>
      <c r="AH58" s="850">
        <f t="shared" si="32"/>
        <v>0</v>
      </c>
      <c r="AI58" s="853">
        <f t="shared" si="33"/>
        <v>0</v>
      </c>
    </row>
    <row r="59" spans="1:35" x14ac:dyDescent="0.25">
      <c r="A59" s="827">
        <v>13</v>
      </c>
      <c r="B59" s="848">
        <f t="shared" si="0"/>
        <v>0</v>
      </c>
      <c r="C59" s="849">
        <f t="shared" si="1"/>
        <v>0</v>
      </c>
      <c r="D59" s="850">
        <f t="shared" si="18"/>
        <v>0</v>
      </c>
      <c r="E59" s="849">
        <f t="shared" si="2"/>
        <v>0</v>
      </c>
      <c r="F59" s="850">
        <f t="shared" si="19"/>
        <v>0</v>
      </c>
      <c r="G59" s="849">
        <f t="shared" si="3"/>
        <v>0</v>
      </c>
      <c r="H59" s="850">
        <f t="shared" si="4"/>
        <v>0</v>
      </c>
      <c r="I59" s="849">
        <f t="shared" si="5"/>
        <v>0</v>
      </c>
      <c r="J59" s="850">
        <f t="shared" si="20"/>
        <v>0</v>
      </c>
      <c r="K59" s="849">
        <f t="shared" si="6"/>
        <v>0</v>
      </c>
      <c r="L59" s="850">
        <f t="shared" si="21"/>
        <v>0</v>
      </c>
      <c r="M59" s="849">
        <f t="shared" si="22"/>
        <v>0</v>
      </c>
      <c r="N59" s="850">
        <f t="shared" si="7"/>
        <v>0</v>
      </c>
      <c r="O59" s="849">
        <f t="shared" si="8"/>
        <v>0</v>
      </c>
      <c r="P59" s="850">
        <f t="shared" si="9"/>
        <v>0</v>
      </c>
      <c r="Q59" s="849">
        <f t="shared" si="23"/>
        <v>0</v>
      </c>
      <c r="R59" s="851">
        <f t="shared" si="24"/>
        <v>0</v>
      </c>
      <c r="S59" s="852">
        <f t="shared" si="10"/>
        <v>0</v>
      </c>
      <c r="T59" s="850">
        <f t="shared" si="11"/>
        <v>0</v>
      </c>
      <c r="U59" s="849">
        <f t="shared" si="12"/>
        <v>0</v>
      </c>
      <c r="V59" s="850">
        <f t="shared" si="13"/>
        <v>0</v>
      </c>
      <c r="W59" s="849">
        <f t="shared" si="25"/>
        <v>0</v>
      </c>
      <c r="X59" s="850">
        <f t="shared" si="14"/>
        <v>0</v>
      </c>
      <c r="Y59" s="849">
        <f t="shared" si="26"/>
        <v>0</v>
      </c>
      <c r="Z59" s="850">
        <f t="shared" si="27"/>
        <v>0</v>
      </c>
      <c r="AA59" s="849">
        <f t="shared" si="28"/>
        <v>0</v>
      </c>
      <c r="AB59" s="850">
        <f t="shared" si="15"/>
        <v>0</v>
      </c>
      <c r="AC59" s="849">
        <f t="shared" si="16"/>
        <v>0</v>
      </c>
      <c r="AD59" s="850">
        <f t="shared" si="29"/>
        <v>0</v>
      </c>
      <c r="AE59" s="849">
        <f t="shared" si="17"/>
        <v>0</v>
      </c>
      <c r="AF59" s="850">
        <f t="shared" si="30"/>
        <v>0</v>
      </c>
      <c r="AG59" s="849">
        <f t="shared" si="31"/>
        <v>0</v>
      </c>
      <c r="AH59" s="850">
        <f t="shared" si="32"/>
        <v>0</v>
      </c>
      <c r="AI59" s="853">
        <f t="shared" si="33"/>
        <v>0</v>
      </c>
    </row>
    <row r="60" spans="1:35" x14ac:dyDescent="0.25">
      <c r="A60" s="827">
        <v>14</v>
      </c>
      <c r="B60" s="848">
        <f t="shared" si="0"/>
        <v>0</v>
      </c>
      <c r="C60" s="849">
        <f t="shared" si="1"/>
        <v>0</v>
      </c>
      <c r="D60" s="850">
        <f t="shared" si="18"/>
        <v>0</v>
      </c>
      <c r="E60" s="849">
        <f t="shared" si="2"/>
        <v>0</v>
      </c>
      <c r="F60" s="850">
        <f t="shared" si="19"/>
        <v>0</v>
      </c>
      <c r="G60" s="849">
        <f t="shared" si="3"/>
        <v>0</v>
      </c>
      <c r="H60" s="850">
        <f t="shared" si="4"/>
        <v>0</v>
      </c>
      <c r="I60" s="849">
        <f t="shared" si="5"/>
        <v>0</v>
      </c>
      <c r="J60" s="850">
        <f t="shared" si="20"/>
        <v>0</v>
      </c>
      <c r="K60" s="849">
        <f t="shared" si="6"/>
        <v>0</v>
      </c>
      <c r="L60" s="850">
        <f t="shared" si="21"/>
        <v>0</v>
      </c>
      <c r="M60" s="849">
        <f t="shared" si="22"/>
        <v>0</v>
      </c>
      <c r="N60" s="850">
        <f t="shared" si="7"/>
        <v>0</v>
      </c>
      <c r="O60" s="849">
        <f t="shared" si="8"/>
        <v>0</v>
      </c>
      <c r="P60" s="850">
        <f t="shared" si="9"/>
        <v>0</v>
      </c>
      <c r="Q60" s="849">
        <f t="shared" si="23"/>
        <v>0</v>
      </c>
      <c r="R60" s="851">
        <f t="shared" si="24"/>
        <v>0</v>
      </c>
      <c r="S60" s="852">
        <f t="shared" si="10"/>
        <v>0</v>
      </c>
      <c r="T60" s="850">
        <f t="shared" si="11"/>
        <v>0</v>
      </c>
      <c r="U60" s="849">
        <f t="shared" si="12"/>
        <v>0</v>
      </c>
      <c r="V60" s="850">
        <f t="shared" si="13"/>
        <v>0</v>
      </c>
      <c r="W60" s="849">
        <f t="shared" si="25"/>
        <v>0</v>
      </c>
      <c r="X60" s="850">
        <f t="shared" si="14"/>
        <v>0</v>
      </c>
      <c r="Y60" s="849">
        <f t="shared" si="26"/>
        <v>0</v>
      </c>
      <c r="Z60" s="850">
        <f t="shared" si="27"/>
        <v>0</v>
      </c>
      <c r="AA60" s="849">
        <f t="shared" si="28"/>
        <v>0</v>
      </c>
      <c r="AB60" s="850">
        <f t="shared" si="15"/>
        <v>0</v>
      </c>
      <c r="AC60" s="849">
        <f t="shared" si="16"/>
        <v>0</v>
      </c>
      <c r="AD60" s="850">
        <f t="shared" si="29"/>
        <v>0</v>
      </c>
      <c r="AE60" s="849">
        <f t="shared" si="17"/>
        <v>0</v>
      </c>
      <c r="AF60" s="850">
        <f t="shared" si="30"/>
        <v>0</v>
      </c>
      <c r="AG60" s="849">
        <f t="shared" si="31"/>
        <v>0</v>
      </c>
      <c r="AH60" s="850">
        <f t="shared" si="32"/>
        <v>0</v>
      </c>
      <c r="AI60" s="853">
        <f t="shared" si="33"/>
        <v>0</v>
      </c>
    </row>
    <row r="61" spans="1:35" x14ac:dyDescent="0.25">
      <c r="A61" s="827">
        <v>15</v>
      </c>
      <c r="B61" s="848">
        <f t="shared" si="0"/>
        <v>0</v>
      </c>
      <c r="C61" s="849">
        <f t="shared" si="1"/>
        <v>0</v>
      </c>
      <c r="D61" s="850">
        <f t="shared" si="18"/>
        <v>0</v>
      </c>
      <c r="E61" s="849">
        <f t="shared" si="2"/>
        <v>0</v>
      </c>
      <c r="F61" s="850">
        <f t="shared" si="19"/>
        <v>0</v>
      </c>
      <c r="G61" s="849">
        <f t="shared" si="3"/>
        <v>0</v>
      </c>
      <c r="H61" s="850">
        <f t="shared" si="4"/>
        <v>0</v>
      </c>
      <c r="I61" s="849">
        <f t="shared" si="5"/>
        <v>0</v>
      </c>
      <c r="J61" s="850">
        <f t="shared" si="20"/>
        <v>0</v>
      </c>
      <c r="K61" s="849">
        <f t="shared" si="6"/>
        <v>0</v>
      </c>
      <c r="L61" s="850">
        <f t="shared" si="21"/>
        <v>0</v>
      </c>
      <c r="M61" s="849">
        <f t="shared" si="22"/>
        <v>0</v>
      </c>
      <c r="N61" s="850">
        <f t="shared" si="7"/>
        <v>0</v>
      </c>
      <c r="O61" s="849">
        <f t="shared" si="8"/>
        <v>0</v>
      </c>
      <c r="P61" s="850">
        <f t="shared" si="9"/>
        <v>0</v>
      </c>
      <c r="Q61" s="849">
        <f t="shared" si="23"/>
        <v>0</v>
      </c>
      <c r="R61" s="851">
        <f t="shared" si="24"/>
        <v>0</v>
      </c>
      <c r="S61" s="852">
        <f t="shared" si="10"/>
        <v>0</v>
      </c>
      <c r="T61" s="850">
        <f t="shared" si="11"/>
        <v>0</v>
      </c>
      <c r="U61" s="849">
        <f t="shared" si="12"/>
        <v>0</v>
      </c>
      <c r="V61" s="850">
        <f t="shared" si="13"/>
        <v>0</v>
      </c>
      <c r="W61" s="849">
        <f t="shared" si="25"/>
        <v>0</v>
      </c>
      <c r="X61" s="850">
        <f t="shared" si="14"/>
        <v>0</v>
      </c>
      <c r="Y61" s="849">
        <f t="shared" si="26"/>
        <v>0</v>
      </c>
      <c r="Z61" s="850">
        <f t="shared" si="27"/>
        <v>0</v>
      </c>
      <c r="AA61" s="849">
        <f t="shared" si="28"/>
        <v>0</v>
      </c>
      <c r="AB61" s="850">
        <f t="shared" si="15"/>
        <v>0</v>
      </c>
      <c r="AC61" s="849">
        <f t="shared" si="16"/>
        <v>0</v>
      </c>
      <c r="AD61" s="850">
        <f t="shared" si="29"/>
        <v>0</v>
      </c>
      <c r="AE61" s="849">
        <f t="shared" si="17"/>
        <v>0</v>
      </c>
      <c r="AF61" s="850">
        <f t="shared" si="30"/>
        <v>0</v>
      </c>
      <c r="AG61" s="849">
        <f t="shared" si="31"/>
        <v>0</v>
      </c>
      <c r="AH61" s="850">
        <f t="shared" si="32"/>
        <v>0</v>
      </c>
      <c r="AI61" s="853">
        <f t="shared" si="33"/>
        <v>0</v>
      </c>
    </row>
    <row r="62" spans="1:35" x14ac:dyDescent="0.25">
      <c r="A62" s="827">
        <v>16</v>
      </c>
      <c r="B62" s="848">
        <f t="shared" si="0"/>
        <v>0</v>
      </c>
      <c r="C62" s="849">
        <f t="shared" si="1"/>
        <v>0</v>
      </c>
      <c r="D62" s="850">
        <f t="shared" si="18"/>
        <v>0</v>
      </c>
      <c r="E62" s="849">
        <f t="shared" si="2"/>
        <v>0</v>
      </c>
      <c r="F62" s="850">
        <f t="shared" si="19"/>
        <v>0</v>
      </c>
      <c r="G62" s="849">
        <f t="shared" si="3"/>
        <v>0</v>
      </c>
      <c r="H62" s="850">
        <f t="shared" si="4"/>
        <v>0</v>
      </c>
      <c r="I62" s="849">
        <f t="shared" si="5"/>
        <v>0</v>
      </c>
      <c r="J62" s="850">
        <f t="shared" si="20"/>
        <v>0</v>
      </c>
      <c r="K62" s="849">
        <f t="shared" si="6"/>
        <v>0</v>
      </c>
      <c r="L62" s="850">
        <f t="shared" si="21"/>
        <v>0</v>
      </c>
      <c r="M62" s="849">
        <f t="shared" si="22"/>
        <v>0</v>
      </c>
      <c r="N62" s="850">
        <f t="shared" si="7"/>
        <v>0</v>
      </c>
      <c r="O62" s="849">
        <f t="shared" si="8"/>
        <v>0</v>
      </c>
      <c r="P62" s="850">
        <f t="shared" si="9"/>
        <v>0</v>
      </c>
      <c r="Q62" s="849">
        <f t="shared" si="23"/>
        <v>0</v>
      </c>
      <c r="R62" s="851">
        <f t="shared" si="24"/>
        <v>0</v>
      </c>
      <c r="S62" s="852">
        <f t="shared" si="10"/>
        <v>0</v>
      </c>
      <c r="T62" s="850">
        <f t="shared" si="11"/>
        <v>0</v>
      </c>
      <c r="U62" s="849">
        <f t="shared" si="12"/>
        <v>0</v>
      </c>
      <c r="V62" s="850">
        <f t="shared" si="13"/>
        <v>0</v>
      </c>
      <c r="W62" s="849">
        <f t="shared" si="25"/>
        <v>0</v>
      </c>
      <c r="X62" s="850">
        <f t="shared" si="14"/>
        <v>0</v>
      </c>
      <c r="Y62" s="849">
        <f t="shared" si="26"/>
        <v>0</v>
      </c>
      <c r="Z62" s="850">
        <f t="shared" si="27"/>
        <v>0</v>
      </c>
      <c r="AA62" s="849">
        <f t="shared" si="28"/>
        <v>0</v>
      </c>
      <c r="AB62" s="850">
        <f t="shared" si="15"/>
        <v>0</v>
      </c>
      <c r="AC62" s="849">
        <f t="shared" si="16"/>
        <v>0</v>
      </c>
      <c r="AD62" s="850">
        <f t="shared" si="29"/>
        <v>0</v>
      </c>
      <c r="AE62" s="849">
        <f t="shared" si="17"/>
        <v>0</v>
      </c>
      <c r="AF62" s="850">
        <f t="shared" si="30"/>
        <v>0</v>
      </c>
      <c r="AG62" s="849">
        <f t="shared" si="31"/>
        <v>0</v>
      </c>
      <c r="AH62" s="850">
        <f t="shared" si="32"/>
        <v>0</v>
      </c>
      <c r="AI62" s="853">
        <f t="shared" si="33"/>
        <v>0</v>
      </c>
    </row>
    <row r="63" spans="1:35" x14ac:dyDescent="0.25">
      <c r="A63" s="827">
        <v>17</v>
      </c>
      <c r="B63" s="848">
        <f t="shared" si="0"/>
        <v>0</v>
      </c>
      <c r="C63" s="849">
        <f t="shared" si="1"/>
        <v>0</v>
      </c>
      <c r="D63" s="850">
        <f t="shared" si="18"/>
        <v>0</v>
      </c>
      <c r="E63" s="849">
        <f t="shared" si="2"/>
        <v>0</v>
      </c>
      <c r="F63" s="850">
        <f t="shared" si="19"/>
        <v>0</v>
      </c>
      <c r="G63" s="849">
        <f t="shared" si="3"/>
        <v>0</v>
      </c>
      <c r="H63" s="850">
        <f t="shared" si="4"/>
        <v>0</v>
      </c>
      <c r="I63" s="849">
        <f t="shared" si="5"/>
        <v>0</v>
      </c>
      <c r="J63" s="850">
        <f t="shared" si="20"/>
        <v>0</v>
      </c>
      <c r="K63" s="849">
        <f t="shared" si="6"/>
        <v>0</v>
      </c>
      <c r="L63" s="850">
        <f t="shared" si="21"/>
        <v>0</v>
      </c>
      <c r="M63" s="849">
        <f t="shared" si="22"/>
        <v>0</v>
      </c>
      <c r="N63" s="850">
        <f t="shared" si="7"/>
        <v>0</v>
      </c>
      <c r="O63" s="849">
        <f t="shared" si="8"/>
        <v>0</v>
      </c>
      <c r="P63" s="850">
        <f t="shared" si="9"/>
        <v>0</v>
      </c>
      <c r="Q63" s="849">
        <f t="shared" si="23"/>
        <v>0</v>
      </c>
      <c r="R63" s="851">
        <f t="shared" si="24"/>
        <v>0</v>
      </c>
      <c r="S63" s="852">
        <f t="shared" si="10"/>
        <v>0</v>
      </c>
      <c r="T63" s="850">
        <f t="shared" si="11"/>
        <v>0</v>
      </c>
      <c r="U63" s="849">
        <f t="shared" si="12"/>
        <v>0</v>
      </c>
      <c r="V63" s="850">
        <f t="shared" si="13"/>
        <v>0</v>
      </c>
      <c r="W63" s="849">
        <f t="shared" si="25"/>
        <v>0</v>
      </c>
      <c r="X63" s="850">
        <f t="shared" si="14"/>
        <v>0</v>
      </c>
      <c r="Y63" s="849">
        <f t="shared" si="26"/>
        <v>0</v>
      </c>
      <c r="Z63" s="850">
        <f t="shared" si="27"/>
        <v>0</v>
      </c>
      <c r="AA63" s="849">
        <f t="shared" si="28"/>
        <v>0</v>
      </c>
      <c r="AB63" s="850">
        <f t="shared" si="15"/>
        <v>0</v>
      </c>
      <c r="AC63" s="849">
        <f t="shared" si="16"/>
        <v>0</v>
      </c>
      <c r="AD63" s="850">
        <f t="shared" si="29"/>
        <v>0</v>
      </c>
      <c r="AE63" s="849">
        <f t="shared" si="17"/>
        <v>0</v>
      </c>
      <c r="AF63" s="850">
        <f t="shared" si="30"/>
        <v>0</v>
      </c>
      <c r="AG63" s="849">
        <f t="shared" si="31"/>
        <v>0</v>
      </c>
      <c r="AH63" s="850">
        <f t="shared" si="32"/>
        <v>0</v>
      </c>
      <c r="AI63" s="853">
        <f t="shared" si="33"/>
        <v>0</v>
      </c>
    </row>
    <row r="64" spans="1:35" x14ac:dyDescent="0.25">
      <c r="A64" s="827">
        <v>18</v>
      </c>
      <c r="B64" s="848">
        <f t="shared" si="0"/>
        <v>0</v>
      </c>
      <c r="C64" s="849">
        <f t="shared" si="1"/>
        <v>0</v>
      </c>
      <c r="D64" s="850">
        <f t="shared" si="18"/>
        <v>0</v>
      </c>
      <c r="E64" s="849">
        <f t="shared" si="2"/>
        <v>0</v>
      </c>
      <c r="F64" s="850">
        <f t="shared" si="19"/>
        <v>0</v>
      </c>
      <c r="G64" s="849">
        <f t="shared" si="3"/>
        <v>0</v>
      </c>
      <c r="H64" s="850">
        <f t="shared" si="4"/>
        <v>0</v>
      </c>
      <c r="I64" s="849">
        <f t="shared" si="5"/>
        <v>0</v>
      </c>
      <c r="J64" s="850">
        <f t="shared" si="20"/>
        <v>0</v>
      </c>
      <c r="K64" s="849">
        <f t="shared" si="6"/>
        <v>0</v>
      </c>
      <c r="L64" s="850">
        <f t="shared" si="21"/>
        <v>0</v>
      </c>
      <c r="M64" s="849">
        <f t="shared" si="22"/>
        <v>0</v>
      </c>
      <c r="N64" s="850">
        <f t="shared" si="7"/>
        <v>0</v>
      </c>
      <c r="O64" s="849">
        <f t="shared" si="8"/>
        <v>0</v>
      </c>
      <c r="P64" s="850">
        <f t="shared" si="9"/>
        <v>0</v>
      </c>
      <c r="Q64" s="849">
        <f t="shared" si="23"/>
        <v>0</v>
      </c>
      <c r="R64" s="851">
        <f t="shared" si="24"/>
        <v>0</v>
      </c>
      <c r="S64" s="852">
        <f t="shared" si="10"/>
        <v>0</v>
      </c>
      <c r="T64" s="850">
        <f t="shared" si="11"/>
        <v>0</v>
      </c>
      <c r="U64" s="849">
        <f t="shared" si="12"/>
        <v>0</v>
      </c>
      <c r="V64" s="850">
        <f t="shared" si="13"/>
        <v>0</v>
      </c>
      <c r="W64" s="849">
        <f t="shared" si="25"/>
        <v>0</v>
      </c>
      <c r="X64" s="850">
        <f t="shared" si="14"/>
        <v>0</v>
      </c>
      <c r="Y64" s="849">
        <f t="shared" si="26"/>
        <v>0</v>
      </c>
      <c r="Z64" s="850">
        <f t="shared" si="27"/>
        <v>0</v>
      </c>
      <c r="AA64" s="849">
        <f t="shared" si="28"/>
        <v>0</v>
      </c>
      <c r="AB64" s="850">
        <f t="shared" si="15"/>
        <v>0</v>
      </c>
      <c r="AC64" s="849">
        <f t="shared" si="16"/>
        <v>0</v>
      </c>
      <c r="AD64" s="850">
        <f t="shared" si="29"/>
        <v>0</v>
      </c>
      <c r="AE64" s="849">
        <f t="shared" si="17"/>
        <v>0</v>
      </c>
      <c r="AF64" s="850">
        <f t="shared" si="30"/>
        <v>0</v>
      </c>
      <c r="AG64" s="849">
        <f t="shared" si="31"/>
        <v>0</v>
      </c>
      <c r="AH64" s="850">
        <f t="shared" si="32"/>
        <v>0</v>
      </c>
      <c r="AI64" s="853">
        <f t="shared" si="33"/>
        <v>0</v>
      </c>
    </row>
    <row r="65" spans="1:35" x14ac:dyDescent="0.25">
      <c r="A65" s="827">
        <v>19</v>
      </c>
      <c r="B65" s="848">
        <f t="shared" si="0"/>
        <v>0</v>
      </c>
      <c r="C65" s="849">
        <f t="shared" si="1"/>
        <v>0</v>
      </c>
      <c r="D65" s="850">
        <f t="shared" si="18"/>
        <v>0</v>
      </c>
      <c r="E65" s="849">
        <f t="shared" si="2"/>
        <v>0</v>
      </c>
      <c r="F65" s="850">
        <f t="shared" si="19"/>
        <v>0</v>
      </c>
      <c r="G65" s="849">
        <f t="shared" si="3"/>
        <v>0</v>
      </c>
      <c r="H65" s="850">
        <f t="shared" si="4"/>
        <v>0</v>
      </c>
      <c r="I65" s="849">
        <f t="shared" si="5"/>
        <v>0</v>
      </c>
      <c r="J65" s="850">
        <f t="shared" si="20"/>
        <v>0</v>
      </c>
      <c r="K65" s="849">
        <f t="shared" si="6"/>
        <v>0</v>
      </c>
      <c r="L65" s="850">
        <f t="shared" si="21"/>
        <v>0</v>
      </c>
      <c r="M65" s="849">
        <f t="shared" si="22"/>
        <v>0</v>
      </c>
      <c r="N65" s="850">
        <f t="shared" si="7"/>
        <v>0</v>
      </c>
      <c r="O65" s="849">
        <f t="shared" si="8"/>
        <v>0</v>
      </c>
      <c r="P65" s="850">
        <f t="shared" si="9"/>
        <v>0</v>
      </c>
      <c r="Q65" s="849">
        <f t="shared" si="23"/>
        <v>0</v>
      </c>
      <c r="R65" s="851">
        <f t="shared" si="24"/>
        <v>0</v>
      </c>
      <c r="S65" s="852">
        <f t="shared" si="10"/>
        <v>0</v>
      </c>
      <c r="T65" s="850">
        <f t="shared" si="11"/>
        <v>0</v>
      </c>
      <c r="U65" s="849">
        <f t="shared" si="12"/>
        <v>0</v>
      </c>
      <c r="V65" s="850">
        <f t="shared" si="13"/>
        <v>0</v>
      </c>
      <c r="W65" s="849">
        <f t="shared" si="25"/>
        <v>0</v>
      </c>
      <c r="X65" s="850">
        <f t="shared" si="14"/>
        <v>0</v>
      </c>
      <c r="Y65" s="849">
        <f t="shared" si="26"/>
        <v>0</v>
      </c>
      <c r="Z65" s="850">
        <f t="shared" si="27"/>
        <v>0</v>
      </c>
      <c r="AA65" s="849">
        <f t="shared" si="28"/>
        <v>0</v>
      </c>
      <c r="AB65" s="850">
        <f t="shared" si="15"/>
        <v>0</v>
      </c>
      <c r="AC65" s="849">
        <f t="shared" si="16"/>
        <v>0</v>
      </c>
      <c r="AD65" s="850">
        <f t="shared" si="29"/>
        <v>0</v>
      </c>
      <c r="AE65" s="849">
        <f t="shared" si="17"/>
        <v>0</v>
      </c>
      <c r="AF65" s="850">
        <f t="shared" si="30"/>
        <v>0</v>
      </c>
      <c r="AG65" s="849">
        <f t="shared" si="31"/>
        <v>0</v>
      </c>
      <c r="AH65" s="850">
        <f t="shared" si="32"/>
        <v>0</v>
      </c>
      <c r="AI65" s="853">
        <f t="shared" si="33"/>
        <v>0</v>
      </c>
    </row>
    <row r="66" spans="1:35" x14ac:dyDescent="0.25">
      <c r="A66" s="827">
        <v>20</v>
      </c>
      <c r="B66" s="848">
        <f t="shared" si="0"/>
        <v>0</v>
      </c>
      <c r="C66" s="849">
        <f t="shared" si="1"/>
        <v>0</v>
      </c>
      <c r="D66" s="850">
        <f t="shared" si="18"/>
        <v>0</v>
      </c>
      <c r="E66" s="849">
        <f t="shared" si="2"/>
        <v>0</v>
      </c>
      <c r="F66" s="850">
        <f t="shared" si="19"/>
        <v>0</v>
      </c>
      <c r="G66" s="849">
        <f t="shared" si="3"/>
        <v>0</v>
      </c>
      <c r="H66" s="850">
        <f t="shared" si="4"/>
        <v>0</v>
      </c>
      <c r="I66" s="849">
        <f t="shared" si="5"/>
        <v>0</v>
      </c>
      <c r="J66" s="850">
        <f t="shared" si="20"/>
        <v>0</v>
      </c>
      <c r="K66" s="849">
        <f t="shared" si="6"/>
        <v>0</v>
      </c>
      <c r="L66" s="850">
        <f t="shared" si="21"/>
        <v>0</v>
      </c>
      <c r="M66" s="849">
        <f t="shared" si="22"/>
        <v>0</v>
      </c>
      <c r="N66" s="850">
        <f t="shared" si="7"/>
        <v>0</v>
      </c>
      <c r="O66" s="849">
        <f t="shared" si="8"/>
        <v>0</v>
      </c>
      <c r="P66" s="850">
        <f t="shared" si="9"/>
        <v>0</v>
      </c>
      <c r="Q66" s="849">
        <f t="shared" si="23"/>
        <v>0</v>
      </c>
      <c r="R66" s="851">
        <f t="shared" si="24"/>
        <v>0</v>
      </c>
      <c r="S66" s="852">
        <f t="shared" si="10"/>
        <v>0</v>
      </c>
      <c r="T66" s="850">
        <f t="shared" si="11"/>
        <v>0</v>
      </c>
      <c r="U66" s="849">
        <f t="shared" si="12"/>
        <v>0</v>
      </c>
      <c r="V66" s="850">
        <f t="shared" si="13"/>
        <v>0</v>
      </c>
      <c r="W66" s="849">
        <f t="shared" si="25"/>
        <v>0</v>
      </c>
      <c r="X66" s="850">
        <f t="shared" si="14"/>
        <v>0</v>
      </c>
      <c r="Y66" s="849">
        <f t="shared" si="26"/>
        <v>0</v>
      </c>
      <c r="Z66" s="850">
        <f t="shared" si="27"/>
        <v>0</v>
      </c>
      <c r="AA66" s="849">
        <f t="shared" si="28"/>
        <v>0</v>
      </c>
      <c r="AB66" s="850">
        <f t="shared" si="15"/>
        <v>0</v>
      </c>
      <c r="AC66" s="849">
        <f t="shared" si="16"/>
        <v>0</v>
      </c>
      <c r="AD66" s="850">
        <f t="shared" si="29"/>
        <v>0</v>
      </c>
      <c r="AE66" s="849">
        <f t="shared" si="17"/>
        <v>0</v>
      </c>
      <c r="AF66" s="850">
        <f t="shared" si="30"/>
        <v>0</v>
      </c>
      <c r="AG66" s="849">
        <f t="shared" si="31"/>
        <v>0</v>
      </c>
      <c r="AH66" s="850">
        <f t="shared" si="32"/>
        <v>0</v>
      </c>
      <c r="AI66" s="853">
        <f t="shared" si="33"/>
        <v>0</v>
      </c>
    </row>
    <row r="67" spans="1:35" x14ac:dyDescent="0.25">
      <c r="A67" s="827">
        <v>21</v>
      </c>
      <c r="B67" s="848">
        <f t="shared" si="0"/>
        <v>0</v>
      </c>
      <c r="C67" s="849">
        <f t="shared" si="1"/>
        <v>0</v>
      </c>
      <c r="D67" s="850">
        <f t="shared" si="18"/>
        <v>0</v>
      </c>
      <c r="E67" s="849">
        <f t="shared" si="2"/>
        <v>0</v>
      </c>
      <c r="F67" s="850">
        <f t="shared" si="19"/>
        <v>0</v>
      </c>
      <c r="G67" s="849">
        <f t="shared" si="3"/>
        <v>0</v>
      </c>
      <c r="H67" s="850">
        <f t="shared" si="4"/>
        <v>0</v>
      </c>
      <c r="I67" s="849">
        <f t="shared" si="5"/>
        <v>0</v>
      </c>
      <c r="J67" s="850">
        <f t="shared" si="20"/>
        <v>0</v>
      </c>
      <c r="K67" s="849">
        <f t="shared" si="6"/>
        <v>0</v>
      </c>
      <c r="L67" s="850">
        <f t="shared" si="21"/>
        <v>0</v>
      </c>
      <c r="M67" s="849">
        <f t="shared" si="22"/>
        <v>0</v>
      </c>
      <c r="N67" s="850">
        <f t="shared" si="7"/>
        <v>0</v>
      </c>
      <c r="O67" s="849">
        <f t="shared" si="8"/>
        <v>0</v>
      </c>
      <c r="P67" s="850">
        <f t="shared" si="9"/>
        <v>0</v>
      </c>
      <c r="Q67" s="849">
        <f t="shared" si="23"/>
        <v>0</v>
      </c>
      <c r="R67" s="851">
        <f t="shared" si="24"/>
        <v>0</v>
      </c>
      <c r="S67" s="852">
        <f t="shared" si="10"/>
        <v>0</v>
      </c>
      <c r="T67" s="850">
        <f t="shared" si="11"/>
        <v>0</v>
      </c>
      <c r="U67" s="849">
        <f t="shared" si="12"/>
        <v>0</v>
      </c>
      <c r="V67" s="850">
        <f t="shared" si="13"/>
        <v>0</v>
      </c>
      <c r="W67" s="849">
        <f t="shared" si="25"/>
        <v>0</v>
      </c>
      <c r="X67" s="850">
        <f t="shared" si="14"/>
        <v>0</v>
      </c>
      <c r="Y67" s="849">
        <f t="shared" si="26"/>
        <v>0</v>
      </c>
      <c r="Z67" s="850">
        <f t="shared" si="27"/>
        <v>0</v>
      </c>
      <c r="AA67" s="849">
        <f t="shared" si="28"/>
        <v>0</v>
      </c>
      <c r="AB67" s="850">
        <f t="shared" si="15"/>
        <v>0</v>
      </c>
      <c r="AC67" s="849">
        <f t="shared" si="16"/>
        <v>0</v>
      </c>
      <c r="AD67" s="850">
        <f t="shared" si="29"/>
        <v>0</v>
      </c>
      <c r="AE67" s="849">
        <f t="shared" si="17"/>
        <v>0</v>
      </c>
      <c r="AF67" s="850">
        <f t="shared" si="30"/>
        <v>0</v>
      </c>
      <c r="AG67" s="849">
        <f t="shared" si="31"/>
        <v>0</v>
      </c>
      <c r="AH67" s="850">
        <f t="shared" si="32"/>
        <v>0</v>
      </c>
      <c r="AI67" s="853">
        <f t="shared" si="33"/>
        <v>0</v>
      </c>
    </row>
    <row r="68" spans="1:35" x14ac:dyDescent="0.25">
      <c r="A68" s="827">
        <v>22</v>
      </c>
      <c r="B68" s="848">
        <f t="shared" si="0"/>
        <v>0</v>
      </c>
      <c r="C68" s="849">
        <f t="shared" si="1"/>
        <v>0</v>
      </c>
      <c r="D68" s="850">
        <f t="shared" si="18"/>
        <v>0</v>
      </c>
      <c r="E68" s="849">
        <f t="shared" si="2"/>
        <v>0</v>
      </c>
      <c r="F68" s="850">
        <f t="shared" si="19"/>
        <v>0</v>
      </c>
      <c r="G68" s="849">
        <f t="shared" si="3"/>
        <v>0</v>
      </c>
      <c r="H68" s="850">
        <f t="shared" si="4"/>
        <v>0</v>
      </c>
      <c r="I68" s="849">
        <f t="shared" si="5"/>
        <v>0</v>
      </c>
      <c r="J68" s="850">
        <f t="shared" si="20"/>
        <v>0</v>
      </c>
      <c r="K68" s="849">
        <f t="shared" si="6"/>
        <v>0</v>
      </c>
      <c r="L68" s="850">
        <f t="shared" si="21"/>
        <v>0</v>
      </c>
      <c r="M68" s="849">
        <f t="shared" si="22"/>
        <v>0</v>
      </c>
      <c r="N68" s="850">
        <f t="shared" si="7"/>
        <v>0</v>
      </c>
      <c r="O68" s="849">
        <f t="shared" si="8"/>
        <v>0</v>
      </c>
      <c r="P68" s="850">
        <f t="shared" si="9"/>
        <v>0</v>
      </c>
      <c r="Q68" s="849">
        <f t="shared" si="23"/>
        <v>0</v>
      </c>
      <c r="R68" s="851">
        <f t="shared" si="24"/>
        <v>0</v>
      </c>
      <c r="S68" s="852">
        <f t="shared" si="10"/>
        <v>0</v>
      </c>
      <c r="T68" s="850">
        <f t="shared" si="11"/>
        <v>0</v>
      </c>
      <c r="U68" s="849">
        <f t="shared" si="12"/>
        <v>0</v>
      </c>
      <c r="V68" s="850">
        <f t="shared" si="13"/>
        <v>0</v>
      </c>
      <c r="W68" s="849">
        <f t="shared" si="25"/>
        <v>0</v>
      </c>
      <c r="X68" s="850">
        <f t="shared" si="14"/>
        <v>0</v>
      </c>
      <c r="Y68" s="849">
        <f t="shared" si="26"/>
        <v>0</v>
      </c>
      <c r="Z68" s="850">
        <f t="shared" si="27"/>
        <v>0</v>
      </c>
      <c r="AA68" s="849">
        <f t="shared" si="28"/>
        <v>0</v>
      </c>
      <c r="AB68" s="850">
        <f t="shared" si="15"/>
        <v>0</v>
      </c>
      <c r="AC68" s="849">
        <f t="shared" si="16"/>
        <v>0</v>
      </c>
      <c r="AD68" s="850">
        <f t="shared" si="29"/>
        <v>0</v>
      </c>
      <c r="AE68" s="849">
        <f t="shared" si="17"/>
        <v>0</v>
      </c>
      <c r="AF68" s="850">
        <f t="shared" si="30"/>
        <v>0</v>
      </c>
      <c r="AG68" s="849">
        <f t="shared" si="31"/>
        <v>0</v>
      </c>
      <c r="AH68" s="850">
        <f t="shared" si="32"/>
        <v>0</v>
      </c>
      <c r="AI68" s="853">
        <f t="shared" si="33"/>
        <v>0</v>
      </c>
    </row>
    <row r="69" spans="1:35" x14ac:dyDescent="0.25">
      <c r="A69" s="827">
        <v>23</v>
      </c>
      <c r="B69" s="848">
        <f t="shared" si="0"/>
        <v>0</v>
      </c>
      <c r="C69" s="849">
        <f t="shared" si="1"/>
        <v>0</v>
      </c>
      <c r="D69" s="850">
        <f t="shared" si="18"/>
        <v>0</v>
      </c>
      <c r="E69" s="849">
        <f t="shared" si="2"/>
        <v>0</v>
      </c>
      <c r="F69" s="850">
        <f t="shared" si="19"/>
        <v>0</v>
      </c>
      <c r="G69" s="849">
        <f t="shared" si="3"/>
        <v>0</v>
      </c>
      <c r="H69" s="850">
        <f t="shared" si="4"/>
        <v>0</v>
      </c>
      <c r="I69" s="849">
        <f t="shared" si="5"/>
        <v>0</v>
      </c>
      <c r="J69" s="850">
        <f t="shared" si="20"/>
        <v>0</v>
      </c>
      <c r="K69" s="849">
        <f t="shared" si="6"/>
        <v>0</v>
      </c>
      <c r="L69" s="850">
        <f t="shared" si="21"/>
        <v>0</v>
      </c>
      <c r="M69" s="849">
        <f t="shared" si="22"/>
        <v>0</v>
      </c>
      <c r="N69" s="850">
        <f t="shared" si="7"/>
        <v>0</v>
      </c>
      <c r="O69" s="849">
        <f t="shared" si="8"/>
        <v>0</v>
      </c>
      <c r="P69" s="850">
        <f t="shared" si="9"/>
        <v>0</v>
      </c>
      <c r="Q69" s="849">
        <f t="shared" si="23"/>
        <v>0</v>
      </c>
      <c r="R69" s="851">
        <f t="shared" si="24"/>
        <v>0</v>
      </c>
      <c r="S69" s="852">
        <f t="shared" si="10"/>
        <v>0</v>
      </c>
      <c r="T69" s="850">
        <f t="shared" si="11"/>
        <v>0</v>
      </c>
      <c r="U69" s="849">
        <f t="shared" si="12"/>
        <v>0</v>
      </c>
      <c r="V69" s="850">
        <f t="shared" si="13"/>
        <v>0</v>
      </c>
      <c r="W69" s="849">
        <f t="shared" si="25"/>
        <v>0</v>
      </c>
      <c r="X69" s="850">
        <f t="shared" si="14"/>
        <v>0</v>
      </c>
      <c r="Y69" s="849">
        <f t="shared" si="26"/>
        <v>0</v>
      </c>
      <c r="Z69" s="850">
        <f t="shared" si="27"/>
        <v>0</v>
      </c>
      <c r="AA69" s="849">
        <f t="shared" si="28"/>
        <v>0</v>
      </c>
      <c r="AB69" s="850">
        <f t="shared" si="15"/>
        <v>0</v>
      </c>
      <c r="AC69" s="849">
        <f t="shared" si="16"/>
        <v>0</v>
      </c>
      <c r="AD69" s="850">
        <f t="shared" si="29"/>
        <v>0</v>
      </c>
      <c r="AE69" s="849">
        <f t="shared" si="17"/>
        <v>0</v>
      </c>
      <c r="AF69" s="850">
        <f t="shared" si="30"/>
        <v>0</v>
      </c>
      <c r="AG69" s="849">
        <f t="shared" si="31"/>
        <v>0</v>
      </c>
      <c r="AH69" s="850">
        <f t="shared" si="32"/>
        <v>0</v>
      </c>
      <c r="AI69" s="853">
        <f t="shared" si="33"/>
        <v>0</v>
      </c>
    </row>
    <row r="70" spans="1:35" x14ac:dyDescent="0.25">
      <c r="A70" s="827">
        <v>24</v>
      </c>
      <c r="B70" s="848">
        <f t="shared" si="0"/>
        <v>0</v>
      </c>
      <c r="C70" s="849">
        <f t="shared" si="1"/>
        <v>0</v>
      </c>
      <c r="D70" s="850">
        <f t="shared" si="18"/>
        <v>0</v>
      </c>
      <c r="E70" s="849">
        <f t="shared" si="2"/>
        <v>0</v>
      </c>
      <c r="F70" s="850">
        <f t="shared" si="19"/>
        <v>0</v>
      </c>
      <c r="G70" s="849">
        <f t="shared" si="3"/>
        <v>0</v>
      </c>
      <c r="H70" s="850">
        <f t="shared" si="4"/>
        <v>0</v>
      </c>
      <c r="I70" s="849">
        <f t="shared" si="5"/>
        <v>0</v>
      </c>
      <c r="J70" s="850">
        <f t="shared" si="20"/>
        <v>0</v>
      </c>
      <c r="K70" s="849">
        <f t="shared" si="6"/>
        <v>0</v>
      </c>
      <c r="L70" s="850">
        <f t="shared" si="21"/>
        <v>0</v>
      </c>
      <c r="M70" s="849">
        <f t="shared" si="22"/>
        <v>0</v>
      </c>
      <c r="N70" s="850">
        <f t="shared" si="7"/>
        <v>0</v>
      </c>
      <c r="O70" s="849">
        <f t="shared" si="8"/>
        <v>0</v>
      </c>
      <c r="P70" s="850">
        <f t="shared" si="9"/>
        <v>0</v>
      </c>
      <c r="Q70" s="849">
        <f t="shared" si="23"/>
        <v>0</v>
      </c>
      <c r="R70" s="851">
        <f t="shared" si="24"/>
        <v>0</v>
      </c>
      <c r="S70" s="852">
        <f t="shared" si="10"/>
        <v>0</v>
      </c>
      <c r="T70" s="850">
        <f t="shared" si="11"/>
        <v>0</v>
      </c>
      <c r="U70" s="849">
        <f t="shared" si="12"/>
        <v>0</v>
      </c>
      <c r="V70" s="850">
        <f t="shared" si="13"/>
        <v>0</v>
      </c>
      <c r="W70" s="849">
        <f t="shared" si="25"/>
        <v>0</v>
      </c>
      <c r="X70" s="850">
        <f t="shared" si="14"/>
        <v>0</v>
      </c>
      <c r="Y70" s="849">
        <f t="shared" si="26"/>
        <v>0</v>
      </c>
      <c r="Z70" s="850">
        <f t="shared" si="27"/>
        <v>0</v>
      </c>
      <c r="AA70" s="849">
        <f t="shared" si="28"/>
        <v>0</v>
      </c>
      <c r="AB70" s="850">
        <f t="shared" si="15"/>
        <v>0</v>
      </c>
      <c r="AC70" s="849">
        <f t="shared" si="16"/>
        <v>0</v>
      </c>
      <c r="AD70" s="850">
        <f t="shared" si="29"/>
        <v>0</v>
      </c>
      <c r="AE70" s="849">
        <f t="shared" si="17"/>
        <v>0</v>
      </c>
      <c r="AF70" s="850">
        <f t="shared" si="30"/>
        <v>0</v>
      </c>
      <c r="AG70" s="849">
        <f t="shared" si="31"/>
        <v>0</v>
      </c>
      <c r="AH70" s="850">
        <f t="shared" si="32"/>
        <v>0</v>
      </c>
      <c r="AI70" s="853">
        <f t="shared" si="33"/>
        <v>0</v>
      </c>
    </row>
    <row r="71" spans="1:35" x14ac:dyDescent="0.25">
      <c r="A71" s="827">
        <v>25</v>
      </c>
      <c r="B71" s="848">
        <f t="shared" si="0"/>
        <v>0</v>
      </c>
      <c r="C71" s="849">
        <f t="shared" si="1"/>
        <v>0</v>
      </c>
      <c r="D71" s="850">
        <f t="shared" si="18"/>
        <v>0</v>
      </c>
      <c r="E71" s="849">
        <f t="shared" si="2"/>
        <v>0</v>
      </c>
      <c r="F71" s="850">
        <f t="shared" si="19"/>
        <v>0</v>
      </c>
      <c r="G71" s="849">
        <f t="shared" si="3"/>
        <v>0</v>
      </c>
      <c r="H71" s="850">
        <f t="shared" si="4"/>
        <v>0</v>
      </c>
      <c r="I71" s="849">
        <f t="shared" si="5"/>
        <v>0</v>
      </c>
      <c r="J71" s="850">
        <f t="shared" si="20"/>
        <v>0</v>
      </c>
      <c r="K71" s="849">
        <f t="shared" si="6"/>
        <v>0</v>
      </c>
      <c r="L71" s="850">
        <f t="shared" si="21"/>
        <v>0</v>
      </c>
      <c r="M71" s="849">
        <f t="shared" si="22"/>
        <v>0</v>
      </c>
      <c r="N71" s="850">
        <f t="shared" si="7"/>
        <v>0</v>
      </c>
      <c r="O71" s="849">
        <f t="shared" si="8"/>
        <v>0</v>
      </c>
      <c r="P71" s="850">
        <f t="shared" si="9"/>
        <v>0</v>
      </c>
      <c r="Q71" s="849">
        <f t="shared" si="23"/>
        <v>0</v>
      </c>
      <c r="R71" s="851">
        <f t="shared" si="24"/>
        <v>0</v>
      </c>
      <c r="S71" s="852">
        <f t="shared" si="10"/>
        <v>0</v>
      </c>
      <c r="T71" s="850">
        <f t="shared" si="11"/>
        <v>0</v>
      </c>
      <c r="U71" s="849">
        <f t="shared" si="12"/>
        <v>0</v>
      </c>
      <c r="V71" s="850">
        <f t="shared" si="13"/>
        <v>0</v>
      </c>
      <c r="W71" s="849">
        <f t="shared" si="25"/>
        <v>0</v>
      </c>
      <c r="X71" s="850">
        <f t="shared" si="14"/>
        <v>0</v>
      </c>
      <c r="Y71" s="849">
        <f t="shared" si="26"/>
        <v>0</v>
      </c>
      <c r="Z71" s="850">
        <f t="shared" si="27"/>
        <v>0</v>
      </c>
      <c r="AA71" s="849">
        <f t="shared" si="28"/>
        <v>0</v>
      </c>
      <c r="AB71" s="850">
        <f t="shared" si="15"/>
        <v>0</v>
      </c>
      <c r="AC71" s="849">
        <f t="shared" si="16"/>
        <v>0</v>
      </c>
      <c r="AD71" s="850">
        <f t="shared" si="29"/>
        <v>0</v>
      </c>
      <c r="AE71" s="849">
        <f t="shared" si="17"/>
        <v>0</v>
      </c>
      <c r="AF71" s="850">
        <f t="shared" si="30"/>
        <v>0</v>
      </c>
      <c r="AG71" s="849">
        <f t="shared" si="31"/>
        <v>0</v>
      </c>
      <c r="AH71" s="850">
        <f t="shared" si="32"/>
        <v>0</v>
      </c>
      <c r="AI71" s="853">
        <f t="shared" si="33"/>
        <v>0</v>
      </c>
    </row>
    <row r="72" spans="1:35" x14ac:dyDescent="0.25">
      <c r="A72" s="827">
        <v>26</v>
      </c>
      <c r="B72" s="848">
        <f t="shared" si="0"/>
        <v>0</v>
      </c>
      <c r="C72" s="849">
        <f t="shared" si="1"/>
        <v>0</v>
      </c>
      <c r="D72" s="850">
        <f t="shared" si="18"/>
        <v>0</v>
      </c>
      <c r="E72" s="849">
        <f t="shared" si="2"/>
        <v>0</v>
      </c>
      <c r="F72" s="850">
        <f t="shared" si="19"/>
        <v>0</v>
      </c>
      <c r="G72" s="849">
        <f t="shared" si="3"/>
        <v>0</v>
      </c>
      <c r="H72" s="850">
        <f t="shared" si="4"/>
        <v>0</v>
      </c>
      <c r="I72" s="849">
        <f t="shared" si="5"/>
        <v>0</v>
      </c>
      <c r="J72" s="850">
        <f t="shared" si="20"/>
        <v>0</v>
      </c>
      <c r="K72" s="849">
        <f t="shared" si="6"/>
        <v>0</v>
      </c>
      <c r="L72" s="850">
        <f t="shared" si="21"/>
        <v>0</v>
      </c>
      <c r="M72" s="849">
        <f t="shared" si="22"/>
        <v>0</v>
      </c>
      <c r="N72" s="850">
        <f t="shared" si="7"/>
        <v>0</v>
      </c>
      <c r="O72" s="849">
        <f t="shared" si="8"/>
        <v>0</v>
      </c>
      <c r="P72" s="850">
        <f t="shared" si="9"/>
        <v>0</v>
      </c>
      <c r="Q72" s="849">
        <f t="shared" si="23"/>
        <v>0</v>
      </c>
      <c r="R72" s="851">
        <f t="shared" si="24"/>
        <v>0</v>
      </c>
      <c r="S72" s="852">
        <f t="shared" si="10"/>
        <v>0</v>
      </c>
      <c r="T72" s="850">
        <f t="shared" si="11"/>
        <v>0</v>
      </c>
      <c r="U72" s="849">
        <f t="shared" si="12"/>
        <v>0</v>
      </c>
      <c r="V72" s="850">
        <f t="shared" si="13"/>
        <v>0</v>
      </c>
      <c r="W72" s="849">
        <f t="shared" si="25"/>
        <v>0</v>
      </c>
      <c r="X72" s="850">
        <f t="shared" si="14"/>
        <v>0</v>
      </c>
      <c r="Y72" s="849">
        <f t="shared" si="26"/>
        <v>0</v>
      </c>
      <c r="Z72" s="850">
        <f t="shared" si="27"/>
        <v>0</v>
      </c>
      <c r="AA72" s="849">
        <f t="shared" si="28"/>
        <v>0</v>
      </c>
      <c r="AB72" s="850">
        <f t="shared" si="15"/>
        <v>0</v>
      </c>
      <c r="AC72" s="849">
        <f t="shared" si="16"/>
        <v>0</v>
      </c>
      <c r="AD72" s="850">
        <f t="shared" si="29"/>
        <v>0</v>
      </c>
      <c r="AE72" s="849">
        <f t="shared" si="17"/>
        <v>0</v>
      </c>
      <c r="AF72" s="850">
        <f t="shared" si="30"/>
        <v>0</v>
      </c>
      <c r="AG72" s="849">
        <f t="shared" si="31"/>
        <v>0</v>
      </c>
      <c r="AH72" s="850">
        <f t="shared" si="32"/>
        <v>0</v>
      </c>
      <c r="AI72" s="853">
        <f t="shared" si="33"/>
        <v>0</v>
      </c>
    </row>
    <row r="73" spans="1:35" x14ac:dyDescent="0.25">
      <c r="A73" s="827">
        <v>27</v>
      </c>
      <c r="B73" s="848">
        <f t="shared" si="0"/>
        <v>0</v>
      </c>
      <c r="C73" s="849">
        <f t="shared" si="1"/>
        <v>0</v>
      </c>
      <c r="D73" s="850">
        <f t="shared" si="18"/>
        <v>0</v>
      </c>
      <c r="E73" s="849">
        <f t="shared" si="2"/>
        <v>0</v>
      </c>
      <c r="F73" s="850">
        <f t="shared" si="19"/>
        <v>0</v>
      </c>
      <c r="G73" s="849">
        <f t="shared" si="3"/>
        <v>0</v>
      </c>
      <c r="H73" s="850">
        <f t="shared" si="4"/>
        <v>0</v>
      </c>
      <c r="I73" s="849">
        <f t="shared" si="5"/>
        <v>0</v>
      </c>
      <c r="J73" s="850">
        <f t="shared" si="20"/>
        <v>0</v>
      </c>
      <c r="K73" s="849">
        <f t="shared" si="6"/>
        <v>0</v>
      </c>
      <c r="L73" s="850">
        <f t="shared" si="21"/>
        <v>0</v>
      </c>
      <c r="M73" s="849">
        <f t="shared" si="22"/>
        <v>0</v>
      </c>
      <c r="N73" s="850">
        <f t="shared" si="7"/>
        <v>0</v>
      </c>
      <c r="O73" s="849">
        <f t="shared" si="8"/>
        <v>0</v>
      </c>
      <c r="P73" s="850">
        <f t="shared" si="9"/>
        <v>0</v>
      </c>
      <c r="Q73" s="849">
        <f t="shared" si="23"/>
        <v>0</v>
      </c>
      <c r="R73" s="851">
        <f t="shared" si="24"/>
        <v>0</v>
      </c>
      <c r="S73" s="852">
        <f t="shared" si="10"/>
        <v>0</v>
      </c>
      <c r="T73" s="850">
        <f t="shared" si="11"/>
        <v>0</v>
      </c>
      <c r="U73" s="849">
        <f t="shared" si="12"/>
        <v>0</v>
      </c>
      <c r="V73" s="850">
        <f t="shared" si="13"/>
        <v>0</v>
      </c>
      <c r="W73" s="849">
        <f t="shared" si="25"/>
        <v>0</v>
      </c>
      <c r="X73" s="850">
        <f t="shared" si="14"/>
        <v>0</v>
      </c>
      <c r="Y73" s="849">
        <f t="shared" si="26"/>
        <v>0</v>
      </c>
      <c r="Z73" s="850">
        <f t="shared" si="27"/>
        <v>0</v>
      </c>
      <c r="AA73" s="849">
        <f t="shared" si="28"/>
        <v>0</v>
      </c>
      <c r="AB73" s="850">
        <f t="shared" si="15"/>
        <v>0</v>
      </c>
      <c r="AC73" s="849">
        <f t="shared" si="16"/>
        <v>0</v>
      </c>
      <c r="AD73" s="850">
        <f t="shared" si="29"/>
        <v>0</v>
      </c>
      <c r="AE73" s="849">
        <f t="shared" si="17"/>
        <v>0</v>
      </c>
      <c r="AF73" s="850">
        <f t="shared" si="30"/>
        <v>0</v>
      </c>
      <c r="AG73" s="849">
        <f t="shared" si="31"/>
        <v>0</v>
      </c>
      <c r="AH73" s="850">
        <f t="shared" si="32"/>
        <v>0</v>
      </c>
      <c r="AI73" s="853">
        <f t="shared" si="33"/>
        <v>0</v>
      </c>
    </row>
    <row r="74" spans="1:35" x14ac:dyDescent="0.25">
      <c r="A74" s="827">
        <v>28</v>
      </c>
      <c r="B74" s="848">
        <f t="shared" si="0"/>
        <v>0</v>
      </c>
      <c r="C74" s="849">
        <f t="shared" si="1"/>
        <v>0</v>
      </c>
      <c r="D74" s="850">
        <f t="shared" si="18"/>
        <v>0</v>
      </c>
      <c r="E74" s="849">
        <f t="shared" si="2"/>
        <v>0</v>
      </c>
      <c r="F74" s="850">
        <f t="shared" si="19"/>
        <v>0</v>
      </c>
      <c r="G74" s="849">
        <f t="shared" si="3"/>
        <v>0</v>
      </c>
      <c r="H74" s="850">
        <f t="shared" si="4"/>
        <v>0</v>
      </c>
      <c r="I74" s="849">
        <f t="shared" si="5"/>
        <v>0</v>
      </c>
      <c r="J74" s="850">
        <f t="shared" si="20"/>
        <v>0</v>
      </c>
      <c r="K74" s="849">
        <f t="shared" si="6"/>
        <v>0</v>
      </c>
      <c r="L74" s="850">
        <f t="shared" si="21"/>
        <v>0</v>
      </c>
      <c r="M74" s="849">
        <f t="shared" si="22"/>
        <v>0</v>
      </c>
      <c r="N74" s="850">
        <f t="shared" si="7"/>
        <v>0</v>
      </c>
      <c r="O74" s="849">
        <f t="shared" si="8"/>
        <v>0</v>
      </c>
      <c r="P74" s="850">
        <f t="shared" si="9"/>
        <v>0</v>
      </c>
      <c r="Q74" s="849">
        <f t="shared" si="23"/>
        <v>0</v>
      </c>
      <c r="R74" s="851">
        <f t="shared" si="24"/>
        <v>0</v>
      </c>
      <c r="S74" s="852">
        <f t="shared" si="10"/>
        <v>0</v>
      </c>
      <c r="T74" s="850">
        <f t="shared" si="11"/>
        <v>0</v>
      </c>
      <c r="U74" s="849">
        <f t="shared" si="12"/>
        <v>0</v>
      </c>
      <c r="V74" s="850">
        <f t="shared" si="13"/>
        <v>0</v>
      </c>
      <c r="W74" s="849">
        <f t="shared" si="25"/>
        <v>0</v>
      </c>
      <c r="X74" s="850">
        <f t="shared" si="14"/>
        <v>0</v>
      </c>
      <c r="Y74" s="849">
        <f t="shared" si="26"/>
        <v>0</v>
      </c>
      <c r="Z74" s="850">
        <f t="shared" si="27"/>
        <v>0</v>
      </c>
      <c r="AA74" s="849">
        <f t="shared" si="28"/>
        <v>0</v>
      </c>
      <c r="AB74" s="850">
        <f t="shared" si="15"/>
        <v>0</v>
      </c>
      <c r="AC74" s="849">
        <f t="shared" si="16"/>
        <v>0</v>
      </c>
      <c r="AD74" s="850">
        <f t="shared" si="29"/>
        <v>0</v>
      </c>
      <c r="AE74" s="849">
        <f t="shared" si="17"/>
        <v>0</v>
      </c>
      <c r="AF74" s="850">
        <f t="shared" si="30"/>
        <v>0</v>
      </c>
      <c r="AG74" s="849">
        <f t="shared" si="31"/>
        <v>0</v>
      </c>
      <c r="AH74" s="850">
        <f t="shared" si="32"/>
        <v>0</v>
      </c>
      <c r="AI74" s="853">
        <f t="shared" si="33"/>
        <v>0</v>
      </c>
    </row>
    <row r="75" spans="1:35" x14ac:dyDescent="0.25">
      <c r="A75" s="827">
        <v>29</v>
      </c>
      <c r="B75" s="848">
        <f t="shared" si="0"/>
        <v>0</v>
      </c>
      <c r="C75" s="849">
        <f t="shared" si="1"/>
        <v>0</v>
      </c>
      <c r="D75" s="850">
        <f t="shared" si="18"/>
        <v>0</v>
      </c>
      <c r="E75" s="849">
        <f t="shared" si="2"/>
        <v>0</v>
      </c>
      <c r="F75" s="850">
        <f t="shared" si="19"/>
        <v>0</v>
      </c>
      <c r="G75" s="849">
        <f t="shared" si="3"/>
        <v>0</v>
      </c>
      <c r="H75" s="850">
        <f t="shared" si="4"/>
        <v>0</v>
      </c>
      <c r="I75" s="849">
        <f t="shared" si="5"/>
        <v>0</v>
      </c>
      <c r="J75" s="850">
        <f t="shared" si="20"/>
        <v>0</v>
      </c>
      <c r="K75" s="849">
        <f t="shared" si="6"/>
        <v>0</v>
      </c>
      <c r="L75" s="850">
        <f t="shared" si="21"/>
        <v>0</v>
      </c>
      <c r="M75" s="849">
        <f t="shared" si="22"/>
        <v>0</v>
      </c>
      <c r="N75" s="850">
        <f t="shared" si="7"/>
        <v>0</v>
      </c>
      <c r="O75" s="849">
        <f t="shared" si="8"/>
        <v>0</v>
      </c>
      <c r="P75" s="850">
        <f t="shared" si="9"/>
        <v>0</v>
      </c>
      <c r="Q75" s="849">
        <f t="shared" si="23"/>
        <v>0</v>
      </c>
      <c r="R75" s="851">
        <f t="shared" si="24"/>
        <v>0</v>
      </c>
      <c r="S75" s="852">
        <f t="shared" si="10"/>
        <v>0</v>
      </c>
      <c r="T75" s="850">
        <f t="shared" si="11"/>
        <v>0</v>
      </c>
      <c r="U75" s="849">
        <f t="shared" si="12"/>
        <v>0</v>
      </c>
      <c r="V75" s="850">
        <f t="shared" si="13"/>
        <v>0</v>
      </c>
      <c r="W75" s="849">
        <f t="shared" si="25"/>
        <v>0</v>
      </c>
      <c r="X75" s="850">
        <f t="shared" si="14"/>
        <v>0</v>
      </c>
      <c r="Y75" s="849">
        <f t="shared" si="26"/>
        <v>0</v>
      </c>
      <c r="Z75" s="850">
        <f t="shared" si="27"/>
        <v>0</v>
      </c>
      <c r="AA75" s="849">
        <f t="shared" si="28"/>
        <v>0</v>
      </c>
      <c r="AB75" s="850">
        <f t="shared" si="15"/>
        <v>0</v>
      </c>
      <c r="AC75" s="849">
        <f t="shared" si="16"/>
        <v>0</v>
      </c>
      <c r="AD75" s="850">
        <f t="shared" si="29"/>
        <v>0</v>
      </c>
      <c r="AE75" s="849">
        <f t="shared" si="17"/>
        <v>0</v>
      </c>
      <c r="AF75" s="850">
        <f t="shared" si="30"/>
        <v>0</v>
      </c>
      <c r="AG75" s="849">
        <f t="shared" si="31"/>
        <v>0</v>
      </c>
      <c r="AH75" s="850">
        <f t="shared" si="32"/>
        <v>0</v>
      </c>
      <c r="AI75" s="853">
        <f t="shared" si="33"/>
        <v>0</v>
      </c>
    </row>
    <row r="76" spans="1:35" x14ac:dyDescent="0.25">
      <c r="A76" s="827">
        <v>30</v>
      </c>
      <c r="B76" s="848">
        <f t="shared" si="0"/>
        <v>0</v>
      </c>
      <c r="C76" s="849">
        <f t="shared" si="1"/>
        <v>0</v>
      </c>
      <c r="D76" s="850">
        <f t="shared" si="18"/>
        <v>0</v>
      </c>
      <c r="E76" s="849">
        <f t="shared" si="2"/>
        <v>0</v>
      </c>
      <c r="F76" s="850">
        <f t="shared" si="19"/>
        <v>0</v>
      </c>
      <c r="G76" s="849">
        <f t="shared" si="3"/>
        <v>0</v>
      </c>
      <c r="H76" s="850">
        <f t="shared" si="4"/>
        <v>0</v>
      </c>
      <c r="I76" s="849">
        <f t="shared" si="5"/>
        <v>0</v>
      </c>
      <c r="J76" s="850">
        <f t="shared" si="20"/>
        <v>0</v>
      </c>
      <c r="K76" s="849">
        <f t="shared" si="6"/>
        <v>0</v>
      </c>
      <c r="L76" s="850">
        <f t="shared" si="21"/>
        <v>0</v>
      </c>
      <c r="M76" s="849">
        <f t="shared" si="22"/>
        <v>0</v>
      </c>
      <c r="N76" s="850">
        <f t="shared" si="7"/>
        <v>0</v>
      </c>
      <c r="O76" s="849">
        <f t="shared" si="8"/>
        <v>0</v>
      </c>
      <c r="P76" s="850">
        <f t="shared" si="9"/>
        <v>0</v>
      </c>
      <c r="Q76" s="849">
        <f t="shared" si="23"/>
        <v>0</v>
      </c>
      <c r="R76" s="851">
        <f t="shared" si="24"/>
        <v>0</v>
      </c>
      <c r="S76" s="852">
        <f t="shared" si="10"/>
        <v>0</v>
      </c>
      <c r="T76" s="850">
        <f t="shared" si="11"/>
        <v>0</v>
      </c>
      <c r="U76" s="849">
        <f t="shared" si="12"/>
        <v>0</v>
      </c>
      <c r="V76" s="850">
        <f t="shared" si="13"/>
        <v>0</v>
      </c>
      <c r="W76" s="849">
        <f t="shared" si="25"/>
        <v>0</v>
      </c>
      <c r="X76" s="850">
        <f t="shared" si="14"/>
        <v>0</v>
      </c>
      <c r="Y76" s="849">
        <f t="shared" si="26"/>
        <v>0</v>
      </c>
      <c r="Z76" s="850">
        <f t="shared" si="27"/>
        <v>0</v>
      </c>
      <c r="AA76" s="849">
        <f t="shared" si="28"/>
        <v>0</v>
      </c>
      <c r="AB76" s="850">
        <f t="shared" si="15"/>
        <v>0</v>
      </c>
      <c r="AC76" s="849">
        <f t="shared" si="16"/>
        <v>0</v>
      </c>
      <c r="AD76" s="850">
        <f t="shared" si="29"/>
        <v>0</v>
      </c>
      <c r="AE76" s="849">
        <f t="shared" si="17"/>
        <v>0</v>
      </c>
      <c r="AF76" s="850">
        <f t="shared" si="30"/>
        <v>0</v>
      </c>
      <c r="AG76" s="849">
        <f t="shared" si="31"/>
        <v>0</v>
      </c>
      <c r="AH76" s="850">
        <f t="shared" si="32"/>
        <v>0</v>
      </c>
      <c r="AI76" s="853">
        <f t="shared" si="33"/>
        <v>0</v>
      </c>
    </row>
    <row r="77" spans="1:35" x14ac:dyDescent="0.25">
      <c r="A77" s="827">
        <v>31</v>
      </c>
      <c r="B77" s="848">
        <f t="shared" si="0"/>
        <v>0</v>
      </c>
      <c r="C77" s="849">
        <f t="shared" si="1"/>
        <v>0</v>
      </c>
      <c r="D77" s="850">
        <f t="shared" si="18"/>
        <v>0</v>
      </c>
      <c r="E77" s="849">
        <f t="shared" si="2"/>
        <v>0</v>
      </c>
      <c r="F77" s="850">
        <f t="shared" si="19"/>
        <v>0</v>
      </c>
      <c r="G77" s="849">
        <f t="shared" si="3"/>
        <v>0</v>
      </c>
      <c r="H77" s="850">
        <f t="shared" si="4"/>
        <v>0</v>
      </c>
      <c r="I77" s="849">
        <f t="shared" si="5"/>
        <v>0</v>
      </c>
      <c r="J77" s="850">
        <f t="shared" si="20"/>
        <v>0</v>
      </c>
      <c r="K77" s="849">
        <f t="shared" si="6"/>
        <v>0</v>
      </c>
      <c r="L77" s="850">
        <f t="shared" si="21"/>
        <v>0</v>
      </c>
      <c r="M77" s="849">
        <f t="shared" si="22"/>
        <v>0</v>
      </c>
      <c r="N77" s="850">
        <f t="shared" si="7"/>
        <v>0</v>
      </c>
      <c r="O77" s="849">
        <f t="shared" si="8"/>
        <v>0</v>
      </c>
      <c r="P77" s="850">
        <f t="shared" si="9"/>
        <v>0</v>
      </c>
      <c r="Q77" s="849">
        <f t="shared" si="23"/>
        <v>0</v>
      </c>
      <c r="R77" s="851">
        <f t="shared" si="24"/>
        <v>0</v>
      </c>
      <c r="S77" s="852">
        <f t="shared" si="10"/>
        <v>0</v>
      </c>
      <c r="T77" s="850">
        <f t="shared" si="11"/>
        <v>0</v>
      </c>
      <c r="U77" s="849">
        <f t="shared" si="12"/>
        <v>0</v>
      </c>
      <c r="V77" s="850">
        <f t="shared" si="13"/>
        <v>0</v>
      </c>
      <c r="W77" s="849">
        <f t="shared" si="25"/>
        <v>0</v>
      </c>
      <c r="X77" s="850">
        <f t="shared" si="14"/>
        <v>0</v>
      </c>
      <c r="Y77" s="849">
        <f t="shared" si="26"/>
        <v>0</v>
      </c>
      <c r="Z77" s="850">
        <f t="shared" si="27"/>
        <v>0</v>
      </c>
      <c r="AA77" s="849">
        <f t="shared" si="28"/>
        <v>0</v>
      </c>
      <c r="AB77" s="850">
        <f t="shared" si="15"/>
        <v>0</v>
      </c>
      <c r="AC77" s="849">
        <f t="shared" si="16"/>
        <v>0</v>
      </c>
      <c r="AD77" s="850">
        <f t="shared" si="29"/>
        <v>0</v>
      </c>
      <c r="AE77" s="849">
        <f t="shared" si="17"/>
        <v>0</v>
      </c>
      <c r="AF77" s="850">
        <f t="shared" si="30"/>
        <v>0</v>
      </c>
      <c r="AG77" s="849">
        <f t="shared" si="31"/>
        <v>0</v>
      </c>
      <c r="AH77" s="850">
        <f t="shared" si="32"/>
        <v>0</v>
      </c>
      <c r="AI77" s="853">
        <f t="shared" si="33"/>
        <v>0</v>
      </c>
    </row>
    <row r="78" spans="1:35" x14ac:dyDescent="0.25">
      <c r="A78" s="827">
        <v>32</v>
      </c>
      <c r="B78" s="848">
        <f t="shared" si="0"/>
        <v>0</v>
      </c>
      <c r="C78" s="849">
        <f t="shared" si="1"/>
        <v>0</v>
      </c>
      <c r="D78" s="850">
        <f t="shared" si="18"/>
        <v>0</v>
      </c>
      <c r="E78" s="849">
        <f t="shared" si="2"/>
        <v>0</v>
      </c>
      <c r="F78" s="850">
        <f t="shared" si="19"/>
        <v>0</v>
      </c>
      <c r="G78" s="849">
        <f t="shared" si="3"/>
        <v>0</v>
      </c>
      <c r="H78" s="850">
        <f t="shared" si="4"/>
        <v>0</v>
      </c>
      <c r="I78" s="849">
        <f t="shared" si="5"/>
        <v>0</v>
      </c>
      <c r="J78" s="850">
        <f t="shared" si="20"/>
        <v>0</v>
      </c>
      <c r="K78" s="849">
        <f t="shared" si="6"/>
        <v>0</v>
      </c>
      <c r="L78" s="850">
        <f t="shared" si="21"/>
        <v>0</v>
      </c>
      <c r="M78" s="849">
        <f t="shared" si="22"/>
        <v>0</v>
      </c>
      <c r="N78" s="850">
        <f t="shared" si="7"/>
        <v>0</v>
      </c>
      <c r="O78" s="849">
        <f t="shared" si="8"/>
        <v>0</v>
      </c>
      <c r="P78" s="850">
        <f t="shared" si="9"/>
        <v>0</v>
      </c>
      <c r="Q78" s="849">
        <f t="shared" si="23"/>
        <v>0</v>
      </c>
      <c r="R78" s="851">
        <f t="shared" si="24"/>
        <v>0</v>
      </c>
      <c r="S78" s="852">
        <f t="shared" si="10"/>
        <v>0</v>
      </c>
      <c r="T78" s="850">
        <f t="shared" si="11"/>
        <v>0</v>
      </c>
      <c r="U78" s="849">
        <f t="shared" si="12"/>
        <v>0</v>
      </c>
      <c r="V78" s="850">
        <f t="shared" si="13"/>
        <v>0</v>
      </c>
      <c r="W78" s="849">
        <f t="shared" si="25"/>
        <v>0</v>
      </c>
      <c r="X78" s="850">
        <f t="shared" si="14"/>
        <v>0</v>
      </c>
      <c r="Y78" s="849">
        <f t="shared" si="26"/>
        <v>0</v>
      </c>
      <c r="Z78" s="850">
        <f t="shared" si="27"/>
        <v>0</v>
      </c>
      <c r="AA78" s="849">
        <f t="shared" si="28"/>
        <v>0</v>
      </c>
      <c r="AB78" s="850">
        <f t="shared" si="15"/>
        <v>0</v>
      </c>
      <c r="AC78" s="849">
        <f t="shared" si="16"/>
        <v>0</v>
      </c>
      <c r="AD78" s="850">
        <f t="shared" si="29"/>
        <v>0</v>
      </c>
      <c r="AE78" s="849">
        <f t="shared" si="17"/>
        <v>0</v>
      </c>
      <c r="AF78" s="850">
        <f t="shared" si="30"/>
        <v>0</v>
      </c>
      <c r="AG78" s="849">
        <f t="shared" si="31"/>
        <v>0</v>
      </c>
      <c r="AH78" s="850">
        <f t="shared" si="32"/>
        <v>0</v>
      </c>
      <c r="AI78" s="853">
        <f t="shared" si="33"/>
        <v>0</v>
      </c>
    </row>
    <row r="79" spans="1:35" x14ac:dyDescent="0.25">
      <c r="A79" s="827">
        <v>33</v>
      </c>
      <c r="B79" s="848">
        <f t="shared" si="0"/>
        <v>0</v>
      </c>
      <c r="C79" s="849">
        <f t="shared" si="1"/>
        <v>0</v>
      </c>
      <c r="D79" s="850">
        <f t="shared" si="18"/>
        <v>0</v>
      </c>
      <c r="E79" s="849">
        <f t="shared" si="2"/>
        <v>0</v>
      </c>
      <c r="F79" s="850">
        <f t="shared" si="19"/>
        <v>0</v>
      </c>
      <c r="G79" s="849">
        <f t="shared" si="3"/>
        <v>0</v>
      </c>
      <c r="H79" s="850">
        <f t="shared" si="4"/>
        <v>0</v>
      </c>
      <c r="I79" s="849">
        <f t="shared" si="5"/>
        <v>0</v>
      </c>
      <c r="J79" s="850">
        <f t="shared" si="20"/>
        <v>0</v>
      </c>
      <c r="K79" s="849">
        <f t="shared" si="6"/>
        <v>0</v>
      </c>
      <c r="L79" s="850">
        <f t="shared" si="21"/>
        <v>0</v>
      </c>
      <c r="M79" s="849">
        <f t="shared" si="22"/>
        <v>0</v>
      </c>
      <c r="N79" s="850">
        <f t="shared" si="7"/>
        <v>0</v>
      </c>
      <c r="O79" s="849">
        <f t="shared" si="8"/>
        <v>0</v>
      </c>
      <c r="P79" s="850">
        <f t="shared" si="9"/>
        <v>0</v>
      </c>
      <c r="Q79" s="849">
        <f t="shared" si="23"/>
        <v>0</v>
      </c>
      <c r="R79" s="851">
        <f t="shared" si="24"/>
        <v>0</v>
      </c>
      <c r="S79" s="852">
        <f t="shared" si="10"/>
        <v>0</v>
      </c>
      <c r="T79" s="850">
        <f t="shared" si="11"/>
        <v>0</v>
      </c>
      <c r="U79" s="849">
        <f t="shared" si="12"/>
        <v>0</v>
      </c>
      <c r="V79" s="850">
        <f t="shared" si="13"/>
        <v>0</v>
      </c>
      <c r="W79" s="849">
        <f t="shared" si="25"/>
        <v>0</v>
      </c>
      <c r="X79" s="850">
        <f t="shared" si="14"/>
        <v>0</v>
      </c>
      <c r="Y79" s="849">
        <f t="shared" si="26"/>
        <v>0</v>
      </c>
      <c r="Z79" s="850">
        <f t="shared" si="27"/>
        <v>0</v>
      </c>
      <c r="AA79" s="849">
        <f t="shared" si="28"/>
        <v>0</v>
      </c>
      <c r="AB79" s="850">
        <f t="shared" si="15"/>
        <v>0</v>
      </c>
      <c r="AC79" s="849">
        <f t="shared" si="16"/>
        <v>0</v>
      </c>
      <c r="AD79" s="850">
        <f t="shared" si="29"/>
        <v>0</v>
      </c>
      <c r="AE79" s="849">
        <f t="shared" si="17"/>
        <v>0</v>
      </c>
      <c r="AF79" s="850">
        <f t="shared" si="30"/>
        <v>0</v>
      </c>
      <c r="AG79" s="849">
        <f t="shared" si="31"/>
        <v>0</v>
      </c>
      <c r="AH79" s="850">
        <f t="shared" si="32"/>
        <v>0</v>
      </c>
      <c r="AI79" s="853">
        <f t="shared" si="33"/>
        <v>0</v>
      </c>
    </row>
    <row r="80" spans="1:35" x14ac:dyDescent="0.25">
      <c r="A80" s="827">
        <v>34</v>
      </c>
      <c r="B80" s="848">
        <f t="shared" si="0"/>
        <v>0</v>
      </c>
      <c r="C80" s="849">
        <f t="shared" si="1"/>
        <v>0</v>
      </c>
      <c r="D80" s="850">
        <f t="shared" si="18"/>
        <v>0</v>
      </c>
      <c r="E80" s="849">
        <f t="shared" si="2"/>
        <v>0</v>
      </c>
      <c r="F80" s="850">
        <f t="shared" si="19"/>
        <v>0</v>
      </c>
      <c r="G80" s="849">
        <f t="shared" si="3"/>
        <v>0</v>
      </c>
      <c r="H80" s="850">
        <f t="shared" si="4"/>
        <v>0</v>
      </c>
      <c r="I80" s="849">
        <f t="shared" si="5"/>
        <v>0</v>
      </c>
      <c r="J80" s="850">
        <f t="shared" si="20"/>
        <v>0</v>
      </c>
      <c r="K80" s="849">
        <f t="shared" si="6"/>
        <v>0</v>
      </c>
      <c r="L80" s="850">
        <f t="shared" si="21"/>
        <v>0</v>
      </c>
      <c r="M80" s="849">
        <f t="shared" si="22"/>
        <v>0</v>
      </c>
      <c r="N80" s="850">
        <f t="shared" si="7"/>
        <v>0</v>
      </c>
      <c r="O80" s="849">
        <f t="shared" si="8"/>
        <v>0</v>
      </c>
      <c r="P80" s="850">
        <f t="shared" si="9"/>
        <v>0</v>
      </c>
      <c r="Q80" s="849">
        <f t="shared" si="23"/>
        <v>0</v>
      </c>
      <c r="R80" s="851">
        <f t="shared" si="24"/>
        <v>0</v>
      </c>
      <c r="S80" s="852">
        <f t="shared" si="10"/>
        <v>0</v>
      </c>
      <c r="T80" s="850">
        <f t="shared" si="11"/>
        <v>0</v>
      </c>
      <c r="U80" s="849">
        <f t="shared" si="12"/>
        <v>0</v>
      </c>
      <c r="V80" s="850">
        <f t="shared" si="13"/>
        <v>0</v>
      </c>
      <c r="W80" s="849">
        <f t="shared" si="25"/>
        <v>0</v>
      </c>
      <c r="X80" s="850">
        <f t="shared" si="14"/>
        <v>0</v>
      </c>
      <c r="Y80" s="849">
        <f t="shared" si="26"/>
        <v>0</v>
      </c>
      <c r="Z80" s="850">
        <f t="shared" si="27"/>
        <v>0</v>
      </c>
      <c r="AA80" s="849">
        <f t="shared" si="28"/>
        <v>0</v>
      </c>
      <c r="AB80" s="850">
        <f t="shared" si="15"/>
        <v>0</v>
      </c>
      <c r="AC80" s="849">
        <f t="shared" si="16"/>
        <v>0</v>
      </c>
      <c r="AD80" s="850">
        <f t="shared" si="29"/>
        <v>0</v>
      </c>
      <c r="AE80" s="849">
        <f t="shared" si="17"/>
        <v>0</v>
      </c>
      <c r="AF80" s="850">
        <f t="shared" si="30"/>
        <v>0</v>
      </c>
      <c r="AG80" s="849">
        <f t="shared" si="31"/>
        <v>0</v>
      </c>
      <c r="AH80" s="850">
        <f t="shared" si="32"/>
        <v>0</v>
      </c>
      <c r="AI80" s="853">
        <f t="shared" si="33"/>
        <v>0</v>
      </c>
    </row>
    <row r="81" spans="1:35" x14ac:dyDescent="0.25">
      <c r="A81" s="827">
        <v>35</v>
      </c>
      <c r="B81" s="848">
        <f t="shared" si="0"/>
        <v>0</v>
      </c>
      <c r="C81" s="849">
        <f t="shared" si="1"/>
        <v>0</v>
      </c>
      <c r="D81" s="850">
        <f t="shared" si="18"/>
        <v>0</v>
      </c>
      <c r="E81" s="849">
        <f t="shared" si="2"/>
        <v>0</v>
      </c>
      <c r="F81" s="850">
        <f t="shared" si="19"/>
        <v>0</v>
      </c>
      <c r="G81" s="849">
        <f t="shared" si="3"/>
        <v>0</v>
      </c>
      <c r="H81" s="850">
        <f t="shared" si="4"/>
        <v>0</v>
      </c>
      <c r="I81" s="849">
        <f t="shared" si="5"/>
        <v>0</v>
      </c>
      <c r="J81" s="850">
        <f t="shared" si="20"/>
        <v>0</v>
      </c>
      <c r="K81" s="849">
        <f t="shared" si="6"/>
        <v>0</v>
      </c>
      <c r="L81" s="850">
        <f t="shared" si="21"/>
        <v>0</v>
      </c>
      <c r="M81" s="849">
        <f t="shared" si="22"/>
        <v>0</v>
      </c>
      <c r="N81" s="850">
        <f t="shared" si="7"/>
        <v>0</v>
      </c>
      <c r="O81" s="849">
        <f t="shared" si="8"/>
        <v>0</v>
      </c>
      <c r="P81" s="850">
        <f t="shared" si="9"/>
        <v>0</v>
      </c>
      <c r="Q81" s="849">
        <f t="shared" si="23"/>
        <v>0</v>
      </c>
      <c r="R81" s="851">
        <f t="shared" si="24"/>
        <v>0</v>
      </c>
      <c r="S81" s="852">
        <f t="shared" si="10"/>
        <v>0</v>
      </c>
      <c r="T81" s="850">
        <f t="shared" si="11"/>
        <v>0</v>
      </c>
      <c r="U81" s="849">
        <f t="shared" si="12"/>
        <v>0</v>
      </c>
      <c r="V81" s="850">
        <f t="shared" si="13"/>
        <v>0</v>
      </c>
      <c r="W81" s="849">
        <f t="shared" si="25"/>
        <v>0</v>
      </c>
      <c r="X81" s="850">
        <f t="shared" si="14"/>
        <v>0</v>
      </c>
      <c r="Y81" s="849">
        <f t="shared" si="26"/>
        <v>0</v>
      </c>
      <c r="Z81" s="850">
        <f t="shared" si="27"/>
        <v>0</v>
      </c>
      <c r="AA81" s="849">
        <f t="shared" si="28"/>
        <v>0</v>
      </c>
      <c r="AB81" s="850">
        <f t="shared" si="15"/>
        <v>0</v>
      </c>
      <c r="AC81" s="849">
        <f t="shared" si="16"/>
        <v>0</v>
      </c>
      <c r="AD81" s="850">
        <f t="shared" si="29"/>
        <v>0</v>
      </c>
      <c r="AE81" s="849">
        <f t="shared" si="17"/>
        <v>0</v>
      </c>
      <c r="AF81" s="850">
        <f t="shared" si="30"/>
        <v>0</v>
      </c>
      <c r="AG81" s="849">
        <f t="shared" si="31"/>
        <v>0</v>
      </c>
      <c r="AH81" s="850">
        <f t="shared" si="32"/>
        <v>0</v>
      </c>
      <c r="AI81" s="853">
        <f t="shared" si="33"/>
        <v>0</v>
      </c>
    </row>
    <row r="82" spans="1:35" x14ac:dyDescent="0.25">
      <c r="A82" s="827">
        <v>36</v>
      </c>
      <c r="B82" s="848">
        <f t="shared" si="0"/>
        <v>0</v>
      </c>
      <c r="C82" s="849">
        <f t="shared" si="1"/>
        <v>0</v>
      </c>
      <c r="D82" s="850">
        <f t="shared" si="18"/>
        <v>0</v>
      </c>
      <c r="E82" s="849">
        <f t="shared" si="2"/>
        <v>0</v>
      </c>
      <c r="F82" s="850">
        <f t="shared" si="19"/>
        <v>0</v>
      </c>
      <c r="G82" s="849">
        <f t="shared" si="3"/>
        <v>0</v>
      </c>
      <c r="H82" s="850">
        <f t="shared" si="4"/>
        <v>0</v>
      </c>
      <c r="I82" s="849">
        <f t="shared" si="5"/>
        <v>0</v>
      </c>
      <c r="J82" s="850">
        <f t="shared" si="20"/>
        <v>0</v>
      </c>
      <c r="K82" s="849">
        <f t="shared" si="6"/>
        <v>0</v>
      </c>
      <c r="L82" s="850">
        <f t="shared" si="21"/>
        <v>0</v>
      </c>
      <c r="M82" s="849">
        <f t="shared" si="22"/>
        <v>0</v>
      </c>
      <c r="N82" s="850">
        <f t="shared" si="7"/>
        <v>0</v>
      </c>
      <c r="O82" s="849">
        <f t="shared" si="8"/>
        <v>0</v>
      </c>
      <c r="P82" s="850">
        <f t="shared" si="9"/>
        <v>0</v>
      </c>
      <c r="Q82" s="849">
        <f t="shared" si="23"/>
        <v>0</v>
      </c>
      <c r="R82" s="851">
        <f t="shared" si="24"/>
        <v>0</v>
      </c>
      <c r="S82" s="852">
        <f t="shared" si="10"/>
        <v>0</v>
      </c>
      <c r="T82" s="850">
        <f t="shared" si="11"/>
        <v>0</v>
      </c>
      <c r="U82" s="849">
        <f t="shared" si="12"/>
        <v>0</v>
      </c>
      <c r="V82" s="850">
        <f t="shared" si="13"/>
        <v>0</v>
      </c>
      <c r="W82" s="849">
        <f t="shared" si="25"/>
        <v>0</v>
      </c>
      <c r="X82" s="850">
        <f t="shared" si="14"/>
        <v>0</v>
      </c>
      <c r="Y82" s="849">
        <f t="shared" si="26"/>
        <v>0</v>
      </c>
      <c r="Z82" s="850">
        <f t="shared" si="27"/>
        <v>0</v>
      </c>
      <c r="AA82" s="849">
        <f t="shared" si="28"/>
        <v>0</v>
      </c>
      <c r="AB82" s="850">
        <f t="shared" si="15"/>
        <v>0</v>
      </c>
      <c r="AC82" s="849">
        <f t="shared" si="16"/>
        <v>0</v>
      </c>
      <c r="AD82" s="850">
        <f t="shared" si="29"/>
        <v>0</v>
      </c>
      <c r="AE82" s="849">
        <f t="shared" si="17"/>
        <v>0</v>
      </c>
      <c r="AF82" s="850">
        <f t="shared" si="30"/>
        <v>0</v>
      </c>
      <c r="AG82" s="849">
        <f t="shared" si="31"/>
        <v>0</v>
      </c>
      <c r="AH82" s="850">
        <f t="shared" si="32"/>
        <v>0</v>
      </c>
      <c r="AI82" s="853">
        <f t="shared" si="33"/>
        <v>0</v>
      </c>
    </row>
    <row r="83" spans="1:35" x14ac:dyDescent="0.25">
      <c r="A83" s="827">
        <v>37</v>
      </c>
      <c r="B83" s="848">
        <f t="shared" si="0"/>
        <v>0</v>
      </c>
      <c r="C83" s="849">
        <f t="shared" si="1"/>
        <v>0</v>
      </c>
      <c r="D83" s="850">
        <f t="shared" si="18"/>
        <v>0</v>
      </c>
      <c r="E83" s="849">
        <f t="shared" si="2"/>
        <v>0</v>
      </c>
      <c r="F83" s="850">
        <f t="shared" si="19"/>
        <v>0</v>
      </c>
      <c r="G83" s="849">
        <f t="shared" si="3"/>
        <v>0</v>
      </c>
      <c r="H83" s="850">
        <f t="shared" si="4"/>
        <v>0</v>
      </c>
      <c r="I83" s="849">
        <f t="shared" si="5"/>
        <v>0</v>
      </c>
      <c r="J83" s="850">
        <f t="shared" si="20"/>
        <v>0</v>
      </c>
      <c r="K83" s="849">
        <f t="shared" si="6"/>
        <v>0</v>
      </c>
      <c r="L83" s="850">
        <f t="shared" si="21"/>
        <v>0</v>
      </c>
      <c r="M83" s="849">
        <f t="shared" si="22"/>
        <v>0</v>
      </c>
      <c r="N83" s="850">
        <f t="shared" si="7"/>
        <v>0</v>
      </c>
      <c r="O83" s="849">
        <f t="shared" si="8"/>
        <v>0</v>
      </c>
      <c r="P83" s="850">
        <f t="shared" si="9"/>
        <v>0</v>
      </c>
      <c r="Q83" s="849">
        <f t="shared" si="23"/>
        <v>0</v>
      </c>
      <c r="R83" s="851">
        <f t="shared" si="24"/>
        <v>0</v>
      </c>
      <c r="S83" s="852">
        <f t="shared" si="10"/>
        <v>0</v>
      </c>
      <c r="T83" s="850">
        <f t="shared" si="11"/>
        <v>0</v>
      </c>
      <c r="U83" s="849">
        <f t="shared" si="12"/>
        <v>0</v>
      </c>
      <c r="V83" s="850">
        <f t="shared" si="13"/>
        <v>0</v>
      </c>
      <c r="W83" s="849">
        <f t="shared" si="25"/>
        <v>0</v>
      </c>
      <c r="X83" s="850">
        <f t="shared" si="14"/>
        <v>0</v>
      </c>
      <c r="Y83" s="849">
        <f t="shared" si="26"/>
        <v>0</v>
      </c>
      <c r="Z83" s="850">
        <f t="shared" si="27"/>
        <v>0</v>
      </c>
      <c r="AA83" s="849">
        <f t="shared" si="28"/>
        <v>0</v>
      </c>
      <c r="AB83" s="850">
        <f t="shared" si="15"/>
        <v>0</v>
      </c>
      <c r="AC83" s="849">
        <f t="shared" si="16"/>
        <v>0</v>
      </c>
      <c r="AD83" s="850">
        <f t="shared" si="29"/>
        <v>0</v>
      </c>
      <c r="AE83" s="849">
        <f t="shared" si="17"/>
        <v>0</v>
      </c>
      <c r="AF83" s="850">
        <f t="shared" si="30"/>
        <v>0</v>
      </c>
      <c r="AG83" s="849">
        <f t="shared" si="31"/>
        <v>0</v>
      </c>
      <c r="AH83" s="850">
        <f t="shared" si="32"/>
        <v>0</v>
      </c>
      <c r="AI83" s="853">
        <f t="shared" si="33"/>
        <v>0</v>
      </c>
    </row>
    <row r="84" spans="1:35" x14ac:dyDescent="0.25">
      <c r="A84" s="827">
        <v>38</v>
      </c>
      <c r="B84" s="848">
        <f t="shared" si="0"/>
        <v>0</v>
      </c>
      <c r="C84" s="849">
        <f t="shared" si="1"/>
        <v>0</v>
      </c>
      <c r="D84" s="850">
        <f t="shared" si="18"/>
        <v>0</v>
      </c>
      <c r="E84" s="849">
        <f t="shared" si="2"/>
        <v>0</v>
      </c>
      <c r="F84" s="850">
        <f t="shared" si="19"/>
        <v>0</v>
      </c>
      <c r="G84" s="849">
        <f t="shared" si="3"/>
        <v>0</v>
      </c>
      <c r="H84" s="850">
        <f t="shared" si="4"/>
        <v>0</v>
      </c>
      <c r="I84" s="849">
        <f t="shared" si="5"/>
        <v>0</v>
      </c>
      <c r="J84" s="850">
        <f t="shared" si="20"/>
        <v>0</v>
      </c>
      <c r="K84" s="849">
        <f t="shared" si="6"/>
        <v>0</v>
      </c>
      <c r="L84" s="850">
        <f t="shared" si="21"/>
        <v>0</v>
      </c>
      <c r="M84" s="849">
        <f t="shared" si="22"/>
        <v>0</v>
      </c>
      <c r="N84" s="850">
        <f t="shared" si="7"/>
        <v>0</v>
      </c>
      <c r="O84" s="849">
        <f t="shared" si="8"/>
        <v>0</v>
      </c>
      <c r="P84" s="850">
        <f t="shared" si="9"/>
        <v>0</v>
      </c>
      <c r="Q84" s="849">
        <f t="shared" si="23"/>
        <v>0</v>
      </c>
      <c r="R84" s="851">
        <f t="shared" si="24"/>
        <v>0</v>
      </c>
      <c r="S84" s="852">
        <f t="shared" si="10"/>
        <v>0</v>
      </c>
      <c r="T84" s="850">
        <f t="shared" si="11"/>
        <v>0</v>
      </c>
      <c r="U84" s="849">
        <f t="shared" si="12"/>
        <v>0</v>
      </c>
      <c r="V84" s="850">
        <f t="shared" si="13"/>
        <v>0</v>
      </c>
      <c r="W84" s="849">
        <f t="shared" si="25"/>
        <v>0</v>
      </c>
      <c r="X84" s="850">
        <f t="shared" si="14"/>
        <v>0</v>
      </c>
      <c r="Y84" s="849">
        <f t="shared" si="26"/>
        <v>0</v>
      </c>
      <c r="Z84" s="850">
        <f t="shared" si="27"/>
        <v>0</v>
      </c>
      <c r="AA84" s="849">
        <f t="shared" si="28"/>
        <v>0</v>
      </c>
      <c r="AB84" s="850">
        <f t="shared" si="15"/>
        <v>0</v>
      </c>
      <c r="AC84" s="849">
        <f t="shared" si="16"/>
        <v>0</v>
      </c>
      <c r="AD84" s="850">
        <f t="shared" si="29"/>
        <v>0</v>
      </c>
      <c r="AE84" s="849">
        <f t="shared" si="17"/>
        <v>0</v>
      </c>
      <c r="AF84" s="850">
        <f t="shared" si="30"/>
        <v>0</v>
      </c>
      <c r="AG84" s="849">
        <f t="shared" si="31"/>
        <v>0</v>
      </c>
      <c r="AH84" s="850">
        <f t="shared" si="32"/>
        <v>0</v>
      </c>
      <c r="AI84" s="853">
        <f t="shared" si="33"/>
        <v>0</v>
      </c>
    </row>
    <row r="85" spans="1:35" x14ac:dyDescent="0.25">
      <c r="A85" s="827">
        <v>39</v>
      </c>
      <c r="B85" s="848">
        <f t="shared" si="0"/>
        <v>0</v>
      </c>
      <c r="C85" s="849">
        <f t="shared" si="1"/>
        <v>0</v>
      </c>
      <c r="D85" s="850">
        <f t="shared" si="18"/>
        <v>0</v>
      </c>
      <c r="E85" s="849">
        <f t="shared" si="2"/>
        <v>0</v>
      </c>
      <c r="F85" s="850">
        <f t="shared" si="19"/>
        <v>0</v>
      </c>
      <c r="G85" s="849">
        <f t="shared" si="3"/>
        <v>0</v>
      </c>
      <c r="H85" s="850">
        <f t="shared" si="4"/>
        <v>0</v>
      </c>
      <c r="I85" s="849">
        <f t="shared" si="5"/>
        <v>0</v>
      </c>
      <c r="J85" s="850">
        <f t="shared" si="20"/>
        <v>0</v>
      </c>
      <c r="K85" s="849">
        <f t="shared" si="6"/>
        <v>0</v>
      </c>
      <c r="L85" s="850">
        <f t="shared" si="21"/>
        <v>0</v>
      </c>
      <c r="M85" s="849">
        <f t="shared" si="22"/>
        <v>0</v>
      </c>
      <c r="N85" s="850">
        <f t="shared" si="7"/>
        <v>0</v>
      </c>
      <c r="O85" s="849">
        <f t="shared" si="8"/>
        <v>0</v>
      </c>
      <c r="P85" s="850">
        <f t="shared" si="9"/>
        <v>0</v>
      </c>
      <c r="Q85" s="849">
        <f t="shared" si="23"/>
        <v>0</v>
      </c>
      <c r="R85" s="851">
        <f t="shared" si="24"/>
        <v>0</v>
      </c>
      <c r="S85" s="852">
        <f t="shared" si="10"/>
        <v>0</v>
      </c>
      <c r="T85" s="850">
        <f t="shared" si="11"/>
        <v>0</v>
      </c>
      <c r="U85" s="849">
        <f t="shared" si="12"/>
        <v>0</v>
      </c>
      <c r="V85" s="850">
        <f t="shared" si="13"/>
        <v>0</v>
      </c>
      <c r="W85" s="849">
        <f t="shared" si="25"/>
        <v>0</v>
      </c>
      <c r="X85" s="850">
        <f t="shared" si="14"/>
        <v>0</v>
      </c>
      <c r="Y85" s="849">
        <f t="shared" si="26"/>
        <v>0</v>
      </c>
      <c r="Z85" s="850">
        <f t="shared" si="27"/>
        <v>0</v>
      </c>
      <c r="AA85" s="849">
        <f t="shared" si="28"/>
        <v>0</v>
      </c>
      <c r="AB85" s="850">
        <f t="shared" si="15"/>
        <v>0</v>
      </c>
      <c r="AC85" s="849">
        <f t="shared" si="16"/>
        <v>0</v>
      </c>
      <c r="AD85" s="850">
        <f t="shared" si="29"/>
        <v>0</v>
      </c>
      <c r="AE85" s="849">
        <f t="shared" si="17"/>
        <v>0</v>
      </c>
      <c r="AF85" s="850">
        <f t="shared" si="30"/>
        <v>0</v>
      </c>
      <c r="AG85" s="849">
        <f t="shared" si="31"/>
        <v>0</v>
      </c>
      <c r="AH85" s="850">
        <f t="shared" si="32"/>
        <v>0</v>
      </c>
      <c r="AI85" s="853">
        <f t="shared" si="33"/>
        <v>0</v>
      </c>
    </row>
    <row r="86" spans="1:35" ht="13.8" thickBot="1" x14ac:dyDescent="0.3">
      <c r="A86" s="838">
        <v>40</v>
      </c>
      <c r="B86" s="854">
        <f t="shared" si="0"/>
        <v>0</v>
      </c>
      <c r="C86" s="855">
        <f t="shared" si="1"/>
        <v>0</v>
      </c>
      <c r="D86" s="856">
        <f t="shared" si="18"/>
        <v>0</v>
      </c>
      <c r="E86" s="855">
        <f t="shared" si="2"/>
        <v>0</v>
      </c>
      <c r="F86" s="856">
        <f t="shared" si="19"/>
        <v>0</v>
      </c>
      <c r="G86" s="855">
        <f t="shared" si="3"/>
        <v>0</v>
      </c>
      <c r="H86" s="856">
        <f t="shared" si="4"/>
        <v>0</v>
      </c>
      <c r="I86" s="855">
        <f t="shared" si="5"/>
        <v>0</v>
      </c>
      <c r="J86" s="856">
        <f t="shared" si="20"/>
        <v>0</v>
      </c>
      <c r="K86" s="855">
        <f t="shared" si="6"/>
        <v>0</v>
      </c>
      <c r="L86" s="856">
        <f t="shared" si="21"/>
        <v>0</v>
      </c>
      <c r="M86" s="855">
        <f t="shared" si="22"/>
        <v>0</v>
      </c>
      <c r="N86" s="856">
        <f t="shared" si="7"/>
        <v>0</v>
      </c>
      <c r="O86" s="855">
        <f t="shared" si="8"/>
        <v>0</v>
      </c>
      <c r="P86" s="856">
        <f t="shared" si="9"/>
        <v>0</v>
      </c>
      <c r="Q86" s="855">
        <f t="shared" si="23"/>
        <v>0</v>
      </c>
      <c r="R86" s="857">
        <f t="shared" si="24"/>
        <v>0</v>
      </c>
      <c r="S86" s="858">
        <f t="shared" si="10"/>
        <v>0</v>
      </c>
      <c r="T86" s="856">
        <f t="shared" si="11"/>
        <v>0</v>
      </c>
      <c r="U86" s="855">
        <f t="shared" si="12"/>
        <v>0</v>
      </c>
      <c r="V86" s="856">
        <f t="shared" si="13"/>
        <v>0</v>
      </c>
      <c r="W86" s="855">
        <f t="shared" si="25"/>
        <v>0</v>
      </c>
      <c r="X86" s="856">
        <f t="shared" si="14"/>
        <v>0</v>
      </c>
      <c r="Y86" s="855">
        <f t="shared" si="26"/>
        <v>0</v>
      </c>
      <c r="Z86" s="856">
        <f t="shared" si="27"/>
        <v>0</v>
      </c>
      <c r="AA86" s="855">
        <f t="shared" si="28"/>
        <v>0</v>
      </c>
      <c r="AB86" s="856">
        <f t="shared" si="15"/>
        <v>0</v>
      </c>
      <c r="AC86" s="855">
        <f t="shared" si="16"/>
        <v>0</v>
      </c>
      <c r="AD86" s="856">
        <f t="shared" si="29"/>
        <v>0</v>
      </c>
      <c r="AE86" s="855">
        <f t="shared" si="17"/>
        <v>0</v>
      </c>
      <c r="AF86" s="856">
        <f t="shared" si="30"/>
        <v>0</v>
      </c>
      <c r="AG86" s="855">
        <f t="shared" si="31"/>
        <v>0</v>
      </c>
      <c r="AH86" s="856">
        <f t="shared" si="32"/>
        <v>0</v>
      </c>
      <c r="AI86" s="859">
        <f t="shared" si="33"/>
        <v>0</v>
      </c>
    </row>
    <row r="87" spans="1:35" ht="35.85" customHeight="1" x14ac:dyDescent="0.25">
      <c r="A87" s="656"/>
    </row>
    <row r="88" spans="1:35" ht="36.6" customHeight="1" thickBot="1" x14ac:dyDescent="0.3">
      <c r="A88" s="656"/>
      <c r="V88" s="9" t="s">
        <v>325</v>
      </c>
    </row>
    <row r="89" spans="1:35" s="9" customFormat="1" ht="30" customHeight="1" thickBot="1" x14ac:dyDescent="0.35">
      <c r="A89" s="656"/>
      <c r="B89" s="860" t="s">
        <v>326</v>
      </c>
      <c r="C89" s="861"/>
      <c r="D89" s="861"/>
      <c r="E89" s="862"/>
    </row>
    <row r="90" spans="1:35" s="9" customFormat="1" ht="23.25" customHeight="1" thickBot="1" x14ac:dyDescent="0.35">
      <c r="A90" s="820" t="s">
        <v>43</v>
      </c>
      <c r="B90" s="863" t="s">
        <v>155</v>
      </c>
      <c r="C90" s="864" t="s">
        <v>156</v>
      </c>
      <c r="D90" s="864" t="s">
        <v>62</v>
      </c>
      <c r="E90" s="865" t="s">
        <v>184</v>
      </c>
      <c r="F90" s="866" t="s">
        <v>185</v>
      </c>
      <c r="G90" s="867" t="s">
        <v>97</v>
      </c>
      <c r="H90" s="865" t="s">
        <v>180</v>
      </c>
      <c r="I90" s="868" t="s">
        <v>181</v>
      </c>
      <c r="J90" s="865" t="s">
        <v>279</v>
      </c>
      <c r="K90" s="867" t="s">
        <v>280</v>
      </c>
      <c r="L90" s="869" t="s">
        <v>327</v>
      </c>
      <c r="M90" s="867" t="s">
        <v>328</v>
      </c>
      <c r="N90" s="865" t="s">
        <v>283</v>
      </c>
      <c r="O90" s="867" t="s">
        <v>284</v>
      </c>
      <c r="P90" s="869" t="s">
        <v>182</v>
      </c>
      <c r="Q90" s="868" t="s">
        <v>183</v>
      </c>
      <c r="R90" s="865" t="s">
        <v>285</v>
      </c>
      <c r="S90" s="867" t="s">
        <v>286</v>
      </c>
      <c r="T90" s="869" t="s">
        <v>329</v>
      </c>
      <c r="U90" s="867" t="s">
        <v>330</v>
      </c>
      <c r="V90" s="865" t="s">
        <v>289</v>
      </c>
      <c r="W90" s="867" t="s">
        <v>290</v>
      </c>
      <c r="X90" s="865" t="s">
        <v>170</v>
      </c>
      <c r="Y90" s="870" t="s">
        <v>331</v>
      </c>
      <c r="Z90" s="870" t="s">
        <v>332</v>
      </c>
      <c r="AA90" s="870" t="s">
        <v>333</v>
      </c>
      <c r="AB90" s="870" t="s">
        <v>334</v>
      </c>
    </row>
    <row r="91" spans="1:35" x14ac:dyDescent="0.25">
      <c r="A91" s="871">
        <v>1</v>
      </c>
      <c r="B91" s="872">
        <f ca="1">IF(AND(ABS(System!W4)+ABS(System!V4)&lt;&gt;0,F91=0),SIGN(System!V4),IF(AND(ABS(System!T4)+ABS(System!U4)&lt;&gt;0,F91=0),0,IF(ISNUMBER(System!$C4),SIGN(System!BN122),0)))</f>
        <v>0</v>
      </c>
      <c r="C91" s="873">
        <f ca="1">IF(AND(ABS(System!W4)+ABS(System!V4)&lt;&gt;0,F91=0),SIGN(System!W4),IF(AND(ABS(System!T4)+ABS(System!U4)&lt;&gt;0,F91=0),0,IF(ISNUMBER(System!$C4),SIGN(System!BO122),0)))</f>
        <v>0</v>
      </c>
      <c r="D91" s="873">
        <f ca="1">IF(ISNUMBER(System!$C4),System!BG122,0)</f>
        <v>100</v>
      </c>
      <c r="E91" s="873">
        <f ca="1">IF(ISNUMBER(System!$C4),System!BJ122,0)</f>
        <v>-0.6</v>
      </c>
      <c r="F91" s="873">
        <f ca="1">IF(ISNUMBER(System!$C4),System!BK122,0)</f>
        <v>0.8</v>
      </c>
      <c r="G91" s="874">
        <f ca="1">IF(F5=0,1,IF(OR(System!T4&lt;&gt;0,System!U4 &lt;&gt;0),0,1))</f>
        <v>1</v>
      </c>
      <c r="H91" s="875">
        <f ca="1">IF(AND(ISNUMBER(System!$C4),ABS(B91)+ABS(C91)&lt;&gt;0),System!BC122+$J$1*MIN($E$1,D91)*F91 - $H$1*$E$1*E91,PlotData!$CB$3)</f>
        <v>0</v>
      </c>
      <c r="I91" s="876">
        <f ca="1">IF(AND(ISNUMBER(System!$C4),ABS(B91)+ABS(C91)&lt;&gt;0),System!BD122-$J$1*MIN($E$1,D91)*F91 - $H$1*$E$1*E91,PlotData!$CB$3)</f>
        <v>0</v>
      </c>
      <c r="J91" s="875">
        <f ca="1">IF(AND(ISNUMBER(System!$C4),ABS(B91)+ABS(C91)&lt;&gt;0),I91 -$C91*$E$1*E91*Z91*G91,PlotData!$CB$3)</f>
        <v>0</v>
      </c>
      <c r="K91" s="877">
        <f ca="1">IF(AND(ISNUMBER(System!$C4),ABS(B91)+ABS(C91)&lt;&gt;0),H91 - $B91*$E$1*E91*Y91*G91,PlotData!$CB$3)</f>
        <v>0</v>
      </c>
      <c r="L91" s="878">
        <f ca="1">IF($AB91&lt;&gt;0,H91+$AF$95*F91,PlotData!$CB$3)</f>
        <v>0</v>
      </c>
      <c r="M91" s="879">
        <f ca="1">IF($AB91&lt;&gt;0,I91-$AF$95*F91,PlotData!$CB$3)</f>
        <v>0</v>
      </c>
      <c r="N91" s="878">
        <f ca="1">IF(AND(ISNUMBER(System!$C4),ABS(B91)+ABS(C91)&lt;&gt;0),(IF(OR(B91&gt;0,AND(B91=0,C91&gt;0)),I91,H91))-IF(OR(B91&gt;0,AND(B91=0,C91&gt;0)),1,-1)*$R$1*MIN(D91,$E$1)*F91,PlotData!$CB$3)</f>
        <v>0</v>
      </c>
      <c r="O91" s="876">
        <f ca="1">IF(AND(ISNUMBER(System!$C4),(ABS(B91)+ABS(C91))&lt;&gt;0),IF(OR(B91&gt;0,AND(B91=0,C91&gt;0)),J91,K91)-IF(OR(B91&gt;0,AND(B91=0,C91&gt;0)),1,-1)*$R$1*MIN(D91,$E$1)*F91,PlotData!$CB$3)</f>
        <v>0</v>
      </c>
      <c r="P91" s="875">
        <f ca="1">IF(AND(ISNUMBER(System!$C4),ABS(B91)+ABS(C91)&lt;&gt;0),System!BE122-$J$1*MIN($E$1,D91)*E91 - $H$1*$E$1*F91,PlotData!$CB$4)</f>
        <v>0</v>
      </c>
      <c r="Q91" s="876">
        <f ca="1">IF(AND(ISNUMBER(System!$C4),ABS(B91)+ABS(C91)&lt;&gt;0),System!BF122+$J$1*MIN($E$1,D91)*E91 - $H$1*$E$1*F91,PlotData!$CB$4)</f>
        <v>0</v>
      </c>
      <c r="R91" s="875">
        <f ca="1">IF(AND(ISNUMBER(System!$C4),ABS(B91)+ABS(C91)&lt;&gt;0),Q91 -  $C91*$E$1*F91*Z91,PlotData!$CB$4)</f>
        <v>0</v>
      </c>
      <c r="S91" s="877">
        <f ca="1">IF(AND(ISNUMBER(System!$C4),ABS(B91)+ABS(C91)&lt;&gt;0),P91 -  $B91*$E$1*F91*Y91,PlotData!$CB$4)</f>
        <v>0</v>
      </c>
      <c r="T91" s="880">
        <f ca="1">IF($AB91&lt;&gt;0,P91-$AF$95*E91,PlotData!$CB$4)</f>
        <v>0</v>
      </c>
      <c r="U91" s="873">
        <f ca="1">IF($AB91&lt;&gt;0,Q91+$AF$95*E91,PlotData!$CB$4)</f>
        <v>0</v>
      </c>
      <c r="V91" s="880">
        <f ca="1">IF(AND(ISNUMBER(System!$C4),ABS(B91)+ABS(C91)&lt;&gt;0),IF(OR(B91&gt;0,AND(B91=0,C91&gt;0)),Q91,P91)+IF(OR(B91&gt;0,AND(B91=0,C91&gt;0)),1,-1)*$R$1*MIN(D91,$E$1)*E91,PlotData!$CB$4)</f>
        <v>0</v>
      </c>
      <c r="W91" s="880">
        <f ca="1">IF(AND(ISNUMBER(System!$C4),ABS(B91)+ABS(C91)&lt;&gt;0),IF(OR(B91&gt;0,AND(B91=0,C91&gt;0)),R91,S91)+IF(OR(B91&gt;0,AND(B91=0,C91&gt;0)),1,-1)*$R$1*MIN(D91,$E$1)*E91,PlotData!$CB$4)</f>
        <v>0</v>
      </c>
      <c r="X91" s="878">
        <f>IF(ISNUMBER(System!$C4),SIGN(System!$AG4),0)</f>
        <v>0</v>
      </c>
      <c r="Y91" s="881">
        <f ca="1">IF(AND(ABS(System!V4)+ABS(System!W4)&lt;&gt;0,F91=0),ABS(System!BP122)/W179,IF(ISNUMBER(System!BP122),ABS(System!BN122)/AA91,0))</f>
        <v>0</v>
      </c>
      <c r="Z91" s="881">
        <f ca="1">IF(AND(ABS(System!V4)+ABS(System!W4)&lt;&gt;0,F91=0),ABS(System!BQ122)/W179,IF(ISNUMBER(System!BO122),ABS(System!BO122)/AA91,0))</f>
        <v>0</v>
      </c>
      <c r="AA91" s="881">
        <f ca="1">IF(AND(ABS(System!V4)+ABS(System!W4)&lt;&gt;0,F91=0),MAX(ABS(System!BP122),ABS(System!BQ122)),IF(ABS(System!T4)+ABS(System!U4)+ABS(System!P4)+ABS(System!Q4)&lt;&gt;0,MAX(ABS(System!BN122),ABS(System!BO122)),1))</f>
        <v>1</v>
      </c>
      <c r="AB91" s="881">
        <f ca="1">IF(B91*C91&lt;0,1,0)</f>
        <v>0</v>
      </c>
    </row>
    <row r="92" spans="1:35" x14ac:dyDescent="0.25">
      <c r="A92" s="827">
        <v>2</v>
      </c>
      <c r="B92" s="882">
        <f ca="1">IF(AND(ABS(System!W5)+ABS(System!V5)&lt;&gt;0,F92=0),SIGN(System!V5),IF(AND(ABS(System!T5)+ABS(System!U5)&lt;&gt;0,F92=0),0,IF(ISNUMBER(System!$C5),SIGN(System!BN123),0)))</f>
        <v>0</v>
      </c>
      <c r="C92" s="883">
        <f ca="1">IF(AND(ABS(System!W5)+ABS(System!V5)&lt;&gt;0,F92=0),SIGN(System!W5),IF(AND(ABS(System!T5)+ABS(System!U5)&lt;&gt;0,F92=0),0,IF(ISNUMBER(System!$C5),SIGN(System!BO123),0)))</f>
        <v>0</v>
      </c>
      <c r="D92" s="883">
        <f ca="1">IF(ISNUMBER(System!$C5),System!BG123,0)</f>
        <v>60</v>
      </c>
      <c r="E92" s="883">
        <f ca="1">IF(ISNUMBER(System!$C5),System!BJ123,0)</f>
        <v>-1</v>
      </c>
      <c r="F92" s="883">
        <f ca="1">IF(ISNUMBER(System!$C5),System!BK123,0)</f>
        <v>0</v>
      </c>
      <c r="G92" s="874">
        <f ca="1">IF(F6=0,1,IF(OR(System!T5&lt;&gt;0,System!U5 &lt;&gt;0),0,1))</f>
        <v>1</v>
      </c>
      <c r="H92" s="884">
        <f ca="1">IF(AND(ISNUMBER(System!$C5),ABS(B92)+ABS(C92)&lt;&gt;0),System!BC123+$J$1*MIN($E$1,D92)*F92 - $H$1*$E$1*E92,PlotData!$CB$3)</f>
        <v>0</v>
      </c>
      <c r="I92" s="885">
        <f ca="1">IF(AND(ISNUMBER(System!$C5),ABS(B92)+ABS(C92)&lt;&gt;0),System!BD123-$J$1*MIN($E$1,D92)*F92 - $H$1*$E$1*E92,PlotData!$CB$3)</f>
        <v>0</v>
      </c>
      <c r="J92" s="884">
        <f ca="1">IF(AND(ISNUMBER(System!$C5),ABS(B92)+ABS(C92)&lt;&gt;0),I92 -$C92*$E$1*E92*Z92*G92,PlotData!$CB$3)</f>
        <v>0</v>
      </c>
      <c r="K92" s="886">
        <f ca="1">IF(AND(ISNUMBER(System!$C5),ABS(B92)+ABS(C92)&lt;&gt;0),H92 - $B92*$E$1*E92*Y92*G92,PlotData!$CB$3)</f>
        <v>0</v>
      </c>
      <c r="L92" s="887">
        <f ca="1">IF($AB92&lt;&gt;0,H92+$AF$95*F92,PlotData!$CB$3)</f>
        <v>0</v>
      </c>
      <c r="M92" s="888">
        <f ca="1">IF($AB92&lt;&gt;0,I92-$AF$95*F92,PlotData!$CB$3)</f>
        <v>0</v>
      </c>
      <c r="N92" s="887">
        <f ca="1">IF(AND(ISNUMBER(System!$C5),ABS(B92)+ABS(C92)&lt;&gt;0),(IF(OR(B92&gt;0,AND(B92=0,C92&gt;0)),I92,H92))-IF(OR(B92&gt;0,AND(B92=0,C92&gt;0)),1,-1)*$R$1*MIN(D92,$E$1)*F92,PlotData!$CB$3)</f>
        <v>0</v>
      </c>
      <c r="O92" s="885">
        <f ca="1">IF(AND(ISNUMBER(System!$C5),(ABS(B92)+ABS(C92))&lt;&gt;0),IF(OR(B92&gt;0,AND(B92=0,C92&gt;0)),J92,K92)-IF(OR(B92&gt;0,AND(B92=0,C92&gt;0)),1,-1)*$R$1*MIN(D92,$E$1)*F92,PlotData!$CB$3)</f>
        <v>0</v>
      </c>
      <c r="P92" s="884">
        <f ca="1">IF(AND(ISNUMBER(System!$C5),ABS(B92)+ABS(C92)&lt;&gt;0),System!BE123-$J$1*MIN($E$1,D92)*E92 - $H$1*$E$1*F92,PlotData!$CB$4)</f>
        <v>0</v>
      </c>
      <c r="Q92" s="885">
        <f ca="1">IF(AND(ISNUMBER(System!$C5),ABS(B92)+ABS(C92)&lt;&gt;0),System!BF123+$J$1*MIN($E$1,D92)*E92 - $H$1*$E$1*F92,PlotData!$CB$4)</f>
        <v>0</v>
      </c>
      <c r="R92" s="884">
        <f ca="1">IF(AND(ISNUMBER(System!$C5),ABS(B92)+ABS(C92)&lt;&gt;0),Q92 -  $C92*$E$1*F92*Z92,PlotData!$CB$4)</f>
        <v>0</v>
      </c>
      <c r="S92" s="886">
        <f ca="1">IF(AND(ISNUMBER(System!$C5),ABS(B92)+ABS(C92)&lt;&gt;0),P92 -  $B92*$E$1*F92*Y92,PlotData!$CB$4)</f>
        <v>0</v>
      </c>
      <c r="T92" s="881">
        <f ca="1">IF($AB92&lt;&gt;0,P92-$AF$95*E92,PlotData!$CB$4)</f>
        <v>0</v>
      </c>
      <c r="U92" s="883">
        <f ca="1">IF($AB92&lt;&gt;0,Q92+$AF$95*E92,PlotData!$CB$4)</f>
        <v>0</v>
      </c>
      <c r="V92" s="881">
        <f ca="1">IF(AND(ISNUMBER(System!$C5),ABS(B92)+ABS(C92)&lt;&gt;0),IF(OR(B92&gt;0,AND(B92=0,C92&gt;0)),Q92,P92)+IF(OR(B92&gt;0,AND(B92=0,C92&gt;0)),1,-1)*$R$1*MIN(D92,$E$1)*E92,PlotData!$CB$4)</f>
        <v>0</v>
      </c>
      <c r="W92" s="881">
        <f ca="1">IF(AND(ISNUMBER(System!$C5),ABS(B92)+ABS(C92)&lt;&gt;0),IF(OR(B92&gt;0,AND(B92=0,C92&gt;0)),R92,S92)+IF(OR(B92&gt;0,AND(B92=0,C92&gt;0)),1,-1)*$R$1*MIN(D92,$E$1)*E92,PlotData!$CB$4)</f>
        <v>0</v>
      </c>
      <c r="X92" s="887">
        <f>IF(ISNUMBER(System!$C5),SIGN(System!$AG5),0)</f>
        <v>0</v>
      </c>
      <c r="Y92" s="881">
        <f ca="1">IF(AND(ABS(System!V5)+ABS(System!W5)&lt;&gt;0,F92=0),ABS(System!BP123)/W180,IF(ISNUMBER(System!BP123),ABS(System!BN123)/AA92,0))</f>
        <v>0</v>
      </c>
      <c r="Z92" s="881">
        <f ca="1">IF(AND(ABS(System!V5)+ABS(System!W5)&lt;&gt;0,F92=0),ABS(System!BQ123)/W180,IF(ISNUMBER(System!BO123),ABS(System!BO123)/AA92,0))</f>
        <v>0</v>
      </c>
      <c r="AA92" s="881">
        <f ca="1">IF(AND(ABS(System!V5)+ABS(System!W5)&lt;&gt;0,F92=0),MAX(ABS(System!BP123),ABS(System!BQ123)),IF(ABS(System!T5)+ABS(System!U5)+ABS(System!P5)+ABS(System!Q5)&lt;&gt;0,MAX(ABS(System!BN123),ABS(System!BO123)),1))</f>
        <v>1</v>
      </c>
      <c r="AB92" s="881">
        <f t="shared" ref="AB92:AB130" ca="1" si="34">IF(B92*C92&lt;0,1,0)</f>
        <v>0</v>
      </c>
    </row>
    <row r="93" spans="1:35" x14ac:dyDescent="0.25">
      <c r="A93" s="827">
        <v>3</v>
      </c>
      <c r="B93" s="882">
        <f ca="1">IF(AND(ABS(System!W6)+ABS(System!V6)&lt;&gt;0,F93=0),SIGN(System!V6),IF(AND(ABS(System!T6)+ABS(System!U6)&lt;&gt;0,F93=0),0,IF(ISNUMBER(System!$C6),SIGN(System!BN124),0)))</f>
        <v>0</v>
      </c>
      <c r="C93" s="883">
        <f ca="1">IF(AND(ABS(System!W6)+ABS(System!V6)&lt;&gt;0,F93=0),SIGN(System!W6),IF(AND(ABS(System!T6)+ABS(System!U6)&lt;&gt;0,F93=0),0,IF(ISNUMBER(System!$C6),SIGN(System!BO124),0)))</f>
        <v>0</v>
      </c>
      <c r="D93" s="883">
        <f ca="1">IF(ISNUMBER(System!$C6),System!BG124,0)</f>
        <v>72.111025509279784</v>
      </c>
      <c r="E93" s="883">
        <f ca="1">IF(ISNUMBER(System!$C6),System!BJ124,0)</f>
        <v>0.83205029433784372</v>
      </c>
      <c r="F93" s="883">
        <f ca="1">IF(ISNUMBER(System!$C6),System!BK124,0)</f>
        <v>0.55470019622522915</v>
      </c>
      <c r="G93" s="874">
        <f ca="1">IF(F7=0,1,IF(OR(System!T6&lt;&gt;0,System!U6 &lt;&gt;0),0,1))</f>
        <v>1</v>
      </c>
      <c r="H93" s="884">
        <f ca="1">IF(AND(ISNUMBER(System!$C6),ABS(B93)+ABS(C93)&lt;&gt;0),System!BC124+$J$1*MIN($E$1,D93)*F93 - $H$1*$E$1*E93,PlotData!$CB$3)</f>
        <v>0</v>
      </c>
      <c r="I93" s="885">
        <f ca="1">IF(AND(ISNUMBER(System!$C6),ABS(B93)+ABS(C93)&lt;&gt;0),System!BD124-$J$1*MIN($E$1,D93)*F93 - $H$1*$E$1*E93,PlotData!$CB$3)</f>
        <v>0</v>
      </c>
      <c r="J93" s="884">
        <f ca="1">IF(AND(ISNUMBER(System!$C6),ABS(B93)+ABS(C93)&lt;&gt;0),I93 -$C93*$E$1*E93*Z93*G93,PlotData!$CB$3)</f>
        <v>0</v>
      </c>
      <c r="K93" s="886">
        <f ca="1">IF(AND(ISNUMBER(System!$C6),ABS(B93)+ABS(C93)&lt;&gt;0),H93 - $B93*$E$1*E93*Y93*G93,PlotData!$CB$3)</f>
        <v>0</v>
      </c>
      <c r="L93" s="887">
        <f ca="1">IF($AB93&lt;&gt;0,H93+$AF$95*F93,PlotData!$CB$3)</f>
        <v>0</v>
      </c>
      <c r="M93" s="888">
        <f ca="1">IF($AB93&lt;&gt;0,I93-$AF$95*F93,PlotData!$CB$3)</f>
        <v>0</v>
      </c>
      <c r="N93" s="887">
        <f ca="1">IF(AND(ISNUMBER(System!$C6),ABS(B93)+ABS(C93)&lt;&gt;0),(IF(OR(B93&gt;0,AND(B93=0,C93&gt;0)),I93,H93))-IF(OR(B93&gt;0,AND(B93=0,C93&gt;0)),1,-1)*$R$1*MIN(D93,$E$1)*F93,PlotData!$CB$3)</f>
        <v>0</v>
      </c>
      <c r="O93" s="885">
        <f ca="1">IF(AND(ISNUMBER(System!$C6),(ABS(B93)+ABS(C93))&lt;&gt;0),IF(OR(B93&gt;0,AND(B93=0,C93&gt;0)),J93,K93)-IF(OR(B93&gt;0,AND(B93=0,C93&gt;0)),1,-1)*$R$1*MIN(D93,$E$1)*F93,PlotData!$CB$3)</f>
        <v>0</v>
      </c>
      <c r="P93" s="884">
        <f ca="1">IF(AND(ISNUMBER(System!$C6),ABS(B93)+ABS(C93)&lt;&gt;0),System!BE124-$J$1*MIN($E$1,D93)*E93 - $H$1*$E$1*F93,PlotData!$CB$4)</f>
        <v>0</v>
      </c>
      <c r="Q93" s="885">
        <f ca="1">IF(AND(ISNUMBER(System!$C6),ABS(B93)+ABS(C93)&lt;&gt;0),System!BF124+$J$1*MIN($E$1,D93)*E93 - $H$1*$E$1*F93,PlotData!$CB$4)</f>
        <v>0</v>
      </c>
      <c r="R93" s="884">
        <f ca="1">IF(AND(ISNUMBER(System!$C6),ABS(B93)+ABS(C93)&lt;&gt;0),Q93 -  $C93*$E$1*F93*Z93,PlotData!$CB$4)</f>
        <v>0</v>
      </c>
      <c r="S93" s="886">
        <f ca="1">IF(AND(ISNUMBER(System!$C6),ABS(B93)+ABS(C93)&lt;&gt;0),P93 -  $B93*$E$1*F93*Y93,PlotData!$CB$4)</f>
        <v>0</v>
      </c>
      <c r="T93" s="881">
        <f ca="1">IF($AB93&lt;&gt;0,P93-$AF$95*E93,PlotData!$CB$4)</f>
        <v>0</v>
      </c>
      <c r="U93" s="883">
        <f ca="1">IF($AB93&lt;&gt;0,Q93+$AF$95*E93,PlotData!$CB$4)</f>
        <v>0</v>
      </c>
      <c r="V93" s="881">
        <f ca="1">IF(AND(ISNUMBER(System!$C6),ABS(B93)+ABS(C93)&lt;&gt;0),IF(OR(B93&gt;0,AND(B93=0,C93&gt;0)),Q93,P93)+IF(OR(B93&gt;0,AND(B93=0,C93&gt;0)),1,-1)*$R$1*MIN(D93,$E$1)*E93,PlotData!$CB$4)</f>
        <v>0</v>
      </c>
      <c r="W93" s="881">
        <f ca="1">IF(AND(ISNUMBER(System!$C6),ABS(B93)+ABS(C93)&lt;&gt;0),IF(OR(B93&gt;0,AND(B93=0,C93&gt;0)),R93,S93)+IF(OR(B93&gt;0,AND(B93=0,C93&gt;0)),1,-1)*$R$1*MIN(D93,$E$1)*E93,PlotData!$CB$4)</f>
        <v>0</v>
      </c>
      <c r="X93" s="887">
        <f>IF(ISNUMBER(System!$C6),SIGN(System!$AG6),0)</f>
        <v>0</v>
      </c>
      <c r="Y93" s="881">
        <f ca="1">IF(AND(ABS(System!V6)+ABS(System!W6)&lt;&gt;0,F93=0),ABS(System!BP124)/W181,IF(ISNUMBER(System!BP124),ABS(System!BN124)/AA93,0))</f>
        <v>0</v>
      </c>
      <c r="Z93" s="881">
        <f ca="1">IF(AND(ABS(System!V6)+ABS(System!W6)&lt;&gt;0,F93=0),ABS(System!BQ124)/W181,IF(ISNUMBER(System!BO124),ABS(System!BO124)/AA93,0))</f>
        <v>0</v>
      </c>
      <c r="AA93" s="881">
        <f ca="1">IF(AND(ABS(System!V6)+ABS(System!W6)&lt;&gt;0,F93=0),MAX(ABS(System!BP124),ABS(System!BQ124)),IF(ABS(System!T6)+ABS(System!U6)+ABS(System!P6)+ABS(System!Q6)&lt;&gt;0,MAX(ABS(System!BN124),ABS(System!BO124)),1))</f>
        <v>1</v>
      </c>
      <c r="AB93" s="881">
        <f t="shared" ca="1" si="34"/>
        <v>0</v>
      </c>
    </row>
    <row r="94" spans="1:35" ht="13.8" thickBot="1" x14ac:dyDescent="0.3">
      <c r="A94" s="827">
        <v>4</v>
      </c>
      <c r="B94" s="882">
        <f ca="1">IF(AND(ABS(System!W7)+ABS(System!V7)&lt;&gt;0,F94=0),SIGN(System!V7),IF(AND(ABS(System!T7)+ABS(System!U7)&lt;&gt;0,F94=0),0,IF(ISNUMBER(System!$C7),SIGN(System!BN125),0)))</f>
        <v>0</v>
      </c>
      <c r="C94" s="883">
        <f ca="1">IF(AND(ABS(System!W7)+ABS(System!V7)&lt;&gt;0,F94=0),SIGN(System!W7),IF(AND(ABS(System!T7)+ABS(System!U7)&lt;&gt;0,F94=0),0,IF(ISNUMBER(System!$C7),SIGN(System!BO125),0)))</f>
        <v>0</v>
      </c>
      <c r="D94" s="883">
        <f ca="1">IF(ISNUMBER(System!$C7),System!BG125,0)</f>
        <v>76.157731058639087</v>
      </c>
      <c r="E94" s="883">
        <f ca="1">IF(ISNUMBER(System!$C7),System!BJ125,0)</f>
        <v>0.39391929857916763</v>
      </c>
      <c r="F94" s="883">
        <f ca="1">IF(ISNUMBER(System!$C7),System!BK125,0)</f>
        <v>-0.91914503001805781</v>
      </c>
      <c r="G94" s="874">
        <f ca="1">IF(F8=0,1,IF(OR(System!T7&lt;&gt;0,System!U7 &lt;&gt;0),0,1))</f>
        <v>1</v>
      </c>
      <c r="H94" s="884">
        <f ca="1">IF(AND(ISNUMBER(System!$C7),ABS(B94)+ABS(C94)&lt;&gt;0),System!BC125+$J$1*MIN($E$1,D94)*F94 - $H$1*$E$1*E94,PlotData!$CB$3)</f>
        <v>0</v>
      </c>
      <c r="I94" s="885">
        <f ca="1">IF(AND(ISNUMBER(System!$C7),ABS(B94)+ABS(C94)&lt;&gt;0),System!BD125-$J$1*MIN($E$1,D94)*F94 - $H$1*$E$1*E94,PlotData!$CB$3)</f>
        <v>0</v>
      </c>
      <c r="J94" s="884">
        <f ca="1">IF(AND(ISNUMBER(System!$C7),ABS(B94)+ABS(C94)&lt;&gt;0),I94 -$C94*$E$1*E94*Z94*G94,PlotData!$CB$3)</f>
        <v>0</v>
      </c>
      <c r="K94" s="886">
        <f ca="1">IF(AND(ISNUMBER(System!$C7),ABS(B94)+ABS(C94)&lt;&gt;0),H94 - $B94*$E$1*E94*Y94*G94,PlotData!$CB$3)</f>
        <v>0</v>
      </c>
      <c r="L94" s="887">
        <f ca="1">IF($AB94&lt;&gt;0,H94+$AF$95*F94,PlotData!$CB$3)</f>
        <v>0</v>
      </c>
      <c r="M94" s="888">
        <f ca="1">IF($AB94&lt;&gt;0,I94-$AF$95*F94,PlotData!$CB$3)</f>
        <v>0</v>
      </c>
      <c r="N94" s="887">
        <f ca="1">IF(AND(ISNUMBER(System!$C7),ABS(B94)+ABS(C94)&lt;&gt;0),(IF(OR(B94&gt;0,AND(B94=0,C94&gt;0)),I94,H94))-IF(OR(B94&gt;0,AND(B94=0,C94&gt;0)),1,-1)*$R$1*MIN(D94,$E$1)*F94,PlotData!$CB$3)</f>
        <v>0</v>
      </c>
      <c r="O94" s="885">
        <f ca="1">IF(AND(ISNUMBER(System!$C7),(ABS(B94)+ABS(C94))&lt;&gt;0),IF(OR(B94&gt;0,AND(B94=0,C94&gt;0)),J94,K94)-IF(OR(B94&gt;0,AND(B94=0,C94&gt;0)),1,-1)*$R$1*MIN(D94,$E$1)*F94,PlotData!$CB$3)</f>
        <v>0</v>
      </c>
      <c r="P94" s="884">
        <f ca="1">IF(AND(ISNUMBER(System!$C7),ABS(B94)+ABS(C94)&lt;&gt;0),System!BE125-$J$1*MIN($E$1,D94)*E94 - $H$1*$E$1*F94,PlotData!$CB$4)</f>
        <v>0</v>
      </c>
      <c r="Q94" s="885">
        <f ca="1">IF(AND(ISNUMBER(System!$C7),ABS(B94)+ABS(C94)&lt;&gt;0),System!BF125+$J$1*MIN($E$1,D94)*E94 - $H$1*$E$1*F94,PlotData!$CB$4)</f>
        <v>0</v>
      </c>
      <c r="R94" s="884">
        <f ca="1">IF(AND(ISNUMBER(System!$C7),ABS(B94)+ABS(C94)&lt;&gt;0),Q94 -  $C94*$E$1*F94*Z94,PlotData!$CB$4)</f>
        <v>0</v>
      </c>
      <c r="S94" s="886">
        <f ca="1">IF(AND(ISNUMBER(System!$C7),ABS(B94)+ABS(C94)&lt;&gt;0),P94 -  $B94*$E$1*F94*Y94,PlotData!$CB$4)</f>
        <v>0</v>
      </c>
      <c r="T94" s="881">
        <f ca="1">IF($AB94&lt;&gt;0,P94-$AF$95*E94,PlotData!$CB$4)</f>
        <v>0</v>
      </c>
      <c r="U94" s="883">
        <f ca="1">IF($AB94&lt;&gt;0,Q94+$AF$95*E94,PlotData!$CB$4)</f>
        <v>0</v>
      </c>
      <c r="V94" s="881">
        <f ca="1">IF(AND(ISNUMBER(System!$C7),ABS(B94)+ABS(C94)&lt;&gt;0),IF(OR(B94&gt;0,AND(B94=0,C94&gt;0)),Q94,P94)+IF(OR(B94&gt;0,AND(B94=0,C94&gt;0)),1,-1)*$R$1*MIN(D94,$E$1)*E94,PlotData!$CB$4)</f>
        <v>0</v>
      </c>
      <c r="W94" s="881">
        <f ca="1">IF(AND(ISNUMBER(System!$C7),ABS(B94)+ABS(C94)&lt;&gt;0),IF(OR(B94&gt;0,AND(B94=0,C94&gt;0)),R94,S94)+IF(OR(B94&gt;0,AND(B94=0,C94&gt;0)),1,-1)*$R$1*MIN(D94,$E$1)*E94,PlotData!$CB$4)</f>
        <v>0</v>
      </c>
      <c r="X94" s="887">
        <f>IF(ISNUMBER(System!$C7),SIGN(System!$AG7),0)</f>
        <v>0</v>
      </c>
      <c r="Y94" s="881">
        <f ca="1">IF(AND(ABS(System!V7)+ABS(System!W7)&lt;&gt;0,F94=0),ABS(System!BP125)/W182,IF(ISNUMBER(System!BP125),ABS(System!BN125)/AA94,0))</f>
        <v>0</v>
      </c>
      <c r="Z94" s="881">
        <f ca="1">IF(AND(ABS(System!V7)+ABS(System!W7)&lt;&gt;0,F94=0),ABS(System!BQ125)/W182,IF(ISNUMBER(System!BO125),ABS(System!BO125)/AA94,0))</f>
        <v>0</v>
      </c>
      <c r="AA94" s="881">
        <f ca="1">IF(AND(ABS(System!V7)+ABS(System!W7)&lt;&gt;0,F94=0),MAX(ABS(System!BP125),ABS(System!BQ125)),IF(ABS(System!T7)+ABS(System!U7)+ABS(System!P7)+ABS(System!Q7)&lt;&gt;0,MAX(ABS(System!BN125),ABS(System!BO125)),1))</f>
        <v>1</v>
      </c>
      <c r="AB94" s="881">
        <f t="shared" ca="1" si="34"/>
        <v>0</v>
      </c>
    </row>
    <row r="95" spans="1:35" ht="13.8" thickBot="1" x14ac:dyDescent="0.3">
      <c r="A95" s="827">
        <v>5</v>
      </c>
      <c r="B95" s="882">
        <f ca="1">IF(AND(ABS(System!W8)+ABS(System!V8)&lt;&gt;0,F95=0),SIGN(System!V8),IF(AND(ABS(System!T8)+ABS(System!U8)&lt;&gt;0,F95=0),0,IF(ISNUMBER(System!$C8),SIGN(System!BN126),0)))</f>
        <v>0</v>
      </c>
      <c r="C95" s="883">
        <f ca="1">IF(AND(ABS(System!W8)+ABS(System!V8)&lt;&gt;0,F95=0),SIGN(System!W8),IF(AND(ABS(System!T8)+ABS(System!U8)&lt;&gt;0,F95=0),0,IF(ISNUMBER(System!$C8),SIGN(System!BO126),0)))</f>
        <v>0</v>
      </c>
      <c r="D95" s="883">
        <f ca="1">IF(ISNUMBER(System!$C8),System!BG126,0)</f>
        <v>184.39088914585776</v>
      </c>
      <c r="E95" s="883">
        <f ca="1">IF(ISNUMBER(System!$C8),System!BJ126,0)</f>
        <v>-0.75925660236529657</v>
      </c>
      <c r="F95" s="883">
        <f ca="1">IF(ISNUMBER(System!$C8),System!BK126,0)</f>
        <v>-0.65079137345596849</v>
      </c>
      <c r="G95" s="874">
        <f ca="1">IF(F9=0,1,IF(OR(System!T8&lt;&gt;0,System!U8 &lt;&gt;0),0,1))</f>
        <v>1</v>
      </c>
      <c r="H95" s="884">
        <f ca="1">IF(AND(ISNUMBER(System!$C8),ABS(B95)+ABS(C95)&lt;&gt;0),System!BC126+$J$1*MIN($E$1,D95)*F95 - $H$1*$E$1*E95,PlotData!$CB$3)</f>
        <v>0</v>
      </c>
      <c r="I95" s="885">
        <f ca="1">IF(AND(ISNUMBER(System!$C8),ABS(B95)+ABS(C95)&lt;&gt;0),System!BD126-$J$1*MIN($E$1,D95)*F95 - $H$1*$E$1*E95,PlotData!$CB$3)</f>
        <v>0</v>
      </c>
      <c r="J95" s="884">
        <f ca="1">IF(AND(ISNUMBER(System!$C8),ABS(B95)+ABS(C95)&lt;&gt;0),I95 -$C95*$E$1*E95*Z95*G95,PlotData!$CB$3)</f>
        <v>0</v>
      </c>
      <c r="K95" s="886">
        <f ca="1">IF(AND(ISNUMBER(System!$C8),ABS(B95)+ABS(C95)&lt;&gt;0),H95 - $B95*$E$1*E95*Y95*G95,PlotData!$CB$3)</f>
        <v>0</v>
      </c>
      <c r="L95" s="887">
        <f ca="1">IF($AB95&lt;&gt;0,H95+$AF$95*F95,PlotData!$CB$3)</f>
        <v>0</v>
      </c>
      <c r="M95" s="888">
        <f ca="1">IF($AB95&lt;&gt;0,I95-$AF$95*F95,PlotData!$CB$3)</f>
        <v>0</v>
      </c>
      <c r="N95" s="887">
        <f ca="1">IF(AND(ISNUMBER(System!$C8),ABS(B95)+ABS(C95)&lt;&gt;0),(IF(OR(B95&gt;0,AND(B95=0,C95&gt;0)),I95,H95))-IF(OR(B95&gt;0,AND(B95=0,C95&gt;0)),1,-1)*$R$1*MIN(D95,$E$1)*F95,PlotData!$CB$3)</f>
        <v>0</v>
      </c>
      <c r="O95" s="885">
        <f ca="1">IF(AND(ISNUMBER(System!$C8),(ABS(B95)+ABS(C95))&lt;&gt;0),IF(OR(B95&gt;0,AND(B95=0,C95&gt;0)),J95,K95)-IF(OR(B95&gt;0,AND(B95=0,C95&gt;0)),1,-1)*$R$1*MIN(D95,$E$1)*F95,PlotData!$CB$3)</f>
        <v>0</v>
      </c>
      <c r="P95" s="884">
        <f ca="1">IF(AND(ISNUMBER(System!$C8),ABS(B95)+ABS(C95)&lt;&gt;0),System!BE126-$J$1*MIN($E$1,D95)*E95 - $H$1*$E$1*F95,PlotData!$CB$4)</f>
        <v>0</v>
      </c>
      <c r="Q95" s="885">
        <f ca="1">IF(AND(ISNUMBER(System!$C8),ABS(B95)+ABS(C95)&lt;&gt;0),System!BF126+$J$1*MIN($E$1,D95)*E95 - $H$1*$E$1*F95,PlotData!$CB$4)</f>
        <v>0</v>
      </c>
      <c r="R95" s="884">
        <f ca="1">IF(AND(ISNUMBER(System!$C8),ABS(B95)+ABS(C95)&lt;&gt;0),Q95 -  $C95*$E$1*F95*Z95,PlotData!$CB$4)</f>
        <v>0</v>
      </c>
      <c r="S95" s="886">
        <f ca="1">IF(AND(ISNUMBER(System!$C8),ABS(B95)+ABS(C95)&lt;&gt;0),P95 -  $B95*$E$1*F95*Y95,PlotData!$CB$4)</f>
        <v>0</v>
      </c>
      <c r="T95" s="881">
        <f ca="1">IF($AB95&lt;&gt;0,P95-$AF$95*E95,PlotData!$CB$4)</f>
        <v>0</v>
      </c>
      <c r="U95" s="883">
        <f ca="1">IF($AB95&lt;&gt;0,Q95+$AF$95*E95,PlotData!$CB$4)</f>
        <v>0</v>
      </c>
      <c r="V95" s="881">
        <f ca="1">IF(AND(ISNUMBER(System!$C8),ABS(B95)+ABS(C95)&lt;&gt;0),IF(OR(B95&gt;0,AND(B95=0,C95&gt;0)),Q95,P95)+IF(OR(B95&gt;0,AND(B95=0,C95&gt;0)),1,-1)*$R$1*MIN(D95,$E$1)*E95,PlotData!$CB$4)</f>
        <v>0</v>
      </c>
      <c r="W95" s="881">
        <f ca="1">IF(AND(ISNUMBER(System!$C8),ABS(B95)+ABS(C95)&lt;&gt;0),IF(OR(B95&gt;0,AND(B95=0,C95&gt;0)),R95,S95)+IF(OR(B95&gt;0,AND(B95=0,C95&gt;0)),1,-1)*$R$1*MIN(D95,$E$1)*E95,PlotData!$CB$4)</f>
        <v>0</v>
      </c>
      <c r="X95" s="887">
        <f>IF(ISNUMBER(System!$C8),SIGN(System!$AG8),0)</f>
        <v>0</v>
      </c>
      <c r="Y95" s="881">
        <f ca="1">IF(AND(ABS(System!V8)+ABS(System!W8)&lt;&gt;0,F95=0),ABS(System!BP126)/W183,IF(ISNUMBER(System!BP126),ABS(System!BN126)/AA95,0))</f>
        <v>0</v>
      </c>
      <c r="Z95" s="881">
        <f ca="1">IF(AND(ABS(System!V8)+ABS(System!W8)&lt;&gt;0,F95=0),ABS(System!BQ126)/W183,IF(ISNUMBER(System!BO126),ABS(System!BO126)/AA95,0))</f>
        <v>0</v>
      </c>
      <c r="AA95" s="881">
        <f ca="1">IF(AND(ABS(System!V8)+ABS(System!W8)&lt;&gt;0,F95=0),MAX(ABS(System!BP126),ABS(System!BQ126)),IF(ABS(System!T8)+ABS(System!U8)+ABS(System!P8)+ABS(System!Q8)&lt;&gt;0,MAX(ABS(System!BN126),ABS(System!BO126)),1))</f>
        <v>1</v>
      </c>
      <c r="AB95" s="881">
        <f t="shared" ca="1" si="34"/>
        <v>0</v>
      </c>
      <c r="AD95" s="1380" t="s">
        <v>335</v>
      </c>
      <c r="AE95" s="1381"/>
      <c r="AF95" s="889">
        <v>1.5</v>
      </c>
    </row>
    <row r="96" spans="1:35" x14ac:dyDescent="0.25">
      <c r="A96" s="827">
        <v>6</v>
      </c>
      <c r="B96" s="882">
        <f>IF(AND(ABS(System!W9)+ABS(System!V9)&lt;&gt;0,F96=0),SIGN(System!V9),IF(AND(ABS(System!T9)+ABS(System!U9)&lt;&gt;0,F96=0),0,IF(ISNUMBER(System!$C9),SIGN(System!BN127),0)))</f>
        <v>0</v>
      </c>
      <c r="C96" s="883">
        <f>IF(AND(ABS(System!W9)+ABS(System!V9)&lt;&gt;0,F96=0),SIGN(System!W9),IF(AND(ABS(System!T9)+ABS(System!U9)&lt;&gt;0,F96=0),0,IF(ISNUMBER(System!$C9),SIGN(System!BO127),0)))</f>
        <v>0</v>
      </c>
      <c r="D96" s="883">
        <f>IF(ISNUMBER(System!$C9),System!BG127,0)</f>
        <v>0</v>
      </c>
      <c r="E96" s="883">
        <f>IF(ISNUMBER(System!$C9),System!BJ127,0)</f>
        <v>0</v>
      </c>
      <c r="F96" s="883">
        <f>IF(ISNUMBER(System!$C9),System!BK127,0)</f>
        <v>0</v>
      </c>
      <c r="G96" s="874">
        <f>IF(F10=0,1,IF(OR(System!T9&lt;&gt;0,System!U9 &lt;&gt;0),0,1))</f>
        <v>1</v>
      </c>
      <c r="H96" s="884">
        <f>IF(AND(ISNUMBER(System!$C9),ABS(B96)+ABS(C96)&lt;&gt;0),System!BC127+$J$1*MIN($E$1,D96)*F96 - $H$1*$E$1*E96,PlotData!$CB$3)</f>
        <v>0</v>
      </c>
      <c r="I96" s="885">
        <f>IF(AND(ISNUMBER(System!$C9),ABS(B96)+ABS(C96)&lt;&gt;0),System!BD127-$J$1*MIN($E$1,D96)*F96 - $H$1*$E$1*E96,PlotData!$CB$3)</f>
        <v>0</v>
      </c>
      <c r="J96" s="884">
        <f>IF(AND(ISNUMBER(System!$C9),ABS(B96)+ABS(C96)&lt;&gt;0),I96 -$C96*$E$1*E96*Z96*G96,PlotData!$CB$3)</f>
        <v>0</v>
      </c>
      <c r="K96" s="886">
        <f>IF(AND(ISNUMBER(System!$C9),ABS(B96)+ABS(C96)&lt;&gt;0),H96 - $B96*$E$1*E96*Y96*G96,PlotData!$CB$3)</f>
        <v>0</v>
      </c>
      <c r="L96" s="887">
        <f>IF($AB96&lt;&gt;0,H96+$AF$95*F96,PlotData!$CB$3)</f>
        <v>0</v>
      </c>
      <c r="M96" s="888">
        <f>IF($AB96&lt;&gt;0,I96-$AF$95*F96,PlotData!$CB$3)</f>
        <v>0</v>
      </c>
      <c r="N96" s="887">
        <f>IF(AND(ISNUMBER(System!$C9),ABS(B96)+ABS(C96)&lt;&gt;0),(IF(OR(B96&gt;0,AND(B96=0,C96&gt;0)),I96,H96))-IF(OR(B96&gt;0,AND(B96=0,C96&gt;0)),1,-1)*$R$1*MIN(D96,$E$1)*F96,PlotData!$CB$3)</f>
        <v>0</v>
      </c>
      <c r="O96" s="885">
        <f>IF(AND(ISNUMBER(System!$C9),(ABS(B96)+ABS(C96))&lt;&gt;0),IF(OR(B96&gt;0,AND(B96=0,C96&gt;0)),J96,K96)-IF(OR(B96&gt;0,AND(B96=0,C96&gt;0)),1,-1)*$R$1*MIN(D96,$E$1)*F96,PlotData!$CB$3)</f>
        <v>0</v>
      </c>
      <c r="P96" s="884">
        <f>IF(AND(ISNUMBER(System!$C9),ABS(B96)+ABS(C96)&lt;&gt;0),System!BE127-$J$1*MIN($E$1,D96)*E96 - $H$1*$E$1*F96,PlotData!$CB$4)</f>
        <v>0</v>
      </c>
      <c r="Q96" s="885">
        <f>IF(AND(ISNUMBER(System!$C9),ABS(B96)+ABS(C96)&lt;&gt;0),System!BF127+$J$1*MIN($E$1,D96)*E96 - $H$1*$E$1*F96,PlotData!$CB$4)</f>
        <v>0</v>
      </c>
      <c r="R96" s="884">
        <f>IF(AND(ISNUMBER(System!$C9),ABS(B96)+ABS(C96)&lt;&gt;0),Q96 -  $C96*$E$1*F96*Z96,PlotData!$CB$4)</f>
        <v>0</v>
      </c>
      <c r="S96" s="886">
        <f>IF(AND(ISNUMBER(System!$C9),ABS(B96)+ABS(C96)&lt;&gt;0),P96 -  $B96*$E$1*F96*Y96,PlotData!$CB$4)</f>
        <v>0</v>
      </c>
      <c r="T96" s="881">
        <f>IF($AB96&lt;&gt;0,P96-$AF$95*E96,PlotData!$CB$4)</f>
        <v>0</v>
      </c>
      <c r="U96" s="883">
        <f>IF($AB96&lt;&gt;0,Q96+$AF$95*E96,PlotData!$CB$4)</f>
        <v>0</v>
      </c>
      <c r="V96" s="881">
        <f>IF(AND(ISNUMBER(System!$C9),ABS(B96)+ABS(C96)&lt;&gt;0),IF(OR(B96&gt;0,AND(B96=0,C96&gt;0)),Q96,P96)+IF(OR(B96&gt;0,AND(B96=0,C96&gt;0)),1,-1)*$R$1*MIN(D96,$E$1)*E96,PlotData!$CB$4)</f>
        <v>0</v>
      </c>
      <c r="W96" s="881">
        <f>IF(AND(ISNUMBER(System!$C9),ABS(B96)+ABS(C96)&lt;&gt;0),IF(OR(B96&gt;0,AND(B96=0,C96&gt;0)),R96,S96)+IF(OR(B96&gt;0,AND(B96=0,C96&gt;0)),1,-1)*$R$1*MIN(D96,$E$1)*E96,PlotData!$CB$4)</f>
        <v>0</v>
      </c>
      <c r="X96" s="887">
        <f>IF(ISNUMBER(System!$C9),SIGN(System!$AG9),0)</f>
        <v>0</v>
      </c>
      <c r="Y96" s="881">
        <f>IF(AND(ABS(System!V9)+ABS(System!W9)&lt;&gt;0,F96=0),ABS(System!BP127)/W184,IF(ISNUMBER(System!BP127),ABS(System!BN127)/AA96,0))</f>
        <v>0</v>
      </c>
      <c r="Z96" s="881">
        <f>IF(AND(ABS(System!V9)+ABS(System!W9)&lt;&gt;0,F96=0),ABS(System!BQ127)/W184,IF(ISNUMBER(System!BO127),ABS(System!BO127)/AA96,0))</f>
        <v>0</v>
      </c>
      <c r="AA96" s="881">
        <f>IF(AND(ABS(System!V9)+ABS(System!W9)&lt;&gt;0,F96=0),MAX(ABS(System!BP127),ABS(System!BQ127)),IF(ABS(System!T9)+ABS(System!U9)+ABS(System!P9)+ABS(System!Q9)&lt;&gt;0,MAX(ABS(System!BN127),ABS(System!BO127)),1))</f>
        <v>1</v>
      </c>
      <c r="AB96" s="881">
        <f t="shared" si="34"/>
        <v>0</v>
      </c>
    </row>
    <row r="97" spans="1:28" x14ac:dyDescent="0.25">
      <c r="A97" s="827">
        <v>7</v>
      </c>
      <c r="B97" s="882">
        <f>IF(AND(ABS(System!W10)+ABS(System!V10)&lt;&gt;0,F97=0),SIGN(System!V10),IF(AND(ABS(System!T10)+ABS(System!U10)&lt;&gt;0,F97=0),0,IF(ISNUMBER(System!$C10),SIGN(System!BN128),0)))</f>
        <v>0</v>
      </c>
      <c r="C97" s="883">
        <f>IF(AND(ABS(System!W10)+ABS(System!V10)&lt;&gt;0,F97=0),SIGN(System!W10),IF(AND(ABS(System!T10)+ABS(System!U10)&lt;&gt;0,F97=0),0,IF(ISNUMBER(System!$C10),SIGN(System!BO128),0)))</f>
        <v>0</v>
      </c>
      <c r="D97" s="883">
        <f>IF(ISNUMBER(System!$C10),System!BG128,0)</f>
        <v>0</v>
      </c>
      <c r="E97" s="883">
        <f>IF(ISNUMBER(System!$C10),System!BJ128,0)</f>
        <v>0</v>
      </c>
      <c r="F97" s="883">
        <f>IF(ISNUMBER(System!$C10),System!BK128,0)</f>
        <v>0</v>
      </c>
      <c r="G97" s="874">
        <f>IF(F11=0,1,IF(OR(System!T10&lt;&gt;0,System!U10 &lt;&gt;0),0,1))</f>
        <v>1</v>
      </c>
      <c r="H97" s="884">
        <f>IF(AND(ISNUMBER(System!$C10),ABS(B97)+ABS(C97)&lt;&gt;0),System!BC128+$J$1*MIN($E$1,D97)*F97 - $H$1*$E$1*E97,PlotData!$CB$3)</f>
        <v>0</v>
      </c>
      <c r="I97" s="885">
        <f>IF(AND(ISNUMBER(System!$C10),ABS(B97)+ABS(C97)&lt;&gt;0),System!BD128-$J$1*MIN($E$1,D97)*F97 - $H$1*$E$1*E97,PlotData!$CB$3)</f>
        <v>0</v>
      </c>
      <c r="J97" s="884">
        <f>IF(AND(ISNUMBER(System!$C10),ABS(B97)+ABS(C97)&lt;&gt;0),I97 -$C97*$E$1*E97*Z97*G97,PlotData!$CB$3)</f>
        <v>0</v>
      </c>
      <c r="K97" s="886">
        <f>IF(AND(ISNUMBER(System!$C10),ABS(B97)+ABS(C97)&lt;&gt;0),H97 - $B97*$E$1*E97*Y97*G97,PlotData!$CB$3)</f>
        <v>0</v>
      </c>
      <c r="L97" s="887">
        <f>IF($AB97&lt;&gt;0,H97+$AF$95*F97,PlotData!$CB$3)</f>
        <v>0</v>
      </c>
      <c r="M97" s="888">
        <f>IF($AB97&lt;&gt;0,I97-$AF$95*F97,PlotData!$CB$3)</f>
        <v>0</v>
      </c>
      <c r="N97" s="887">
        <f>IF(AND(ISNUMBER(System!$C10),ABS(B97)+ABS(C97)&lt;&gt;0),(IF(OR(B97&gt;0,AND(B97=0,C97&gt;0)),I97,H97))-IF(OR(B97&gt;0,AND(B97=0,C97&gt;0)),1,-1)*$R$1*MIN(D97,$E$1)*F97,PlotData!$CB$3)</f>
        <v>0</v>
      </c>
      <c r="O97" s="885">
        <f>IF(AND(ISNUMBER(System!$C10),(ABS(B97)+ABS(C97))&lt;&gt;0),IF(OR(B97&gt;0,AND(B97=0,C97&gt;0)),J97,K97)-IF(OR(B97&gt;0,AND(B97=0,C97&gt;0)),1,-1)*$R$1*MIN(D97,$E$1)*F97,PlotData!$CB$3)</f>
        <v>0</v>
      </c>
      <c r="P97" s="884">
        <f>IF(AND(ISNUMBER(System!$C10),ABS(B97)+ABS(C97)&lt;&gt;0),System!BE128-$J$1*MIN($E$1,D97)*E97 - $H$1*$E$1*F97,PlotData!$CB$4)</f>
        <v>0</v>
      </c>
      <c r="Q97" s="885">
        <f>IF(AND(ISNUMBER(System!$C10),ABS(B97)+ABS(C97)&lt;&gt;0),System!BF128+$J$1*MIN($E$1,D97)*E97 - $H$1*$E$1*F97,PlotData!$CB$4)</f>
        <v>0</v>
      </c>
      <c r="R97" s="884">
        <f>IF(AND(ISNUMBER(System!$C10),ABS(B97)+ABS(C97)&lt;&gt;0),Q97 -  $C97*$E$1*F97*Z97,PlotData!$CB$4)</f>
        <v>0</v>
      </c>
      <c r="S97" s="886">
        <f>IF(AND(ISNUMBER(System!$C10),ABS(B97)+ABS(C97)&lt;&gt;0),P97 -  $B97*$E$1*F97*Y97,PlotData!$CB$4)</f>
        <v>0</v>
      </c>
      <c r="T97" s="881">
        <f>IF($AB97&lt;&gt;0,P97-$AF$95*E97,PlotData!$CB$4)</f>
        <v>0</v>
      </c>
      <c r="U97" s="883">
        <f>IF($AB97&lt;&gt;0,Q97+$AF$95*E97,PlotData!$CB$4)</f>
        <v>0</v>
      </c>
      <c r="V97" s="881">
        <f>IF(AND(ISNUMBER(System!$C10),ABS(B97)+ABS(C97)&lt;&gt;0),IF(OR(B97&gt;0,AND(B97=0,C97&gt;0)),Q97,P97)+IF(OR(B97&gt;0,AND(B97=0,C97&gt;0)),1,-1)*$R$1*MIN(D97,$E$1)*E97,PlotData!$CB$4)</f>
        <v>0</v>
      </c>
      <c r="W97" s="881">
        <f>IF(AND(ISNUMBER(System!$C10),ABS(B97)+ABS(C97)&lt;&gt;0),IF(OR(B97&gt;0,AND(B97=0,C97&gt;0)),R97,S97)+IF(OR(B97&gt;0,AND(B97=0,C97&gt;0)),1,-1)*$R$1*MIN(D97,$E$1)*E97,PlotData!$CB$4)</f>
        <v>0</v>
      </c>
      <c r="X97" s="887">
        <f>IF(ISNUMBER(System!$C10),SIGN(System!$AG10),0)</f>
        <v>0</v>
      </c>
      <c r="Y97" s="881">
        <f>IF(AND(ABS(System!V10)+ABS(System!W10)&lt;&gt;0,F97=0),ABS(System!BP128)/W185,IF(ISNUMBER(System!BP128),ABS(System!BN128)/AA97,0))</f>
        <v>0</v>
      </c>
      <c r="Z97" s="881">
        <f>IF(AND(ABS(System!V10)+ABS(System!W10)&lt;&gt;0,F97=0),ABS(System!BQ128)/W185,IF(ISNUMBER(System!BO128),ABS(System!BO128)/AA97,0))</f>
        <v>0</v>
      </c>
      <c r="AA97" s="881">
        <f>IF(AND(ABS(System!V10)+ABS(System!W10)&lt;&gt;0,F97=0),MAX(ABS(System!BP128),ABS(System!BQ128)),IF(ABS(System!T10)+ABS(System!U10)+ABS(System!P10)+ABS(System!Q10)&lt;&gt;0,MAX(ABS(System!BN128),ABS(System!BO128)),1))</f>
        <v>1</v>
      </c>
      <c r="AB97" s="881">
        <f t="shared" si="34"/>
        <v>0</v>
      </c>
    </row>
    <row r="98" spans="1:28" x14ac:dyDescent="0.25">
      <c r="A98" s="827">
        <v>8</v>
      </c>
      <c r="B98" s="882">
        <f>IF(AND(ABS(System!W11)+ABS(System!V11)&lt;&gt;0,F98=0),SIGN(System!V11),IF(AND(ABS(System!T11)+ABS(System!U11)&lt;&gt;0,F98=0),0,IF(ISNUMBER(System!$C11),SIGN(System!BN129),0)))</f>
        <v>0</v>
      </c>
      <c r="C98" s="883">
        <f>IF(AND(ABS(System!W11)+ABS(System!V11)&lt;&gt;0,F98=0),SIGN(System!W11),IF(AND(ABS(System!T11)+ABS(System!U11)&lt;&gt;0,F98=0),0,IF(ISNUMBER(System!$C11),SIGN(System!BO129),0)))</f>
        <v>0</v>
      </c>
      <c r="D98" s="883">
        <f>IF(ISNUMBER(System!$C11),System!BG129,0)</f>
        <v>0</v>
      </c>
      <c r="E98" s="883">
        <f>IF(ISNUMBER(System!$C11),System!BJ129,0)</f>
        <v>0</v>
      </c>
      <c r="F98" s="883">
        <f>IF(ISNUMBER(System!$C11),System!BK129,0)</f>
        <v>0</v>
      </c>
      <c r="G98" s="874">
        <f>IF(F12=0,1,IF(OR(System!T11&lt;&gt;0,System!U11 &lt;&gt;0),0,1))</f>
        <v>1</v>
      </c>
      <c r="H98" s="884">
        <f>IF(AND(ISNUMBER(System!$C11),ABS(B98)+ABS(C98)&lt;&gt;0),System!BC129+$J$1*MIN($E$1,D98)*F98 - $H$1*$E$1*E98,PlotData!$CB$3)</f>
        <v>0</v>
      </c>
      <c r="I98" s="885">
        <f>IF(AND(ISNUMBER(System!$C11),ABS(B98)+ABS(C98)&lt;&gt;0),System!BD129-$J$1*MIN($E$1,D98)*F98 - $H$1*$E$1*E98,PlotData!$CB$3)</f>
        <v>0</v>
      </c>
      <c r="J98" s="884">
        <f>IF(AND(ISNUMBER(System!$C11),ABS(B98)+ABS(C98)&lt;&gt;0),I98 -$C98*$E$1*E98*Z98*G98,PlotData!$CB$3)</f>
        <v>0</v>
      </c>
      <c r="K98" s="886">
        <f>IF(AND(ISNUMBER(System!$C11),ABS(B98)+ABS(C98)&lt;&gt;0),H98 - $B98*$E$1*E98*Y98*G98,PlotData!$CB$3)</f>
        <v>0</v>
      </c>
      <c r="L98" s="887">
        <f>IF($AB98&lt;&gt;0,H98+$AF$95*F98,PlotData!$CB$3)</f>
        <v>0</v>
      </c>
      <c r="M98" s="888">
        <f>IF($AB98&lt;&gt;0,I98-$AF$95*F98,PlotData!$CB$3)</f>
        <v>0</v>
      </c>
      <c r="N98" s="887">
        <f>IF(AND(ISNUMBER(System!$C11),ABS(B98)+ABS(C98)&lt;&gt;0),(IF(OR(B98&gt;0,AND(B98=0,C98&gt;0)),I98,H98))-IF(OR(B98&gt;0,AND(B98=0,C98&gt;0)),1,-1)*$R$1*MIN(D98,$E$1)*F98,PlotData!$CB$3)</f>
        <v>0</v>
      </c>
      <c r="O98" s="885">
        <f>IF(AND(ISNUMBER(System!$C11),(ABS(B98)+ABS(C98))&lt;&gt;0),IF(OR(B98&gt;0,AND(B98=0,C98&gt;0)),J98,K98)-IF(OR(B98&gt;0,AND(B98=0,C98&gt;0)),1,-1)*$R$1*MIN(D98,$E$1)*F98,PlotData!$CB$3)</f>
        <v>0</v>
      </c>
      <c r="P98" s="884">
        <f>IF(AND(ISNUMBER(System!$C11),ABS(B98)+ABS(C98)&lt;&gt;0),System!BE129-$J$1*MIN($E$1,D98)*E98 - $H$1*$E$1*F98,PlotData!$CB$4)</f>
        <v>0</v>
      </c>
      <c r="Q98" s="885">
        <f>IF(AND(ISNUMBER(System!$C11),ABS(B98)+ABS(C98)&lt;&gt;0),System!BF129+$J$1*MIN($E$1,D98)*E98 - $H$1*$E$1*F98,PlotData!$CB$4)</f>
        <v>0</v>
      </c>
      <c r="R98" s="884">
        <f>IF(AND(ISNUMBER(System!$C11),ABS(B98)+ABS(C98)&lt;&gt;0),Q98 -  $C98*$E$1*F98*Z98,PlotData!$CB$4)</f>
        <v>0</v>
      </c>
      <c r="S98" s="886">
        <f>IF(AND(ISNUMBER(System!$C11),ABS(B98)+ABS(C98)&lt;&gt;0),P98 -  $B98*$E$1*F98*Y98,PlotData!$CB$4)</f>
        <v>0</v>
      </c>
      <c r="T98" s="881">
        <f>IF($AB98&lt;&gt;0,P98-$AF$95*E98,PlotData!$CB$4)</f>
        <v>0</v>
      </c>
      <c r="U98" s="883">
        <f>IF($AB98&lt;&gt;0,Q98+$AF$95*E98,PlotData!$CB$4)</f>
        <v>0</v>
      </c>
      <c r="V98" s="881">
        <f>IF(AND(ISNUMBER(System!$C11),ABS(B98)+ABS(C98)&lt;&gt;0),IF(OR(B98&gt;0,AND(B98=0,C98&gt;0)),Q98,P98)+IF(OR(B98&gt;0,AND(B98=0,C98&gt;0)),1,-1)*$R$1*MIN(D98,$E$1)*E98,PlotData!$CB$4)</f>
        <v>0</v>
      </c>
      <c r="W98" s="881">
        <f>IF(AND(ISNUMBER(System!$C11),ABS(B98)+ABS(C98)&lt;&gt;0),IF(OR(B98&gt;0,AND(B98=0,C98&gt;0)),R98,S98)+IF(OR(B98&gt;0,AND(B98=0,C98&gt;0)),1,-1)*$R$1*MIN(D98,$E$1)*E98,PlotData!$CB$4)</f>
        <v>0</v>
      </c>
      <c r="X98" s="887">
        <f>IF(ISNUMBER(System!$C11),SIGN(System!$AG11),0)</f>
        <v>0</v>
      </c>
      <c r="Y98" s="881">
        <f>IF(AND(ABS(System!V11)+ABS(System!W11)&lt;&gt;0,F98=0),ABS(System!BP129)/W186,IF(ISNUMBER(System!BN129),ABS(System!BN129)/AA98,0))</f>
        <v>0</v>
      </c>
      <c r="Z98" s="881">
        <f>IF(ISNUMBER(System!BO129),ABS(System!BO129)/AA98,0)</f>
        <v>0</v>
      </c>
      <c r="AA98" s="881">
        <f>IF(AND(ABS(System!V11)+ABS(System!W11)&lt;&gt;0,F98=0),MAX(ABS(System!BP129),ABS(System!BQ129)),IF(ABS(System!T11)+ABS(System!U11)+ABS(System!P11)+ABS(System!Q11)&lt;&gt;0,MAX(ABS(System!BN129),ABS(System!BO129)),1))</f>
        <v>1</v>
      </c>
      <c r="AB98" s="881">
        <f t="shared" si="34"/>
        <v>0</v>
      </c>
    </row>
    <row r="99" spans="1:28" x14ac:dyDescent="0.25">
      <c r="A99" s="827">
        <v>9</v>
      </c>
      <c r="B99" s="882">
        <f>IF(AND(ABS(System!W12)+ABS(System!V12)&lt;&gt;0,F99=0),SIGN(System!V12),IF(AND(ABS(System!T12)+ABS(System!U12)&lt;&gt;0,F99=0),0,IF(ISNUMBER(System!$C12),SIGN(System!BN130),0)))</f>
        <v>0</v>
      </c>
      <c r="C99" s="883">
        <f>IF(AND(ABS(System!W12)+ABS(System!V12)&lt;&gt;0,F99=0),SIGN(System!W12),IF(AND(ABS(System!T12)+ABS(System!U12)&lt;&gt;0,F99=0),0,IF(ISNUMBER(System!$C12),SIGN(System!BO130),0)))</f>
        <v>0</v>
      </c>
      <c r="D99" s="883">
        <f>IF(ISNUMBER(System!$C12),System!BG130,0)</f>
        <v>0</v>
      </c>
      <c r="E99" s="883">
        <f>IF(ISNUMBER(System!$C12),System!BJ130,0)</f>
        <v>0</v>
      </c>
      <c r="F99" s="883">
        <f>IF(ISNUMBER(System!$C12),System!BK130,0)</f>
        <v>0</v>
      </c>
      <c r="G99" s="874">
        <f>IF(F13=0,1,IF(OR(System!T12&lt;&gt;0,System!U12 &lt;&gt;0),0,1))</f>
        <v>1</v>
      </c>
      <c r="H99" s="884">
        <f>IF(AND(ISNUMBER(System!$C12),ABS(B99)+ABS(C99)&lt;&gt;0),System!BC130+$J$1*MIN($E$1,D99)*F99 - $H$1*$E$1*E99,PlotData!$CB$3)</f>
        <v>0</v>
      </c>
      <c r="I99" s="885">
        <f>IF(AND(ISNUMBER(System!$C12),ABS(B99)+ABS(C99)&lt;&gt;0),System!BD130-$J$1*MIN($E$1,D99)*F99 - $H$1*$E$1*E99,PlotData!$CB$3)</f>
        <v>0</v>
      </c>
      <c r="J99" s="884">
        <f>IF(AND(ISNUMBER(System!$C12),ABS(B99)+ABS(C99)&lt;&gt;0),I99 -$C99*$E$1*E99*Z99*G99,PlotData!$CB$3)</f>
        <v>0</v>
      </c>
      <c r="K99" s="886">
        <f>IF(AND(ISNUMBER(System!$C12),ABS(B99)+ABS(C99)&lt;&gt;0),H99 - $B99*$E$1*E99*Y99*G99,PlotData!$CB$3)</f>
        <v>0</v>
      </c>
      <c r="L99" s="887">
        <f>IF($AB99&lt;&gt;0,H99+$AF$95*F99,PlotData!$CB$3)</f>
        <v>0</v>
      </c>
      <c r="M99" s="888">
        <f>IF($AB99&lt;&gt;0,I99-$AF$95*F99,PlotData!$CB$3)</f>
        <v>0</v>
      </c>
      <c r="N99" s="887">
        <f>IF(AND(ISNUMBER(System!$C12),ABS(B99)+ABS(C99)&lt;&gt;0),(IF(OR(B99&gt;0,AND(B99=0,C99&gt;0)),I99,H99))-IF(OR(B99&gt;0,AND(B99=0,C99&gt;0)),1,-1)*$R$1*MIN(D99,$E$1)*F99,PlotData!$CB$3)</f>
        <v>0</v>
      </c>
      <c r="O99" s="885">
        <f>IF(AND(ISNUMBER(System!$C12),(ABS(B99)+ABS(C99))&lt;&gt;0),IF(OR(B99&gt;0,AND(B99=0,C99&gt;0)),J99,K99)-IF(OR(B99&gt;0,AND(B99=0,C99&gt;0)),1,-1)*$R$1*MIN(D99,$E$1)*F99,PlotData!$CB$3)</f>
        <v>0</v>
      </c>
      <c r="P99" s="884">
        <f>IF(AND(ISNUMBER(System!$C12),ABS(B99)+ABS(C99)&lt;&gt;0),System!BE130-$J$1*MIN($E$1,D99)*E99 - $H$1*$E$1*F99,PlotData!$CB$4)</f>
        <v>0</v>
      </c>
      <c r="Q99" s="885">
        <f>IF(AND(ISNUMBER(System!$C12),ABS(B99)+ABS(C99)&lt;&gt;0),System!BF130+$J$1*MIN($E$1,D99)*E99 - $H$1*$E$1*F99,PlotData!$CB$4)</f>
        <v>0</v>
      </c>
      <c r="R99" s="884">
        <f>IF(AND(ISNUMBER(System!$C12),ABS(B99)+ABS(C99)&lt;&gt;0),Q99 -  $C99*$E$1*F99*Z99,PlotData!$CB$4)</f>
        <v>0</v>
      </c>
      <c r="S99" s="886">
        <f>IF(AND(ISNUMBER(System!$C12),ABS(B99)+ABS(C99)&lt;&gt;0),P99 -  $B99*$E$1*F99*Y99,PlotData!$CB$4)</f>
        <v>0</v>
      </c>
      <c r="T99" s="881">
        <f>IF($AB99&lt;&gt;0,P99-$AF$95*E99,PlotData!$CB$4)</f>
        <v>0</v>
      </c>
      <c r="U99" s="883">
        <f>IF($AB99&lt;&gt;0,Q99+$AF$95*E99,PlotData!$CB$4)</f>
        <v>0</v>
      </c>
      <c r="V99" s="881">
        <f>IF(AND(ISNUMBER(System!$C12),ABS(B99)+ABS(C99)&lt;&gt;0),IF(OR(B99&gt;0,AND(B99=0,C99&gt;0)),Q99,P99)+IF(OR(B99&gt;0,AND(B99=0,C99&gt;0)),1,-1)*$R$1*MIN(D99,$E$1)*E99,PlotData!$CB$4)</f>
        <v>0</v>
      </c>
      <c r="W99" s="881">
        <f>IF(AND(ISNUMBER(System!$C12),ABS(B99)+ABS(C99)&lt;&gt;0),IF(OR(B99&gt;0,AND(B99=0,C99&gt;0)),R99,S99)+IF(OR(B99&gt;0,AND(B99=0,C99&gt;0)),1,-1)*$R$1*MIN(D99,$E$1)*E99,PlotData!$CB$4)</f>
        <v>0</v>
      </c>
      <c r="X99" s="887">
        <f>IF(ISNUMBER(System!$C12),SIGN(System!$AG12),0)</f>
        <v>0</v>
      </c>
      <c r="Y99" s="881">
        <f>IF(ISNUMBER(System!BN130),ABS(System!BN130)/AA99,0)</f>
        <v>0</v>
      </c>
      <c r="Z99" s="881">
        <f>IF(ISNUMBER(System!BO130),ABS(System!BO130)/AA99,0)</f>
        <v>0</v>
      </c>
      <c r="AA99" s="881">
        <f>IF(AND(ABS(System!V12)+ABS(System!W12)&lt;&gt;0,F99=0),MAX(ABS(System!BP130),ABS(System!BQ130)),IF(ABS(System!T12)+ABS(System!U12)+ABS(System!P12)+ABS(System!Q12)&lt;&gt;0,MAX(ABS(System!BN130),ABS(System!BO130)),1))</f>
        <v>1</v>
      </c>
      <c r="AB99" s="881">
        <f t="shared" si="34"/>
        <v>0</v>
      </c>
    </row>
    <row r="100" spans="1:28" x14ac:dyDescent="0.25">
      <c r="A100" s="827">
        <v>10</v>
      </c>
      <c r="B100" s="882">
        <f>IF(AND(ABS(System!W13)+ABS(System!V13)&lt;&gt;0,F100=0),SIGN(System!V13),IF(AND(ABS(System!T13)+ABS(System!U13)&lt;&gt;0,F100=0),0,IF(ISNUMBER(System!$C13),SIGN(System!BN131),0)))</f>
        <v>0</v>
      </c>
      <c r="C100" s="883">
        <f>IF(AND(ABS(System!W13)+ABS(System!V13)&lt;&gt;0,F100=0),SIGN(System!W13),IF(AND(ABS(System!T13)+ABS(System!U13)&lt;&gt;0,F100=0),0,IF(ISNUMBER(System!$C13),SIGN(System!BO131),0)))</f>
        <v>0</v>
      </c>
      <c r="D100" s="883">
        <f>IF(ISNUMBER(System!$C13),System!BG131,0)</f>
        <v>0</v>
      </c>
      <c r="E100" s="883">
        <f>IF(ISNUMBER(System!$C13),System!BJ131,0)</f>
        <v>0</v>
      </c>
      <c r="F100" s="883">
        <f>IF(ISNUMBER(System!$C13),System!BK131,0)</f>
        <v>0</v>
      </c>
      <c r="G100" s="874">
        <f>IF(F14=0,1,IF(OR(System!T13&lt;&gt;0,System!U13 &lt;&gt;0),0,1))</f>
        <v>1</v>
      </c>
      <c r="H100" s="884">
        <f>IF(AND(ISNUMBER(System!$C13),ABS(B100)+ABS(C100)&lt;&gt;0),System!BC131+$J$1*MIN($E$1,D100)*F100 - $H$1*$E$1*E100,PlotData!$CB$3)</f>
        <v>0</v>
      </c>
      <c r="I100" s="885">
        <f>IF(AND(ISNUMBER(System!$C13),ABS(B100)+ABS(C100)&lt;&gt;0),System!BD131-$J$1*MIN($E$1,D100)*F100 - $H$1*$E$1*E100,PlotData!$CB$3)</f>
        <v>0</v>
      </c>
      <c r="J100" s="884">
        <f>IF(AND(ISNUMBER(System!$C13),ABS(B100)+ABS(C100)&lt;&gt;0),I100 -$C100*$E$1*E100*Z100*G100,PlotData!$CB$3)</f>
        <v>0</v>
      </c>
      <c r="K100" s="886">
        <f>IF(AND(ISNUMBER(System!$C13),ABS(B100)+ABS(C100)&lt;&gt;0),H100 - $B100*$E$1*E100*Y100*G100,PlotData!$CB$3)</f>
        <v>0</v>
      </c>
      <c r="L100" s="887">
        <f>IF($AB100&lt;&gt;0,H100+$AF$95*F100,PlotData!$CB$3)</f>
        <v>0</v>
      </c>
      <c r="M100" s="888">
        <f>IF($AB100&lt;&gt;0,I100-$AF$95*F100,PlotData!$CB$3)</f>
        <v>0</v>
      </c>
      <c r="N100" s="887">
        <f>IF(AND(ISNUMBER(System!$C13),ABS(B100)+ABS(C100)&lt;&gt;0),(IF(OR(B100&gt;0,AND(B100=0,C100&gt;0)),I100,H100))-IF(OR(B100&gt;0,AND(B100=0,C100&gt;0)),1,-1)*$R$1*MIN(D100,$E$1)*F100,PlotData!$CB$3)</f>
        <v>0</v>
      </c>
      <c r="O100" s="885">
        <f>IF(AND(ISNUMBER(System!$C13),(ABS(B100)+ABS(C100))&lt;&gt;0),IF(OR(B100&gt;0,AND(B100=0,C100&gt;0)),J100,K100)-IF(OR(B100&gt;0,AND(B100=0,C100&gt;0)),1,-1)*$R$1*MIN(D100,$E$1)*F100,PlotData!$CB$3)</f>
        <v>0</v>
      </c>
      <c r="P100" s="884">
        <f>IF(AND(ISNUMBER(System!$C13),ABS(B100)+ABS(C100)&lt;&gt;0),System!BE131-$J$1*MIN($E$1,D100)*E100 - $H$1*$E$1*F100,PlotData!$CB$4)</f>
        <v>0</v>
      </c>
      <c r="Q100" s="885">
        <f>IF(AND(ISNUMBER(System!$C13),ABS(B100)+ABS(C100)&lt;&gt;0),System!BF131+$J$1*MIN($E$1,D100)*E100 - $H$1*$E$1*F100,PlotData!$CB$4)</f>
        <v>0</v>
      </c>
      <c r="R100" s="884">
        <f>IF(AND(ISNUMBER(System!$C13),ABS(B100)+ABS(C100)&lt;&gt;0),Q100 -  $C100*$E$1*F100*Z100,PlotData!$CB$4)</f>
        <v>0</v>
      </c>
      <c r="S100" s="886">
        <f>IF(AND(ISNUMBER(System!$C13),ABS(B100)+ABS(C100)&lt;&gt;0),P100 -  $B100*$E$1*F100*Y100,PlotData!$CB$4)</f>
        <v>0</v>
      </c>
      <c r="T100" s="881">
        <f>IF($AB100&lt;&gt;0,P100-$AF$95*E100,PlotData!$CB$4)</f>
        <v>0</v>
      </c>
      <c r="U100" s="883">
        <f>IF($AB100&lt;&gt;0,Q100+$AF$95*E100,PlotData!$CB$4)</f>
        <v>0</v>
      </c>
      <c r="V100" s="881">
        <f>IF(AND(ISNUMBER(System!$C13),ABS(B100)+ABS(C100)&lt;&gt;0),IF(OR(B100&gt;0,AND(B100=0,C100&gt;0)),Q100,P100)+IF(OR(B100&gt;0,AND(B100=0,C100&gt;0)),1,-1)*$R$1*MIN(D100,$E$1)*E100,PlotData!$CB$4)</f>
        <v>0</v>
      </c>
      <c r="W100" s="881">
        <f>IF(AND(ISNUMBER(System!$C13),ABS(B100)+ABS(C100)&lt;&gt;0),IF(OR(B100&gt;0,AND(B100=0,C100&gt;0)),R100,S100)+IF(OR(B100&gt;0,AND(B100=0,C100&gt;0)),1,-1)*$R$1*MIN(D100,$E$1)*E100,PlotData!$CB$4)</f>
        <v>0</v>
      </c>
      <c r="X100" s="887">
        <f>IF(ISNUMBER(System!$C13),SIGN(System!$AG13),0)</f>
        <v>0</v>
      </c>
      <c r="Y100" s="881">
        <f>IF(ISNUMBER(System!BN131),ABS(System!BN131)/AA100,0)</f>
        <v>0</v>
      </c>
      <c r="Z100" s="881">
        <f>IF(ISNUMBER(System!BO131),ABS(System!BO131)/AA100,0)</f>
        <v>0</v>
      </c>
      <c r="AA100" s="881">
        <f>IF(AND(ABS(System!V13)+ABS(System!W13)&lt;&gt;0,F100=0),MAX(ABS(System!BP131),ABS(System!BQ131)),IF(ABS(System!T13)+ABS(System!U13)+ABS(System!P13)+ABS(System!Q13)&lt;&gt;0,MAX(ABS(System!BN131),ABS(System!BO131)),1))</f>
        <v>1</v>
      </c>
      <c r="AB100" s="881">
        <f t="shared" si="34"/>
        <v>0</v>
      </c>
    </row>
    <row r="101" spans="1:28" x14ac:dyDescent="0.25">
      <c r="A101" s="827">
        <v>11</v>
      </c>
      <c r="B101" s="882">
        <f>IF(AND(ABS(System!W14)+ABS(System!V14)&lt;&gt;0,F101=0),SIGN(System!V14),IF(AND(ABS(System!T14)+ABS(System!U14)&lt;&gt;0,F101=0),0,IF(ISNUMBER(System!$C14),SIGN(System!BN132),0)))</f>
        <v>0</v>
      </c>
      <c r="C101" s="883">
        <f>IF(AND(ABS(System!W14)+ABS(System!V14)&lt;&gt;0,F101=0),SIGN(System!W14),IF(AND(ABS(System!T14)+ABS(System!U14)&lt;&gt;0,F101=0),0,IF(ISNUMBER(System!$C14),SIGN(System!BO132),0)))</f>
        <v>0</v>
      </c>
      <c r="D101" s="883">
        <f>IF(ISNUMBER(System!$C14),System!BG132,0)</f>
        <v>0</v>
      </c>
      <c r="E101" s="883">
        <f>IF(ISNUMBER(System!$C14),System!BJ132,0)</f>
        <v>0</v>
      </c>
      <c r="F101" s="883">
        <f>IF(ISNUMBER(System!$C14),System!BK132,0)</f>
        <v>0</v>
      </c>
      <c r="G101" s="874">
        <f>IF(F15=0,1,IF(OR(System!T14&lt;&gt;0,System!U14 &lt;&gt;0),0,1))</f>
        <v>1</v>
      </c>
      <c r="H101" s="884">
        <f>IF(AND(ISNUMBER(System!$C14),ABS(B101)+ABS(C101)&lt;&gt;0),System!BC132+$J$1*MIN($E$1,D101)*F101 - $H$1*$E$1*E101,PlotData!$CB$3)</f>
        <v>0</v>
      </c>
      <c r="I101" s="885">
        <f>IF(AND(ISNUMBER(System!$C14),ABS(B101)+ABS(C101)&lt;&gt;0),System!BD132-$J$1*MIN($E$1,D101)*F101 - $H$1*$E$1*E101,PlotData!$CB$3)</f>
        <v>0</v>
      </c>
      <c r="J101" s="884">
        <f>IF(AND(ISNUMBER(System!$C14),ABS(B101)+ABS(C101)&lt;&gt;0),I101 -$C101*$E$1*E101*Z101*G101,PlotData!$CB$3)</f>
        <v>0</v>
      </c>
      <c r="K101" s="886">
        <f>IF(AND(ISNUMBER(System!$C14),ABS(B101)+ABS(C101)&lt;&gt;0),H101 - $B101*$E$1*E101*Y101*G101,PlotData!$CB$3)</f>
        <v>0</v>
      </c>
      <c r="L101" s="887">
        <f>IF($AB101&lt;&gt;0,H101+$AF$95*F101,PlotData!$CB$3)</f>
        <v>0</v>
      </c>
      <c r="M101" s="888">
        <f>IF($AB101&lt;&gt;0,I101-$AF$95*F101,PlotData!$CB$3)</f>
        <v>0</v>
      </c>
      <c r="N101" s="887">
        <f>IF(AND(ISNUMBER(System!$C14),ABS(B101)+ABS(C101)&lt;&gt;0),(IF(OR(B101&gt;0,AND(B101=0,C101&gt;0)),I101,H101))-IF(OR(B101&gt;0,AND(B101=0,C101&gt;0)),1,-1)*$R$1*MIN(D101,$E$1)*F101,PlotData!$CB$3)</f>
        <v>0</v>
      </c>
      <c r="O101" s="885">
        <f>IF(AND(ISNUMBER(System!$C14),(ABS(B101)+ABS(C101))&lt;&gt;0),IF(OR(B101&gt;0,AND(B101=0,C101&gt;0)),J101,K101)-IF(OR(B101&gt;0,AND(B101=0,C101&gt;0)),1,-1)*$R$1*MIN(D101,$E$1)*F101,PlotData!$CB$3)</f>
        <v>0</v>
      </c>
      <c r="P101" s="884">
        <f>IF(AND(ISNUMBER(System!$C14),ABS(B101)+ABS(C101)&lt;&gt;0),System!BE132-$J$1*MIN($E$1,D101)*E101 - $H$1*$E$1*F101,PlotData!$CB$4)</f>
        <v>0</v>
      </c>
      <c r="Q101" s="885">
        <f>IF(AND(ISNUMBER(System!$C14),ABS(B101)+ABS(C101)&lt;&gt;0),System!BF132+$J$1*MIN($E$1,D101)*E101 - $H$1*$E$1*F101,PlotData!$CB$4)</f>
        <v>0</v>
      </c>
      <c r="R101" s="884">
        <f>IF(AND(ISNUMBER(System!$C14),ABS(B101)+ABS(C101)&lt;&gt;0),Q101 -  $C101*$E$1*F101*Z101,PlotData!$CB$4)</f>
        <v>0</v>
      </c>
      <c r="S101" s="886">
        <f>IF(AND(ISNUMBER(System!$C14),ABS(B101)+ABS(C101)&lt;&gt;0),P101 -  $B101*$E$1*F101*Y101,PlotData!$CB$4)</f>
        <v>0</v>
      </c>
      <c r="T101" s="881">
        <f>IF($AB101&lt;&gt;0,P101-$AF$95*E101,PlotData!$CB$4)</f>
        <v>0</v>
      </c>
      <c r="U101" s="883">
        <f>IF($AB101&lt;&gt;0,Q101+$AF$95*E101,PlotData!$CB$4)</f>
        <v>0</v>
      </c>
      <c r="V101" s="881">
        <f>IF(AND(ISNUMBER(System!$C14),ABS(B101)+ABS(C101)&lt;&gt;0),IF(OR(B101&gt;0,AND(B101=0,C101&gt;0)),Q101,P101)+IF(OR(B101&gt;0,AND(B101=0,C101&gt;0)),1,-1)*$R$1*MIN(D101,$E$1)*E101,PlotData!$CB$4)</f>
        <v>0</v>
      </c>
      <c r="W101" s="881">
        <f>IF(AND(ISNUMBER(System!$C14),ABS(B101)+ABS(C101)&lt;&gt;0),IF(OR(B101&gt;0,AND(B101=0,C101&gt;0)),R101,S101)+IF(OR(B101&gt;0,AND(B101=0,C101&gt;0)),1,-1)*$R$1*MIN(D101,$E$1)*E101,PlotData!$CB$4)</f>
        <v>0</v>
      </c>
      <c r="X101" s="887">
        <f>IF(ISNUMBER(System!$C14),SIGN(System!$AG14),0)</f>
        <v>0</v>
      </c>
      <c r="Y101" s="881">
        <f>IF(ISNUMBER(System!BN132),ABS(System!BN132)/AA101,0)</f>
        <v>0</v>
      </c>
      <c r="Z101" s="881">
        <f>IF(ISNUMBER(System!BO132),ABS(System!BO132)/AA101,0)</f>
        <v>0</v>
      </c>
      <c r="AA101" s="881">
        <f>IF(AND(ABS(System!V14)+ABS(System!W14)&lt;&gt;0,F101=0),MAX(ABS(System!BP132),ABS(System!BQ132)),IF(ABS(System!T14)+ABS(System!U14)+ABS(System!P14)+ABS(System!Q14)&lt;&gt;0,MAX(ABS(System!BN132),ABS(System!BO132)),1))</f>
        <v>1</v>
      </c>
      <c r="AB101" s="881">
        <f t="shared" si="34"/>
        <v>0</v>
      </c>
    </row>
    <row r="102" spans="1:28" x14ac:dyDescent="0.25">
      <c r="A102" s="827">
        <v>12</v>
      </c>
      <c r="B102" s="882">
        <f>IF(AND(ABS(System!W15)+ABS(System!V15)&lt;&gt;0,F102=0),SIGN(System!V15),IF(AND(ABS(System!T15)+ABS(System!U15)&lt;&gt;0,F102=0),0,IF(ISNUMBER(System!$C15),SIGN(System!BN133),0)))</f>
        <v>0</v>
      </c>
      <c r="C102" s="883">
        <f>IF(AND(ABS(System!W15)+ABS(System!V15)&lt;&gt;0,F102=0),SIGN(System!W15),IF(AND(ABS(System!T15)+ABS(System!U15)&lt;&gt;0,F102=0),0,IF(ISNUMBER(System!$C15),SIGN(System!BO133),0)))</f>
        <v>0</v>
      </c>
      <c r="D102" s="883">
        <f>IF(ISNUMBER(System!$C15),System!BG133,0)</f>
        <v>0</v>
      </c>
      <c r="E102" s="883">
        <f>IF(ISNUMBER(System!$C15),System!BJ133,0)</f>
        <v>0</v>
      </c>
      <c r="F102" s="883">
        <f>IF(ISNUMBER(System!$C15),System!BK133,0)</f>
        <v>0</v>
      </c>
      <c r="G102" s="874">
        <f>IF(F16=0,1,IF(OR(System!T15&lt;&gt;0,System!U15 &lt;&gt;0),0,1))</f>
        <v>1</v>
      </c>
      <c r="H102" s="884">
        <f>IF(AND(ISNUMBER(System!$C15),ABS(B102)+ABS(C102)&lt;&gt;0),System!BC133+$J$1*MIN($E$1,D102)*F102 - $H$1*$E$1*E102,PlotData!$CB$3)</f>
        <v>0</v>
      </c>
      <c r="I102" s="885">
        <f>IF(AND(ISNUMBER(System!$C15),ABS(B102)+ABS(C102)&lt;&gt;0),System!BD133-$J$1*MIN($E$1,D102)*F102 - $H$1*$E$1*E102,PlotData!$CB$3)</f>
        <v>0</v>
      </c>
      <c r="J102" s="884">
        <f>IF(AND(ISNUMBER(System!$C15),ABS(B102)+ABS(C102)&lt;&gt;0),I102 -$C102*$E$1*E102*Z102*G102,PlotData!$CB$3)</f>
        <v>0</v>
      </c>
      <c r="K102" s="886">
        <f>IF(AND(ISNUMBER(System!$C15),ABS(B102)+ABS(C102)&lt;&gt;0),H102 - $B102*$E$1*E102*Y102*G102,PlotData!$CB$3)</f>
        <v>0</v>
      </c>
      <c r="L102" s="887">
        <f>IF($AB102&lt;&gt;0,H102+$AF$95*F102,PlotData!$CB$3)</f>
        <v>0</v>
      </c>
      <c r="M102" s="888">
        <f>IF($AB102&lt;&gt;0,I102-$AF$95*F102,PlotData!$CB$3)</f>
        <v>0</v>
      </c>
      <c r="N102" s="887">
        <f>IF(AND(ISNUMBER(System!$C15),ABS(B102)+ABS(C102)&lt;&gt;0),(IF(OR(B102&gt;0,AND(B102=0,C102&gt;0)),I102,H102))-IF(OR(B102&gt;0,AND(B102=0,C102&gt;0)),1,-1)*$R$1*MIN(D102,$E$1)*F102,PlotData!$CB$3)</f>
        <v>0</v>
      </c>
      <c r="O102" s="885">
        <f>IF(AND(ISNUMBER(System!$C15),(ABS(B102)+ABS(C102))&lt;&gt;0),IF(OR(B102&gt;0,AND(B102=0,C102&gt;0)),J102,K102)-IF(OR(B102&gt;0,AND(B102=0,C102&gt;0)),1,-1)*$R$1*MIN(D102,$E$1)*F102,PlotData!$CB$3)</f>
        <v>0</v>
      </c>
      <c r="P102" s="884">
        <f>IF(AND(ISNUMBER(System!$C15),ABS(B102)+ABS(C102)&lt;&gt;0),System!BE133-$J$1*MIN($E$1,D102)*E102 - $H$1*$E$1*F102,PlotData!$CB$4)</f>
        <v>0</v>
      </c>
      <c r="Q102" s="885">
        <f>IF(AND(ISNUMBER(System!$C15),ABS(B102)+ABS(C102)&lt;&gt;0),System!BF133+$J$1*MIN($E$1,D102)*E102 - $H$1*$E$1*F102,PlotData!$CB$4)</f>
        <v>0</v>
      </c>
      <c r="R102" s="884">
        <f>IF(AND(ISNUMBER(System!$C15),ABS(B102)+ABS(C102)&lt;&gt;0),Q102 -  $C102*$E$1*F102*Z102,PlotData!$CB$4)</f>
        <v>0</v>
      </c>
      <c r="S102" s="886">
        <f>IF(AND(ISNUMBER(System!$C15),ABS(B102)+ABS(C102)&lt;&gt;0),P102 -  $B102*$E$1*F102*Y102,PlotData!$CB$4)</f>
        <v>0</v>
      </c>
      <c r="T102" s="881">
        <f>IF($AB102&lt;&gt;0,P102-$AF$95*E102,PlotData!$CB$4)</f>
        <v>0</v>
      </c>
      <c r="U102" s="883">
        <f>IF($AB102&lt;&gt;0,Q102+$AF$95*E102,PlotData!$CB$4)</f>
        <v>0</v>
      </c>
      <c r="V102" s="881">
        <f>IF(AND(ISNUMBER(System!$C15),ABS(B102)+ABS(C102)&lt;&gt;0),IF(OR(B102&gt;0,AND(B102=0,C102&gt;0)),Q102,P102)+IF(OR(B102&gt;0,AND(B102=0,C102&gt;0)),1,-1)*$R$1*MIN(D102,$E$1)*E102,PlotData!$CB$4)</f>
        <v>0</v>
      </c>
      <c r="W102" s="881">
        <f>IF(AND(ISNUMBER(System!$C15),ABS(B102)+ABS(C102)&lt;&gt;0),IF(OR(B102&gt;0,AND(B102=0,C102&gt;0)),R102,S102)+IF(OR(B102&gt;0,AND(B102=0,C102&gt;0)),1,-1)*$R$1*MIN(D102,$E$1)*E102,PlotData!$CB$4)</f>
        <v>0</v>
      </c>
      <c r="X102" s="887">
        <f>IF(ISNUMBER(System!$C15),SIGN(System!$AG15),0)</f>
        <v>0</v>
      </c>
      <c r="Y102" s="881">
        <f>IF(ISNUMBER(System!BN133),ABS(System!BN133)/AA102,0)</f>
        <v>0</v>
      </c>
      <c r="Z102" s="881">
        <f>IF(ISNUMBER(System!BO133),ABS(System!BO133)/AA102,0)</f>
        <v>0</v>
      </c>
      <c r="AA102" s="881">
        <f>IF(AND(ABS(System!V15)+ABS(System!W15)&lt;&gt;0,F102=0),MAX(ABS(System!BP133),ABS(System!BQ133)),IF(ABS(System!T15)+ABS(System!U15)+ABS(System!P15)+ABS(System!Q15)&lt;&gt;0,MAX(ABS(System!BN133),ABS(System!BO133)),1))</f>
        <v>1</v>
      </c>
      <c r="AB102" s="881">
        <f t="shared" si="34"/>
        <v>0</v>
      </c>
    </row>
    <row r="103" spans="1:28" x14ac:dyDescent="0.25">
      <c r="A103" s="827">
        <v>13</v>
      </c>
      <c r="B103" s="882">
        <f>IF(AND(ABS(System!W16)+ABS(System!V16)&lt;&gt;0,F103=0),SIGN(System!V16),IF(AND(ABS(System!T16)+ABS(System!U16)&lt;&gt;0,F103=0),0,IF(ISNUMBER(System!$C16),SIGN(System!BN134),0)))</f>
        <v>0</v>
      </c>
      <c r="C103" s="883">
        <f>IF(AND(ABS(System!W16)+ABS(System!V16)&lt;&gt;0,F103=0),SIGN(System!W16),IF(AND(ABS(System!T16)+ABS(System!U16)&lt;&gt;0,F103=0),0,IF(ISNUMBER(System!$C16),SIGN(System!BO134),0)))</f>
        <v>0</v>
      </c>
      <c r="D103" s="883">
        <f>IF(ISNUMBER(System!$C16),System!BG134,0)</f>
        <v>0</v>
      </c>
      <c r="E103" s="883">
        <f>IF(ISNUMBER(System!$C16),System!BJ134,0)</f>
        <v>0</v>
      </c>
      <c r="F103" s="883">
        <f>IF(ISNUMBER(System!$C16),System!BK134,0)</f>
        <v>0</v>
      </c>
      <c r="G103" s="874">
        <f>IF(F17=0,1,IF(OR(System!T16&lt;&gt;0,System!U16 &lt;&gt;0),0,1))</f>
        <v>1</v>
      </c>
      <c r="H103" s="884">
        <f>IF(AND(ISNUMBER(System!$C16),ABS(B103)+ABS(C103)&lt;&gt;0),System!BC134+$J$1*MIN($E$1,D103)*F103 - $H$1*$E$1*E103,PlotData!$CB$3)</f>
        <v>0</v>
      </c>
      <c r="I103" s="885">
        <f>IF(AND(ISNUMBER(System!$C16),ABS(B103)+ABS(C103)&lt;&gt;0),System!BD134-$J$1*MIN($E$1,D103)*F103 - $H$1*$E$1*E103,PlotData!$CB$3)</f>
        <v>0</v>
      </c>
      <c r="J103" s="884">
        <f>IF(AND(ISNUMBER(System!$C16),ABS(B103)+ABS(C103)&lt;&gt;0),I103 -$C103*$E$1*E103*Z103*G103,PlotData!$CB$3)</f>
        <v>0</v>
      </c>
      <c r="K103" s="886">
        <f>IF(AND(ISNUMBER(System!$C16),ABS(B103)+ABS(C103)&lt;&gt;0),H103 - $B103*$E$1*E103*Y103*G103,PlotData!$CB$3)</f>
        <v>0</v>
      </c>
      <c r="L103" s="887">
        <f>IF($AB103&lt;&gt;0,H103+$AF$95*F103,PlotData!$CB$3)</f>
        <v>0</v>
      </c>
      <c r="M103" s="888">
        <f>IF($AB103&lt;&gt;0,I103-$AF$95*F103,PlotData!$CB$3)</f>
        <v>0</v>
      </c>
      <c r="N103" s="887">
        <f>IF(AND(ISNUMBER(System!$C16),ABS(B103)+ABS(C103)&lt;&gt;0),(IF(OR(B103&gt;0,AND(B103=0,C103&gt;0)),I103,H103))-IF(OR(B103&gt;0,AND(B103=0,C103&gt;0)),1,-1)*$R$1*MIN(D103,$E$1)*F103,PlotData!$CB$3)</f>
        <v>0</v>
      </c>
      <c r="O103" s="885">
        <f>IF(AND(ISNUMBER(System!$C16),(ABS(B103)+ABS(C103))&lt;&gt;0),IF(OR(B103&gt;0,AND(B103=0,C103&gt;0)),J103,K103)-IF(OR(B103&gt;0,AND(B103=0,C103&gt;0)),1,-1)*$R$1*MIN(D103,$E$1)*F103,PlotData!$CB$3)</f>
        <v>0</v>
      </c>
      <c r="P103" s="884">
        <f>IF(AND(ISNUMBER(System!$C16),ABS(B103)+ABS(C103)&lt;&gt;0),System!BE134-$J$1*MIN($E$1,D103)*E103 - $H$1*$E$1*F103,PlotData!$CB$4)</f>
        <v>0</v>
      </c>
      <c r="Q103" s="885">
        <f>IF(AND(ISNUMBER(System!$C16),ABS(B103)+ABS(C103)&lt;&gt;0),System!BF134+$J$1*MIN($E$1,D103)*E103 - $H$1*$E$1*F103,PlotData!$CB$4)</f>
        <v>0</v>
      </c>
      <c r="R103" s="884">
        <f>IF(AND(ISNUMBER(System!$C16),ABS(B103)+ABS(C103)&lt;&gt;0),Q103 -  $C103*$E$1*F103*Z103,PlotData!$CB$4)</f>
        <v>0</v>
      </c>
      <c r="S103" s="886">
        <f>IF(AND(ISNUMBER(System!$C16),ABS(B103)+ABS(C103)&lt;&gt;0),P103 -  $B103*$E$1*F103*Y103,PlotData!$CB$4)</f>
        <v>0</v>
      </c>
      <c r="T103" s="881">
        <f>IF($AB103&lt;&gt;0,P103-$AF$95*E103,PlotData!$CB$4)</f>
        <v>0</v>
      </c>
      <c r="U103" s="883">
        <f>IF($AB103&lt;&gt;0,Q103+$AF$95*E103,PlotData!$CB$4)</f>
        <v>0</v>
      </c>
      <c r="V103" s="881">
        <f>IF(AND(ISNUMBER(System!$C16),ABS(B103)+ABS(C103)&lt;&gt;0),IF(OR(B103&gt;0,AND(B103=0,C103&gt;0)),Q103,P103)+IF(OR(B103&gt;0,AND(B103=0,C103&gt;0)),1,-1)*$R$1*MIN(D103,$E$1)*E103,PlotData!$CB$4)</f>
        <v>0</v>
      </c>
      <c r="W103" s="881">
        <f>IF(AND(ISNUMBER(System!$C16),ABS(B103)+ABS(C103)&lt;&gt;0),IF(OR(B103&gt;0,AND(B103=0,C103&gt;0)),R103,S103)+IF(OR(B103&gt;0,AND(B103=0,C103&gt;0)),1,-1)*$R$1*MIN(D103,$E$1)*E103,PlotData!$CB$4)</f>
        <v>0</v>
      </c>
      <c r="X103" s="887">
        <f>IF(ISNUMBER(System!$C16),SIGN(System!$AG16),0)</f>
        <v>0</v>
      </c>
      <c r="Y103" s="881">
        <f>IF(ISNUMBER(System!BN134),ABS(System!BN134)/AA103,0)</f>
        <v>0</v>
      </c>
      <c r="Z103" s="881">
        <f>IF(ISNUMBER(System!BO134),ABS(System!BO134)/AA103,0)</f>
        <v>0</v>
      </c>
      <c r="AA103" s="881">
        <f>IF(AND(ABS(System!V16)+ABS(System!W16)&lt;&gt;0,F103=0),MAX(ABS(System!BP134),ABS(System!BQ134)),IF(ABS(System!T16)+ABS(System!U16)+ABS(System!P16)+ABS(System!Q16)&lt;&gt;0,MAX(ABS(System!BN134),ABS(System!BO134)),1))</f>
        <v>1</v>
      </c>
      <c r="AB103" s="881">
        <f t="shared" si="34"/>
        <v>0</v>
      </c>
    </row>
    <row r="104" spans="1:28" x14ac:dyDescent="0.25">
      <c r="A104" s="827">
        <v>14</v>
      </c>
      <c r="B104" s="882">
        <f>IF(AND(ABS(System!W17)+ABS(System!V17)&lt;&gt;0,F104=0),SIGN(System!V17),IF(AND(ABS(System!T17)+ABS(System!U17)&lt;&gt;0,F104=0),0,IF(ISNUMBER(System!$C17),SIGN(System!BN135),0)))</f>
        <v>0</v>
      </c>
      <c r="C104" s="883">
        <f>IF(AND(ABS(System!W17)+ABS(System!V17)&lt;&gt;0,F104=0),SIGN(System!W17),IF(AND(ABS(System!T17)+ABS(System!U17)&lt;&gt;0,F104=0),0,IF(ISNUMBER(System!$C17),SIGN(System!BO135),0)))</f>
        <v>0</v>
      </c>
      <c r="D104" s="883">
        <f>IF(ISNUMBER(System!$C17),System!BG135,0)</f>
        <v>0</v>
      </c>
      <c r="E104" s="883">
        <f>IF(ISNUMBER(System!$C17),System!BJ135,0)</f>
        <v>0</v>
      </c>
      <c r="F104" s="883">
        <f>IF(ISNUMBER(System!$C17),System!BK135,0)</f>
        <v>0</v>
      </c>
      <c r="G104" s="874">
        <f>IF(F18=0,1,IF(OR(System!T17&lt;&gt;0,System!U17 &lt;&gt;0),0,1))</f>
        <v>1</v>
      </c>
      <c r="H104" s="884">
        <f>IF(AND(ISNUMBER(System!$C17),ABS(B104)+ABS(C104)&lt;&gt;0),System!BC135+$J$1*MIN($E$1,D104)*F104 - $H$1*$E$1*E104,PlotData!$CB$3)</f>
        <v>0</v>
      </c>
      <c r="I104" s="885">
        <f>IF(AND(ISNUMBER(System!$C17),ABS(B104)+ABS(C104)&lt;&gt;0),System!BD135-$J$1*MIN($E$1,D104)*F104 - $H$1*$E$1*E104,PlotData!$CB$3)</f>
        <v>0</v>
      </c>
      <c r="J104" s="884">
        <f>IF(AND(ISNUMBER(System!$C17),ABS(B104)+ABS(C104)&lt;&gt;0),I104 -$C104*$E$1*E104*Z104*G104,PlotData!$CB$3)</f>
        <v>0</v>
      </c>
      <c r="K104" s="886">
        <f>IF(AND(ISNUMBER(System!$C17),ABS(B104)+ABS(C104)&lt;&gt;0),H104 - $B104*$E$1*E104*Y104*G104,PlotData!$CB$3)</f>
        <v>0</v>
      </c>
      <c r="L104" s="887">
        <f>IF($AB104&lt;&gt;0,H104+$AF$95*F104,PlotData!$CB$3)</f>
        <v>0</v>
      </c>
      <c r="M104" s="888">
        <f>IF($AB104&lt;&gt;0,I104-$AF$95*F104,PlotData!$CB$3)</f>
        <v>0</v>
      </c>
      <c r="N104" s="887">
        <f>IF(AND(ISNUMBER(System!$C17),ABS(B104)+ABS(C104)&lt;&gt;0),(IF(OR(B104&gt;0,AND(B104=0,C104&gt;0)),I104,H104))-IF(OR(B104&gt;0,AND(B104=0,C104&gt;0)),1,-1)*$R$1*MIN(D104,$E$1)*F104,PlotData!$CB$3)</f>
        <v>0</v>
      </c>
      <c r="O104" s="885">
        <f>IF(AND(ISNUMBER(System!$C17),(ABS(B104)+ABS(C104))&lt;&gt;0),IF(OR(B104&gt;0,AND(B104=0,C104&gt;0)),J104,K104)-IF(OR(B104&gt;0,AND(B104=0,C104&gt;0)),1,-1)*$R$1*MIN(D104,$E$1)*F104,PlotData!$CB$3)</f>
        <v>0</v>
      </c>
      <c r="P104" s="884">
        <f>IF(AND(ISNUMBER(System!$C17),ABS(B104)+ABS(C104)&lt;&gt;0),System!BE135-$J$1*MIN($E$1,D104)*E104 - $H$1*$E$1*F104,PlotData!$CB$4)</f>
        <v>0</v>
      </c>
      <c r="Q104" s="885">
        <f>IF(AND(ISNUMBER(System!$C17),ABS(B104)+ABS(C104)&lt;&gt;0),System!BF135+$J$1*MIN($E$1,D104)*E104 - $H$1*$E$1*F104,PlotData!$CB$4)</f>
        <v>0</v>
      </c>
      <c r="R104" s="884">
        <f>IF(AND(ISNUMBER(System!$C17),ABS(B104)+ABS(C104)&lt;&gt;0),Q104 -  $C104*$E$1*F104*Z104,PlotData!$CB$4)</f>
        <v>0</v>
      </c>
      <c r="S104" s="886">
        <f>IF(AND(ISNUMBER(System!$C17),ABS(B104)+ABS(C104)&lt;&gt;0),P104 -  $B104*$E$1*F104*Y104,PlotData!$CB$4)</f>
        <v>0</v>
      </c>
      <c r="T104" s="881">
        <f>IF($AB104&lt;&gt;0,P104-$AF$95*E104,PlotData!$CB$4)</f>
        <v>0</v>
      </c>
      <c r="U104" s="883">
        <f>IF($AB104&lt;&gt;0,Q104+$AF$95*E104,PlotData!$CB$4)</f>
        <v>0</v>
      </c>
      <c r="V104" s="881">
        <f>IF(AND(ISNUMBER(System!$C17),ABS(B104)+ABS(C104)&lt;&gt;0),IF(OR(B104&gt;0,AND(B104=0,C104&gt;0)),Q104,P104)+IF(OR(B104&gt;0,AND(B104=0,C104&gt;0)),1,-1)*$R$1*MIN(D104,$E$1)*E104,PlotData!$CB$4)</f>
        <v>0</v>
      </c>
      <c r="W104" s="881">
        <f>IF(AND(ISNUMBER(System!$C17),ABS(B104)+ABS(C104)&lt;&gt;0),IF(OR(B104&gt;0,AND(B104=0,C104&gt;0)),R104,S104)+IF(OR(B104&gt;0,AND(B104=0,C104&gt;0)),1,-1)*$R$1*MIN(D104,$E$1)*E104,PlotData!$CB$4)</f>
        <v>0</v>
      </c>
      <c r="X104" s="887">
        <f>IF(ISNUMBER(System!$C17),SIGN(System!$AG17),0)</f>
        <v>0</v>
      </c>
      <c r="Y104" s="881">
        <f>IF(ISNUMBER(System!BN135),ABS(System!BN135)/AA104,0)</f>
        <v>0</v>
      </c>
      <c r="Z104" s="881">
        <f>IF(ISNUMBER(System!BO135),ABS(System!BO135)/AA104,0)</f>
        <v>0</v>
      </c>
      <c r="AA104" s="881">
        <f>IF(AND(ABS(System!V17)+ABS(System!W17)&lt;&gt;0,F104=0),MAX(ABS(System!BP135),ABS(System!BQ135)),IF(ABS(System!T17)+ABS(System!U17)+ABS(System!P17)+ABS(System!Q17)&lt;&gt;0,MAX(ABS(System!BN135),ABS(System!BO135)),1))</f>
        <v>1</v>
      </c>
      <c r="AB104" s="881">
        <f t="shared" si="34"/>
        <v>0</v>
      </c>
    </row>
    <row r="105" spans="1:28" x14ac:dyDescent="0.25">
      <c r="A105" s="827">
        <v>15</v>
      </c>
      <c r="B105" s="882">
        <f>IF(AND(ABS(System!W18)+ABS(System!V18)&lt;&gt;0,F105=0),SIGN(System!V18),IF(AND(ABS(System!T18)+ABS(System!U18)&lt;&gt;0,F105=0),0,IF(ISNUMBER(System!$C18),SIGN(System!BN136),0)))</f>
        <v>0</v>
      </c>
      <c r="C105" s="883">
        <f>IF(AND(ABS(System!W18)+ABS(System!V18)&lt;&gt;0,F105=0),SIGN(System!W18),IF(AND(ABS(System!T18)+ABS(System!U18)&lt;&gt;0,F105=0),0,IF(ISNUMBER(System!$C18),SIGN(System!BO136),0)))</f>
        <v>0</v>
      </c>
      <c r="D105" s="883">
        <f>IF(ISNUMBER(System!$C18),System!BG136,0)</f>
        <v>0</v>
      </c>
      <c r="E105" s="883">
        <f>IF(ISNUMBER(System!$C18),System!BJ136,0)</f>
        <v>0</v>
      </c>
      <c r="F105" s="883">
        <f>IF(ISNUMBER(System!$C18),System!BK136,0)</f>
        <v>0</v>
      </c>
      <c r="G105" s="874">
        <f>IF(F19=0,1,IF(OR(System!T18&lt;&gt;0,System!U18 &lt;&gt;0),0,1))</f>
        <v>1</v>
      </c>
      <c r="H105" s="884">
        <f>IF(AND(ISNUMBER(System!$C18),ABS(B105)+ABS(C105)&lt;&gt;0),System!BC136+$J$1*MIN($E$1,D105)*F105 - $H$1*$E$1*E105,PlotData!$CB$3)</f>
        <v>0</v>
      </c>
      <c r="I105" s="885">
        <f>IF(AND(ISNUMBER(System!$C18),ABS(B105)+ABS(C105)&lt;&gt;0),System!BD136-$J$1*MIN($E$1,D105)*F105 - $H$1*$E$1*E105,PlotData!$CB$3)</f>
        <v>0</v>
      </c>
      <c r="J105" s="884">
        <f>IF(AND(ISNUMBER(System!$C18),ABS(B105)+ABS(C105)&lt;&gt;0),I105 -$C105*$E$1*E105*Z105*G105,PlotData!$CB$3)</f>
        <v>0</v>
      </c>
      <c r="K105" s="886">
        <f>IF(AND(ISNUMBER(System!$C18),ABS(B105)+ABS(C105)&lt;&gt;0),H105 - $B105*$E$1*E105*Y105*G105,PlotData!$CB$3)</f>
        <v>0</v>
      </c>
      <c r="L105" s="887">
        <f>IF($AB105&lt;&gt;0,H105+$AF$95*F105,PlotData!$CB$3)</f>
        <v>0</v>
      </c>
      <c r="M105" s="888">
        <f>IF($AB105&lt;&gt;0,I105-$AF$95*F105,PlotData!$CB$3)</f>
        <v>0</v>
      </c>
      <c r="N105" s="887">
        <f>IF(AND(ISNUMBER(System!$C18),ABS(B105)+ABS(C105)&lt;&gt;0),(IF(OR(B105&gt;0,AND(B105=0,C105&gt;0)),I105,H105))-IF(OR(B105&gt;0,AND(B105=0,C105&gt;0)),1,-1)*$R$1*MIN(D105,$E$1)*F105,PlotData!$CB$3)</f>
        <v>0</v>
      </c>
      <c r="O105" s="885">
        <f>IF(AND(ISNUMBER(System!$C18),(ABS(B105)+ABS(C105))&lt;&gt;0),IF(OR(B105&gt;0,AND(B105=0,C105&gt;0)),J105,K105)-IF(OR(B105&gt;0,AND(B105=0,C105&gt;0)),1,-1)*$R$1*MIN(D105,$E$1)*F105,PlotData!$CB$3)</f>
        <v>0</v>
      </c>
      <c r="P105" s="884">
        <f>IF(AND(ISNUMBER(System!$C18),ABS(B105)+ABS(C105)&lt;&gt;0),System!BE136-$J$1*MIN($E$1,D105)*E105 - $H$1*$E$1*F105,PlotData!$CB$4)</f>
        <v>0</v>
      </c>
      <c r="Q105" s="885">
        <f>IF(AND(ISNUMBER(System!$C18),ABS(B105)+ABS(C105)&lt;&gt;0),System!BF136+$J$1*MIN($E$1,D105)*E105 - $H$1*$E$1*F105,PlotData!$CB$4)</f>
        <v>0</v>
      </c>
      <c r="R105" s="884">
        <f>IF(AND(ISNUMBER(System!$C18),ABS(B105)+ABS(C105)&lt;&gt;0),Q105 -  $C105*$E$1*F105*Z105,PlotData!$CB$4)</f>
        <v>0</v>
      </c>
      <c r="S105" s="886">
        <f>IF(AND(ISNUMBER(System!$C18),ABS(B105)+ABS(C105)&lt;&gt;0),P105 -  $B105*$E$1*F105*Y105,PlotData!$CB$4)</f>
        <v>0</v>
      </c>
      <c r="T105" s="881">
        <f>IF($AB105&lt;&gt;0,P105-$AF$95*E105,PlotData!$CB$4)</f>
        <v>0</v>
      </c>
      <c r="U105" s="883">
        <f>IF($AB105&lt;&gt;0,Q105+$AF$95*E105,PlotData!$CB$4)</f>
        <v>0</v>
      </c>
      <c r="V105" s="881">
        <f>IF(AND(ISNUMBER(System!$C18),ABS(B105)+ABS(C105)&lt;&gt;0),IF(OR(B105&gt;0,AND(B105=0,C105&gt;0)),Q105,P105)+IF(OR(B105&gt;0,AND(B105=0,C105&gt;0)),1,-1)*$R$1*MIN(D105,$E$1)*E105,PlotData!$CB$4)</f>
        <v>0</v>
      </c>
      <c r="W105" s="881">
        <f>IF(AND(ISNUMBER(System!$C18),ABS(B105)+ABS(C105)&lt;&gt;0),IF(OR(B105&gt;0,AND(B105=0,C105&gt;0)),R105,S105)+IF(OR(B105&gt;0,AND(B105=0,C105&gt;0)),1,-1)*$R$1*MIN(D105,$E$1)*E105,PlotData!$CB$4)</f>
        <v>0</v>
      </c>
      <c r="X105" s="887">
        <f>IF(ISNUMBER(System!$C18),SIGN(System!$AG18),0)</f>
        <v>0</v>
      </c>
      <c r="Y105" s="881">
        <f>IF(ISNUMBER(System!BN136),ABS(System!BN136)/AA105,0)</f>
        <v>0</v>
      </c>
      <c r="Z105" s="881">
        <f>IF(ISNUMBER(System!BO136),ABS(System!BO136)/AA105,0)</f>
        <v>0</v>
      </c>
      <c r="AA105" s="881">
        <f>IF(AND(ABS(System!V18)+ABS(System!W18)&lt;&gt;0,F105=0),MAX(ABS(System!BP136),ABS(System!BQ136)),IF(ABS(System!T18)+ABS(System!U18)+ABS(System!P18)+ABS(System!Q18)&lt;&gt;0,MAX(ABS(System!BN136),ABS(System!BO136)),1))</f>
        <v>1</v>
      </c>
      <c r="AB105" s="881">
        <f t="shared" si="34"/>
        <v>0</v>
      </c>
    </row>
    <row r="106" spans="1:28" x14ac:dyDescent="0.25">
      <c r="A106" s="827">
        <v>16</v>
      </c>
      <c r="B106" s="882">
        <f>IF(AND(ABS(System!W19)+ABS(System!V19)&lt;&gt;0,F106=0),SIGN(System!V19),IF(AND(ABS(System!T19)+ABS(System!U19)&lt;&gt;0,F106=0),0,IF(ISNUMBER(System!$C19),SIGN(System!BN137),0)))</f>
        <v>0</v>
      </c>
      <c r="C106" s="883">
        <f>IF(AND(ABS(System!W19)+ABS(System!V19)&lt;&gt;0,F106=0),SIGN(System!W19),IF(AND(ABS(System!T19)+ABS(System!U19)&lt;&gt;0,F106=0),0,IF(ISNUMBER(System!$C19),SIGN(System!BO137),0)))</f>
        <v>0</v>
      </c>
      <c r="D106" s="883">
        <f>IF(ISNUMBER(System!$C19),System!BG137,0)</f>
        <v>0</v>
      </c>
      <c r="E106" s="883">
        <f>IF(ISNUMBER(System!$C19),System!BJ137,0)</f>
        <v>0</v>
      </c>
      <c r="F106" s="883">
        <f>IF(ISNUMBER(System!$C19),System!BK137,0)</f>
        <v>0</v>
      </c>
      <c r="G106" s="874">
        <f>IF(F20=0,1,IF(OR(System!T19&lt;&gt;0,System!U19 &lt;&gt;0),0,1))</f>
        <v>1</v>
      </c>
      <c r="H106" s="884">
        <f>IF(AND(ISNUMBER(System!$C19),ABS(B106)+ABS(C106)&lt;&gt;0),System!BC137+$J$1*MIN($E$1,D106)*F106 - $H$1*$E$1*E106,PlotData!$CB$3)</f>
        <v>0</v>
      </c>
      <c r="I106" s="885">
        <f>IF(AND(ISNUMBER(System!$C19),ABS(B106)+ABS(C106)&lt;&gt;0),System!BD137-$J$1*MIN($E$1,D106)*F106 - $H$1*$E$1*E106,PlotData!$CB$3)</f>
        <v>0</v>
      </c>
      <c r="J106" s="884">
        <f>IF(AND(ISNUMBER(System!$C19),ABS(B106)+ABS(C106)&lt;&gt;0),I106 -$C106*$E$1*E106*Z106*G106,PlotData!$CB$3)</f>
        <v>0</v>
      </c>
      <c r="K106" s="886">
        <f>IF(AND(ISNUMBER(System!$C19),ABS(B106)+ABS(C106)&lt;&gt;0),H106 - $B106*$E$1*E106*Y106*G106,PlotData!$CB$3)</f>
        <v>0</v>
      </c>
      <c r="L106" s="887">
        <f>IF($AB106&lt;&gt;0,H106+$AF$95*F106,PlotData!$CB$3)</f>
        <v>0</v>
      </c>
      <c r="M106" s="888">
        <f>IF($AB106&lt;&gt;0,I106-$AF$95*F106,PlotData!$CB$3)</f>
        <v>0</v>
      </c>
      <c r="N106" s="887">
        <f>IF(AND(ISNUMBER(System!$C19),ABS(B106)+ABS(C106)&lt;&gt;0),(IF(OR(B106&gt;0,AND(B106=0,C106&gt;0)),I106,H106))-IF(OR(B106&gt;0,AND(B106=0,C106&gt;0)),1,-1)*$R$1*MIN(D106,$E$1)*F106,PlotData!$CB$3)</f>
        <v>0</v>
      </c>
      <c r="O106" s="885">
        <f>IF(AND(ISNUMBER(System!$C19),(ABS(B106)+ABS(C106))&lt;&gt;0),IF(OR(B106&gt;0,AND(B106=0,C106&gt;0)),J106,K106)-IF(OR(B106&gt;0,AND(B106=0,C106&gt;0)),1,-1)*$R$1*MIN(D106,$E$1)*F106,PlotData!$CB$3)</f>
        <v>0</v>
      </c>
      <c r="P106" s="884">
        <f>IF(AND(ISNUMBER(System!$C19),ABS(B106)+ABS(C106)&lt;&gt;0),System!BE137-$J$1*MIN($E$1,D106)*E106 - $H$1*$E$1*F106,PlotData!$CB$4)</f>
        <v>0</v>
      </c>
      <c r="Q106" s="885">
        <f>IF(AND(ISNUMBER(System!$C19),ABS(B106)+ABS(C106)&lt;&gt;0),System!BF137+$J$1*MIN($E$1,D106)*E106 - $H$1*$E$1*F106,PlotData!$CB$4)</f>
        <v>0</v>
      </c>
      <c r="R106" s="884">
        <f>IF(AND(ISNUMBER(System!$C19),ABS(B106)+ABS(C106)&lt;&gt;0),Q106 -  $C106*$E$1*F106*Z106,PlotData!$CB$4)</f>
        <v>0</v>
      </c>
      <c r="S106" s="886">
        <f>IF(AND(ISNUMBER(System!$C19),ABS(B106)+ABS(C106)&lt;&gt;0),P106 -  $B106*$E$1*F106*Y106,PlotData!$CB$4)</f>
        <v>0</v>
      </c>
      <c r="T106" s="881">
        <f>IF($AB106&lt;&gt;0,P106-$AF$95*E106,PlotData!$CB$4)</f>
        <v>0</v>
      </c>
      <c r="U106" s="883">
        <f>IF($AB106&lt;&gt;0,Q106+$AF$95*E106,PlotData!$CB$4)</f>
        <v>0</v>
      </c>
      <c r="V106" s="881">
        <f>IF(AND(ISNUMBER(System!$C19),ABS(B106)+ABS(C106)&lt;&gt;0),IF(OR(B106&gt;0,AND(B106=0,C106&gt;0)),Q106,P106)+IF(OR(B106&gt;0,AND(B106=0,C106&gt;0)),1,-1)*$R$1*MIN(D106,$E$1)*E106,PlotData!$CB$4)</f>
        <v>0</v>
      </c>
      <c r="W106" s="881">
        <f>IF(AND(ISNUMBER(System!$C19),ABS(B106)+ABS(C106)&lt;&gt;0),IF(OR(B106&gt;0,AND(B106=0,C106&gt;0)),R106,S106)+IF(OR(B106&gt;0,AND(B106=0,C106&gt;0)),1,-1)*$R$1*MIN(D106,$E$1)*E106,PlotData!$CB$4)</f>
        <v>0</v>
      </c>
      <c r="X106" s="887">
        <f>IF(ISNUMBER(System!$C19),SIGN(System!$AG19),0)</f>
        <v>0</v>
      </c>
      <c r="Y106" s="881">
        <f>IF(ISNUMBER(System!BN137),ABS(System!BN137)/AA106,0)</f>
        <v>0</v>
      </c>
      <c r="Z106" s="881">
        <f>IF(ISNUMBER(System!BO137),ABS(System!BO137)/AA106,0)</f>
        <v>0</v>
      </c>
      <c r="AA106" s="881">
        <f>IF(AND(ABS(System!V19)+ABS(System!W19)&lt;&gt;0,F106=0),MAX(ABS(System!BP137),ABS(System!BQ137)),IF(ABS(System!T19)+ABS(System!U19)+ABS(System!P19)+ABS(System!Q19)&lt;&gt;0,MAX(ABS(System!BN137),ABS(System!BO137)),1))</f>
        <v>1</v>
      </c>
      <c r="AB106" s="881">
        <f t="shared" si="34"/>
        <v>0</v>
      </c>
    </row>
    <row r="107" spans="1:28" x14ac:dyDescent="0.25">
      <c r="A107" s="827">
        <v>17</v>
      </c>
      <c r="B107" s="882">
        <f>IF(AND(ABS(System!W20)+ABS(System!V20)&lt;&gt;0,F107=0),SIGN(System!V20),IF(AND(ABS(System!T20)+ABS(System!U20)&lt;&gt;0,F107=0),0,IF(ISNUMBER(System!$C20),SIGN(System!BN138),0)))</f>
        <v>0</v>
      </c>
      <c r="C107" s="883">
        <f>IF(AND(ABS(System!W20)+ABS(System!V20)&lt;&gt;0,F107=0),SIGN(System!W20),IF(AND(ABS(System!T20)+ABS(System!U20)&lt;&gt;0,F107=0),0,IF(ISNUMBER(System!$C20),SIGN(System!BO138),0)))</f>
        <v>0</v>
      </c>
      <c r="D107" s="883">
        <f>IF(ISNUMBER(System!$C20),System!BG138,0)</f>
        <v>0</v>
      </c>
      <c r="E107" s="883">
        <f>IF(ISNUMBER(System!$C20),System!BJ138,0)</f>
        <v>0</v>
      </c>
      <c r="F107" s="883">
        <f>IF(ISNUMBER(System!$C20),System!BK138,0)</f>
        <v>0</v>
      </c>
      <c r="G107" s="874">
        <f>IF(F21=0,1,IF(OR(System!T20&lt;&gt;0,System!U20 &lt;&gt;0),0,1))</f>
        <v>1</v>
      </c>
      <c r="H107" s="884">
        <f>IF(AND(ISNUMBER(System!$C20),ABS(B107)+ABS(C107)&lt;&gt;0),System!BC138+$J$1*MIN($E$1,D107)*F107 - $H$1*$E$1*E107,PlotData!$CB$3)</f>
        <v>0</v>
      </c>
      <c r="I107" s="885">
        <f>IF(AND(ISNUMBER(System!$C20),ABS(B107)+ABS(C107)&lt;&gt;0),System!BD138-$J$1*MIN($E$1,D107)*F107 - $H$1*$E$1*E107,PlotData!$CB$3)</f>
        <v>0</v>
      </c>
      <c r="J107" s="884">
        <f>IF(AND(ISNUMBER(System!$C20),ABS(B107)+ABS(C107)&lt;&gt;0),I107 -$C107*$E$1*E107*Z107*G107,PlotData!$CB$3)</f>
        <v>0</v>
      </c>
      <c r="K107" s="886">
        <f>IF(AND(ISNUMBER(System!$C20),ABS(B107)+ABS(C107)&lt;&gt;0),H107 - $B107*$E$1*E107*Y107*G107,PlotData!$CB$3)</f>
        <v>0</v>
      </c>
      <c r="L107" s="887">
        <f>IF($AB107&lt;&gt;0,H107+$AF$95*F107,PlotData!$CB$3)</f>
        <v>0</v>
      </c>
      <c r="M107" s="888">
        <f>IF($AB107&lt;&gt;0,I107-$AF$95*F107,PlotData!$CB$3)</f>
        <v>0</v>
      </c>
      <c r="N107" s="887">
        <f>IF(AND(ISNUMBER(System!$C20),ABS(B107)+ABS(C107)&lt;&gt;0),(IF(OR(B107&gt;0,AND(B107=0,C107&gt;0)),I107,H107))-IF(OR(B107&gt;0,AND(B107=0,C107&gt;0)),1,-1)*$R$1*MIN(D107,$E$1)*F107,PlotData!$CB$3)</f>
        <v>0</v>
      </c>
      <c r="O107" s="885">
        <f>IF(AND(ISNUMBER(System!$C20),(ABS(B107)+ABS(C107))&lt;&gt;0),IF(OR(B107&gt;0,AND(B107=0,C107&gt;0)),J107,K107)-IF(OR(B107&gt;0,AND(B107=0,C107&gt;0)),1,-1)*$R$1*MIN(D107,$E$1)*F107,PlotData!$CB$3)</f>
        <v>0</v>
      </c>
      <c r="P107" s="884">
        <f>IF(AND(ISNUMBER(System!$C20),ABS(B107)+ABS(C107)&lt;&gt;0),System!BE138-$J$1*MIN($E$1,D107)*E107 - $H$1*$E$1*F107,PlotData!$CB$4)</f>
        <v>0</v>
      </c>
      <c r="Q107" s="885">
        <f>IF(AND(ISNUMBER(System!$C20),ABS(B107)+ABS(C107)&lt;&gt;0),System!BF138+$J$1*MIN($E$1,D107)*E107 - $H$1*$E$1*F107,PlotData!$CB$4)</f>
        <v>0</v>
      </c>
      <c r="R107" s="884">
        <f>IF(AND(ISNUMBER(System!$C20),ABS(B107)+ABS(C107)&lt;&gt;0),Q107 -  $C107*$E$1*F107*Z107,PlotData!$CB$4)</f>
        <v>0</v>
      </c>
      <c r="S107" s="886">
        <f>IF(AND(ISNUMBER(System!$C20),ABS(B107)+ABS(C107)&lt;&gt;0),P107 -  $B107*$E$1*F107*Y107,PlotData!$CB$4)</f>
        <v>0</v>
      </c>
      <c r="T107" s="881">
        <f>IF($AB107&lt;&gt;0,P107-$AF$95*E107,PlotData!$CB$4)</f>
        <v>0</v>
      </c>
      <c r="U107" s="883">
        <f>IF($AB107&lt;&gt;0,Q107+$AF$95*E107,PlotData!$CB$4)</f>
        <v>0</v>
      </c>
      <c r="V107" s="881">
        <f>IF(AND(ISNUMBER(System!$C20),ABS(B107)+ABS(C107)&lt;&gt;0),IF(OR(B107&gt;0,AND(B107=0,C107&gt;0)),Q107,P107)+IF(OR(B107&gt;0,AND(B107=0,C107&gt;0)),1,-1)*$R$1*MIN(D107,$E$1)*E107,PlotData!$CB$4)</f>
        <v>0</v>
      </c>
      <c r="W107" s="881">
        <f>IF(AND(ISNUMBER(System!$C20),ABS(B107)+ABS(C107)&lt;&gt;0),IF(OR(B107&gt;0,AND(B107=0,C107&gt;0)),R107,S107)+IF(OR(B107&gt;0,AND(B107=0,C107&gt;0)),1,-1)*$R$1*MIN(D107,$E$1)*E107,PlotData!$CB$4)</f>
        <v>0</v>
      </c>
      <c r="X107" s="887">
        <f>IF(ISNUMBER(System!$C20),SIGN(System!$AG20),0)</f>
        <v>0</v>
      </c>
      <c r="Y107" s="881">
        <f>IF(ISNUMBER(System!BN138),ABS(System!BN138)/AA107,0)</f>
        <v>0</v>
      </c>
      <c r="Z107" s="881">
        <f>IF(ISNUMBER(System!BO138),ABS(System!BO138)/AA107,0)</f>
        <v>0</v>
      </c>
      <c r="AA107" s="881">
        <f>IF(AND(ABS(System!V20)+ABS(System!W20)&lt;&gt;0,F107=0),MAX(ABS(System!BP138),ABS(System!BQ138)),IF(ABS(System!T20)+ABS(System!U20)+ABS(System!P20)+ABS(System!Q20)&lt;&gt;0,MAX(ABS(System!BN138),ABS(System!BO138)),1))</f>
        <v>1</v>
      </c>
      <c r="AB107" s="881">
        <f t="shared" si="34"/>
        <v>0</v>
      </c>
    </row>
    <row r="108" spans="1:28" x14ac:dyDescent="0.25">
      <c r="A108" s="827">
        <v>18</v>
      </c>
      <c r="B108" s="882">
        <f>IF(AND(ABS(System!W21)+ABS(System!V21)&lt;&gt;0,F108=0),SIGN(System!V21),IF(AND(ABS(System!T21)+ABS(System!U21)&lt;&gt;0,F108=0),0,IF(ISNUMBER(System!$C21),SIGN(System!BN139),0)))</f>
        <v>0</v>
      </c>
      <c r="C108" s="883">
        <f>IF(AND(ABS(System!W21)+ABS(System!V21)&lt;&gt;0,F108=0),SIGN(System!W21),IF(AND(ABS(System!T21)+ABS(System!U21)&lt;&gt;0,F108=0),0,IF(ISNUMBER(System!$C21),SIGN(System!BO139),0)))</f>
        <v>0</v>
      </c>
      <c r="D108" s="883">
        <f>IF(ISNUMBER(System!$C21),System!BG139,0)</f>
        <v>0</v>
      </c>
      <c r="E108" s="883">
        <f>IF(ISNUMBER(System!$C21),System!BJ139,0)</f>
        <v>0</v>
      </c>
      <c r="F108" s="883">
        <f>IF(ISNUMBER(System!$C21),System!BK139,0)</f>
        <v>0</v>
      </c>
      <c r="G108" s="874">
        <f>IF(F22=0,1,IF(OR(System!T21&lt;&gt;0,System!U21 &lt;&gt;0),0,1))</f>
        <v>1</v>
      </c>
      <c r="H108" s="884">
        <f>IF(AND(ISNUMBER(System!$C21),ABS(B108)+ABS(C108)&lt;&gt;0),System!BC139+$J$1*MIN($E$1,D108)*F108 - $H$1*$E$1*E108,PlotData!$CB$3)</f>
        <v>0</v>
      </c>
      <c r="I108" s="885">
        <f>IF(AND(ISNUMBER(System!$C21),ABS(B108)+ABS(C108)&lt;&gt;0),System!BD139-$J$1*MIN($E$1,D108)*F108 - $H$1*$E$1*E108,PlotData!$CB$3)</f>
        <v>0</v>
      </c>
      <c r="J108" s="884">
        <f>IF(AND(ISNUMBER(System!$C21),ABS(B108)+ABS(C108)&lt;&gt;0),I108 -$C108*$E$1*E108*Z108*G108,PlotData!$CB$3)</f>
        <v>0</v>
      </c>
      <c r="K108" s="886">
        <f>IF(AND(ISNUMBER(System!$C21),ABS(B108)+ABS(C108)&lt;&gt;0),H108 - $B108*$E$1*E108*Y108*G108,PlotData!$CB$3)</f>
        <v>0</v>
      </c>
      <c r="L108" s="887">
        <f>IF($AB108&lt;&gt;0,H108+$AF$95*F108,PlotData!$CB$3)</f>
        <v>0</v>
      </c>
      <c r="M108" s="888">
        <f>IF($AB108&lt;&gt;0,I108-$AF$95*F108,PlotData!$CB$3)</f>
        <v>0</v>
      </c>
      <c r="N108" s="887">
        <f>IF(AND(ISNUMBER(System!$C21),ABS(B108)+ABS(C108)&lt;&gt;0),(IF(OR(B108&gt;0,AND(B108=0,C108&gt;0)),I108,H108))-IF(OR(B108&gt;0,AND(B108=0,C108&gt;0)),1,-1)*$R$1*MIN(D108,$E$1)*F108,PlotData!$CB$3)</f>
        <v>0</v>
      </c>
      <c r="O108" s="885">
        <f>IF(AND(ISNUMBER(System!$C21),(ABS(B108)+ABS(C108))&lt;&gt;0),IF(OR(B108&gt;0,AND(B108=0,C108&gt;0)),J108,K108)-IF(OR(B108&gt;0,AND(B108=0,C108&gt;0)),1,-1)*$R$1*MIN(D108,$E$1)*F108,PlotData!$CB$3)</f>
        <v>0</v>
      </c>
      <c r="P108" s="884">
        <f>IF(AND(ISNUMBER(System!$C21),ABS(B108)+ABS(C108)&lt;&gt;0),System!BE139-$J$1*MIN($E$1,D108)*E108 - $H$1*$E$1*F108,PlotData!$CB$4)</f>
        <v>0</v>
      </c>
      <c r="Q108" s="885">
        <f>IF(AND(ISNUMBER(System!$C21),ABS(B108)+ABS(C108)&lt;&gt;0),System!BF139+$J$1*MIN($E$1,D108)*E108 - $H$1*$E$1*F108,PlotData!$CB$4)</f>
        <v>0</v>
      </c>
      <c r="R108" s="884">
        <f>IF(AND(ISNUMBER(System!$C21),ABS(B108)+ABS(C108)&lt;&gt;0),Q108 -  $C108*$E$1*F108*Z108,PlotData!$CB$4)</f>
        <v>0</v>
      </c>
      <c r="S108" s="886">
        <f>IF(AND(ISNUMBER(System!$C21),ABS(B108)+ABS(C108)&lt;&gt;0),P108 -  $B108*$E$1*F108*Y108,PlotData!$CB$4)</f>
        <v>0</v>
      </c>
      <c r="T108" s="881">
        <f>IF($AB108&lt;&gt;0,P108-$AF$95*E108,PlotData!$CB$4)</f>
        <v>0</v>
      </c>
      <c r="U108" s="883">
        <f>IF($AB108&lt;&gt;0,Q108+$AF$95*E108,PlotData!$CB$4)</f>
        <v>0</v>
      </c>
      <c r="V108" s="881">
        <f>IF(AND(ISNUMBER(System!$C21),ABS(B108)+ABS(C108)&lt;&gt;0),IF(OR(B108&gt;0,AND(B108=0,C108&gt;0)),Q108,P108)+IF(OR(B108&gt;0,AND(B108=0,C108&gt;0)),1,-1)*$R$1*MIN(D108,$E$1)*E108,PlotData!$CB$4)</f>
        <v>0</v>
      </c>
      <c r="W108" s="881">
        <f>IF(AND(ISNUMBER(System!$C21),ABS(B108)+ABS(C108)&lt;&gt;0),IF(OR(B108&gt;0,AND(B108=0,C108&gt;0)),R108,S108)+IF(OR(B108&gt;0,AND(B108=0,C108&gt;0)),1,-1)*$R$1*MIN(D108,$E$1)*E108,PlotData!$CB$4)</f>
        <v>0</v>
      </c>
      <c r="X108" s="887">
        <f>IF(ISNUMBER(System!$C21),SIGN(System!$AG21),0)</f>
        <v>0</v>
      </c>
      <c r="Y108" s="881">
        <f>IF(ISNUMBER(System!BN139),ABS(System!BN139)/AA108,0)</f>
        <v>0</v>
      </c>
      <c r="Z108" s="881">
        <f>IF(ISNUMBER(System!BO139),ABS(System!BO139)/AA108,0)</f>
        <v>0</v>
      </c>
      <c r="AA108" s="881">
        <f>IF(AND(ABS(System!V21)+ABS(System!W21)&lt;&gt;0,F108=0),MAX(ABS(System!BP139),ABS(System!BQ139)),IF(ABS(System!T21)+ABS(System!U21)+ABS(System!P21)+ABS(System!Q21)&lt;&gt;0,MAX(ABS(System!BN139),ABS(System!BO139)),1))</f>
        <v>1</v>
      </c>
      <c r="AB108" s="881">
        <f t="shared" si="34"/>
        <v>0</v>
      </c>
    </row>
    <row r="109" spans="1:28" x14ac:dyDescent="0.25">
      <c r="A109" s="827">
        <v>19</v>
      </c>
      <c r="B109" s="882">
        <f>IF(AND(ABS(System!W22)+ABS(System!V22)&lt;&gt;0,F109=0),SIGN(System!V22),IF(AND(ABS(System!T22)+ABS(System!U22)&lt;&gt;0,F109=0),0,IF(ISNUMBER(System!$C22),SIGN(System!BN140),0)))</f>
        <v>0</v>
      </c>
      <c r="C109" s="883">
        <f>IF(AND(ABS(System!W22)+ABS(System!V22)&lt;&gt;0,F109=0),SIGN(System!W22),IF(AND(ABS(System!T22)+ABS(System!U22)&lt;&gt;0,F109=0),0,IF(ISNUMBER(System!$C22),SIGN(System!BO140),0)))</f>
        <v>0</v>
      </c>
      <c r="D109" s="883">
        <f>IF(ISNUMBER(System!$C22),System!BG140,0)</f>
        <v>0</v>
      </c>
      <c r="E109" s="883">
        <f>IF(ISNUMBER(System!$C22),System!BJ140,0)</f>
        <v>0</v>
      </c>
      <c r="F109" s="883">
        <f>IF(ISNUMBER(System!$C22),System!BK140,0)</f>
        <v>0</v>
      </c>
      <c r="G109" s="874">
        <f>IF(F23=0,1,IF(OR(System!T22&lt;&gt;0,System!U22 &lt;&gt;0),0,1))</f>
        <v>1</v>
      </c>
      <c r="H109" s="884">
        <f>IF(AND(ISNUMBER(System!$C22),ABS(B109)+ABS(C109)&lt;&gt;0),System!BC140+$J$1*MIN($E$1,D109)*F109 - $H$1*$E$1*E109,PlotData!$CB$3)</f>
        <v>0</v>
      </c>
      <c r="I109" s="885">
        <f>IF(AND(ISNUMBER(System!$C22),ABS(B109)+ABS(C109)&lt;&gt;0),System!BD140-$J$1*MIN($E$1,D109)*F109 - $H$1*$E$1*E109,PlotData!$CB$3)</f>
        <v>0</v>
      </c>
      <c r="J109" s="884">
        <f>IF(AND(ISNUMBER(System!$C22),ABS(B109)+ABS(C109)&lt;&gt;0),I109 -$C109*$E$1*E109*Z109*G109,PlotData!$CB$3)</f>
        <v>0</v>
      </c>
      <c r="K109" s="886">
        <f>IF(AND(ISNUMBER(System!$C22),ABS(B109)+ABS(C109)&lt;&gt;0),H109 - $B109*$E$1*E109*Y109*G109,PlotData!$CB$3)</f>
        <v>0</v>
      </c>
      <c r="L109" s="887">
        <f>IF($AB109&lt;&gt;0,H109+$AF$95*F109,PlotData!$CB$3)</f>
        <v>0</v>
      </c>
      <c r="M109" s="888">
        <f>IF($AB109&lt;&gt;0,I109-$AF$95*F109,PlotData!$CB$3)</f>
        <v>0</v>
      </c>
      <c r="N109" s="887">
        <f>IF(AND(ISNUMBER(System!$C22),ABS(B109)+ABS(C109)&lt;&gt;0),(IF(OR(B109&gt;0,AND(B109=0,C109&gt;0)),I109,H109))-IF(OR(B109&gt;0,AND(B109=0,C109&gt;0)),1,-1)*$R$1*MIN(D109,$E$1)*F109,PlotData!$CB$3)</f>
        <v>0</v>
      </c>
      <c r="O109" s="885">
        <f>IF(AND(ISNUMBER(System!$C22),(ABS(B109)+ABS(C109))&lt;&gt;0),IF(OR(B109&gt;0,AND(B109=0,C109&gt;0)),J109,K109)-IF(OR(B109&gt;0,AND(B109=0,C109&gt;0)),1,-1)*$R$1*MIN(D109,$E$1)*F109,PlotData!$CB$3)</f>
        <v>0</v>
      </c>
      <c r="P109" s="884">
        <f>IF(AND(ISNUMBER(System!$C22),ABS(B109)+ABS(C109)&lt;&gt;0),System!BE140-$J$1*MIN($E$1,D109)*E109 - $H$1*$E$1*F109,PlotData!$CB$4)</f>
        <v>0</v>
      </c>
      <c r="Q109" s="885">
        <f>IF(AND(ISNUMBER(System!$C22),ABS(B109)+ABS(C109)&lt;&gt;0),System!BF140+$J$1*MIN($E$1,D109)*E109 - $H$1*$E$1*F109,PlotData!$CB$4)</f>
        <v>0</v>
      </c>
      <c r="R109" s="884">
        <f>IF(AND(ISNUMBER(System!$C22),ABS(B109)+ABS(C109)&lt;&gt;0),Q109 -  $C109*$E$1*F109*Z109,PlotData!$CB$4)</f>
        <v>0</v>
      </c>
      <c r="S109" s="886">
        <f>IF(AND(ISNUMBER(System!$C22),ABS(B109)+ABS(C109)&lt;&gt;0),P109 -  $B109*$E$1*F109*Y109,PlotData!$CB$4)</f>
        <v>0</v>
      </c>
      <c r="T109" s="881">
        <f>IF($AB109&lt;&gt;0,P109-$AF$95*E109,PlotData!$CB$4)</f>
        <v>0</v>
      </c>
      <c r="U109" s="883">
        <f>IF($AB109&lt;&gt;0,Q109+$AF$95*E109,PlotData!$CB$4)</f>
        <v>0</v>
      </c>
      <c r="V109" s="881">
        <f>IF(AND(ISNUMBER(System!$C22),ABS(B109)+ABS(C109)&lt;&gt;0),IF(OR(B109&gt;0,AND(B109=0,C109&gt;0)),Q109,P109)+IF(OR(B109&gt;0,AND(B109=0,C109&gt;0)),1,-1)*$R$1*MIN(D109,$E$1)*E109,PlotData!$CB$4)</f>
        <v>0</v>
      </c>
      <c r="W109" s="881">
        <f>IF(AND(ISNUMBER(System!$C22),ABS(B109)+ABS(C109)&lt;&gt;0),IF(OR(B109&gt;0,AND(B109=0,C109&gt;0)),R109,S109)+IF(OR(B109&gt;0,AND(B109=0,C109&gt;0)),1,-1)*$R$1*MIN(D109,$E$1)*E109,PlotData!$CB$4)</f>
        <v>0</v>
      </c>
      <c r="X109" s="887">
        <f>IF(ISNUMBER(System!$C22),SIGN(System!$AG22),0)</f>
        <v>0</v>
      </c>
      <c r="Y109" s="881">
        <f>IF(ISNUMBER(System!BN140),ABS(System!BN140)/AA109,0)</f>
        <v>0</v>
      </c>
      <c r="Z109" s="881">
        <f>IF(ISNUMBER(System!BO140),ABS(System!BO140)/AA109,0)</f>
        <v>0</v>
      </c>
      <c r="AA109" s="881">
        <f>IF(AND(ABS(System!V22)+ABS(System!W22)&lt;&gt;0,F109=0),MAX(ABS(System!BP140),ABS(System!BQ140)),IF(ABS(System!T22)+ABS(System!U22)+ABS(System!P22)+ABS(System!Q22)&lt;&gt;0,MAX(ABS(System!BN140),ABS(System!BO140)),1))</f>
        <v>1</v>
      </c>
      <c r="AB109" s="881">
        <f t="shared" si="34"/>
        <v>0</v>
      </c>
    </row>
    <row r="110" spans="1:28" x14ac:dyDescent="0.25">
      <c r="A110" s="827">
        <v>20</v>
      </c>
      <c r="B110" s="882">
        <f>IF(AND(ABS(System!W23)+ABS(System!V23)&lt;&gt;0,F110=0),SIGN(System!V23),IF(AND(ABS(System!T23)+ABS(System!U23)&lt;&gt;0,F110=0),0,IF(ISNUMBER(System!$C23),SIGN(System!BN141),0)))</f>
        <v>0</v>
      </c>
      <c r="C110" s="883">
        <f>IF(AND(ABS(System!W23)+ABS(System!V23)&lt;&gt;0,F110=0),SIGN(System!W23),IF(AND(ABS(System!T23)+ABS(System!U23)&lt;&gt;0,F110=0),0,IF(ISNUMBER(System!$C23),SIGN(System!BO141),0)))</f>
        <v>0</v>
      </c>
      <c r="D110" s="883">
        <f>IF(ISNUMBER(System!$C23),System!BG141,0)</f>
        <v>0</v>
      </c>
      <c r="E110" s="883">
        <f>IF(ISNUMBER(System!$C23),System!BJ141,0)</f>
        <v>0</v>
      </c>
      <c r="F110" s="883">
        <f>IF(ISNUMBER(System!$C23),System!BK141,0)</f>
        <v>0</v>
      </c>
      <c r="G110" s="874">
        <f>IF(F24=0,1,IF(OR(System!T23&lt;&gt;0,System!U23 &lt;&gt;0),0,1))</f>
        <v>1</v>
      </c>
      <c r="H110" s="884">
        <f>IF(AND(ISNUMBER(System!$C23),ABS(B110)+ABS(C110)&lt;&gt;0),System!BC141+$J$1*MIN($E$1,D110)*F110 - $H$1*$E$1*E110,PlotData!$CB$3)</f>
        <v>0</v>
      </c>
      <c r="I110" s="885">
        <f>IF(AND(ISNUMBER(System!$C23),ABS(B110)+ABS(C110)&lt;&gt;0),System!BD141-$J$1*MIN($E$1,D110)*F110 - $H$1*$E$1*E110,PlotData!$CB$3)</f>
        <v>0</v>
      </c>
      <c r="J110" s="884">
        <f>IF(AND(ISNUMBER(System!$C23),ABS(B110)+ABS(C110)&lt;&gt;0),I110 -$C110*$E$1*E110*Z110*G110,PlotData!$CB$3)</f>
        <v>0</v>
      </c>
      <c r="K110" s="886">
        <f>IF(AND(ISNUMBER(System!$C23),ABS(B110)+ABS(C110)&lt;&gt;0),H110 - $B110*$E$1*E110*Y110*G110,PlotData!$CB$3)</f>
        <v>0</v>
      </c>
      <c r="L110" s="887">
        <f>IF($AB110&lt;&gt;0,H110+$AF$95*F110,PlotData!$CB$3)</f>
        <v>0</v>
      </c>
      <c r="M110" s="888">
        <f>IF($AB110&lt;&gt;0,I110-$AF$95*F110,PlotData!$CB$3)</f>
        <v>0</v>
      </c>
      <c r="N110" s="887">
        <f>IF(AND(ISNUMBER(System!$C23),ABS(B110)+ABS(C110)&lt;&gt;0),(IF(OR(B110&gt;0,AND(B110=0,C110&gt;0)),I110,H110))-IF(OR(B110&gt;0,AND(B110=0,C110&gt;0)),1,-1)*$R$1*MIN(D110,$E$1)*F110,PlotData!$CB$3)</f>
        <v>0</v>
      </c>
      <c r="O110" s="885">
        <f>IF(AND(ISNUMBER(System!$C23),(ABS(B110)+ABS(C110))&lt;&gt;0),IF(OR(B110&gt;0,AND(B110=0,C110&gt;0)),J110,K110)-IF(OR(B110&gt;0,AND(B110=0,C110&gt;0)),1,-1)*$R$1*MIN(D110,$E$1)*F110,PlotData!$CB$3)</f>
        <v>0</v>
      </c>
      <c r="P110" s="884">
        <f>IF(AND(ISNUMBER(System!$C23),ABS(B110)+ABS(C110)&lt;&gt;0),System!BE141-$J$1*MIN($E$1,D110)*E110 - $H$1*$E$1*F110,PlotData!$CB$4)</f>
        <v>0</v>
      </c>
      <c r="Q110" s="885">
        <f>IF(AND(ISNUMBER(System!$C23),ABS(B110)+ABS(C110)&lt;&gt;0),System!BF141+$J$1*MIN($E$1,D110)*E110 - $H$1*$E$1*F110,PlotData!$CB$4)</f>
        <v>0</v>
      </c>
      <c r="R110" s="884">
        <f>IF(AND(ISNUMBER(System!$C23),ABS(B110)+ABS(C110)&lt;&gt;0),Q110 -  $C110*$E$1*F110*Z110,PlotData!$CB$4)</f>
        <v>0</v>
      </c>
      <c r="S110" s="886">
        <f>IF(AND(ISNUMBER(System!$C23),ABS(B110)+ABS(C110)&lt;&gt;0),P110 -  $B110*$E$1*F110*Y110,PlotData!$CB$4)</f>
        <v>0</v>
      </c>
      <c r="T110" s="881">
        <f>IF($AB110&lt;&gt;0,P110-$AF$95*E110,PlotData!$CB$4)</f>
        <v>0</v>
      </c>
      <c r="U110" s="883">
        <f>IF($AB110&lt;&gt;0,Q110+$AF$95*E110,PlotData!$CB$4)</f>
        <v>0</v>
      </c>
      <c r="V110" s="881">
        <f>IF(AND(ISNUMBER(System!$C23),ABS(B110)+ABS(C110)&lt;&gt;0),IF(OR(B110&gt;0,AND(B110=0,C110&gt;0)),Q110,P110)+IF(OR(B110&gt;0,AND(B110=0,C110&gt;0)),1,-1)*$R$1*MIN(D110,$E$1)*E110,PlotData!$CB$4)</f>
        <v>0</v>
      </c>
      <c r="W110" s="881">
        <f>IF(AND(ISNUMBER(System!$C23),ABS(B110)+ABS(C110)&lt;&gt;0),IF(OR(B110&gt;0,AND(B110=0,C110&gt;0)),R110,S110)+IF(OR(B110&gt;0,AND(B110=0,C110&gt;0)),1,-1)*$R$1*MIN(D110,$E$1)*E110,PlotData!$CB$4)</f>
        <v>0</v>
      </c>
      <c r="X110" s="887">
        <f>IF(ISNUMBER(System!$C23),SIGN(System!$AG23),0)</f>
        <v>0</v>
      </c>
      <c r="Y110" s="881">
        <f>IF(ISNUMBER(System!BN141),ABS(System!BN141)/AA110,0)</f>
        <v>0</v>
      </c>
      <c r="Z110" s="881">
        <f>IF(ISNUMBER(System!BO141),ABS(System!BO141)/AA110,0)</f>
        <v>0</v>
      </c>
      <c r="AA110" s="881">
        <f>IF(AND(ABS(System!V23)+ABS(System!W23)&lt;&gt;0,F110=0),MAX(ABS(System!BP141),ABS(System!BQ141)),IF(ABS(System!T23)+ABS(System!U23)+ABS(System!P23)+ABS(System!Q23)&lt;&gt;0,MAX(ABS(System!BN141),ABS(System!BO141)),1))</f>
        <v>1</v>
      </c>
      <c r="AB110" s="881">
        <f t="shared" si="34"/>
        <v>0</v>
      </c>
    </row>
    <row r="111" spans="1:28" x14ac:dyDescent="0.25">
      <c r="A111" s="827">
        <v>21</v>
      </c>
      <c r="B111" s="882">
        <f>IF(AND(ABS(System!W24)+ABS(System!V24)&lt;&gt;0,F111=0),SIGN(System!V24),IF(AND(ABS(System!T24)+ABS(System!U24)&lt;&gt;0,F111=0),0,IF(ISNUMBER(System!$C24),SIGN(System!BN142),0)))</f>
        <v>0</v>
      </c>
      <c r="C111" s="883">
        <f>IF(AND(ABS(System!W24)+ABS(System!V24)&lt;&gt;0,F111=0),SIGN(System!W24),IF(AND(ABS(System!T24)+ABS(System!U24)&lt;&gt;0,F111=0),0,IF(ISNUMBER(System!$C24),SIGN(System!BO142),0)))</f>
        <v>0</v>
      </c>
      <c r="D111" s="883">
        <f>IF(ISNUMBER(System!$C24),System!BG142,0)</f>
        <v>0</v>
      </c>
      <c r="E111" s="883">
        <f>IF(ISNUMBER(System!$C24),System!BJ142,0)</f>
        <v>0</v>
      </c>
      <c r="F111" s="883">
        <f>IF(ISNUMBER(System!$C24),System!BK142,0)</f>
        <v>0</v>
      </c>
      <c r="G111" s="874">
        <f>IF(F25=0,1,IF(OR(System!T24&lt;&gt;0,System!U24 &lt;&gt;0),0,1))</f>
        <v>1</v>
      </c>
      <c r="H111" s="884">
        <f>IF(AND(ISNUMBER(System!$C24),ABS(B111)+ABS(C111)&lt;&gt;0),System!BC142+$J$1*MIN($E$1,D111)*F111 - $H$1*$E$1*E111,PlotData!$CB$3)</f>
        <v>0</v>
      </c>
      <c r="I111" s="885">
        <f>IF(AND(ISNUMBER(System!$C24),ABS(B111)+ABS(C111)&lt;&gt;0),System!BD142-$J$1*MIN($E$1,D111)*F111 - $H$1*$E$1*E111,PlotData!$CB$3)</f>
        <v>0</v>
      </c>
      <c r="J111" s="884">
        <f>IF(AND(ISNUMBER(System!$C24),ABS(B111)+ABS(C111)&lt;&gt;0),I111 -$C111*$E$1*E111*Z111*G111,PlotData!$CB$3)</f>
        <v>0</v>
      </c>
      <c r="K111" s="886">
        <f>IF(AND(ISNUMBER(System!$C24),ABS(B111)+ABS(C111)&lt;&gt;0),H111 - $B111*$E$1*E111*Y111*G111,PlotData!$CB$3)</f>
        <v>0</v>
      </c>
      <c r="L111" s="887">
        <f>IF($AB111&lt;&gt;0,H111+$AF$95*F111,PlotData!$CB$3)</f>
        <v>0</v>
      </c>
      <c r="M111" s="888">
        <f>IF($AB111&lt;&gt;0,I111-$AF$95*F111,PlotData!$CB$3)</f>
        <v>0</v>
      </c>
      <c r="N111" s="887">
        <f>IF(AND(ISNUMBER(System!$C24),ABS(B111)+ABS(C111)&lt;&gt;0),(IF(OR(B111&gt;0,AND(B111=0,C111&gt;0)),I111,H111))-IF(OR(B111&gt;0,AND(B111=0,C111&gt;0)),1,-1)*$R$1*MIN(D111,$E$1)*F111,PlotData!$CB$3)</f>
        <v>0</v>
      </c>
      <c r="O111" s="885">
        <f>IF(AND(ISNUMBER(System!$C24),(ABS(B111)+ABS(C111))&lt;&gt;0),IF(OR(B111&gt;0,AND(B111=0,C111&gt;0)),J111,K111)-IF(OR(B111&gt;0,AND(B111=0,C111&gt;0)),1,-1)*$R$1*MIN(D111,$E$1)*F111,PlotData!$CB$3)</f>
        <v>0</v>
      </c>
      <c r="P111" s="884">
        <f>IF(AND(ISNUMBER(System!$C24),ABS(B111)+ABS(C111)&lt;&gt;0),System!BE142-$J$1*MIN($E$1,D111)*E111 - $H$1*$E$1*F111,PlotData!$CB$4)</f>
        <v>0</v>
      </c>
      <c r="Q111" s="885">
        <f>IF(AND(ISNUMBER(System!$C24),ABS(B111)+ABS(C111)&lt;&gt;0),System!BF142+$J$1*MIN($E$1,D111)*E111 - $H$1*$E$1*F111,PlotData!$CB$4)</f>
        <v>0</v>
      </c>
      <c r="R111" s="884">
        <f>IF(AND(ISNUMBER(System!$C24),ABS(B111)+ABS(C111)&lt;&gt;0),Q111 -  $C111*$E$1*F111*Z111,PlotData!$CB$4)</f>
        <v>0</v>
      </c>
      <c r="S111" s="886">
        <f>IF(AND(ISNUMBER(System!$C24),ABS(B111)+ABS(C111)&lt;&gt;0),P111 -  $B111*$E$1*F111*Y111,PlotData!$CB$4)</f>
        <v>0</v>
      </c>
      <c r="T111" s="881">
        <f>IF($AB111&lt;&gt;0,P111-$AF$95*E111,PlotData!$CB$4)</f>
        <v>0</v>
      </c>
      <c r="U111" s="883">
        <f>IF($AB111&lt;&gt;0,Q111+$AF$95*E111,PlotData!$CB$4)</f>
        <v>0</v>
      </c>
      <c r="V111" s="881">
        <f>IF(AND(ISNUMBER(System!$C24),ABS(B111)+ABS(C111)&lt;&gt;0),IF(OR(B111&gt;0,AND(B111=0,C111&gt;0)),Q111,P111)+IF(OR(B111&gt;0,AND(B111=0,C111&gt;0)),1,-1)*$R$1*MIN(D111,$E$1)*E111,PlotData!$CB$4)</f>
        <v>0</v>
      </c>
      <c r="W111" s="881">
        <f>IF(AND(ISNUMBER(System!$C24),ABS(B111)+ABS(C111)&lt;&gt;0),IF(OR(B111&gt;0,AND(B111=0,C111&gt;0)),R111,S111)+IF(OR(B111&gt;0,AND(B111=0,C111&gt;0)),1,-1)*$R$1*MIN(D111,$E$1)*E111,PlotData!$CB$4)</f>
        <v>0</v>
      </c>
      <c r="X111" s="887">
        <f>IF(ISNUMBER(System!$C24),SIGN(System!$AG24),0)</f>
        <v>0</v>
      </c>
      <c r="Y111" s="881">
        <f>IF(ISNUMBER(System!BN142),ABS(System!BN142)/AA111,0)</f>
        <v>0</v>
      </c>
      <c r="Z111" s="881">
        <f>IF(ISNUMBER(System!BO142),ABS(System!BO142)/AA111,0)</f>
        <v>0</v>
      </c>
      <c r="AA111" s="881">
        <f>IF(AND(ABS(System!V24)+ABS(System!W24)&lt;&gt;0,F111=0),MAX(ABS(System!BP142),ABS(System!BQ142)),IF(ABS(System!T24)+ABS(System!U24)+ABS(System!P24)+ABS(System!Q24)&lt;&gt;0,MAX(ABS(System!BN142),ABS(System!BO142)),1))</f>
        <v>1</v>
      </c>
      <c r="AB111" s="881">
        <f t="shared" si="34"/>
        <v>0</v>
      </c>
    </row>
    <row r="112" spans="1:28" x14ac:dyDescent="0.25">
      <c r="A112" s="827">
        <v>22</v>
      </c>
      <c r="B112" s="882">
        <f>IF(AND(ABS(System!W25)+ABS(System!V25)&lt;&gt;0,F112=0),SIGN(System!V25),IF(AND(ABS(System!T25)+ABS(System!U25)&lt;&gt;0,F112=0),0,IF(ISNUMBER(System!$C25),SIGN(System!BN143),0)))</f>
        <v>0</v>
      </c>
      <c r="C112" s="883">
        <f>IF(AND(ABS(System!W25)+ABS(System!V25)&lt;&gt;0,F112=0),SIGN(System!W25),IF(AND(ABS(System!T25)+ABS(System!U25)&lt;&gt;0,F112=0),0,IF(ISNUMBER(System!$C25),SIGN(System!BO143),0)))</f>
        <v>0</v>
      </c>
      <c r="D112" s="883">
        <f>IF(ISNUMBER(System!$C25),System!BG143,0)</f>
        <v>0</v>
      </c>
      <c r="E112" s="883">
        <f>IF(ISNUMBER(System!$C25),System!BJ143,0)</f>
        <v>0</v>
      </c>
      <c r="F112" s="883">
        <f>IF(ISNUMBER(System!$C25),System!BK143,0)</f>
        <v>0</v>
      </c>
      <c r="G112" s="874">
        <f>IF(F26=0,1,IF(OR(System!T25&lt;&gt;0,System!U25 &lt;&gt;0),0,1))</f>
        <v>1</v>
      </c>
      <c r="H112" s="884">
        <f>IF(AND(ISNUMBER(System!$C25),ABS(B112)+ABS(C112)&lt;&gt;0),System!BC143+$J$1*MIN($E$1,D112)*F112 - $H$1*$E$1*E112,PlotData!$CB$3)</f>
        <v>0</v>
      </c>
      <c r="I112" s="885">
        <f>IF(AND(ISNUMBER(System!$C25),ABS(B112)+ABS(C112)&lt;&gt;0),System!BD143-$J$1*MIN($E$1,D112)*F112 - $H$1*$E$1*E112,PlotData!$CB$3)</f>
        <v>0</v>
      </c>
      <c r="J112" s="884">
        <f>IF(AND(ISNUMBER(System!$C25),ABS(B112)+ABS(C112)&lt;&gt;0),I112 -$C112*$E$1*E112*Z112*G112,PlotData!$CB$3)</f>
        <v>0</v>
      </c>
      <c r="K112" s="886">
        <f>IF(AND(ISNUMBER(System!$C25),ABS(B112)+ABS(C112)&lt;&gt;0),H112 - $B112*$E$1*E112*Y112*G112,PlotData!$CB$3)</f>
        <v>0</v>
      </c>
      <c r="L112" s="887">
        <f>IF($AB112&lt;&gt;0,H112+$AF$95*F112,PlotData!$CB$3)</f>
        <v>0</v>
      </c>
      <c r="M112" s="888">
        <f>IF($AB112&lt;&gt;0,I112-$AF$95*F112,PlotData!$CB$3)</f>
        <v>0</v>
      </c>
      <c r="N112" s="887">
        <f>IF(AND(ISNUMBER(System!$C25),ABS(B112)+ABS(C112)&lt;&gt;0),(IF(OR(B112&gt;0,AND(B112=0,C112&gt;0)),I112,H112))-IF(OR(B112&gt;0,AND(B112=0,C112&gt;0)),1,-1)*$R$1*MIN(D112,$E$1)*F112,PlotData!$CB$3)</f>
        <v>0</v>
      </c>
      <c r="O112" s="885">
        <f>IF(AND(ISNUMBER(System!$C25),(ABS(B112)+ABS(C112))&lt;&gt;0),IF(OR(B112&gt;0,AND(B112=0,C112&gt;0)),J112,K112)-IF(OR(B112&gt;0,AND(B112=0,C112&gt;0)),1,-1)*$R$1*MIN(D112,$E$1)*F112,PlotData!$CB$3)</f>
        <v>0</v>
      </c>
      <c r="P112" s="884">
        <f>IF(AND(ISNUMBER(System!$C25),ABS(B112)+ABS(C112)&lt;&gt;0),System!BE143-$J$1*MIN($E$1,D112)*E112 - $H$1*$E$1*F112,PlotData!$CB$4)</f>
        <v>0</v>
      </c>
      <c r="Q112" s="885">
        <f>IF(AND(ISNUMBER(System!$C25),ABS(B112)+ABS(C112)&lt;&gt;0),System!BF143+$J$1*MIN($E$1,D112)*E112 - $H$1*$E$1*F112,PlotData!$CB$4)</f>
        <v>0</v>
      </c>
      <c r="R112" s="884">
        <f>IF(AND(ISNUMBER(System!$C25),ABS(B112)+ABS(C112)&lt;&gt;0),Q112 -  $C112*$E$1*F112*Z112,PlotData!$CB$4)</f>
        <v>0</v>
      </c>
      <c r="S112" s="886">
        <f>IF(AND(ISNUMBER(System!$C25),ABS(B112)+ABS(C112)&lt;&gt;0),P112 -  $B112*$E$1*F112*Y112,PlotData!$CB$4)</f>
        <v>0</v>
      </c>
      <c r="T112" s="881">
        <f>IF($AB112&lt;&gt;0,P112-$AF$95*E112,PlotData!$CB$4)</f>
        <v>0</v>
      </c>
      <c r="U112" s="883">
        <f>IF($AB112&lt;&gt;0,Q112+$AF$95*E112,PlotData!$CB$4)</f>
        <v>0</v>
      </c>
      <c r="V112" s="881">
        <f>IF(AND(ISNUMBER(System!$C25),ABS(B112)+ABS(C112)&lt;&gt;0),IF(OR(B112&gt;0,AND(B112=0,C112&gt;0)),Q112,P112)+IF(OR(B112&gt;0,AND(B112=0,C112&gt;0)),1,-1)*$R$1*MIN(D112,$E$1)*E112,PlotData!$CB$4)</f>
        <v>0</v>
      </c>
      <c r="W112" s="881">
        <f>IF(AND(ISNUMBER(System!$C25),ABS(B112)+ABS(C112)&lt;&gt;0),IF(OR(B112&gt;0,AND(B112=0,C112&gt;0)),R112,S112)+IF(OR(B112&gt;0,AND(B112=0,C112&gt;0)),1,-1)*$R$1*MIN(D112,$E$1)*E112,PlotData!$CB$4)</f>
        <v>0</v>
      </c>
      <c r="X112" s="887">
        <f>IF(ISNUMBER(System!$C25),SIGN(System!$AG25),0)</f>
        <v>0</v>
      </c>
      <c r="Y112" s="881">
        <f>IF(ISNUMBER(System!BN143),ABS(System!BN143)/AA112,0)</f>
        <v>0</v>
      </c>
      <c r="Z112" s="881">
        <f>IF(ISNUMBER(System!BO143),ABS(System!BO143)/AA112,0)</f>
        <v>0</v>
      </c>
      <c r="AA112" s="881">
        <f>IF(AND(ABS(System!V25)+ABS(System!W25)&lt;&gt;0,F112=0),MAX(ABS(System!BP143),ABS(System!BQ143)),IF(ABS(System!T25)+ABS(System!U25)+ABS(System!P25)+ABS(System!Q25)&lt;&gt;0,MAX(ABS(System!BN143),ABS(System!BO143)),1))</f>
        <v>1</v>
      </c>
      <c r="AB112" s="881">
        <f t="shared" si="34"/>
        <v>0</v>
      </c>
    </row>
    <row r="113" spans="1:28" x14ac:dyDescent="0.25">
      <c r="A113" s="827">
        <v>23</v>
      </c>
      <c r="B113" s="882">
        <f>IF(AND(ABS(System!W26)+ABS(System!V26)&lt;&gt;0,F113=0),SIGN(System!V26),IF(AND(ABS(System!T26)+ABS(System!U26)&lt;&gt;0,F113=0),0,IF(ISNUMBER(System!$C26),SIGN(System!BN144),0)))</f>
        <v>0</v>
      </c>
      <c r="C113" s="883">
        <f>IF(AND(ABS(System!W26)+ABS(System!V26)&lt;&gt;0,F113=0),SIGN(System!W26),IF(AND(ABS(System!T26)+ABS(System!U26)&lt;&gt;0,F113=0),0,IF(ISNUMBER(System!$C26),SIGN(System!BO144),0)))</f>
        <v>0</v>
      </c>
      <c r="D113" s="883">
        <f>IF(ISNUMBER(System!$C26),System!BG144,0)</f>
        <v>0</v>
      </c>
      <c r="E113" s="883">
        <f>IF(ISNUMBER(System!$C26),System!BJ144,0)</f>
        <v>0</v>
      </c>
      <c r="F113" s="883">
        <f>IF(ISNUMBER(System!$C26),System!BK144,0)</f>
        <v>0</v>
      </c>
      <c r="G113" s="874">
        <f>IF(F27=0,1,IF(OR(System!T26&lt;&gt;0,System!U26 &lt;&gt;0),0,1))</f>
        <v>1</v>
      </c>
      <c r="H113" s="884">
        <f>IF(AND(ISNUMBER(System!$C26),ABS(B113)+ABS(C113)&lt;&gt;0),System!BC144+$J$1*MIN($E$1,D113)*F113 - $H$1*$E$1*E113,PlotData!$CB$3)</f>
        <v>0</v>
      </c>
      <c r="I113" s="885">
        <f>IF(AND(ISNUMBER(System!$C26),ABS(B113)+ABS(C113)&lt;&gt;0),System!BD144-$J$1*MIN($E$1,D113)*F113 - $H$1*$E$1*E113,PlotData!$CB$3)</f>
        <v>0</v>
      </c>
      <c r="J113" s="884">
        <f>IF(AND(ISNUMBER(System!$C26),ABS(B113)+ABS(C113)&lt;&gt;0),I113 -$C113*$E$1*E113*Z113*G113,PlotData!$CB$3)</f>
        <v>0</v>
      </c>
      <c r="K113" s="886">
        <f>IF(AND(ISNUMBER(System!$C26),ABS(B113)+ABS(C113)&lt;&gt;0),H113 - $B113*$E$1*E113*Y113*G113,PlotData!$CB$3)</f>
        <v>0</v>
      </c>
      <c r="L113" s="887">
        <f>IF($AB113&lt;&gt;0,H113+$AF$95*F113,PlotData!$CB$3)</f>
        <v>0</v>
      </c>
      <c r="M113" s="888">
        <f>IF($AB113&lt;&gt;0,I113-$AF$95*F113,PlotData!$CB$3)</f>
        <v>0</v>
      </c>
      <c r="N113" s="887">
        <f>IF(AND(ISNUMBER(System!$C26),ABS(B113)+ABS(C113)&lt;&gt;0),(IF(OR(B113&gt;0,AND(B113=0,C113&gt;0)),I113,H113))-IF(OR(B113&gt;0,AND(B113=0,C113&gt;0)),1,-1)*$R$1*MIN(D113,$E$1)*F113,PlotData!$CB$3)</f>
        <v>0</v>
      </c>
      <c r="O113" s="885">
        <f>IF(AND(ISNUMBER(System!$C26),(ABS(B113)+ABS(C113))&lt;&gt;0),IF(OR(B113&gt;0,AND(B113=0,C113&gt;0)),J113,K113)-IF(OR(B113&gt;0,AND(B113=0,C113&gt;0)),1,-1)*$R$1*MIN(D113,$E$1)*F113,PlotData!$CB$3)</f>
        <v>0</v>
      </c>
      <c r="P113" s="884">
        <f>IF(AND(ISNUMBER(System!$C26),ABS(B113)+ABS(C113)&lt;&gt;0),System!BE144-$J$1*MIN($E$1,D113)*E113 - $H$1*$E$1*F113,PlotData!$CB$4)</f>
        <v>0</v>
      </c>
      <c r="Q113" s="885">
        <f>IF(AND(ISNUMBER(System!$C26),ABS(B113)+ABS(C113)&lt;&gt;0),System!BF144+$J$1*MIN($E$1,D113)*E113 - $H$1*$E$1*F113,PlotData!$CB$4)</f>
        <v>0</v>
      </c>
      <c r="R113" s="884">
        <f>IF(AND(ISNUMBER(System!$C26),ABS(B113)+ABS(C113)&lt;&gt;0),Q113 -  $C113*$E$1*F113*Z113,PlotData!$CB$4)</f>
        <v>0</v>
      </c>
      <c r="S113" s="886">
        <f>IF(AND(ISNUMBER(System!$C26),ABS(B113)+ABS(C113)&lt;&gt;0),P113 -  $B113*$E$1*F113*Y113,PlotData!$CB$4)</f>
        <v>0</v>
      </c>
      <c r="T113" s="881">
        <f>IF($AB113&lt;&gt;0,P113-$AF$95*E113,PlotData!$CB$4)</f>
        <v>0</v>
      </c>
      <c r="U113" s="883">
        <f>IF($AB113&lt;&gt;0,Q113+$AF$95*E113,PlotData!$CB$4)</f>
        <v>0</v>
      </c>
      <c r="V113" s="881">
        <f>IF(AND(ISNUMBER(System!$C26),ABS(B113)+ABS(C113)&lt;&gt;0),IF(OR(B113&gt;0,AND(B113=0,C113&gt;0)),Q113,P113)+IF(OR(B113&gt;0,AND(B113=0,C113&gt;0)),1,-1)*$R$1*MIN(D113,$E$1)*E113,PlotData!$CB$4)</f>
        <v>0</v>
      </c>
      <c r="W113" s="881">
        <f>IF(AND(ISNUMBER(System!$C26),ABS(B113)+ABS(C113)&lt;&gt;0),IF(OR(B113&gt;0,AND(B113=0,C113&gt;0)),R113,S113)+IF(OR(B113&gt;0,AND(B113=0,C113&gt;0)),1,-1)*$R$1*MIN(D113,$E$1)*E113,PlotData!$CB$4)</f>
        <v>0</v>
      </c>
      <c r="X113" s="887">
        <f>IF(ISNUMBER(System!$C26),SIGN(System!$AG26),0)</f>
        <v>0</v>
      </c>
      <c r="Y113" s="881">
        <f>IF(ISNUMBER(System!BN144),ABS(System!BN144)/AA113,0)</f>
        <v>0</v>
      </c>
      <c r="Z113" s="881">
        <f>IF(ISNUMBER(System!BO144),ABS(System!BO144)/AA113,0)</f>
        <v>0</v>
      </c>
      <c r="AA113" s="881">
        <f>IF(AND(ABS(System!V26)+ABS(System!W26)&lt;&gt;0,F113=0),MAX(ABS(System!BP144),ABS(System!BQ144)),IF(ABS(System!T26)+ABS(System!U26)+ABS(System!P26)+ABS(System!Q26)&lt;&gt;0,MAX(ABS(System!BN144),ABS(System!BO144)),1))</f>
        <v>1</v>
      </c>
      <c r="AB113" s="881">
        <f t="shared" si="34"/>
        <v>0</v>
      </c>
    </row>
    <row r="114" spans="1:28" x14ac:dyDescent="0.25">
      <c r="A114" s="827">
        <v>24</v>
      </c>
      <c r="B114" s="882">
        <f>IF(AND(ABS(System!W27)+ABS(System!V27)&lt;&gt;0,F114=0),SIGN(System!V27),IF(AND(ABS(System!T27)+ABS(System!U27)&lt;&gt;0,F114=0),0,IF(ISNUMBER(System!$C27),SIGN(System!BN145),0)))</f>
        <v>0</v>
      </c>
      <c r="C114" s="883">
        <f>IF(AND(ABS(System!W27)+ABS(System!V27)&lt;&gt;0,F114=0),SIGN(System!W27),IF(AND(ABS(System!T27)+ABS(System!U27)&lt;&gt;0,F114=0),0,IF(ISNUMBER(System!$C27),SIGN(System!BO145),0)))</f>
        <v>0</v>
      </c>
      <c r="D114" s="883">
        <f>IF(ISNUMBER(System!$C27),System!BG145,0)</f>
        <v>0</v>
      </c>
      <c r="E114" s="883">
        <f>IF(ISNUMBER(System!$C27),System!BJ145,0)</f>
        <v>0</v>
      </c>
      <c r="F114" s="883">
        <f>IF(ISNUMBER(System!$C27),System!BK145,0)</f>
        <v>0</v>
      </c>
      <c r="G114" s="874">
        <f>IF(F28=0,1,IF(OR(System!T27&lt;&gt;0,System!U27 &lt;&gt;0),0,1))</f>
        <v>1</v>
      </c>
      <c r="H114" s="884">
        <f>IF(AND(ISNUMBER(System!$C27),ABS(B114)+ABS(C114)&lt;&gt;0),System!BC145+$J$1*MIN($E$1,D114)*F114 - $H$1*$E$1*E114,PlotData!$CB$3)</f>
        <v>0</v>
      </c>
      <c r="I114" s="885">
        <f>IF(AND(ISNUMBER(System!$C27),ABS(B114)+ABS(C114)&lt;&gt;0),System!BD145-$J$1*MIN($E$1,D114)*F114 - $H$1*$E$1*E114,PlotData!$CB$3)</f>
        <v>0</v>
      </c>
      <c r="J114" s="884">
        <f>IF(AND(ISNUMBER(System!$C27),ABS(B114)+ABS(C114)&lt;&gt;0),I114 -$C114*$E$1*E114*Z114*G114,PlotData!$CB$3)</f>
        <v>0</v>
      </c>
      <c r="K114" s="886">
        <f>IF(AND(ISNUMBER(System!$C27),ABS(B114)+ABS(C114)&lt;&gt;0),H114 - $B114*$E$1*E114*Y114*G114,PlotData!$CB$3)</f>
        <v>0</v>
      </c>
      <c r="L114" s="887">
        <f>IF($AB114&lt;&gt;0,H114+$AF$95*F114,PlotData!$CB$3)</f>
        <v>0</v>
      </c>
      <c r="M114" s="888">
        <f>IF($AB114&lt;&gt;0,I114-$AF$95*F114,PlotData!$CB$3)</f>
        <v>0</v>
      </c>
      <c r="N114" s="887">
        <f>IF(AND(ISNUMBER(System!$C27),ABS(B114)+ABS(C114)&lt;&gt;0),(IF(OR(B114&gt;0,AND(B114=0,C114&gt;0)),I114,H114))-IF(OR(B114&gt;0,AND(B114=0,C114&gt;0)),1,-1)*$R$1*MIN(D114,$E$1)*F114,PlotData!$CB$3)</f>
        <v>0</v>
      </c>
      <c r="O114" s="885">
        <f>IF(AND(ISNUMBER(System!$C27),(ABS(B114)+ABS(C114))&lt;&gt;0),IF(OR(B114&gt;0,AND(B114=0,C114&gt;0)),J114,K114)-IF(OR(B114&gt;0,AND(B114=0,C114&gt;0)),1,-1)*$R$1*MIN(D114,$E$1)*F114,PlotData!$CB$3)</f>
        <v>0</v>
      </c>
      <c r="P114" s="884">
        <f>IF(AND(ISNUMBER(System!$C27),ABS(B114)+ABS(C114)&lt;&gt;0),System!BE145-$J$1*MIN($E$1,D114)*E114 - $H$1*$E$1*F114,PlotData!$CB$4)</f>
        <v>0</v>
      </c>
      <c r="Q114" s="885">
        <f>IF(AND(ISNUMBER(System!$C27),ABS(B114)+ABS(C114)&lt;&gt;0),System!BF145+$J$1*MIN($E$1,D114)*E114 - $H$1*$E$1*F114,PlotData!$CB$4)</f>
        <v>0</v>
      </c>
      <c r="R114" s="884">
        <f>IF(AND(ISNUMBER(System!$C27),ABS(B114)+ABS(C114)&lt;&gt;0),Q114 -  $C114*$E$1*F114*Z114,PlotData!$CB$4)</f>
        <v>0</v>
      </c>
      <c r="S114" s="886">
        <f>IF(AND(ISNUMBER(System!$C27),ABS(B114)+ABS(C114)&lt;&gt;0),P114 -  $B114*$E$1*F114*Y114,PlotData!$CB$4)</f>
        <v>0</v>
      </c>
      <c r="T114" s="881">
        <f>IF($AB114&lt;&gt;0,P114-$AF$95*E114,PlotData!$CB$4)</f>
        <v>0</v>
      </c>
      <c r="U114" s="883">
        <f>IF($AB114&lt;&gt;0,Q114+$AF$95*E114,PlotData!$CB$4)</f>
        <v>0</v>
      </c>
      <c r="V114" s="881">
        <f>IF(AND(ISNUMBER(System!$C27),ABS(B114)+ABS(C114)&lt;&gt;0),IF(OR(B114&gt;0,AND(B114=0,C114&gt;0)),Q114,P114)+IF(OR(B114&gt;0,AND(B114=0,C114&gt;0)),1,-1)*$R$1*MIN(D114,$E$1)*E114,PlotData!$CB$4)</f>
        <v>0</v>
      </c>
      <c r="W114" s="881">
        <f>IF(AND(ISNUMBER(System!$C27),ABS(B114)+ABS(C114)&lt;&gt;0),IF(OR(B114&gt;0,AND(B114=0,C114&gt;0)),R114,S114)+IF(OR(B114&gt;0,AND(B114=0,C114&gt;0)),1,-1)*$R$1*MIN(D114,$E$1)*E114,PlotData!$CB$4)</f>
        <v>0</v>
      </c>
      <c r="X114" s="887">
        <f>IF(ISNUMBER(System!$C27),SIGN(System!$AG27),0)</f>
        <v>0</v>
      </c>
      <c r="Y114" s="881">
        <f>IF(ISNUMBER(System!BN145),ABS(System!BN145)/AA114,0)</f>
        <v>0</v>
      </c>
      <c r="Z114" s="881">
        <f>IF(ISNUMBER(System!BO145),ABS(System!BO145)/AA114,0)</f>
        <v>0</v>
      </c>
      <c r="AA114" s="881">
        <f>IF(AND(ABS(System!V27)+ABS(System!W27)&lt;&gt;0,F114=0),MAX(ABS(System!BP145),ABS(System!BQ145)),IF(ABS(System!T27)+ABS(System!U27)+ABS(System!P27)+ABS(System!Q27)&lt;&gt;0,MAX(ABS(System!BN145),ABS(System!BO145)),1))</f>
        <v>1</v>
      </c>
      <c r="AB114" s="881">
        <f t="shared" si="34"/>
        <v>0</v>
      </c>
    </row>
    <row r="115" spans="1:28" x14ac:dyDescent="0.25">
      <c r="A115" s="827">
        <v>25</v>
      </c>
      <c r="B115" s="882">
        <f>IF(AND(ABS(System!W28)+ABS(System!V28)&lt;&gt;0,F115=0),SIGN(System!V28),IF(AND(ABS(System!T28)+ABS(System!U28)&lt;&gt;0,F115=0),0,IF(ISNUMBER(System!$C28),SIGN(System!BN146),0)))</f>
        <v>0</v>
      </c>
      <c r="C115" s="883">
        <f>IF(AND(ABS(System!W28)+ABS(System!V28)&lt;&gt;0,F115=0),SIGN(System!W28),IF(AND(ABS(System!T28)+ABS(System!U28)&lt;&gt;0,F115=0),0,IF(ISNUMBER(System!$C28),SIGN(System!BO146),0)))</f>
        <v>0</v>
      </c>
      <c r="D115" s="883">
        <f>IF(ISNUMBER(System!$C28),System!BG146,0)</f>
        <v>0</v>
      </c>
      <c r="E115" s="883">
        <f>IF(ISNUMBER(System!$C28),System!BJ146,0)</f>
        <v>0</v>
      </c>
      <c r="F115" s="883">
        <f>IF(ISNUMBER(System!$C28),System!BK146,0)</f>
        <v>0</v>
      </c>
      <c r="G115" s="874">
        <f>IF(F29=0,1,IF(OR(System!T28&lt;&gt;0,System!U28 &lt;&gt;0),0,1))</f>
        <v>1</v>
      </c>
      <c r="H115" s="884">
        <f>IF(AND(ISNUMBER(System!$C28),ABS(B115)+ABS(C115)&lt;&gt;0),System!BC146+$J$1*MIN($E$1,D115)*F115 - $H$1*$E$1*E115,PlotData!$CB$3)</f>
        <v>0</v>
      </c>
      <c r="I115" s="885">
        <f>IF(AND(ISNUMBER(System!$C28),ABS(B115)+ABS(C115)&lt;&gt;0),System!BD146-$J$1*MIN($E$1,D115)*F115 - $H$1*$E$1*E115,PlotData!$CB$3)</f>
        <v>0</v>
      </c>
      <c r="J115" s="884">
        <f>IF(AND(ISNUMBER(System!$C28),ABS(B115)+ABS(C115)&lt;&gt;0),I115 -$C115*$E$1*E115*Z115*G115,PlotData!$CB$3)</f>
        <v>0</v>
      </c>
      <c r="K115" s="886">
        <f>IF(AND(ISNUMBER(System!$C28),ABS(B115)+ABS(C115)&lt;&gt;0),H115 - $B115*$E$1*E115*Y115*G115,PlotData!$CB$3)</f>
        <v>0</v>
      </c>
      <c r="L115" s="887">
        <f>IF($AB115&lt;&gt;0,H115+$AF$95*F115,PlotData!$CB$3)</f>
        <v>0</v>
      </c>
      <c r="M115" s="888">
        <f>IF($AB115&lt;&gt;0,I115-$AF$95*F115,PlotData!$CB$3)</f>
        <v>0</v>
      </c>
      <c r="N115" s="887">
        <f>IF(AND(ISNUMBER(System!$C28),ABS(B115)+ABS(C115)&lt;&gt;0),(IF(OR(B115&gt;0,AND(B115=0,C115&gt;0)),I115,H115))-IF(OR(B115&gt;0,AND(B115=0,C115&gt;0)),1,-1)*$R$1*MIN(D115,$E$1)*F115,PlotData!$CB$3)</f>
        <v>0</v>
      </c>
      <c r="O115" s="885">
        <f>IF(AND(ISNUMBER(System!$C28),(ABS(B115)+ABS(C115))&lt;&gt;0),IF(OR(B115&gt;0,AND(B115=0,C115&gt;0)),J115,K115)-IF(OR(B115&gt;0,AND(B115=0,C115&gt;0)),1,-1)*$R$1*MIN(D115,$E$1)*F115,PlotData!$CB$3)</f>
        <v>0</v>
      </c>
      <c r="P115" s="884">
        <f>IF(AND(ISNUMBER(System!$C28),ABS(B115)+ABS(C115)&lt;&gt;0),System!BE146-$J$1*MIN($E$1,D115)*E115 - $H$1*$E$1*F115,PlotData!$CB$4)</f>
        <v>0</v>
      </c>
      <c r="Q115" s="885">
        <f>IF(AND(ISNUMBER(System!$C28),ABS(B115)+ABS(C115)&lt;&gt;0),System!BF146+$J$1*MIN($E$1,D115)*E115 - $H$1*$E$1*F115,PlotData!$CB$4)</f>
        <v>0</v>
      </c>
      <c r="R115" s="884">
        <f>IF(AND(ISNUMBER(System!$C28),ABS(B115)+ABS(C115)&lt;&gt;0),Q115 -  $C115*$E$1*F115*Z115,PlotData!$CB$4)</f>
        <v>0</v>
      </c>
      <c r="S115" s="886">
        <f>IF(AND(ISNUMBER(System!$C28),ABS(B115)+ABS(C115)&lt;&gt;0),P115 -  $B115*$E$1*F115*Y115,PlotData!$CB$4)</f>
        <v>0</v>
      </c>
      <c r="T115" s="881">
        <f>IF($AB115&lt;&gt;0,P115-$AF$95*E115,PlotData!$CB$4)</f>
        <v>0</v>
      </c>
      <c r="U115" s="883">
        <f>IF($AB115&lt;&gt;0,Q115+$AF$95*E115,PlotData!$CB$4)</f>
        <v>0</v>
      </c>
      <c r="V115" s="881">
        <f>IF(AND(ISNUMBER(System!$C28),ABS(B115)+ABS(C115)&lt;&gt;0),IF(OR(B115&gt;0,AND(B115=0,C115&gt;0)),Q115,P115)+IF(OR(B115&gt;0,AND(B115=0,C115&gt;0)),1,-1)*$R$1*MIN(D115,$E$1)*E115,PlotData!$CB$4)</f>
        <v>0</v>
      </c>
      <c r="W115" s="881">
        <f>IF(AND(ISNUMBER(System!$C28),ABS(B115)+ABS(C115)&lt;&gt;0),IF(OR(B115&gt;0,AND(B115=0,C115&gt;0)),R115,S115)+IF(OR(B115&gt;0,AND(B115=0,C115&gt;0)),1,-1)*$R$1*MIN(D115,$E$1)*E115,PlotData!$CB$4)</f>
        <v>0</v>
      </c>
      <c r="X115" s="887">
        <f>IF(ISNUMBER(System!$C28),SIGN(System!$AG28),0)</f>
        <v>0</v>
      </c>
      <c r="Y115" s="881">
        <f>IF(ISNUMBER(System!BN146),ABS(System!BN146)/AA115,0)</f>
        <v>0</v>
      </c>
      <c r="Z115" s="881">
        <f>IF(ISNUMBER(System!BO146),ABS(System!BO146)/AA115,0)</f>
        <v>0</v>
      </c>
      <c r="AA115" s="881">
        <f>IF(AND(ABS(System!V28)+ABS(System!W28)&lt;&gt;0,F115=0),MAX(ABS(System!BP146),ABS(System!BQ146)),IF(ABS(System!T28)+ABS(System!U28)+ABS(System!P28)+ABS(System!Q28)&lt;&gt;0,MAX(ABS(System!BN146),ABS(System!BO146)),1))</f>
        <v>1</v>
      </c>
      <c r="AB115" s="881">
        <f t="shared" si="34"/>
        <v>0</v>
      </c>
    </row>
    <row r="116" spans="1:28" x14ac:dyDescent="0.25">
      <c r="A116" s="827">
        <v>26</v>
      </c>
      <c r="B116" s="882">
        <f>IF(AND(ABS(System!W29)+ABS(System!V29)&lt;&gt;0,F116=0),SIGN(System!V29),IF(AND(ABS(System!T29)+ABS(System!U29)&lt;&gt;0,F116=0),0,IF(ISNUMBER(System!$C29),SIGN(System!BN147),0)))</f>
        <v>0</v>
      </c>
      <c r="C116" s="883">
        <f>IF(AND(ABS(System!W29)+ABS(System!V29)&lt;&gt;0,F116=0),SIGN(System!W29),IF(AND(ABS(System!T29)+ABS(System!U29)&lt;&gt;0,F116=0),0,IF(ISNUMBER(System!$C29),SIGN(System!BO147),0)))</f>
        <v>0</v>
      </c>
      <c r="D116" s="883">
        <f>IF(ISNUMBER(System!$C29),System!BG147,0)</f>
        <v>0</v>
      </c>
      <c r="E116" s="883">
        <f>IF(ISNUMBER(System!$C29),System!BJ147,0)</f>
        <v>0</v>
      </c>
      <c r="F116" s="883">
        <f>IF(ISNUMBER(System!$C29),System!BK147,0)</f>
        <v>0</v>
      </c>
      <c r="G116" s="874">
        <f>IF(F30=0,1,IF(OR(System!T29&lt;&gt;0,System!U29 &lt;&gt;0),0,1))</f>
        <v>1</v>
      </c>
      <c r="H116" s="884">
        <f>IF(AND(ISNUMBER(System!$C29),ABS(B116)+ABS(C116)&lt;&gt;0),System!BC147+$J$1*MIN($E$1,D116)*F116 - $H$1*$E$1*E116,PlotData!$CB$3)</f>
        <v>0</v>
      </c>
      <c r="I116" s="885">
        <f>IF(AND(ISNUMBER(System!$C29),ABS(B116)+ABS(C116)&lt;&gt;0),System!BD147-$J$1*MIN($E$1,D116)*F116 - $H$1*$E$1*E116,PlotData!$CB$3)</f>
        <v>0</v>
      </c>
      <c r="J116" s="884">
        <f>IF(AND(ISNUMBER(System!$C29),ABS(B116)+ABS(C116)&lt;&gt;0),I116 -$C116*$E$1*E116*Z116*G116,PlotData!$CB$3)</f>
        <v>0</v>
      </c>
      <c r="K116" s="886">
        <f>IF(AND(ISNUMBER(System!$C29),ABS(B116)+ABS(C116)&lt;&gt;0),H116 - $B116*$E$1*E116*Y116*G116,PlotData!$CB$3)</f>
        <v>0</v>
      </c>
      <c r="L116" s="887">
        <f>IF($AB116&lt;&gt;0,H116+$AF$95*F116,PlotData!$CB$3)</f>
        <v>0</v>
      </c>
      <c r="M116" s="888">
        <f>IF($AB116&lt;&gt;0,I116-$AF$95*F116,PlotData!$CB$3)</f>
        <v>0</v>
      </c>
      <c r="N116" s="887">
        <f>IF(AND(ISNUMBER(System!$C29),ABS(B116)+ABS(C116)&lt;&gt;0),(IF(OR(B116&gt;0,AND(B116=0,C116&gt;0)),I116,H116))-IF(OR(B116&gt;0,AND(B116=0,C116&gt;0)),1,-1)*$R$1*MIN(D116,$E$1)*F116,PlotData!$CB$3)</f>
        <v>0</v>
      </c>
      <c r="O116" s="885">
        <f>IF(AND(ISNUMBER(System!$C29),(ABS(B116)+ABS(C116))&lt;&gt;0),IF(OR(B116&gt;0,AND(B116=0,C116&gt;0)),J116,K116)-IF(OR(B116&gt;0,AND(B116=0,C116&gt;0)),1,-1)*$R$1*MIN(D116,$E$1)*F116,PlotData!$CB$3)</f>
        <v>0</v>
      </c>
      <c r="P116" s="884">
        <f>IF(AND(ISNUMBER(System!$C29),ABS(B116)+ABS(C116)&lt;&gt;0),System!BE147-$J$1*MIN($E$1,D116)*E116 - $H$1*$E$1*F116,PlotData!$CB$4)</f>
        <v>0</v>
      </c>
      <c r="Q116" s="885">
        <f>IF(AND(ISNUMBER(System!$C29),ABS(B116)+ABS(C116)&lt;&gt;0),System!BF147+$J$1*MIN($E$1,D116)*E116 - $H$1*$E$1*F116,PlotData!$CB$4)</f>
        <v>0</v>
      </c>
      <c r="R116" s="884">
        <f>IF(AND(ISNUMBER(System!$C29),ABS(B116)+ABS(C116)&lt;&gt;0),Q116 -  $C116*$E$1*F116*Z116,PlotData!$CB$4)</f>
        <v>0</v>
      </c>
      <c r="S116" s="886">
        <f>IF(AND(ISNUMBER(System!$C29),ABS(B116)+ABS(C116)&lt;&gt;0),P116 -  $B116*$E$1*F116*Y116,PlotData!$CB$4)</f>
        <v>0</v>
      </c>
      <c r="T116" s="881">
        <f>IF($AB116&lt;&gt;0,P116-$AF$95*E116,PlotData!$CB$4)</f>
        <v>0</v>
      </c>
      <c r="U116" s="883">
        <f>IF($AB116&lt;&gt;0,Q116+$AF$95*E116,PlotData!$CB$4)</f>
        <v>0</v>
      </c>
      <c r="V116" s="881">
        <f>IF(AND(ISNUMBER(System!$C29),ABS(B116)+ABS(C116)&lt;&gt;0),IF(OR(B116&gt;0,AND(B116=0,C116&gt;0)),Q116,P116)+IF(OR(B116&gt;0,AND(B116=0,C116&gt;0)),1,-1)*$R$1*MIN(D116,$E$1)*E116,PlotData!$CB$4)</f>
        <v>0</v>
      </c>
      <c r="W116" s="881">
        <f>IF(AND(ISNUMBER(System!$C29),ABS(B116)+ABS(C116)&lt;&gt;0),IF(OR(B116&gt;0,AND(B116=0,C116&gt;0)),R116,S116)+IF(OR(B116&gt;0,AND(B116=0,C116&gt;0)),1,-1)*$R$1*MIN(D116,$E$1)*E116,PlotData!$CB$4)</f>
        <v>0</v>
      </c>
      <c r="X116" s="887">
        <f>IF(ISNUMBER(System!$C29),SIGN(System!$AG29),0)</f>
        <v>0</v>
      </c>
      <c r="Y116" s="881">
        <f>IF(ISNUMBER(System!BN147),ABS(System!BN147)/AA116,0)</f>
        <v>0</v>
      </c>
      <c r="Z116" s="881">
        <f>IF(ISNUMBER(System!BO147),ABS(System!BO147)/AA116,0)</f>
        <v>0</v>
      </c>
      <c r="AA116" s="881">
        <f>IF(AND(ABS(System!V29)+ABS(System!W29)&lt;&gt;0,F116=0),MAX(ABS(System!BP147),ABS(System!BQ147)),IF(ABS(System!T29)+ABS(System!U29)+ABS(System!P29)+ABS(System!Q29)&lt;&gt;0,MAX(ABS(System!BN147),ABS(System!BO147)),1))</f>
        <v>1</v>
      </c>
      <c r="AB116" s="881">
        <f t="shared" si="34"/>
        <v>0</v>
      </c>
    </row>
    <row r="117" spans="1:28" x14ac:dyDescent="0.25">
      <c r="A117" s="827">
        <v>27</v>
      </c>
      <c r="B117" s="882">
        <f>IF(AND(ABS(System!W30)+ABS(System!V30)&lt;&gt;0,F117=0),SIGN(System!V30),IF(AND(ABS(System!T30)+ABS(System!U30)&lt;&gt;0,F117=0),0,IF(ISNUMBER(System!$C30),SIGN(System!BN148),0)))</f>
        <v>0</v>
      </c>
      <c r="C117" s="883">
        <f>IF(AND(ABS(System!W30)+ABS(System!V30)&lt;&gt;0,F117=0),SIGN(System!W30),IF(AND(ABS(System!T30)+ABS(System!U30)&lt;&gt;0,F117=0),0,IF(ISNUMBER(System!$C30),SIGN(System!BO148),0)))</f>
        <v>0</v>
      </c>
      <c r="D117" s="883">
        <f>IF(ISNUMBER(System!$C30),System!BG148,0)</f>
        <v>0</v>
      </c>
      <c r="E117" s="883">
        <f>IF(ISNUMBER(System!$C30),System!BJ148,0)</f>
        <v>0</v>
      </c>
      <c r="F117" s="883">
        <f>IF(ISNUMBER(System!$C30),System!BK148,0)</f>
        <v>0</v>
      </c>
      <c r="G117" s="874">
        <f>IF(F31=0,1,IF(OR(System!T30&lt;&gt;0,System!U30 &lt;&gt;0),0,1))</f>
        <v>1</v>
      </c>
      <c r="H117" s="884">
        <f>IF(AND(ISNUMBER(System!$C30),ABS(B117)+ABS(C117)&lt;&gt;0),System!BC148+$J$1*MIN($E$1,D117)*F117 - $H$1*$E$1*E117,PlotData!$CB$3)</f>
        <v>0</v>
      </c>
      <c r="I117" s="885">
        <f>IF(AND(ISNUMBER(System!$C30),ABS(B117)+ABS(C117)&lt;&gt;0),System!BD148-$J$1*MIN($E$1,D117)*F117 - $H$1*$E$1*E117,PlotData!$CB$3)</f>
        <v>0</v>
      </c>
      <c r="J117" s="884">
        <f>IF(AND(ISNUMBER(System!$C30),ABS(B117)+ABS(C117)&lt;&gt;0),I117 -$C117*$E$1*E117*Z117*G117,PlotData!$CB$3)</f>
        <v>0</v>
      </c>
      <c r="K117" s="886">
        <f>IF(AND(ISNUMBER(System!$C30),ABS(B117)+ABS(C117)&lt;&gt;0),H117 - $B117*$E$1*E117*Y117*G117,PlotData!$CB$3)</f>
        <v>0</v>
      </c>
      <c r="L117" s="887">
        <f>IF($AB117&lt;&gt;0,H117+$AF$95*F117,PlotData!$CB$3)</f>
        <v>0</v>
      </c>
      <c r="M117" s="888">
        <f>IF($AB117&lt;&gt;0,I117-$AF$95*F117,PlotData!$CB$3)</f>
        <v>0</v>
      </c>
      <c r="N117" s="887">
        <f>IF(AND(ISNUMBER(System!$C30),ABS(B117)+ABS(C117)&lt;&gt;0),(IF(OR(B117&gt;0,AND(B117=0,C117&gt;0)),I117,H117))-IF(OR(B117&gt;0,AND(B117=0,C117&gt;0)),1,-1)*$R$1*MIN(D117,$E$1)*F117,PlotData!$CB$3)</f>
        <v>0</v>
      </c>
      <c r="O117" s="885">
        <f>IF(AND(ISNUMBER(System!$C30),(ABS(B117)+ABS(C117))&lt;&gt;0),IF(OR(B117&gt;0,AND(B117=0,C117&gt;0)),J117,K117)-IF(OR(B117&gt;0,AND(B117=0,C117&gt;0)),1,-1)*$R$1*MIN(D117,$E$1)*F117,PlotData!$CB$3)</f>
        <v>0</v>
      </c>
      <c r="P117" s="884">
        <f>IF(AND(ISNUMBER(System!$C30),ABS(B117)+ABS(C117)&lt;&gt;0),System!BE148-$J$1*MIN($E$1,D117)*E117 - $H$1*$E$1*F117,PlotData!$CB$4)</f>
        <v>0</v>
      </c>
      <c r="Q117" s="885">
        <f>IF(AND(ISNUMBER(System!$C30),ABS(B117)+ABS(C117)&lt;&gt;0),System!BF148+$J$1*MIN($E$1,D117)*E117 - $H$1*$E$1*F117,PlotData!$CB$4)</f>
        <v>0</v>
      </c>
      <c r="R117" s="884">
        <f>IF(AND(ISNUMBER(System!$C30),ABS(B117)+ABS(C117)&lt;&gt;0),Q117 -  $C117*$E$1*F117*Z117,PlotData!$CB$4)</f>
        <v>0</v>
      </c>
      <c r="S117" s="886">
        <f>IF(AND(ISNUMBER(System!$C30),ABS(B117)+ABS(C117)&lt;&gt;0),P117 -  $B117*$E$1*F117*Y117,PlotData!$CB$4)</f>
        <v>0</v>
      </c>
      <c r="T117" s="881">
        <f>IF($AB117&lt;&gt;0,P117-$AF$95*E117,PlotData!$CB$4)</f>
        <v>0</v>
      </c>
      <c r="U117" s="883">
        <f>IF($AB117&lt;&gt;0,Q117+$AF$95*E117,PlotData!$CB$4)</f>
        <v>0</v>
      </c>
      <c r="V117" s="881">
        <f>IF(AND(ISNUMBER(System!$C30),ABS(B117)+ABS(C117)&lt;&gt;0),IF(OR(B117&gt;0,AND(B117=0,C117&gt;0)),Q117,P117)+IF(OR(B117&gt;0,AND(B117=0,C117&gt;0)),1,-1)*$R$1*MIN(D117,$E$1)*E117,PlotData!$CB$4)</f>
        <v>0</v>
      </c>
      <c r="W117" s="881">
        <f>IF(AND(ISNUMBER(System!$C30),ABS(B117)+ABS(C117)&lt;&gt;0),IF(OR(B117&gt;0,AND(B117=0,C117&gt;0)),R117,S117)+IF(OR(B117&gt;0,AND(B117=0,C117&gt;0)),1,-1)*$R$1*MIN(D117,$E$1)*E117,PlotData!$CB$4)</f>
        <v>0</v>
      </c>
      <c r="X117" s="887">
        <f>IF(ISNUMBER(System!$C30),SIGN(System!$AG30),0)</f>
        <v>0</v>
      </c>
      <c r="Y117" s="881">
        <f>IF(ISNUMBER(System!BN148),ABS(System!BN148)/AA117,0)</f>
        <v>0</v>
      </c>
      <c r="Z117" s="881">
        <f>IF(ISNUMBER(System!BO148),ABS(System!BO148)/AA117,0)</f>
        <v>0</v>
      </c>
      <c r="AA117" s="881">
        <f>IF(AND(ABS(System!V30)+ABS(System!W30)&lt;&gt;0,F117=0),MAX(ABS(System!BP148),ABS(System!BQ148)),IF(ABS(System!T30)+ABS(System!U30)+ABS(System!P30)+ABS(System!Q30)&lt;&gt;0,MAX(ABS(System!BN148),ABS(System!BO148)),1))</f>
        <v>1</v>
      </c>
      <c r="AB117" s="881">
        <f t="shared" si="34"/>
        <v>0</v>
      </c>
    </row>
    <row r="118" spans="1:28" x14ac:dyDescent="0.25">
      <c r="A118" s="827">
        <v>28</v>
      </c>
      <c r="B118" s="882">
        <f>IF(AND(ABS(System!W31)+ABS(System!V31)&lt;&gt;0,F118=0),SIGN(System!V31),IF(AND(ABS(System!T31)+ABS(System!U31)&lt;&gt;0,F118=0),0,IF(ISNUMBER(System!$C31),SIGN(System!BN149),0)))</f>
        <v>0</v>
      </c>
      <c r="C118" s="883">
        <f>IF(AND(ABS(System!W31)+ABS(System!V31)&lt;&gt;0,F118=0),SIGN(System!W31),IF(AND(ABS(System!T31)+ABS(System!U31)&lt;&gt;0,F118=0),0,IF(ISNUMBER(System!$C31),SIGN(System!BO149),0)))</f>
        <v>0</v>
      </c>
      <c r="D118" s="883">
        <f>IF(ISNUMBER(System!$C31),System!BG149,0)</f>
        <v>0</v>
      </c>
      <c r="E118" s="883">
        <f>IF(ISNUMBER(System!$C31),System!BJ149,0)</f>
        <v>0</v>
      </c>
      <c r="F118" s="883">
        <f>IF(ISNUMBER(System!$C31),System!BK149,0)</f>
        <v>0</v>
      </c>
      <c r="G118" s="874">
        <f>IF(F32=0,1,IF(OR(System!T31&lt;&gt;0,System!U31 &lt;&gt;0),0,1))</f>
        <v>1</v>
      </c>
      <c r="H118" s="884">
        <f>IF(AND(ISNUMBER(System!$C31),ABS(B118)+ABS(C118)&lt;&gt;0),System!BC149+$J$1*MIN($E$1,D118)*F118 - $H$1*$E$1*E118,PlotData!$CB$3)</f>
        <v>0</v>
      </c>
      <c r="I118" s="885">
        <f>IF(AND(ISNUMBER(System!$C31),ABS(B118)+ABS(C118)&lt;&gt;0),System!BD149-$J$1*MIN($E$1,D118)*F118 - $H$1*$E$1*E118,PlotData!$CB$3)</f>
        <v>0</v>
      </c>
      <c r="J118" s="884">
        <f>IF(AND(ISNUMBER(System!$C31),ABS(B118)+ABS(C118)&lt;&gt;0),I118 -$C118*$E$1*E118*Z118*G118,PlotData!$CB$3)</f>
        <v>0</v>
      </c>
      <c r="K118" s="886">
        <f>IF(AND(ISNUMBER(System!$C31),ABS(B118)+ABS(C118)&lt;&gt;0),H118 - $B118*$E$1*E118*Y118*G118,PlotData!$CB$3)</f>
        <v>0</v>
      </c>
      <c r="L118" s="887">
        <f>IF($AB118&lt;&gt;0,H118+$AF$95*F118,PlotData!$CB$3)</f>
        <v>0</v>
      </c>
      <c r="M118" s="888">
        <f>IF($AB118&lt;&gt;0,I118-$AF$95*F118,PlotData!$CB$3)</f>
        <v>0</v>
      </c>
      <c r="N118" s="887">
        <f>IF(AND(ISNUMBER(System!$C31),ABS(B118)+ABS(C118)&lt;&gt;0),(IF(OR(B118&gt;0,AND(B118=0,C118&gt;0)),I118,H118))-IF(OR(B118&gt;0,AND(B118=0,C118&gt;0)),1,-1)*$R$1*MIN(D118,$E$1)*F118,PlotData!$CB$3)</f>
        <v>0</v>
      </c>
      <c r="O118" s="885">
        <f>IF(AND(ISNUMBER(System!$C31),(ABS(B118)+ABS(C118))&lt;&gt;0),IF(OR(B118&gt;0,AND(B118=0,C118&gt;0)),J118,K118)-IF(OR(B118&gt;0,AND(B118=0,C118&gt;0)),1,-1)*$R$1*MIN(D118,$E$1)*F118,PlotData!$CB$3)</f>
        <v>0</v>
      </c>
      <c r="P118" s="884">
        <f>IF(AND(ISNUMBER(System!$C31),ABS(B118)+ABS(C118)&lt;&gt;0),System!BE149-$J$1*MIN($E$1,D118)*E118 - $H$1*$E$1*F118,PlotData!$CB$4)</f>
        <v>0</v>
      </c>
      <c r="Q118" s="885">
        <f>IF(AND(ISNUMBER(System!$C31),ABS(B118)+ABS(C118)&lt;&gt;0),System!BF149+$J$1*MIN($E$1,D118)*E118 - $H$1*$E$1*F118,PlotData!$CB$4)</f>
        <v>0</v>
      </c>
      <c r="R118" s="884">
        <f>IF(AND(ISNUMBER(System!$C31),ABS(B118)+ABS(C118)&lt;&gt;0),Q118 -  $C118*$E$1*F118*Z118,PlotData!$CB$4)</f>
        <v>0</v>
      </c>
      <c r="S118" s="886">
        <f>IF(AND(ISNUMBER(System!$C31),ABS(B118)+ABS(C118)&lt;&gt;0),P118 -  $B118*$E$1*F118*Y118,PlotData!$CB$4)</f>
        <v>0</v>
      </c>
      <c r="T118" s="881">
        <f>IF($AB118&lt;&gt;0,P118-$AF$95*E118,PlotData!$CB$4)</f>
        <v>0</v>
      </c>
      <c r="U118" s="883">
        <f>IF($AB118&lt;&gt;0,Q118+$AF$95*E118,PlotData!$CB$4)</f>
        <v>0</v>
      </c>
      <c r="V118" s="881">
        <f>IF(AND(ISNUMBER(System!$C31),ABS(B118)+ABS(C118)&lt;&gt;0),IF(OR(B118&gt;0,AND(B118=0,C118&gt;0)),Q118,P118)+IF(OR(B118&gt;0,AND(B118=0,C118&gt;0)),1,-1)*$R$1*MIN(D118,$E$1)*E118,PlotData!$CB$4)</f>
        <v>0</v>
      </c>
      <c r="W118" s="881">
        <f>IF(AND(ISNUMBER(System!$C31),ABS(B118)+ABS(C118)&lt;&gt;0),IF(OR(B118&gt;0,AND(B118=0,C118&gt;0)),R118,S118)+IF(OR(B118&gt;0,AND(B118=0,C118&gt;0)),1,-1)*$R$1*MIN(D118,$E$1)*E118,PlotData!$CB$4)</f>
        <v>0</v>
      </c>
      <c r="X118" s="887">
        <f>IF(ISNUMBER(System!$C31),SIGN(System!$AG31),0)</f>
        <v>0</v>
      </c>
      <c r="Y118" s="881">
        <f>IF(ISNUMBER(System!BN149),ABS(System!BN149)/AA118,0)</f>
        <v>0</v>
      </c>
      <c r="Z118" s="881">
        <f>IF(ISNUMBER(System!BO149),ABS(System!BO149)/AA118,0)</f>
        <v>0</v>
      </c>
      <c r="AA118" s="881">
        <f>IF(AND(ABS(System!V31)+ABS(System!W31)&lt;&gt;0,F118=0),MAX(ABS(System!BP149),ABS(System!BQ149)),IF(ABS(System!T31)+ABS(System!U31)+ABS(System!P31)+ABS(System!Q31)&lt;&gt;0,MAX(ABS(System!BN149),ABS(System!BO149)),1))</f>
        <v>1</v>
      </c>
      <c r="AB118" s="881">
        <f t="shared" si="34"/>
        <v>0</v>
      </c>
    </row>
    <row r="119" spans="1:28" x14ac:dyDescent="0.25">
      <c r="A119" s="827">
        <v>29</v>
      </c>
      <c r="B119" s="882">
        <f>IF(AND(ABS(System!W32)+ABS(System!V32)&lt;&gt;0,F119=0),SIGN(System!V32),IF(AND(ABS(System!T32)+ABS(System!U32)&lt;&gt;0,F119=0),0,IF(ISNUMBER(System!$C32),SIGN(System!BN150),0)))</f>
        <v>0</v>
      </c>
      <c r="C119" s="883">
        <f>IF(AND(ABS(System!W32)+ABS(System!V32)&lt;&gt;0,F119=0),SIGN(System!W32),IF(AND(ABS(System!T32)+ABS(System!U32)&lt;&gt;0,F119=0),0,IF(ISNUMBER(System!$C32),SIGN(System!BO150),0)))</f>
        <v>0</v>
      </c>
      <c r="D119" s="883">
        <f>IF(ISNUMBER(System!$C32),System!BG150,0)</f>
        <v>0</v>
      </c>
      <c r="E119" s="883">
        <f>IF(ISNUMBER(System!$C32),System!BJ150,0)</f>
        <v>0</v>
      </c>
      <c r="F119" s="883">
        <f>IF(ISNUMBER(System!$C32),System!BK150,0)</f>
        <v>0</v>
      </c>
      <c r="G119" s="874">
        <f>IF(F33=0,1,IF(OR(System!T32&lt;&gt;0,System!U32 &lt;&gt;0),0,1))</f>
        <v>1</v>
      </c>
      <c r="H119" s="884">
        <f>IF(AND(ISNUMBER(System!$C32),ABS(B119)+ABS(C119)&lt;&gt;0),System!BC150+$J$1*MIN($E$1,D119)*F119 - $H$1*$E$1*E119,PlotData!$CB$3)</f>
        <v>0</v>
      </c>
      <c r="I119" s="885">
        <f>IF(AND(ISNUMBER(System!$C32),ABS(B119)+ABS(C119)&lt;&gt;0),System!BD150-$J$1*MIN($E$1,D119)*F119 - $H$1*$E$1*E119,PlotData!$CB$3)</f>
        <v>0</v>
      </c>
      <c r="J119" s="884">
        <f>IF(AND(ISNUMBER(System!$C32),ABS(B119)+ABS(C119)&lt;&gt;0),I119 -$C119*$E$1*E119*Z119*G119,PlotData!$CB$3)</f>
        <v>0</v>
      </c>
      <c r="K119" s="886">
        <f>IF(AND(ISNUMBER(System!$C32),ABS(B119)+ABS(C119)&lt;&gt;0),H119 - $B119*$E$1*E119*Y119*G119,PlotData!$CB$3)</f>
        <v>0</v>
      </c>
      <c r="L119" s="887">
        <f>IF($AB119&lt;&gt;0,H119+$AF$95*F119,PlotData!$CB$3)</f>
        <v>0</v>
      </c>
      <c r="M119" s="888">
        <f>IF($AB119&lt;&gt;0,I119-$AF$95*F119,PlotData!$CB$3)</f>
        <v>0</v>
      </c>
      <c r="N119" s="887">
        <f>IF(AND(ISNUMBER(System!$C32),ABS(B119)+ABS(C119)&lt;&gt;0),(IF(OR(B119&gt;0,AND(B119=0,C119&gt;0)),I119,H119))-IF(OR(B119&gt;0,AND(B119=0,C119&gt;0)),1,-1)*$R$1*MIN(D119,$E$1)*F119,PlotData!$CB$3)</f>
        <v>0</v>
      </c>
      <c r="O119" s="885">
        <f>IF(AND(ISNUMBER(System!$C32),(ABS(B119)+ABS(C119))&lt;&gt;0),IF(OR(B119&gt;0,AND(B119=0,C119&gt;0)),J119,K119)-IF(OR(B119&gt;0,AND(B119=0,C119&gt;0)),1,-1)*$R$1*MIN(D119,$E$1)*F119,PlotData!$CB$3)</f>
        <v>0</v>
      </c>
      <c r="P119" s="884">
        <f>IF(AND(ISNUMBER(System!$C32),ABS(B119)+ABS(C119)&lt;&gt;0),System!BE150-$J$1*MIN($E$1,D119)*E119 - $H$1*$E$1*F119,PlotData!$CB$4)</f>
        <v>0</v>
      </c>
      <c r="Q119" s="885">
        <f>IF(AND(ISNUMBER(System!$C32),ABS(B119)+ABS(C119)&lt;&gt;0),System!BF150+$J$1*MIN($E$1,D119)*E119 - $H$1*$E$1*F119,PlotData!$CB$4)</f>
        <v>0</v>
      </c>
      <c r="R119" s="884">
        <f>IF(AND(ISNUMBER(System!$C32),ABS(B119)+ABS(C119)&lt;&gt;0),Q119 -  $C119*$E$1*F119*Z119,PlotData!$CB$4)</f>
        <v>0</v>
      </c>
      <c r="S119" s="886">
        <f>IF(AND(ISNUMBER(System!$C32),ABS(B119)+ABS(C119)&lt;&gt;0),P119 -  $B119*$E$1*F119*Y119,PlotData!$CB$4)</f>
        <v>0</v>
      </c>
      <c r="T119" s="881">
        <f>IF($AB119&lt;&gt;0,P119-$AF$95*E119,PlotData!$CB$4)</f>
        <v>0</v>
      </c>
      <c r="U119" s="883">
        <f>IF($AB119&lt;&gt;0,Q119+$AF$95*E119,PlotData!$CB$4)</f>
        <v>0</v>
      </c>
      <c r="V119" s="881">
        <f>IF(AND(ISNUMBER(System!$C32),ABS(B119)+ABS(C119)&lt;&gt;0),IF(OR(B119&gt;0,AND(B119=0,C119&gt;0)),Q119,P119)+IF(OR(B119&gt;0,AND(B119=0,C119&gt;0)),1,-1)*$R$1*MIN(D119,$E$1)*E119,PlotData!$CB$4)</f>
        <v>0</v>
      </c>
      <c r="W119" s="881">
        <f>IF(AND(ISNUMBER(System!$C32),ABS(B119)+ABS(C119)&lt;&gt;0),IF(OR(B119&gt;0,AND(B119=0,C119&gt;0)),R119,S119)+IF(OR(B119&gt;0,AND(B119=0,C119&gt;0)),1,-1)*$R$1*MIN(D119,$E$1)*E119,PlotData!$CB$4)</f>
        <v>0</v>
      </c>
      <c r="X119" s="887">
        <f>IF(ISNUMBER(System!$C32),SIGN(System!$AG32),0)</f>
        <v>0</v>
      </c>
      <c r="Y119" s="881">
        <f>IF(ISNUMBER(System!BN150),ABS(System!BN150)/AA119,0)</f>
        <v>0</v>
      </c>
      <c r="Z119" s="881">
        <f>IF(ISNUMBER(System!BO150),ABS(System!BO150)/AA119,0)</f>
        <v>0</v>
      </c>
      <c r="AA119" s="881">
        <f>IF(AND(ABS(System!V32)+ABS(System!W32)&lt;&gt;0,F119=0),MAX(ABS(System!BP150),ABS(System!BQ150)),IF(ABS(System!T32)+ABS(System!U32)+ABS(System!P32)+ABS(System!Q32)&lt;&gt;0,MAX(ABS(System!BN150),ABS(System!BO150)),1))</f>
        <v>1</v>
      </c>
      <c r="AB119" s="881">
        <f t="shared" si="34"/>
        <v>0</v>
      </c>
    </row>
    <row r="120" spans="1:28" x14ac:dyDescent="0.25">
      <c r="A120" s="827">
        <v>30</v>
      </c>
      <c r="B120" s="882">
        <f>IF(AND(ABS(System!W33)+ABS(System!V33)&lt;&gt;0,F120=0),SIGN(System!V33),IF(AND(ABS(System!T33)+ABS(System!U33)&lt;&gt;0,F120=0),0,IF(ISNUMBER(System!$C33),SIGN(System!BN151),0)))</f>
        <v>0</v>
      </c>
      <c r="C120" s="883">
        <f>IF(AND(ABS(System!W33)+ABS(System!V33)&lt;&gt;0,F120=0),SIGN(System!W33),IF(AND(ABS(System!T33)+ABS(System!U33)&lt;&gt;0,F120=0),0,IF(ISNUMBER(System!$C33),SIGN(System!BO151),0)))</f>
        <v>0</v>
      </c>
      <c r="D120" s="883">
        <f>IF(ISNUMBER(System!$C33),System!BG151,0)</f>
        <v>0</v>
      </c>
      <c r="E120" s="883">
        <f>IF(ISNUMBER(System!$C33),System!BJ151,0)</f>
        <v>0</v>
      </c>
      <c r="F120" s="883">
        <f>IF(ISNUMBER(System!$C33),System!BK151,0)</f>
        <v>0</v>
      </c>
      <c r="G120" s="874">
        <f>IF(F34=0,1,IF(OR(System!T33&lt;&gt;0,System!U33 &lt;&gt;0),0,1))</f>
        <v>1</v>
      </c>
      <c r="H120" s="884">
        <f>IF(AND(ISNUMBER(System!$C33),ABS(B120)+ABS(C120)&lt;&gt;0),System!BC151+$J$1*MIN($E$1,D120)*F120 - $H$1*$E$1*E120,PlotData!$CB$3)</f>
        <v>0</v>
      </c>
      <c r="I120" s="885">
        <f>IF(AND(ISNUMBER(System!$C33),ABS(B120)+ABS(C120)&lt;&gt;0),System!BD151-$J$1*MIN($E$1,D120)*F120 - $H$1*$E$1*E120,PlotData!$CB$3)</f>
        <v>0</v>
      </c>
      <c r="J120" s="884">
        <f>IF(AND(ISNUMBER(System!$C33),ABS(B120)+ABS(C120)&lt;&gt;0),I120 -$C120*$E$1*E120*Z120*G120,PlotData!$CB$3)</f>
        <v>0</v>
      </c>
      <c r="K120" s="886">
        <f>IF(AND(ISNUMBER(System!$C33),ABS(B120)+ABS(C120)&lt;&gt;0),H120 - $B120*$E$1*E120*Y120*G120,PlotData!$CB$3)</f>
        <v>0</v>
      </c>
      <c r="L120" s="887">
        <f>IF($AB120&lt;&gt;0,H120+$AF$95*F120,PlotData!$CB$3)</f>
        <v>0</v>
      </c>
      <c r="M120" s="888">
        <f>IF($AB120&lt;&gt;0,I120-$AF$95*F120,PlotData!$CB$3)</f>
        <v>0</v>
      </c>
      <c r="N120" s="887">
        <f>IF(AND(ISNUMBER(System!$C33),ABS(B120)+ABS(C120)&lt;&gt;0),(IF(OR(B120&gt;0,AND(B120=0,C120&gt;0)),I120,H120))-IF(OR(B120&gt;0,AND(B120=0,C120&gt;0)),1,-1)*$R$1*MIN(D120,$E$1)*F120,PlotData!$CB$3)</f>
        <v>0</v>
      </c>
      <c r="O120" s="885">
        <f>IF(AND(ISNUMBER(System!$C33),(ABS(B120)+ABS(C120))&lt;&gt;0),IF(OR(B120&gt;0,AND(B120=0,C120&gt;0)),J120,K120)-IF(OR(B120&gt;0,AND(B120=0,C120&gt;0)),1,-1)*$R$1*MIN(D120,$E$1)*F120,PlotData!$CB$3)</f>
        <v>0</v>
      </c>
      <c r="P120" s="884">
        <f>IF(AND(ISNUMBER(System!$C33),ABS(B120)+ABS(C120)&lt;&gt;0),System!BE151-$J$1*MIN($E$1,D120)*E120 - $H$1*$E$1*F120,PlotData!$CB$4)</f>
        <v>0</v>
      </c>
      <c r="Q120" s="885">
        <f>IF(AND(ISNUMBER(System!$C33),ABS(B120)+ABS(C120)&lt;&gt;0),System!BF151+$J$1*MIN($E$1,D120)*E120 - $H$1*$E$1*F120,PlotData!$CB$4)</f>
        <v>0</v>
      </c>
      <c r="R120" s="884">
        <f>IF(AND(ISNUMBER(System!$C33),ABS(B120)+ABS(C120)&lt;&gt;0),Q120 -  $C120*$E$1*F120*Z120,PlotData!$CB$4)</f>
        <v>0</v>
      </c>
      <c r="S120" s="886">
        <f>IF(AND(ISNUMBER(System!$C33),ABS(B120)+ABS(C120)&lt;&gt;0),P120 -  $B120*$E$1*F120*Y120,PlotData!$CB$4)</f>
        <v>0</v>
      </c>
      <c r="T120" s="881">
        <f>IF($AB120&lt;&gt;0,P120-$AF$95*E120,PlotData!$CB$4)</f>
        <v>0</v>
      </c>
      <c r="U120" s="883">
        <f>IF($AB120&lt;&gt;0,Q120+$AF$95*E120,PlotData!$CB$4)</f>
        <v>0</v>
      </c>
      <c r="V120" s="881">
        <f>IF(AND(ISNUMBER(System!$C33),ABS(B120)+ABS(C120)&lt;&gt;0),IF(OR(B120&gt;0,AND(B120=0,C120&gt;0)),Q120,P120)+IF(OR(B120&gt;0,AND(B120=0,C120&gt;0)),1,-1)*$R$1*MIN(D120,$E$1)*E120,PlotData!$CB$4)</f>
        <v>0</v>
      </c>
      <c r="W120" s="881">
        <f>IF(AND(ISNUMBER(System!$C33),ABS(B120)+ABS(C120)&lt;&gt;0),IF(OR(B120&gt;0,AND(B120=0,C120&gt;0)),R120,S120)+IF(OR(B120&gt;0,AND(B120=0,C120&gt;0)),1,-1)*$R$1*MIN(D120,$E$1)*E120,PlotData!$CB$4)</f>
        <v>0</v>
      </c>
      <c r="X120" s="887">
        <f>IF(ISNUMBER(System!$C33),SIGN(System!$AG33),0)</f>
        <v>0</v>
      </c>
      <c r="Y120" s="881">
        <f>IF(ISNUMBER(System!BN151),ABS(System!BN151)/AA120,0)</f>
        <v>0</v>
      </c>
      <c r="Z120" s="881">
        <f>IF(ISNUMBER(System!BO151),ABS(System!BO151)/AA120,0)</f>
        <v>0</v>
      </c>
      <c r="AA120" s="881">
        <f>IF(AND(ABS(System!V33)+ABS(System!W33)&lt;&gt;0,F120=0),MAX(ABS(System!BP151),ABS(System!BQ151)),IF(ABS(System!T33)+ABS(System!U33)+ABS(System!P33)+ABS(System!Q33)&lt;&gt;0,MAX(ABS(System!BN151),ABS(System!BO151)),1))</f>
        <v>1</v>
      </c>
      <c r="AB120" s="881">
        <f t="shared" si="34"/>
        <v>0</v>
      </c>
    </row>
    <row r="121" spans="1:28" x14ac:dyDescent="0.25">
      <c r="A121" s="827">
        <v>31</v>
      </c>
      <c r="B121" s="882">
        <f>IF(AND(ABS(System!W34)+ABS(System!V34)&lt;&gt;0,F121=0),SIGN(System!V34),IF(AND(ABS(System!T34)+ABS(System!U34)&lt;&gt;0,F121=0),0,IF(ISNUMBER(System!$C34),SIGN(System!BN152),0)))</f>
        <v>0</v>
      </c>
      <c r="C121" s="883">
        <f>IF(AND(ABS(System!W34)+ABS(System!V34)&lt;&gt;0,F121=0),SIGN(System!W34),IF(AND(ABS(System!T34)+ABS(System!U34)&lt;&gt;0,F121=0),0,IF(ISNUMBER(System!$C34),SIGN(System!BO152),0)))</f>
        <v>0</v>
      </c>
      <c r="D121" s="883">
        <f>IF(ISNUMBER(System!$C34),System!BG152,0)</f>
        <v>0</v>
      </c>
      <c r="E121" s="883">
        <f>IF(ISNUMBER(System!$C34),System!BJ152,0)</f>
        <v>0</v>
      </c>
      <c r="F121" s="883">
        <f>IF(ISNUMBER(System!$C34),System!BK152,0)</f>
        <v>0</v>
      </c>
      <c r="G121" s="874">
        <f>IF(F35=0,1,IF(OR(System!T34&lt;&gt;0,System!U34 &lt;&gt;0),0,1))</f>
        <v>1</v>
      </c>
      <c r="H121" s="884">
        <f>IF(AND(ISNUMBER(System!$C34),ABS(B121)+ABS(C121)&lt;&gt;0),System!BC152+$J$1*MIN($E$1,D121)*F121 - $H$1*$E$1*E121,PlotData!$CB$3)</f>
        <v>0</v>
      </c>
      <c r="I121" s="885">
        <f>IF(AND(ISNUMBER(System!$C34),ABS(B121)+ABS(C121)&lt;&gt;0),System!BD152-$J$1*MIN($E$1,D121)*F121 - $H$1*$E$1*E121,PlotData!$CB$3)</f>
        <v>0</v>
      </c>
      <c r="J121" s="884">
        <f>IF(AND(ISNUMBER(System!$C34),ABS(B121)+ABS(C121)&lt;&gt;0),I121 -$C121*$E$1*E121*Z121*G121,PlotData!$CB$3)</f>
        <v>0</v>
      </c>
      <c r="K121" s="886">
        <f>IF(AND(ISNUMBER(System!$C34),ABS(B121)+ABS(C121)&lt;&gt;0),H121 - $B121*$E$1*E121*Y121*G121,PlotData!$CB$3)</f>
        <v>0</v>
      </c>
      <c r="L121" s="887">
        <f>IF($AB121&lt;&gt;0,H121+$AF$95*F121,PlotData!$CB$3)</f>
        <v>0</v>
      </c>
      <c r="M121" s="888">
        <f>IF($AB121&lt;&gt;0,I121-$AF$95*F121,PlotData!$CB$3)</f>
        <v>0</v>
      </c>
      <c r="N121" s="887">
        <f>IF(AND(ISNUMBER(System!$C34),ABS(B121)+ABS(C121)&lt;&gt;0),(IF(OR(B121&gt;0,AND(B121=0,C121&gt;0)),I121,H121))-IF(OR(B121&gt;0,AND(B121=0,C121&gt;0)),1,-1)*$R$1*MIN(D121,$E$1)*F121,PlotData!$CB$3)</f>
        <v>0</v>
      </c>
      <c r="O121" s="885">
        <f>IF(AND(ISNUMBER(System!$C34),(ABS(B121)+ABS(C121))&lt;&gt;0),IF(OR(B121&gt;0,AND(B121=0,C121&gt;0)),J121,K121)-IF(OR(B121&gt;0,AND(B121=0,C121&gt;0)),1,-1)*$R$1*MIN(D121,$E$1)*F121,PlotData!$CB$3)</f>
        <v>0</v>
      </c>
      <c r="P121" s="884">
        <f>IF(AND(ISNUMBER(System!$C34),ABS(B121)+ABS(C121)&lt;&gt;0),System!BE152-$J$1*MIN($E$1,D121)*E121 - $H$1*$E$1*F121,PlotData!$CB$4)</f>
        <v>0</v>
      </c>
      <c r="Q121" s="885">
        <f>IF(AND(ISNUMBER(System!$C34),ABS(B121)+ABS(C121)&lt;&gt;0),System!BF152+$J$1*MIN($E$1,D121)*E121 - $H$1*$E$1*F121,PlotData!$CB$4)</f>
        <v>0</v>
      </c>
      <c r="R121" s="884">
        <f>IF(AND(ISNUMBER(System!$C34),ABS(B121)+ABS(C121)&lt;&gt;0),Q121 -  $C121*$E$1*F121*Z121,PlotData!$CB$4)</f>
        <v>0</v>
      </c>
      <c r="S121" s="886">
        <f>IF(AND(ISNUMBER(System!$C34),ABS(B121)+ABS(C121)&lt;&gt;0),P121 -  $B121*$E$1*F121*Y121,PlotData!$CB$4)</f>
        <v>0</v>
      </c>
      <c r="T121" s="881">
        <f>IF($AB121&lt;&gt;0,P121-$AF$95*E121,PlotData!$CB$4)</f>
        <v>0</v>
      </c>
      <c r="U121" s="883">
        <f>IF($AB121&lt;&gt;0,Q121+$AF$95*E121,PlotData!$CB$4)</f>
        <v>0</v>
      </c>
      <c r="V121" s="881">
        <f>IF(AND(ISNUMBER(System!$C34),ABS(B121)+ABS(C121)&lt;&gt;0),IF(OR(B121&gt;0,AND(B121=0,C121&gt;0)),Q121,P121)+IF(OR(B121&gt;0,AND(B121=0,C121&gt;0)),1,-1)*$R$1*MIN(D121,$E$1)*E121,PlotData!$CB$4)</f>
        <v>0</v>
      </c>
      <c r="W121" s="881">
        <f>IF(AND(ISNUMBER(System!$C34),ABS(B121)+ABS(C121)&lt;&gt;0),IF(OR(B121&gt;0,AND(B121=0,C121&gt;0)),R121,S121)+IF(OR(B121&gt;0,AND(B121=0,C121&gt;0)),1,-1)*$R$1*MIN(D121,$E$1)*E121,PlotData!$CB$4)</f>
        <v>0</v>
      </c>
      <c r="X121" s="887">
        <f>IF(ISNUMBER(System!$C34),SIGN(System!$AG34),0)</f>
        <v>0</v>
      </c>
      <c r="Y121" s="881">
        <f>IF(ISNUMBER(System!BN152),ABS(System!BN152)/AA121,0)</f>
        <v>0</v>
      </c>
      <c r="Z121" s="881">
        <f>IF(ISNUMBER(System!BO152),ABS(System!BO152)/AA121,0)</f>
        <v>0</v>
      </c>
      <c r="AA121" s="881">
        <f>IF(AND(ABS(System!V34)+ABS(System!W34)&lt;&gt;0,F121=0),MAX(ABS(System!BP152),ABS(System!BQ152)),IF(ABS(System!T34)+ABS(System!U34)+ABS(System!P34)+ABS(System!Q34)&lt;&gt;0,MAX(ABS(System!BN152),ABS(System!BO152)),1))</f>
        <v>1</v>
      </c>
      <c r="AB121" s="881">
        <f t="shared" si="34"/>
        <v>0</v>
      </c>
    </row>
    <row r="122" spans="1:28" x14ac:dyDescent="0.25">
      <c r="A122" s="827">
        <v>32</v>
      </c>
      <c r="B122" s="882">
        <f>IF(AND(ABS(System!W35)+ABS(System!V35)&lt;&gt;0,F122=0),SIGN(System!V35),IF(AND(ABS(System!T35)+ABS(System!U35)&lt;&gt;0,F122=0),0,IF(ISNUMBER(System!$C35),SIGN(System!BN153),0)))</f>
        <v>0</v>
      </c>
      <c r="C122" s="883">
        <f>IF(AND(ABS(System!W35)+ABS(System!V35)&lt;&gt;0,F122=0),SIGN(System!W35),IF(AND(ABS(System!T35)+ABS(System!U35)&lt;&gt;0,F122=0),0,IF(ISNUMBER(System!$C35),SIGN(System!BO153),0)))</f>
        <v>0</v>
      </c>
      <c r="D122" s="883">
        <f>IF(ISNUMBER(System!$C35),System!BG153,0)</f>
        <v>0</v>
      </c>
      <c r="E122" s="883">
        <f>IF(ISNUMBER(System!$C35),System!BJ153,0)</f>
        <v>0</v>
      </c>
      <c r="F122" s="883">
        <f>IF(ISNUMBER(System!$C35),System!BK153,0)</f>
        <v>0</v>
      </c>
      <c r="G122" s="874">
        <f>IF(F36=0,1,IF(OR(System!T35&lt;&gt;0,System!U35 &lt;&gt;0),0,1))</f>
        <v>1</v>
      </c>
      <c r="H122" s="884">
        <f>IF(AND(ISNUMBER(System!$C35),ABS(B122)+ABS(C122)&lt;&gt;0),System!BC153+$J$1*MIN($E$1,D122)*F122 - $H$1*$E$1*E122,PlotData!$CB$3)</f>
        <v>0</v>
      </c>
      <c r="I122" s="885">
        <f>IF(AND(ISNUMBER(System!$C35),ABS(B122)+ABS(C122)&lt;&gt;0),System!BD153-$J$1*MIN($E$1,D122)*F122 - $H$1*$E$1*E122,PlotData!$CB$3)</f>
        <v>0</v>
      </c>
      <c r="J122" s="884">
        <f>IF(AND(ISNUMBER(System!$C35),ABS(B122)+ABS(C122)&lt;&gt;0),I122 -$C122*$E$1*E122*Z122*G122,PlotData!$CB$3)</f>
        <v>0</v>
      </c>
      <c r="K122" s="886">
        <f>IF(AND(ISNUMBER(System!$C35),ABS(B122)+ABS(C122)&lt;&gt;0),H122 - $B122*$E$1*E122*Y122*G122,PlotData!$CB$3)</f>
        <v>0</v>
      </c>
      <c r="L122" s="887">
        <f>IF($AB122&lt;&gt;0,H122+$AF$95*F122,PlotData!$CB$3)</f>
        <v>0</v>
      </c>
      <c r="M122" s="888">
        <f>IF($AB122&lt;&gt;0,I122-$AF$95*F122,PlotData!$CB$3)</f>
        <v>0</v>
      </c>
      <c r="N122" s="887">
        <f>IF(AND(ISNUMBER(System!$C35),ABS(B122)+ABS(C122)&lt;&gt;0),(IF(OR(B122&gt;0,AND(B122=0,C122&gt;0)),I122,H122))-IF(OR(B122&gt;0,AND(B122=0,C122&gt;0)),1,-1)*$R$1*MIN(D122,$E$1)*F122,PlotData!$CB$3)</f>
        <v>0</v>
      </c>
      <c r="O122" s="885">
        <f>IF(AND(ISNUMBER(System!$C35),(ABS(B122)+ABS(C122))&lt;&gt;0),IF(OR(B122&gt;0,AND(B122=0,C122&gt;0)),J122,K122)-IF(OR(B122&gt;0,AND(B122=0,C122&gt;0)),1,-1)*$R$1*MIN(D122,$E$1)*F122,PlotData!$CB$3)</f>
        <v>0</v>
      </c>
      <c r="P122" s="884">
        <f>IF(AND(ISNUMBER(System!$C35),ABS(B122)+ABS(C122)&lt;&gt;0),System!BE153-$J$1*MIN($E$1,D122)*E122 - $H$1*$E$1*F122,PlotData!$CB$4)</f>
        <v>0</v>
      </c>
      <c r="Q122" s="885">
        <f>IF(AND(ISNUMBER(System!$C35),ABS(B122)+ABS(C122)&lt;&gt;0),System!BF153+$J$1*MIN($E$1,D122)*E122 - $H$1*$E$1*F122,PlotData!$CB$4)</f>
        <v>0</v>
      </c>
      <c r="R122" s="884">
        <f>IF(AND(ISNUMBER(System!$C35),ABS(B122)+ABS(C122)&lt;&gt;0),Q122 -  $C122*$E$1*F122*Z122,PlotData!$CB$4)</f>
        <v>0</v>
      </c>
      <c r="S122" s="886">
        <f>IF(AND(ISNUMBER(System!$C35),ABS(B122)+ABS(C122)&lt;&gt;0),P122 -  $B122*$E$1*F122*Y122,PlotData!$CB$4)</f>
        <v>0</v>
      </c>
      <c r="T122" s="881">
        <f>IF($AB122&lt;&gt;0,P122-$AF$95*E122,PlotData!$CB$4)</f>
        <v>0</v>
      </c>
      <c r="U122" s="883">
        <f>IF($AB122&lt;&gt;0,Q122+$AF$95*E122,PlotData!$CB$4)</f>
        <v>0</v>
      </c>
      <c r="V122" s="881">
        <f>IF(AND(ISNUMBER(System!$C35),ABS(B122)+ABS(C122)&lt;&gt;0),IF(OR(B122&gt;0,AND(B122=0,C122&gt;0)),Q122,P122)+IF(OR(B122&gt;0,AND(B122=0,C122&gt;0)),1,-1)*$R$1*MIN(D122,$E$1)*E122,PlotData!$CB$4)</f>
        <v>0</v>
      </c>
      <c r="W122" s="881">
        <f>IF(AND(ISNUMBER(System!$C35),ABS(B122)+ABS(C122)&lt;&gt;0),IF(OR(B122&gt;0,AND(B122=0,C122&gt;0)),R122,S122)+IF(OR(B122&gt;0,AND(B122=0,C122&gt;0)),1,-1)*$R$1*MIN(D122,$E$1)*E122,PlotData!$CB$4)</f>
        <v>0</v>
      </c>
      <c r="X122" s="887">
        <f>IF(ISNUMBER(System!$C35),SIGN(System!$AG35),0)</f>
        <v>0</v>
      </c>
      <c r="Y122" s="881">
        <f>IF(ISNUMBER(System!BN153),ABS(System!BN153)/AA122,0)</f>
        <v>0</v>
      </c>
      <c r="Z122" s="881">
        <f>IF(ISNUMBER(System!BO153),ABS(System!BO153)/AA122,0)</f>
        <v>0</v>
      </c>
      <c r="AA122" s="881">
        <f>IF(AND(ABS(System!V35)+ABS(System!W35)&lt;&gt;0,F122=0),MAX(ABS(System!BP153),ABS(System!BQ153)),IF(ABS(System!T35)+ABS(System!U35)+ABS(System!P35)+ABS(System!Q35)&lt;&gt;0,MAX(ABS(System!BN153),ABS(System!BO153)),1))</f>
        <v>1</v>
      </c>
      <c r="AB122" s="881">
        <f t="shared" si="34"/>
        <v>0</v>
      </c>
    </row>
    <row r="123" spans="1:28" x14ac:dyDescent="0.25">
      <c r="A123" s="827">
        <v>33</v>
      </c>
      <c r="B123" s="882">
        <f>IF(AND(ABS(System!W36)+ABS(System!V36)&lt;&gt;0,F123=0),SIGN(System!V36),IF(AND(ABS(System!T36)+ABS(System!U36)&lt;&gt;0,F123=0),0,IF(ISNUMBER(System!$C36),SIGN(System!BN154),0)))</f>
        <v>0</v>
      </c>
      <c r="C123" s="883">
        <f>IF(AND(ABS(System!W36)+ABS(System!V36)&lt;&gt;0,F123=0),SIGN(System!W36),IF(AND(ABS(System!T36)+ABS(System!U36)&lt;&gt;0,F123=0),0,IF(ISNUMBER(System!$C36),SIGN(System!BO154),0)))</f>
        <v>0</v>
      </c>
      <c r="D123" s="883">
        <f>IF(ISNUMBER(System!$C36),System!BG154,0)</f>
        <v>0</v>
      </c>
      <c r="E123" s="883">
        <f>IF(ISNUMBER(System!$C36),System!BJ154,0)</f>
        <v>0</v>
      </c>
      <c r="F123" s="883">
        <f>IF(ISNUMBER(System!$C36),System!BK154,0)</f>
        <v>0</v>
      </c>
      <c r="G123" s="874">
        <f>IF(F37=0,1,IF(OR(System!T36&lt;&gt;0,System!U36 &lt;&gt;0),0,1))</f>
        <v>1</v>
      </c>
      <c r="H123" s="884">
        <f>IF(AND(ISNUMBER(System!$C36),ABS(B123)+ABS(C123)&lt;&gt;0),System!BC154+$J$1*MIN($E$1,D123)*F123 - $H$1*$E$1*E123,PlotData!$CB$3)</f>
        <v>0</v>
      </c>
      <c r="I123" s="885">
        <f>IF(AND(ISNUMBER(System!$C36),ABS(B123)+ABS(C123)&lt;&gt;0),System!BD154-$J$1*MIN($E$1,D123)*F123 - $H$1*$E$1*E123,PlotData!$CB$3)</f>
        <v>0</v>
      </c>
      <c r="J123" s="884">
        <f>IF(AND(ISNUMBER(System!$C36),ABS(B123)+ABS(C123)&lt;&gt;0),I123 -$C123*$E$1*E123*Z123*G123,PlotData!$CB$3)</f>
        <v>0</v>
      </c>
      <c r="K123" s="886">
        <f>IF(AND(ISNUMBER(System!$C36),ABS(B123)+ABS(C123)&lt;&gt;0),H123 - $B123*$E$1*E123*Y123*G123,PlotData!$CB$3)</f>
        <v>0</v>
      </c>
      <c r="L123" s="887">
        <f>IF($AB123&lt;&gt;0,H123+$AF$95*F123,PlotData!$CB$3)</f>
        <v>0</v>
      </c>
      <c r="M123" s="888">
        <f>IF($AB123&lt;&gt;0,I123-$AF$95*F123,PlotData!$CB$3)</f>
        <v>0</v>
      </c>
      <c r="N123" s="887">
        <f>IF(AND(ISNUMBER(System!$C36),ABS(B123)+ABS(C123)&lt;&gt;0),(IF(OR(B123&gt;0,AND(B123=0,C123&gt;0)),I123,H123))-IF(OR(B123&gt;0,AND(B123=0,C123&gt;0)),1,-1)*$R$1*MIN(D123,$E$1)*F123,PlotData!$CB$3)</f>
        <v>0</v>
      </c>
      <c r="O123" s="885">
        <f>IF(AND(ISNUMBER(System!$C36),(ABS(B123)+ABS(C123))&lt;&gt;0),IF(OR(B123&gt;0,AND(B123=0,C123&gt;0)),J123,K123)-IF(OR(B123&gt;0,AND(B123=0,C123&gt;0)),1,-1)*$R$1*MIN(D123,$E$1)*F123,PlotData!$CB$3)</f>
        <v>0</v>
      </c>
      <c r="P123" s="884">
        <f>IF(AND(ISNUMBER(System!$C36),ABS(B123)+ABS(C123)&lt;&gt;0),System!BE154-$J$1*MIN($E$1,D123)*E123 - $H$1*$E$1*F123,PlotData!$CB$4)</f>
        <v>0</v>
      </c>
      <c r="Q123" s="885">
        <f>IF(AND(ISNUMBER(System!$C36),ABS(B123)+ABS(C123)&lt;&gt;0),System!BF154+$J$1*MIN($E$1,D123)*E123 - $H$1*$E$1*F123,PlotData!$CB$4)</f>
        <v>0</v>
      </c>
      <c r="R123" s="884">
        <f>IF(AND(ISNUMBER(System!$C36),ABS(B123)+ABS(C123)&lt;&gt;0),Q123 -  $C123*$E$1*F123*Z123,PlotData!$CB$4)</f>
        <v>0</v>
      </c>
      <c r="S123" s="886">
        <f>IF(AND(ISNUMBER(System!$C36),ABS(B123)+ABS(C123)&lt;&gt;0),P123 -  $B123*$E$1*F123*Y123,PlotData!$CB$4)</f>
        <v>0</v>
      </c>
      <c r="T123" s="881">
        <f>IF($AB123&lt;&gt;0,P123-$AF$95*E123,PlotData!$CB$4)</f>
        <v>0</v>
      </c>
      <c r="U123" s="883">
        <f>IF($AB123&lt;&gt;0,Q123+$AF$95*E123,PlotData!$CB$4)</f>
        <v>0</v>
      </c>
      <c r="V123" s="881">
        <f>IF(AND(ISNUMBER(System!$C36),ABS(B123)+ABS(C123)&lt;&gt;0),IF(OR(B123&gt;0,AND(B123=0,C123&gt;0)),Q123,P123)+IF(OR(B123&gt;0,AND(B123=0,C123&gt;0)),1,-1)*$R$1*MIN(D123,$E$1)*E123,PlotData!$CB$4)</f>
        <v>0</v>
      </c>
      <c r="W123" s="881">
        <f>IF(AND(ISNUMBER(System!$C36),ABS(B123)+ABS(C123)&lt;&gt;0),IF(OR(B123&gt;0,AND(B123=0,C123&gt;0)),R123,S123)+IF(OR(B123&gt;0,AND(B123=0,C123&gt;0)),1,-1)*$R$1*MIN(D123,$E$1)*E123,PlotData!$CB$4)</f>
        <v>0</v>
      </c>
      <c r="X123" s="887">
        <f>IF(ISNUMBER(System!$C36),SIGN(System!$AG36),0)</f>
        <v>0</v>
      </c>
      <c r="Y123" s="881">
        <f>IF(ISNUMBER(System!BN154),ABS(System!BN154)/AA123,0)</f>
        <v>0</v>
      </c>
      <c r="Z123" s="881">
        <f>IF(ISNUMBER(System!BO154),ABS(System!BO154)/AA123,0)</f>
        <v>0</v>
      </c>
      <c r="AA123" s="881">
        <f>IF(AND(ABS(System!V36)+ABS(System!W36)&lt;&gt;0,F123=0),MAX(ABS(System!BP154),ABS(System!BQ154)),IF(ABS(System!T36)+ABS(System!U36)+ABS(System!P36)+ABS(System!Q36)&lt;&gt;0,MAX(ABS(System!BN154),ABS(System!BO154)),1))</f>
        <v>1</v>
      </c>
      <c r="AB123" s="881">
        <f t="shared" si="34"/>
        <v>0</v>
      </c>
    </row>
    <row r="124" spans="1:28" x14ac:dyDescent="0.25">
      <c r="A124" s="827">
        <v>34</v>
      </c>
      <c r="B124" s="882">
        <f>IF(AND(ABS(System!W37)+ABS(System!V37)&lt;&gt;0,F124=0),SIGN(System!V37),IF(AND(ABS(System!T37)+ABS(System!U37)&lt;&gt;0,F124=0),0,IF(ISNUMBER(System!$C37),SIGN(System!BN155),0)))</f>
        <v>0</v>
      </c>
      <c r="C124" s="883">
        <f>IF(AND(ABS(System!W37)+ABS(System!V37)&lt;&gt;0,F124=0),SIGN(System!W37),IF(AND(ABS(System!T37)+ABS(System!U37)&lt;&gt;0,F124=0),0,IF(ISNUMBER(System!$C37),SIGN(System!BO155),0)))</f>
        <v>0</v>
      </c>
      <c r="D124" s="883">
        <f>IF(ISNUMBER(System!$C37),System!BG155,0)</f>
        <v>0</v>
      </c>
      <c r="E124" s="883">
        <f>IF(ISNUMBER(System!$C37),System!BJ155,0)</f>
        <v>0</v>
      </c>
      <c r="F124" s="883">
        <f>IF(ISNUMBER(System!$C37),System!BK155,0)</f>
        <v>0</v>
      </c>
      <c r="G124" s="874">
        <f>IF(F38=0,1,IF(OR(System!T37&lt;&gt;0,System!U37 &lt;&gt;0),0,1))</f>
        <v>1</v>
      </c>
      <c r="H124" s="884">
        <f>IF(AND(ISNUMBER(System!$C37),ABS(B124)+ABS(C124)&lt;&gt;0),System!BC155+$J$1*MIN($E$1,D124)*F124 - $H$1*$E$1*E124,PlotData!$CB$3)</f>
        <v>0</v>
      </c>
      <c r="I124" s="885">
        <f>IF(AND(ISNUMBER(System!$C37),ABS(B124)+ABS(C124)&lt;&gt;0),System!BD155-$J$1*MIN($E$1,D124)*F124 - $H$1*$E$1*E124,PlotData!$CB$3)</f>
        <v>0</v>
      </c>
      <c r="J124" s="884">
        <f>IF(AND(ISNUMBER(System!$C37),ABS(B124)+ABS(C124)&lt;&gt;0),I124 -$C124*$E$1*E124*Z124*G124,PlotData!$CB$3)</f>
        <v>0</v>
      </c>
      <c r="K124" s="886">
        <f>IF(AND(ISNUMBER(System!$C37),ABS(B124)+ABS(C124)&lt;&gt;0),H124 - $B124*$E$1*E124*Y124*G124,PlotData!$CB$3)</f>
        <v>0</v>
      </c>
      <c r="L124" s="887">
        <f>IF($AB124&lt;&gt;0,H124+$AF$95*F124,PlotData!$CB$3)</f>
        <v>0</v>
      </c>
      <c r="M124" s="888">
        <f>IF($AB124&lt;&gt;0,I124-$AF$95*F124,PlotData!$CB$3)</f>
        <v>0</v>
      </c>
      <c r="N124" s="887">
        <f>IF(AND(ISNUMBER(System!$C37),ABS(B124)+ABS(C124)&lt;&gt;0),(IF(OR(B124&gt;0,AND(B124=0,C124&gt;0)),I124,H124))-IF(OR(B124&gt;0,AND(B124=0,C124&gt;0)),1,-1)*$R$1*MIN(D124,$E$1)*F124,PlotData!$CB$3)</f>
        <v>0</v>
      </c>
      <c r="O124" s="885">
        <f>IF(AND(ISNUMBER(System!$C37),(ABS(B124)+ABS(C124))&lt;&gt;0),IF(OR(B124&gt;0,AND(B124=0,C124&gt;0)),J124,K124)-IF(OR(B124&gt;0,AND(B124=0,C124&gt;0)),1,-1)*$R$1*MIN(D124,$E$1)*F124,PlotData!$CB$3)</f>
        <v>0</v>
      </c>
      <c r="P124" s="884">
        <f>IF(AND(ISNUMBER(System!$C37),ABS(B124)+ABS(C124)&lt;&gt;0),System!BE155-$J$1*MIN($E$1,D124)*E124 - $H$1*$E$1*F124,PlotData!$CB$4)</f>
        <v>0</v>
      </c>
      <c r="Q124" s="885">
        <f>IF(AND(ISNUMBER(System!$C37),ABS(B124)+ABS(C124)&lt;&gt;0),System!BF155+$J$1*MIN($E$1,D124)*E124 - $H$1*$E$1*F124,PlotData!$CB$4)</f>
        <v>0</v>
      </c>
      <c r="R124" s="884">
        <f>IF(AND(ISNUMBER(System!$C37),ABS(B124)+ABS(C124)&lt;&gt;0),Q124 -  $C124*$E$1*F124*Z124,PlotData!$CB$4)</f>
        <v>0</v>
      </c>
      <c r="S124" s="886">
        <f>IF(AND(ISNUMBER(System!$C37),ABS(B124)+ABS(C124)&lt;&gt;0),P124 -  $B124*$E$1*F124*Y124,PlotData!$CB$4)</f>
        <v>0</v>
      </c>
      <c r="T124" s="881">
        <f>IF($AB124&lt;&gt;0,P124-$AF$95*E124,PlotData!$CB$4)</f>
        <v>0</v>
      </c>
      <c r="U124" s="883">
        <f>IF($AB124&lt;&gt;0,Q124+$AF$95*E124,PlotData!$CB$4)</f>
        <v>0</v>
      </c>
      <c r="V124" s="881">
        <f>IF(AND(ISNUMBER(System!$C37),ABS(B124)+ABS(C124)&lt;&gt;0),IF(OR(B124&gt;0,AND(B124=0,C124&gt;0)),Q124,P124)+IF(OR(B124&gt;0,AND(B124=0,C124&gt;0)),1,-1)*$R$1*MIN(D124,$E$1)*E124,PlotData!$CB$4)</f>
        <v>0</v>
      </c>
      <c r="W124" s="881">
        <f>IF(AND(ISNUMBER(System!$C37),ABS(B124)+ABS(C124)&lt;&gt;0),IF(OR(B124&gt;0,AND(B124=0,C124&gt;0)),R124,S124)+IF(OR(B124&gt;0,AND(B124=0,C124&gt;0)),1,-1)*$R$1*MIN(D124,$E$1)*E124,PlotData!$CB$4)</f>
        <v>0</v>
      </c>
      <c r="X124" s="887">
        <f>IF(ISNUMBER(System!$C37),SIGN(System!$AG37),0)</f>
        <v>0</v>
      </c>
      <c r="Y124" s="881">
        <f>IF(ISNUMBER(System!BN155),ABS(System!BN155)/AA124,0)</f>
        <v>0</v>
      </c>
      <c r="Z124" s="881">
        <f>IF(ISNUMBER(System!BO155),ABS(System!BO155)/AA124,0)</f>
        <v>0</v>
      </c>
      <c r="AA124" s="881">
        <f>IF(AND(ABS(System!V37)+ABS(System!W37)&lt;&gt;0,F124=0),MAX(ABS(System!BP155),ABS(System!BQ155)),IF(ABS(System!T37)+ABS(System!U37)+ABS(System!P37)+ABS(System!Q37)&lt;&gt;0,MAX(ABS(System!BN155),ABS(System!BO155)),1))</f>
        <v>1</v>
      </c>
      <c r="AB124" s="881">
        <f t="shared" si="34"/>
        <v>0</v>
      </c>
    </row>
    <row r="125" spans="1:28" x14ac:dyDescent="0.25">
      <c r="A125" s="827">
        <v>35</v>
      </c>
      <c r="B125" s="882">
        <f>IF(AND(ABS(System!W38)+ABS(System!V38)&lt;&gt;0,F125=0),SIGN(System!V38),IF(AND(ABS(System!T38)+ABS(System!U38)&lt;&gt;0,F125=0),0,IF(ISNUMBER(System!$C38),SIGN(System!BN156),0)))</f>
        <v>0</v>
      </c>
      <c r="C125" s="883">
        <f>IF(AND(ABS(System!W38)+ABS(System!V38)&lt;&gt;0,F125=0),SIGN(System!W38),IF(AND(ABS(System!T38)+ABS(System!U38)&lt;&gt;0,F125=0),0,IF(ISNUMBER(System!$C38),SIGN(System!BO156),0)))</f>
        <v>0</v>
      </c>
      <c r="D125" s="883">
        <f>IF(ISNUMBER(System!$C38),System!BG156,0)</f>
        <v>0</v>
      </c>
      <c r="E125" s="883">
        <f>IF(ISNUMBER(System!$C38),System!BJ156,0)</f>
        <v>0</v>
      </c>
      <c r="F125" s="883">
        <f>IF(ISNUMBER(System!$C38),System!BK156,0)</f>
        <v>0</v>
      </c>
      <c r="G125" s="874">
        <f>IF(F39=0,1,IF(OR(System!T38&lt;&gt;0,System!U38 &lt;&gt;0),0,1))</f>
        <v>1</v>
      </c>
      <c r="H125" s="884">
        <f>IF(AND(ISNUMBER(System!$C38),ABS(B125)+ABS(C125)&lt;&gt;0),System!BC156+$J$1*MIN($E$1,D125)*F125 - $H$1*$E$1*E125,PlotData!$CB$3)</f>
        <v>0</v>
      </c>
      <c r="I125" s="885">
        <f>IF(AND(ISNUMBER(System!$C38),ABS(B125)+ABS(C125)&lt;&gt;0),System!BD156-$J$1*MIN($E$1,D125)*F125 - $H$1*$E$1*E125,PlotData!$CB$3)</f>
        <v>0</v>
      </c>
      <c r="J125" s="884">
        <f>IF(AND(ISNUMBER(System!$C38),ABS(B125)+ABS(C125)&lt;&gt;0),I125 -$C125*$E$1*E125*Z125*G125,PlotData!$CB$3)</f>
        <v>0</v>
      </c>
      <c r="K125" s="886">
        <f>IF(AND(ISNUMBER(System!$C38),ABS(B125)+ABS(C125)&lt;&gt;0),H125 - $B125*$E$1*E125*Y125*G125,PlotData!$CB$3)</f>
        <v>0</v>
      </c>
      <c r="L125" s="887">
        <f>IF($AB125&lt;&gt;0,H125+$AF$95*F125,PlotData!$CB$3)</f>
        <v>0</v>
      </c>
      <c r="M125" s="888">
        <f>IF($AB125&lt;&gt;0,I125-$AF$95*F125,PlotData!$CB$3)</f>
        <v>0</v>
      </c>
      <c r="N125" s="887">
        <f>IF(AND(ISNUMBER(System!$C38),ABS(B125)+ABS(C125)&lt;&gt;0),(IF(OR(B125&gt;0,AND(B125=0,C125&gt;0)),I125,H125))-IF(OR(B125&gt;0,AND(B125=0,C125&gt;0)),1,-1)*$R$1*MIN(D125,$E$1)*F125,PlotData!$CB$3)</f>
        <v>0</v>
      </c>
      <c r="O125" s="885">
        <f>IF(AND(ISNUMBER(System!$C38),(ABS(B125)+ABS(C125))&lt;&gt;0),IF(OR(B125&gt;0,AND(B125=0,C125&gt;0)),J125,K125)-IF(OR(B125&gt;0,AND(B125=0,C125&gt;0)),1,-1)*$R$1*MIN(D125,$E$1)*F125,PlotData!$CB$3)</f>
        <v>0</v>
      </c>
      <c r="P125" s="884">
        <f>IF(AND(ISNUMBER(System!$C38),ABS(B125)+ABS(C125)&lt;&gt;0),System!BE156-$J$1*MIN($E$1,D125)*E125 - $H$1*$E$1*F125,PlotData!$CB$4)</f>
        <v>0</v>
      </c>
      <c r="Q125" s="885">
        <f>IF(AND(ISNUMBER(System!$C38),ABS(B125)+ABS(C125)&lt;&gt;0),System!BF156+$J$1*MIN($E$1,D125)*E125 - $H$1*$E$1*F125,PlotData!$CB$4)</f>
        <v>0</v>
      </c>
      <c r="R125" s="884">
        <f>IF(AND(ISNUMBER(System!$C38),ABS(B125)+ABS(C125)&lt;&gt;0),Q125 -  $C125*$E$1*F125*Z125,PlotData!$CB$4)</f>
        <v>0</v>
      </c>
      <c r="S125" s="886">
        <f>IF(AND(ISNUMBER(System!$C38),ABS(B125)+ABS(C125)&lt;&gt;0),P125 -  $B125*$E$1*F125*Y125,PlotData!$CB$4)</f>
        <v>0</v>
      </c>
      <c r="T125" s="881">
        <f>IF($AB125&lt;&gt;0,P125-$AF$95*E125,PlotData!$CB$4)</f>
        <v>0</v>
      </c>
      <c r="U125" s="883">
        <f>IF($AB125&lt;&gt;0,Q125+$AF$95*E125,PlotData!$CB$4)</f>
        <v>0</v>
      </c>
      <c r="V125" s="881">
        <f>IF(AND(ISNUMBER(System!$C38),ABS(B125)+ABS(C125)&lt;&gt;0),IF(OR(B125&gt;0,AND(B125=0,C125&gt;0)),Q125,P125)+IF(OR(B125&gt;0,AND(B125=0,C125&gt;0)),1,-1)*$R$1*MIN(D125,$E$1)*E125,PlotData!$CB$4)</f>
        <v>0</v>
      </c>
      <c r="W125" s="881">
        <f>IF(AND(ISNUMBER(System!$C38),ABS(B125)+ABS(C125)&lt;&gt;0),IF(OR(B125&gt;0,AND(B125=0,C125&gt;0)),R125,S125)+IF(OR(B125&gt;0,AND(B125=0,C125&gt;0)),1,-1)*$R$1*MIN(D125,$E$1)*E125,PlotData!$CB$4)</f>
        <v>0</v>
      </c>
      <c r="X125" s="887">
        <f>IF(ISNUMBER(System!$C38),SIGN(System!$AG38),0)</f>
        <v>0</v>
      </c>
      <c r="Y125" s="881">
        <f>IF(ISNUMBER(System!BN156),ABS(System!BN156)/AA125,0)</f>
        <v>0</v>
      </c>
      <c r="Z125" s="881">
        <f>IF(ISNUMBER(System!BO156),ABS(System!BO156)/AA125,0)</f>
        <v>0</v>
      </c>
      <c r="AA125" s="881">
        <f>IF(AND(ABS(System!V38)+ABS(System!W38)&lt;&gt;0,F125=0),MAX(ABS(System!BP156),ABS(System!BQ156)),IF(ABS(System!T38)+ABS(System!U38)+ABS(System!P38)+ABS(System!Q38)&lt;&gt;0,MAX(ABS(System!BN156),ABS(System!BO156)),1))</f>
        <v>1</v>
      </c>
      <c r="AB125" s="881">
        <f t="shared" si="34"/>
        <v>0</v>
      </c>
    </row>
    <row r="126" spans="1:28" x14ac:dyDescent="0.25">
      <c r="A126" s="827">
        <v>36</v>
      </c>
      <c r="B126" s="882">
        <f>IF(AND(ABS(System!W39)+ABS(System!V39)&lt;&gt;0,F126=0),SIGN(System!V39),IF(AND(ABS(System!T39)+ABS(System!U39)&lt;&gt;0,F126=0),0,IF(ISNUMBER(System!$C39),SIGN(System!BN157),0)))</f>
        <v>0</v>
      </c>
      <c r="C126" s="883">
        <f>IF(AND(ABS(System!W39)+ABS(System!V39)&lt;&gt;0,F126=0),SIGN(System!W39),IF(AND(ABS(System!T39)+ABS(System!U39)&lt;&gt;0,F126=0),0,IF(ISNUMBER(System!$C39),SIGN(System!BO157),0)))</f>
        <v>0</v>
      </c>
      <c r="D126" s="883">
        <f>IF(ISNUMBER(System!$C39),System!BG157,0)</f>
        <v>0</v>
      </c>
      <c r="E126" s="883">
        <f>IF(ISNUMBER(System!$C39),System!BJ157,0)</f>
        <v>0</v>
      </c>
      <c r="F126" s="883">
        <f>IF(ISNUMBER(System!$C39),System!BK157,0)</f>
        <v>0</v>
      </c>
      <c r="G126" s="874">
        <f>IF(F40=0,1,IF(OR(System!T39&lt;&gt;0,System!U39 &lt;&gt;0),0,1))</f>
        <v>1</v>
      </c>
      <c r="H126" s="884">
        <f>IF(AND(ISNUMBER(System!$C39),ABS(B126)+ABS(C126)&lt;&gt;0),System!BC157+$J$1*MIN($E$1,D126)*F126 - $H$1*$E$1*E126,PlotData!$CB$3)</f>
        <v>0</v>
      </c>
      <c r="I126" s="885">
        <f>IF(AND(ISNUMBER(System!$C39),ABS(B126)+ABS(C126)&lt;&gt;0),System!BD157-$J$1*MIN($E$1,D126)*F126 - $H$1*$E$1*E126,PlotData!$CB$3)</f>
        <v>0</v>
      </c>
      <c r="J126" s="884">
        <f>IF(AND(ISNUMBER(System!$C39),ABS(B126)+ABS(C126)&lt;&gt;0),I126 -$C126*$E$1*E126*Z126*G126,PlotData!$CB$3)</f>
        <v>0</v>
      </c>
      <c r="K126" s="886">
        <f>IF(AND(ISNUMBER(System!$C39),ABS(B126)+ABS(C126)&lt;&gt;0),H126 - $B126*$E$1*E126*Y126*G126,PlotData!$CB$3)</f>
        <v>0</v>
      </c>
      <c r="L126" s="887">
        <f>IF($AB126&lt;&gt;0,H126+$AF$95*F126,PlotData!$CB$3)</f>
        <v>0</v>
      </c>
      <c r="M126" s="888">
        <f>IF($AB126&lt;&gt;0,I126-$AF$95*F126,PlotData!$CB$3)</f>
        <v>0</v>
      </c>
      <c r="N126" s="887">
        <f>IF(AND(ISNUMBER(System!$C39),ABS(B126)+ABS(C126)&lt;&gt;0),(IF(OR(B126&gt;0,AND(B126=0,C126&gt;0)),I126,H126))-IF(OR(B126&gt;0,AND(B126=0,C126&gt;0)),1,-1)*$R$1*MIN(D126,$E$1)*F126,PlotData!$CB$3)</f>
        <v>0</v>
      </c>
      <c r="O126" s="885">
        <f>IF(AND(ISNUMBER(System!$C39),(ABS(B126)+ABS(C126))&lt;&gt;0),IF(OR(B126&gt;0,AND(B126=0,C126&gt;0)),J126,K126)-IF(OR(B126&gt;0,AND(B126=0,C126&gt;0)),1,-1)*$R$1*MIN(D126,$E$1)*F126,PlotData!$CB$3)</f>
        <v>0</v>
      </c>
      <c r="P126" s="884">
        <f>IF(AND(ISNUMBER(System!$C39),ABS(B126)+ABS(C126)&lt;&gt;0),System!BE157-$J$1*MIN($E$1,D126)*E126 - $H$1*$E$1*F126,PlotData!$CB$4)</f>
        <v>0</v>
      </c>
      <c r="Q126" s="885">
        <f>IF(AND(ISNUMBER(System!$C39),ABS(B126)+ABS(C126)&lt;&gt;0),System!BF157+$J$1*MIN($E$1,D126)*E126 - $H$1*$E$1*F126,PlotData!$CB$4)</f>
        <v>0</v>
      </c>
      <c r="R126" s="884">
        <f>IF(AND(ISNUMBER(System!$C39),ABS(B126)+ABS(C126)&lt;&gt;0),Q126 -  $C126*$E$1*F126*Z126,PlotData!$CB$4)</f>
        <v>0</v>
      </c>
      <c r="S126" s="886">
        <f>IF(AND(ISNUMBER(System!$C39),ABS(B126)+ABS(C126)&lt;&gt;0),P126 -  $B126*$E$1*F126*Y126,PlotData!$CB$4)</f>
        <v>0</v>
      </c>
      <c r="T126" s="881">
        <f>IF($AB126&lt;&gt;0,P126-$AF$95*E126,PlotData!$CB$4)</f>
        <v>0</v>
      </c>
      <c r="U126" s="883">
        <f>IF($AB126&lt;&gt;0,Q126+$AF$95*E126,PlotData!$CB$4)</f>
        <v>0</v>
      </c>
      <c r="V126" s="881">
        <f>IF(AND(ISNUMBER(System!$C39),ABS(B126)+ABS(C126)&lt;&gt;0),IF(OR(B126&gt;0,AND(B126=0,C126&gt;0)),Q126,P126)+IF(OR(B126&gt;0,AND(B126=0,C126&gt;0)),1,-1)*$R$1*MIN(D126,$E$1)*E126,PlotData!$CB$4)</f>
        <v>0</v>
      </c>
      <c r="W126" s="881">
        <f>IF(AND(ISNUMBER(System!$C39),ABS(B126)+ABS(C126)&lt;&gt;0),IF(OR(B126&gt;0,AND(B126=0,C126&gt;0)),R126,S126)+IF(OR(B126&gt;0,AND(B126=0,C126&gt;0)),1,-1)*$R$1*MIN(D126,$E$1)*E126,PlotData!$CB$4)</f>
        <v>0</v>
      </c>
      <c r="X126" s="887">
        <f>IF(ISNUMBER(System!$C39),SIGN(System!$AG39),0)</f>
        <v>0</v>
      </c>
      <c r="Y126" s="881">
        <f>IF(ISNUMBER(System!BN157),ABS(System!BN157)/AA126,0)</f>
        <v>0</v>
      </c>
      <c r="Z126" s="881">
        <f>IF(ISNUMBER(System!BO157),ABS(System!BO157)/AA126,0)</f>
        <v>0</v>
      </c>
      <c r="AA126" s="881">
        <f>IF(AND(ABS(System!V39)+ABS(System!W39)&lt;&gt;0,F126=0),MAX(ABS(System!BP157),ABS(System!BQ157)),IF(ABS(System!T39)+ABS(System!U39)+ABS(System!P39)+ABS(System!Q39)&lt;&gt;0,MAX(ABS(System!BN157),ABS(System!BO157)),1))</f>
        <v>1</v>
      </c>
      <c r="AB126" s="881">
        <f t="shared" si="34"/>
        <v>0</v>
      </c>
    </row>
    <row r="127" spans="1:28" x14ac:dyDescent="0.25">
      <c r="A127" s="827">
        <v>37</v>
      </c>
      <c r="B127" s="882">
        <f>IF(AND(ABS(System!W40)+ABS(System!V40)&lt;&gt;0,F127=0),SIGN(System!V40),IF(AND(ABS(System!T40)+ABS(System!U40)&lt;&gt;0,F127=0),0,IF(ISNUMBER(System!$C40),SIGN(System!BN158),0)))</f>
        <v>0</v>
      </c>
      <c r="C127" s="883">
        <f>IF(AND(ABS(System!W40)+ABS(System!V40)&lt;&gt;0,F127=0),SIGN(System!W40),IF(AND(ABS(System!T40)+ABS(System!U40)&lt;&gt;0,F127=0),0,IF(ISNUMBER(System!$C40),SIGN(System!BO158),0)))</f>
        <v>0</v>
      </c>
      <c r="D127" s="883">
        <f>IF(ISNUMBER(System!$C40),System!BG158,0)</f>
        <v>0</v>
      </c>
      <c r="E127" s="883">
        <f>IF(ISNUMBER(System!$C40),System!BJ158,0)</f>
        <v>0</v>
      </c>
      <c r="F127" s="883">
        <f>IF(ISNUMBER(System!$C40),System!BK158,0)</f>
        <v>0</v>
      </c>
      <c r="G127" s="874">
        <f>IF(F41=0,1,IF(OR(System!T40&lt;&gt;0,System!U40 &lt;&gt;0),0,1))</f>
        <v>1</v>
      </c>
      <c r="H127" s="884">
        <f>IF(AND(ISNUMBER(System!$C40),ABS(B127)+ABS(C127)&lt;&gt;0),System!BC158+$J$1*MIN($E$1,D127)*F127 - $H$1*$E$1*E127,PlotData!$CB$3)</f>
        <v>0</v>
      </c>
      <c r="I127" s="885">
        <f>IF(AND(ISNUMBER(System!$C40),ABS(B127)+ABS(C127)&lt;&gt;0),System!BD158-$J$1*MIN($E$1,D127)*F127 - $H$1*$E$1*E127,PlotData!$CB$3)</f>
        <v>0</v>
      </c>
      <c r="J127" s="884">
        <f>IF(AND(ISNUMBER(System!$C40),ABS(B127)+ABS(C127)&lt;&gt;0),I127 -$C127*$E$1*E127*Z127*G127,PlotData!$CB$3)</f>
        <v>0</v>
      </c>
      <c r="K127" s="886">
        <f>IF(AND(ISNUMBER(System!$C40),ABS(B127)+ABS(C127)&lt;&gt;0),H127 - $B127*$E$1*E127*Y127*G127,PlotData!$CB$3)</f>
        <v>0</v>
      </c>
      <c r="L127" s="887">
        <f>IF($AB127&lt;&gt;0,H127+$AF$95*F127,PlotData!$CB$3)</f>
        <v>0</v>
      </c>
      <c r="M127" s="888">
        <f>IF($AB127&lt;&gt;0,I127-$AF$95*F127,PlotData!$CB$3)</f>
        <v>0</v>
      </c>
      <c r="N127" s="887">
        <f>IF(AND(ISNUMBER(System!$C40),ABS(B127)+ABS(C127)&lt;&gt;0),(IF(OR(B127&gt;0,AND(B127=0,C127&gt;0)),I127,H127))-IF(OR(B127&gt;0,AND(B127=0,C127&gt;0)),1,-1)*$R$1*MIN(D127,$E$1)*F127,PlotData!$CB$3)</f>
        <v>0</v>
      </c>
      <c r="O127" s="885">
        <f>IF(AND(ISNUMBER(System!$C40),(ABS(B127)+ABS(C127))&lt;&gt;0),IF(OR(B127&gt;0,AND(B127=0,C127&gt;0)),J127,K127)-IF(OR(B127&gt;0,AND(B127=0,C127&gt;0)),1,-1)*$R$1*MIN(D127,$E$1)*F127,PlotData!$CB$3)</f>
        <v>0</v>
      </c>
      <c r="P127" s="884">
        <f>IF(AND(ISNUMBER(System!$C40),ABS(B127)+ABS(C127)&lt;&gt;0),System!BE158-$J$1*MIN($E$1,D127)*E127 - $H$1*$E$1*F127,PlotData!$CB$4)</f>
        <v>0</v>
      </c>
      <c r="Q127" s="885">
        <f>IF(AND(ISNUMBER(System!$C40),ABS(B127)+ABS(C127)&lt;&gt;0),System!BF158+$J$1*MIN($E$1,D127)*E127 - $H$1*$E$1*F127,PlotData!$CB$4)</f>
        <v>0</v>
      </c>
      <c r="R127" s="884">
        <f>IF(AND(ISNUMBER(System!$C40),ABS(B127)+ABS(C127)&lt;&gt;0),Q127 -  $C127*$E$1*F127*Z127,PlotData!$CB$4)</f>
        <v>0</v>
      </c>
      <c r="S127" s="886">
        <f>IF(AND(ISNUMBER(System!$C40),ABS(B127)+ABS(C127)&lt;&gt;0),P127 -  $B127*$E$1*F127*Y127,PlotData!$CB$4)</f>
        <v>0</v>
      </c>
      <c r="T127" s="881">
        <f>IF($AB127&lt;&gt;0,P127-$AF$95*E127,PlotData!$CB$4)</f>
        <v>0</v>
      </c>
      <c r="U127" s="883">
        <f>IF($AB127&lt;&gt;0,Q127+$AF$95*E127,PlotData!$CB$4)</f>
        <v>0</v>
      </c>
      <c r="V127" s="881">
        <f>IF(AND(ISNUMBER(System!$C40),ABS(B127)+ABS(C127)&lt;&gt;0),IF(OR(B127&gt;0,AND(B127=0,C127&gt;0)),Q127,P127)+IF(OR(B127&gt;0,AND(B127=0,C127&gt;0)),1,-1)*$R$1*MIN(D127,$E$1)*E127,PlotData!$CB$4)</f>
        <v>0</v>
      </c>
      <c r="W127" s="881">
        <f>IF(AND(ISNUMBER(System!$C40),ABS(B127)+ABS(C127)&lt;&gt;0),IF(OR(B127&gt;0,AND(B127=0,C127&gt;0)),R127,S127)+IF(OR(B127&gt;0,AND(B127=0,C127&gt;0)),1,-1)*$R$1*MIN(D127,$E$1)*E127,PlotData!$CB$4)</f>
        <v>0</v>
      </c>
      <c r="X127" s="887">
        <f>IF(ISNUMBER(System!$C40),SIGN(System!$AG40),0)</f>
        <v>0</v>
      </c>
      <c r="Y127" s="881">
        <f>IF(ISNUMBER(System!BN158),ABS(System!BN158)/AA127,0)</f>
        <v>0</v>
      </c>
      <c r="Z127" s="881">
        <f>IF(ISNUMBER(System!BO158),ABS(System!BO158)/AA127,0)</f>
        <v>0</v>
      </c>
      <c r="AA127" s="881">
        <f>IF(AND(ABS(System!V40)+ABS(System!W40)&lt;&gt;0,F127=0),MAX(ABS(System!BP158),ABS(System!BQ158)),IF(ABS(System!T40)+ABS(System!U40)+ABS(System!P40)+ABS(System!Q40)&lt;&gt;0,MAX(ABS(System!BN158),ABS(System!BO158)),1))</f>
        <v>1</v>
      </c>
      <c r="AB127" s="881">
        <f t="shared" si="34"/>
        <v>0</v>
      </c>
    </row>
    <row r="128" spans="1:28" x14ac:dyDescent="0.25">
      <c r="A128" s="827">
        <v>38</v>
      </c>
      <c r="B128" s="882">
        <f>IF(AND(ABS(System!W41)+ABS(System!V41)&lt;&gt;0,F128=0),SIGN(System!V41),IF(AND(ABS(System!T41)+ABS(System!U41)&lt;&gt;0,F128=0),0,IF(ISNUMBER(System!$C41),SIGN(System!BN159),0)))</f>
        <v>0</v>
      </c>
      <c r="C128" s="883">
        <f>IF(AND(ABS(System!W41)+ABS(System!V41)&lt;&gt;0,F128=0),SIGN(System!W41),IF(AND(ABS(System!T41)+ABS(System!U41)&lt;&gt;0,F128=0),0,IF(ISNUMBER(System!$C41),SIGN(System!BO159),0)))</f>
        <v>0</v>
      </c>
      <c r="D128" s="883">
        <f>IF(ISNUMBER(System!$C41),System!BG159,0)</f>
        <v>0</v>
      </c>
      <c r="E128" s="883">
        <f>IF(ISNUMBER(System!$C41),System!BJ159,0)</f>
        <v>0</v>
      </c>
      <c r="F128" s="883">
        <f>IF(ISNUMBER(System!$C41),System!BK159,0)</f>
        <v>0</v>
      </c>
      <c r="G128" s="874">
        <f>IF(F42=0,1,IF(OR(System!T41&lt;&gt;0,System!U41 &lt;&gt;0),0,1))</f>
        <v>1</v>
      </c>
      <c r="H128" s="884">
        <f>IF(AND(ISNUMBER(System!$C41),ABS(B128)+ABS(C128)&lt;&gt;0),System!BC159+$J$1*MIN($E$1,D128)*F128 - $H$1*$E$1*E128,PlotData!$CB$3)</f>
        <v>0</v>
      </c>
      <c r="I128" s="885">
        <f>IF(AND(ISNUMBER(System!$C41),ABS(B128)+ABS(C128)&lt;&gt;0),System!BD159-$J$1*MIN($E$1,D128)*F128 - $H$1*$E$1*E128,PlotData!$CB$3)</f>
        <v>0</v>
      </c>
      <c r="J128" s="884">
        <f>IF(AND(ISNUMBER(System!$C41),ABS(B128)+ABS(C128)&lt;&gt;0),I128 -$C128*$E$1*E128*Z128*G128,PlotData!$CB$3)</f>
        <v>0</v>
      </c>
      <c r="K128" s="886">
        <f>IF(AND(ISNUMBER(System!$C41),ABS(B128)+ABS(C128)&lt;&gt;0),H128 - $B128*$E$1*E128*Y128*G128,PlotData!$CB$3)</f>
        <v>0</v>
      </c>
      <c r="L128" s="887">
        <f>IF($AB128&lt;&gt;0,H128+$AF$95*F128,PlotData!$CB$3)</f>
        <v>0</v>
      </c>
      <c r="M128" s="888">
        <f>IF($AB128&lt;&gt;0,I128-$AF$95*F128,PlotData!$CB$3)</f>
        <v>0</v>
      </c>
      <c r="N128" s="887">
        <f>IF(AND(ISNUMBER(System!$C41),ABS(B128)+ABS(C128)&lt;&gt;0),(IF(OR(B128&gt;0,AND(B128=0,C128&gt;0)),I128,H128))-IF(OR(B128&gt;0,AND(B128=0,C128&gt;0)),1,-1)*$R$1*MIN(D128,$E$1)*F128,PlotData!$CB$3)</f>
        <v>0</v>
      </c>
      <c r="O128" s="885">
        <f>IF(AND(ISNUMBER(System!$C41),(ABS(B128)+ABS(C128))&lt;&gt;0),IF(OR(B128&gt;0,AND(B128=0,C128&gt;0)),J128,K128)-IF(OR(B128&gt;0,AND(B128=0,C128&gt;0)),1,-1)*$R$1*MIN(D128,$E$1)*F128,PlotData!$CB$3)</f>
        <v>0</v>
      </c>
      <c r="P128" s="884">
        <f>IF(AND(ISNUMBER(System!$C41),ABS(B128)+ABS(C128)&lt;&gt;0),System!BE159-$J$1*MIN($E$1,D128)*E128 - $H$1*$E$1*F128,PlotData!$CB$4)</f>
        <v>0</v>
      </c>
      <c r="Q128" s="885">
        <f>IF(AND(ISNUMBER(System!$C41),ABS(B128)+ABS(C128)&lt;&gt;0),System!BF159+$J$1*MIN($E$1,D128)*E128 - $H$1*$E$1*F128,PlotData!$CB$4)</f>
        <v>0</v>
      </c>
      <c r="R128" s="884">
        <f>IF(AND(ISNUMBER(System!$C41),ABS(B128)+ABS(C128)&lt;&gt;0),Q128 -  $C128*$E$1*F128*Z128,PlotData!$CB$4)</f>
        <v>0</v>
      </c>
      <c r="S128" s="886">
        <f>IF(AND(ISNUMBER(System!$C41),ABS(B128)+ABS(C128)&lt;&gt;0),P128 -  $B128*$E$1*F128*Y128,PlotData!$CB$4)</f>
        <v>0</v>
      </c>
      <c r="T128" s="881">
        <f>IF($AB128&lt;&gt;0,P128-$AF$95*E128,PlotData!$CB$4)</f>
        <v>0</v>
      </c>
      <c r="U128" s="883">
        <f>IF($AB128&lt;&gt;0,Q128+$AF$95*E128,PlotData!$CB$4)</f>
        <v>0</v>
      </c>
      <c r="V128" s="881">
        <f>IF(AND(ISNUMBER(System!$C41),ABS(B128)+ABS(C128)&lt;&gt;0),IF(OR(B128&gt;0,AND(B128=0,C128&gt;0)),Q128,P128)+IF(OR(B128&gt;0,AND(B128=0,C128&gt;0)),1,-1)*$R$1*MIN(D128,$E$1)*E128,PlotData!$CB$4)</f>
        <v>0</v>
      </c>
      <c r="W128" s="881">
        <f>IF(AND(ISNUMBER(System!$C41),ABS(B128)+ABS(C128)&lt;&gt;0),IF(OR(B128&gt;0,AND(B128=0,C128&gt;0)),R128,S128)+IF(OR(B128&gt;0,AND(B128=0,C128&gt;0)),1,-1)*$R$1*MIN(D128,$E$1)*E128,PlotData!$CB$4)</f>
        <v>0</v>
      </c>
      <c r="X128" s="887">
        <f>IF(ISNUMBER(System!$C41),SIGN(System!$AG41),0)</f>
        <v>0</v>
      </c>
      <c r="Y128" s="881">
        <f>IF(ISNUMBER(System!BN159),ABS(System!BN159)/AA128,0)</f>
        <v>0</v>
      </c>
      <c r="Z128" s="881">
        <f>IF(ISNUMBER(System!BO159),ABS(System!BO159)/AA128,0)</f>
        <v>0</v>
      </c>
      <c r="AA128" s="881">
        <f>IF(AND(ABS(System!V41)+ABS(System!W41)&lt;&gt;0,F128=0),MAX(ABS(System!BP159),ABS(System!BQ159)),IF(ABS(System!T41)+ABS(System!U41)+ABS(System!P41)+ABS(System!Q41)&lt;&gt;0,MAX(ABS(System!BN159),ABS(System!BO159)),1))</f>
        <v>1</v>
      </c>
      <c r="AB128" s="881">
        <f t="shared" si="34"/>
        <v>0</v>
      </c>
    </row>
    <row r="129" spans="1:32" x14ac:dyDescent="0.25">
      <c r="A129" s="827">
        <v>39</v>
      </c>
      <c r="B129" s="882">
        <f>IF(AND(ABS(System!W42)+ABS(System!V42)&lt;&gt;0,F129=0),SIGN(System!V42),IF(AND(ABS(System!T42)+ABS(System!U42)&lt;&gt;0,F129=0),0,IF(ISNUMBER(System!$C42),SIGN(System!BN160),0)))</f>
        <v>0</v>
      </c>
      <c r="C129" s="883">
        <f>IF(AND(ABS(System!W42)+ABS(System!V42)&lt;&gt;0,F129=0),SIGN(System!W42),IF(AND(ABS(System!T42)+ABS(System!U42)&lt;&gt;0,F129=0),0,IF(ISNUMBER(System!$C42),SIGN(System!BO160),0)))</f>
        <v>0</v>
      </c>
      <c r="D129" s="883">
        <f>IF(ISNUMBER(System!$C42),System!BG160,0)</f>
        <v>0</v>
      </c>
      <c r="E129" s="883">
        <f>IF(ISNUMBER(System!$C42),System!BJ160,0)</f>
        <v>0</v>
      </c>
      <c r="F129" s="883">
        <f>IF(ISNUMBER(System!$C42),System!BK160,0)</f>
        <v>0</v>
      </c>
      <c r="G129" s="874">
        <f>IF(F43=0,1,IF(OR(System!T42&lt;&gt;0,System!U42 &lt;&gt;0),0,1))</f>
        <v>1</v>
      </c>
      <c r="H129" s="884">
        <f>IF(AND(ISNUMBER(System!$C42),ABS(B129)+ABS(C129)&lt;&gt;0),System!BC160+$J$1*MIN($E$1,D129)*F129 - $H$1*$E$1*E129,PlotData!$CB$3)</f>
        <v>0</v>
      </c>
      <c r="I129" s="885">
        <f>IF(AND(ISNUMBER(System!$C42),ABS(B129)+ABS(C129)&lt;&gt;0),System!BD160-$J$1*MIN($E$1,D129)*F129 - $H$1*$E$1*E129,PlotData!$CB$3)</f>
        <v>0</v>
      </c>
      <c r="J129" s="884">
        <f>IF(AND(ISNUMBER(System!$C42),ABS(B129)+ABS(C129)&lt;&gt;0),I129 -$C129*$E$1*E129*Z129*G129,PlotData!$CB$3)</f>
        <v>0</v>
      </c>
      <c r="K129" s="886">
        <f>IF(AND(ISNUMBER(System!$C42),ABS(B129)+ABS(C129)&lt;&gt;0),H129 - $B129*$E$1*E129*Y129*G129,PlotData!$CB$3)</f>
        <v>0</v>
      </c>
      <c r="L129" s="887">
        <f>IF($AB129&lt;&gt;0,H129+$AF$95*F129,PlotData!$CB$3)</f>
        <v>0</v>
      </c>
      <c r="M129" s="888">
        <f>IF($AB129&lt;&gt;0,I129-$AF$95*F129,PlotData!$CB$3)</f>
        <v>0</v>
      </c>
      <c r="N129" s="887">
        <f>IF(AND(ISNUMBER(System!$C42),ABS(B129)+ABS(C129)&lt;&gt;0),(IF(OR(B129&gt;0,AND(B129=0,C129&gt;0)),I129,H129))-IF(OR(B129&gt;0,AND(B129=0,C129&gt;0)),1,-1)*$R$1*MIN(D129,$E$1)*F129,PlotData!$CB$3)</f>
        <v>0</v>
      </c>
      <c r="O129" s="885">
        <f>IF(AND(ISNUMBER(System!$C42),(ABS(B129)+ABS(C129))&lt;&gt;0),IF(OR(B129&gt;0,AND(B129=0,C129&gt;0)),J129,K129)-IF(OR(B129&gt;0,AND(B129=0,C129&gt;0)),1,-1)*$R$1*MIN(D129,$E$1)*F129,PlotData!$CB$3)</f>
        <v>0</v>
      </c>
      <c r="P129" s="884">
        <f>IF(AND(ISNUMBER(System!$C42),ABS(B129)+ABS(C129)&lt;&gt;0),System!BE160-$J$1*MIN($E$1,D129)*E129 - $H$1*$E$1*F129,PlotData!$CB$4)</f>
        <v>0</v>
      </c>
      <c r="Q129" s="885">
        <f>IF(AND(ISNUMBER(System!$C42),ABS(B129)+ABS(C129)&lt;&gt;0),System!BF160+$J$1*MIN($E$1,D129)*E129 - $H$1*$E$1*F129,PlotData!$CB$4)</f>
        <v>0</v>
      </c>
      <c r="R129" s="884">
        <f>IF(AND(ISNUMBER(System!$C42),ABS(B129)+ABS(C129)&lt;&gt;0),Q129 -  $C129*$E$1*F129*Z129,PlotData!$CB$4)</f>
        <v>0</v>
      </c>
      <c r="S129" s="886">
        <f>IF(AND(ISNUMBER(System!$C42),ABS(B129)+ABS(C129)&lt;&gt;0),P129 -  $B129*$E$1*F129*Y129,PlotData!$CB$4)</f>
        <v>0</v>
      </c>
      <c r="T129" s="881">
        <f>IF($AB129&lt;&gt;0,P129-$AF$95*E129,PlotData!$CB$4)</f>
        <v>0</v>
      </c>
      <c r="U129" s="883">
        <f>IF($AB129&lt;&gt;0,Q129+$AF$95*E129,PlotData!$CB$4)</f>
        <v>0</v>
      </c>
      <c r="V129" s="881">
        <f>IF(AND(ISNUMBER(System!$C42),ABS(B129)+ABS(C129)&lt;&gt;0),IF(OR(B129&gt;0,AND(B129=0,C129&gt;0)),Q129,P129)+IF(OR(B129&gt;0,AND(B129=0,C129&gt;0)),1,-1)*$R$1*MIN(D129,$E$1)*E129,PlotData!$CB$4)</f>
        <v>0</v>
      </c>
      <c r="W129" s="881">
        <f>IF(AND(ISNUMBER(System!$C42),ABS(B129)+ABS(C129)&lt;&gt;0),IF(OR(B129&gt;0,AND(B129=0,C129&gt;0)),R129,S129)+IF(OR(B129&gt;0,AND(B129=0,C129&gt;0)),1,-1)*$R$1*MIN(D129,$E$1)*E129,PlotData!$CB$4)</f>
        <v>0</v>
      </c>
      <c r="X129" s="887">
        <f>IF(ISNUMBER(System!$C42),SIGN(System!$AG42),0)</f>
        <v>0</v>
      </c>
      <c r="Y129" s="881">
        <f>IF(ISNUMBER(System!BN160),ABS(System!BN160)/AA129,0)</f>
        <v>0</v>
      </c>
      <c r="Z129" s="881">
        <f>IF(ISNUMBER(System!BO160),ABS(System!BO160)/AA129,0)</f>
        <v>0</v>
      </c>
      <c r="AA129" s="881">
        <f>IF(AND(ABS(System!V42)+ABS(System!W42)&lt;&gt;0,F129=0),MAX(ABS(System!BP160),ABS(System!BQ160)),IF(ABS(System!T42)+ABS(System!U42)+ABS(System!P42)+ABS(System!Q42)&lt;&gt;0,MAX(ABS(System!BN160),ABS(System!BO160)),1))</f>
        <v>1</v>
      </c>
      <c r="AB129" s="881">
        <f t="shared" si="34"/>
        <v>0</v>
      </c>
    </row>
    <row r="130" spans="1:32" ht="13.8" thickBot="1" x14ac:dyDescent="0.3">
      <c r="A130" s="838">
        <v>40</v>
      </c>
      <c r="B130" s="890">
        <f>IF(AND(ABS(System!W43)+ABS(System!V43)&lt;&gt;0,F130=0),SIGN(System!V43),IF(AND(ABS(System!T43)+ABS(System!U43)&lt;&gt;0,F130=0),0,IF(ISNUMBER(System!$C43),SIGN(System!BN161),0)))</f>
        <v>0</v>
      </c>
      <c r="C130" s="891">
        <f>IF(AND(ABS(System!W43)+ABS(System!V43)&lt;&gt;0,F130=0),SIGN(System!W43),IF(AND(ABS(System!T43)+ABS(System!U43)&lt;&gt;0,F130=0),0,IF(ISNUMBER(System!$C43),SIGN(System!BO161),0)))</f>
        <v>0</v>
      </c>
      <c r="D130" s="891">
        <f>IF(ISNUMBER(System!$C43),System!BG161,0)</f>
        <v>0</v>
      </c>
      <c r="E130" s="891">
        <f>IF(ISNUMBER(System!$C43),System!BJ161,0)</f>
        <v>0</v>
      </c>
      <c r="F130" s="891">
        <f>IF(ISNUMBER(System!$C43),System!BK161,0)</f>
        <v>0</v>
      </c>
      <c r="G130" s="892">
        <f>IF(F44=0,1,IF(OR(System!T43&lt;&gt;0,System!U43 &lt;&gt;0),0,1))</f>
        <v>1</v>
      </c>
      <c r="H130" s="893">
        <f>IF(AND(ISNUMBER(System!$C43),ABS(B130)+ABS(C130)&lt;&gt;0),System!BC161+$J$1*MIN($E$1,D130)*F130 - $H$1*$E$1*E130,PlotData!$CB$3)</f>
        <v>0</v>
      </c>
      <c r="I130" s="894">
        <f>IF(AND(ISNUMBER(System!$C43),ABS(B130)+ABS(C130)&lt;&gt;0),System!BD161-$J$1*MIN($E$1,D130)*F130 - $H$1*$E$1*E130,PlotData!$CB$3)</f>
        <v>0</v>
      </c>
      <c r="J130" s="893">
        <f>IF(AND(ISNUMBER(System!$C43),ABS(B130)+ABS(C130)&lt;&gt;0),I130 -$C130*$E$1*E130*Z130*G130,PlotData!$CB$3)</f>
        <v>0</v>
      </c>
      <c r="K130" s="895">
        <f>IF(AND(ISNUMBER(System!$C43),ABS(B130)+ABS(C130)&lt;&gt;0),H130 - $B130*$E$1*E130*Y130*G130,PlotData!$CB$3)</f>
        <v>0</v>
      </c>
      <c r="L130" s="896">
        <f>IF($AB130&lt;&gt;0,H130+$AF$95*F130,PlotData!$CB$3)</f>
        <v>0</v>
      </c>
      <c r="M130" s="897">
        <f>IF($AB130&lt;&gt;0,I130-$AF$95*F130,PlotData!$CB$3)</f>
        <v>0</v>
      </c>
      <c r="N130" s="896">
        <f>IF(AND(ISNUMBER(System!$C43),ABS(B130)+ABS(C130)&lt;&gt;0),(IF(OR(B130&gt;0,AND(B130=0,C130&gt;0)),I130,H130))-IF(OR(B130&gt;0,AND(B130=0,C130&gt;0)),1,-1)*$R$1*MIN(D130,$E$1)*F130,PlotData!$CB$3)</f>
        <v>0</v>
      </c>
      <c r="O130" s="894">
        <f>IF(AND(ISNUMBER(System!$C43),(ABS(B130)+ABS(C130))&lt;&gt;0),IF(OR(B130&gt;0,AND(B130=0,C130&gt;0)),J130,K130)-IF(OR(B130&gt;0,AND(B130=0,C130&gt;0)),1,-1)*$R$1*MIN(D130,$E$1)*F130,PlotData!$CB$3)</f>
        <v>0</v>
      </c>
      <c r="P130" s="893">
        <f>IF(AND(ISNUMBER(System!$C43),ABS(B130)+ABS(C130)&lt;&gt;0),System!BE161-$J$1*MIN($E$1,D130)*E130 - $H$1*$E$1*F130,PlotData!$CB$4)</f>
        <v>0</v>
      </c>
      <c r="Q130" s="894">
        <f>IF(AND(ISNUMBER(System!$C43),ABS(B130)+ABS(C130)&lt;&gt;0),System!BF161+$J$1*MIN($E$1,D130)*E130 - $H$1*$E$1*F130,PlotData!$CB$4)</f>
        <v>0</v>
      </c>
      <c r="R130" s="893">
        <f>IF(AND(ISNUMBER(System!$C43),ABS(B130)+ABS(C130)&lt;&gt;0),Q130 -  $C130*$E$1*F130*Z130,PlotData!$CB$4)</f>
        <v>0</v>
      </c>
      <c r="S130" s="895">
        <f>IF(AND(ISNUMBER(System!$C43),ABS(B130)+ABS(C130)&lt;&gt;0),P130 -  $B130*$E$1*F130*Y130,PlotData!$CB$4)</f>
        <v>0</v>
      </c>
      <c r="T130" s="898">
        <f>IF($AB130&lt;&gt;0,P130-$AF$95*E130,PlotData!$CB$4)</f>
        <v>0</v>
      </c>
      <c r="U130" s="891">
        <f>IF($AB130&lt;&gt;0,Q130+$AF$95*E130,PlotData!$CB$4)</f>
        <v>0</v>
      </c>
      <c r="V130" s="898">
        <f>IF(AND(ISNUMBER(System!$C43),ABS(B130)+ABS(C130)&lt;&gt;0),IF(OR(B130&gt;0,AND(B130=0,C130&gt;0)),Q130,P130)+IF(OR(B130&gt;0,AND(B130=0,C130&gt;0)),1,-1)*$R$1*MIN(D130,$E$1)*E130,PlotData!$CB$4)</f>
        <v>0</v>
      </c>
      <c r="W130" s="898">
        <f>IF(AND(ISNUMBER(System!$C43),ABS(B130)+ABS(C130)&lt;&gt;0),IF(OR(B130&gt;0,AND(B130=0,C130&gt;0)),R130,S130)+IF(OR(B130&gt;0,AND(B130=0,C130&gt;0)),1,-1)*$R$1*MIN(D130,$E$1)*E130,PlotData!$CB$4)</f>
        <v>0</v>
      </c>
      <c r="X130" s="896">
        <f>IF(ISNUMBER(System!$C43),SIGN(System!$AG43),0)</f>
        <v>0</v>
      </c>
      <c r="Y130" s="898">
        <f>IF(ISNUMBER(System!BN161),ABS(System!BN161)/AA130,0)</f>
        <v>0</v>
      </c>
      <c r="Z130" s="898">
        <f>IF(ISNUMBER(System!BO161),ABS(System!BO161)/AA130,0)</f>
        <v>0</v>
      </c>
      <c r="AA130" s="898">
        <f>IF(AND(ABS(System!V43)+ABS(System!W43)&lt;&gt;0,F130=0),MAX(ABS(System!BP161),ABS(System!BQ161)),IF(ABS(System!T43)+ABS(System!U43)+ABS(System!P43)+ABS(System!Q43)&lt;&gt;0,MAX(ABS(System!BN161),ABS(System!BO161)),1))</f>
        <v>1</v>
      </c>
      <c r="AB130" s="898">
        <f t="shared" si="34"/>
        <v>0</v>
      </c>
    </row>
    <row r="131" spans="1:32" x14ac:dyDescent="0.25">
      <c r="A131" s="656"/>
    </row>
    <row r="132" spans="1:32" x14ac:dyDescent="0.25">
      <c r="A132" s="656"/>
    </row>
    <row r="133" spans="1:32" ht="13.8" thickBot="1" x14ac:dyDescent="0.3">
      <c r="A133" s="656"/>
    </row>
    <row r="134" spans="1:32" s="656" customFormat="1" ht="19.5" customHeight="1" thickBot="1" x14ac:dyDescent="0.3">
      <c r="A134" s="899"/>
      <c r="B134" s="863" t="s">
        <v>291</v>
      </c>
      <c r="C134" s="865" t="s">
        <v>292</v>
      </c>
      <c r="D134" s="868" t="s">
        <v>293</v>
      </c>
      <c r="E134" s="868" t="s">
        <v>294</v>
      </c>
      <c r="F134" s="868" t="s">
        <v>295</v>
      </c>
      <c r="G134" s="868" t="s">
        <v>296</v>
      </c>
      <c r="H134" s="865" t="s">
        <v>297</v>
      </c>
      <c r="I134" s="865" t="s">
        <v>298</v>
      </c>
      <c r="J134" s="868" t="s">
        <v>299</v>
      </c>
      <c r="K134" s="865" t="s">
        <v>300</v>
      </c>
      <c r="L134" s="868" t="s">
        <v>301</v>
      </c>
      <c r="M134" s="868" t="s">
        <v>302</v>
      </c>
      <c r="N134" s="865" t="s">
        <v>303</v>
      </c>
      <c r="O134" s="867" t="s">
        <v>304</v>
      </c>
      <c r="P134" s="900" t="s">
        <v>308</v>
      </c>
      <c r="Q134" s="901" t="s">
        <v>309</v>
      </c>
      <c r="R134" s="902" t="s">
        <v>310</v>
      </c>
      <c r="S134" s="902" t="s">
        <v>311</v>
      </c>
      <c r="T134" s="902" t="s">
        <v>312</v>
      </c>
      <c r="U134" s="902" t="s">
        <v>313</v>
      </c>
      <c r="V134" s="901" t="s">
        <v>314</v>
      </c>
      <c r="W134" s="901" t="s">
        <v>315</v>
      </c>
      <c r="X134" s="902" t="s">
        <v>316</v>
      </c>
      <c r="Y134" s="901" t="s">
        <v>317</v>
      </c>
      <c r="Z134" s="902" t="s">
        <v>318</v>
      </c>
      <c r="AA134" s="902" t="s">
        <v>319</v>
      </c>
      <c r="AB134" s="901" t="s">
        <v>320</v>
      </c>
      <c r="AC134" s="903" t="s">
        <v>321</v>
      </c>
      <c r="AD134" s="41"/>
      <c r="AE134" s="41"/>
      <c r="AF134" s="41"/>
    </row>
    <row r="135" spans="1:32" x14ac:dyDescent="0.25">
      <c r="A135" s="871">
        <v>1</v>
      </c>
      <c r="B135" s="878">
        <f ca="1">IF(OR(B91&gt;0,AND(B91=0,C91&gt;0)),K91,J91)</f>
        <v>0</v>
      </c>
      <c r="C135" s="876">
        <f ca="1">IF(OR(B91&gt;0,AND(B91=0,C91&gt;0)),H91,I91)</f>
        <v>0</v>
      </c>
      <c r="D135" s="875">
        <f ca="1">IF(AB91&lt;&gt;0,IF(B91&gt;0,L91,C135),C135)</f>
        <v>0</v>
      </c>
      <c r="E135" s="876">
        <f ca="1">IF(AB91&lt;&gt;0,IF(B91&gt;0,C135,M91)+E91*$T$1,C135)</f>
        <v>0</v>
      </c>
      <c r="F135" s="875">
        <f ca="1">IF(AB91&lt;&gt;0,IF(B91&gt;0,C135,M91)-E91*$T$1,C135)</f>
        <v>0</v>
      </c>
      <c r="G135" s="876">
        <f ca="1">D135</f>
        <v>0</v>
      </c>
      <c r="H135" s="875">
        <f ca="1">IF(AB91&lt;&gt;0,IF(B91&gt;0,M91,H91),IF(OR(B91&gt;0,AND(B91=0,C91&gt;0)),I91,H91))</f>
        <v>0</v>
      </c>
      <c r="I135" s="876">
        <f ca="1">IF(OR(B91&lt;&gt;0,C91&lt;&gt;0),IF(AB91&lt;&gt;0,IF(B91&gt;0,I91,L91),N91) -  E91 * $T$1,PlotData!$CB$3)</f>
        <v>0</v>
      </c>
      <c r="J135" s="875">
        <f ca="1">IF(OR(B91&lt;&gt;0,C91&lt;&gt;0),IF(AB91&lt;&gt;0,IF(B91&gt;0,I91,L91),N91) +  E91 * $T$1,PlotData!$CB$3)</f>
        <v>0</v>
      </c>
      <c r="K135" s="876">
        <f ca="1">H135</f>
        <v>0</v>
      </c>
      <c r="L135" s="875">
        <f ca="1">IF(OR(B91&gt;0,AND(B91=0,C91&gt;0)),I91,H91)</f>
        <v>0</v>
      </c>
      <c r="M135" s="876">
        <f ca="1">IF(OR(B91&gt;0,AND(B91=0,C91&gt;0)),J91,K91)</f>
        <v>0</v>
      </c>
      <c r="N135" s="875">
        <f t="shared" ref="N135:N174" ca="1" si="35">M135</f>
        <v>0</v>
      </c>
      <c r="O135" s="877">
        <f t="shared" ref="O135:O174" ca="1" si="36">B135</f>
        <v>0</v>
      </c>
      <c r="P135" s="872">
        <f t="shared" ref="P135:P174" ca="1" si="37">IF(OR(B91&gt;0,AND(B91=0,C91&gt;0)),S91,R91)</f>
        <v>0</v>
      </c>
      <c r="Q135" s="873">
        <f t="shared" ref="Q135:Q174" ca="1" si="38">IF(OR(B91&gt;0,AND(B91=0,C91&gt;0)),P91,Q91)</f>
        <v>0</v>
      </c>
      <c r="R135" s="875">
        <f t="shared" ref="R135:R174" ca="1" si="39">IF(AB91&lt;&gt;0,IF(B91&gt;0,T91,Q135),Q135)</f>
        <v>0</v>
      </c>
      <c r="S135" s="876">
        <f t="shared" ref="S135:S174" ca="1" si="40">IF(AB91&lt;&gt;0,IF(B91&gt;0,Q135,U91)+F91*$T$1,Q135)</f>
        <v>0</v>
      </c>
      <c r="T135" s="875">
        <f t="shared" ref="T135:T174" ca="1" si="41">IF(AB91&lt;&gt;0,IF(B91&gt;0,Q135,U91)-F91*$T$1,Q135)</f>
        <v>0</v>
      </c>
      <c r="U135" s="876">
        <f ca="1">R135</f>
        <v>0</v>
      </c>
      <c r="V135" s="875">
        <f t="shared" ref="V135:V174" ca="1" si="42">IF(AB91&lt;&gt;0,IF(B91&gt;0,U91,P91),IF(OR(B91&gt;0,AND(B91=0,C91&gt;0)),Q91,P91))</f>
        <v>0</v>
      </c>
      <c r="W135" s="876">
        <f ca="1">IF(OR(B91&lt;&gt;0,C91&lt;&gt;0),IF(AB91&lt;&gt;0,IF(B91&gt;0,Q91,T91),V91) -  F91 * $T$1,PlotData!$CB$4)</f>
        <v>0</v>
      </c>
      <c r="X135" s="876">
        <f ca="1">IF(OR(B91&lt;&gt;0,C91&lt;&gt;0),IF(AB91&lt;&gt;0,IF(B91&gt;0,Q91,T91),V91) +  F91 * $T$1,PlotData!$CB$4)</f>
        <v>0</v>
      </c>
      <c r="Y135" s="876">
        <f ca="1">V135</f>
        <v>0</v>
      </c>
      <c r="Z135" s="875">
        <f t="shared" ref="Z135:Z174" ca="1" si="43">IF(OR(B91&gt;0,AND(B91=0,C91&gt;0)),Q91,P91)</f>
        <v>0</v>
      </c>
      <c r="AA135" s="876">
        <f t="shared" ref="AA135:AA174" ca="1" si="44">IF(OR(B91&gt;0,AND(B91=0,C91&gt;0)),R91,S91)</f>
        <v>0</v>
      </c>
      <c r="AB135" s="875">
        <f t="shared" ref="AB135:AB174" ca="1" si="45">AA135</f>
        <v>0</v>
      </c>
      <c r="AC135" s="879">
        <f t="shared" ref="AC135:AC174" ca="1" si="46">P135</f>
        <v>0</v>
      </c>
    </row>
    <row r="136" spans="1:32" x14ac:dyDescent="0.25">
      <c r="A136" s="827">
        <v>2</v>
      </c>
      <c r="B136" s="887">
        <f t="shared" ref="B136:B174" ca="1" si="47">IF(OR(B92&gt;0,AND(B92=0,C92&gt;0)),K92,J92)</f>
        <v>0</v>
      </c>
      <c r="C136" s="885">
        <f ca="1">IF(OR(B92&gt;0,AND(B92=0,C92&gt;0)),H92,I92)</f>
        <v>0</v>
      </c>
      <c r="D136" s="884">
        <f ca="1">IF(AB92&lt;&gt;0,IF(B92&gt;0,L92,C136),C136)</f>
        <v>0</v>
      </c>
      <c r="E136" s="885">
        <f t="shared" ref="E136:E174" ca="1" si="48">IF(AB92&lt;&gt;0,IF(B92&gt;0,C136,M92)+E92*$T$1,C136)</f>
        <v>0</v>
      </c>
      <c r="F136" s="884">
        <f t="shared" ref="F136:F174" ca="1" si="49">IF(AB92&lt;&gt;0,IF(B92&gt;0,C136,M92)-E92*$T$1,C136)</f>
        <v>0</v>
      </c>
      <c r="G136" s="885">
        <f t="shared" ref="G136:G174" ca="1" si="50">D136</f>
        <v>0</v>
      </c>
      <c r="H136" s="884">
        <f t="shared" ref="H136:H174" ca="1" si="51">IF(AB92&lt;&gt;0,IF(B92&gt;0,M92,H92),IF(OR(B92&gt;0,AND(B92=0,C92&gt;0)),I92,H92))</f>
        <v>0</v>
      </c>
      <c r="I136" s="885">
        <f ca="1">IF(OR(B92&lt;&gt;0,C92&lt;&gt;0),IF(AB92&lt;&gt;0,IF(B92&gt;0,I92,L92),N92) -  E92 * $T$1,PlotData!$CB$3)</f>
        <v>0</v>
      </c>
      <c r="J136" s="884">
        <f ca="1">IF(OR(B92&lt;&gt;0,C92&lt;&gt;0),IF(AB92&lt;&gt;0,IF(B92&gt;0,I92,L92),N92) +  E92 * $T$1,PlotData!$CB$3)</f>
        <v>0</v>
      </c>
      <c r="K136" s="885">
        <f t="shared" ref="K136:K174" ca="1" si="52">H136</f>
        <v>0</v>
      </c>
      <c r="L136" s="884">
        <f t="shared" ref="L136:L174" ca="1" si="53">IF(OR(B92&gt;0,AND(B92=0,C92&gt;0)),I92,H92)</f>
        <v>0</v>
      </c>
      <c r="M136" s="885">
        <f t="shared" ref="M136:M174" ca="1" si="54">IF(OR(B92&gt;0,AND(B92=0,C92&gt;0)),J92,K92)</f>
        <v>0</v>
      </c>
      <c r="N136" s="884">
        <f t="shared" ca="1" si="35"/>
        <v>0</v>
      </c>
      <c r="O136" s="886">
        <f t="shared" ca="1" si="36"/>
        <v>0</v>
      </c>
      <c r="P136" s="882">
        <f t="shared" ca="1" si="37"/>
        <v>0</v>
      </c>
      <c r="Q136" s="883">
        <f t="shared" ca="1" si="38"/>
        <v>0</v>
      </c>
      <c r="R136" s="884">
        <f t="shared" ca="1" si="39"/>
        <v>0</v>
      </c>
      <c r="S136" s="885">
        <f t="shared" ca="1" si="40"/>
        <v>0</v>
      </c>
      <c r="T136" s="884">
        <f t="shared" ca="1" si="41"/>
        <v>0</v>
      </c>
      <c r="U136" s="885">
        <f t="shared" ref="U136:U174" ca="1" si="55">R136</f>
        <v>0</v>
      </c>
      <c r="V136" s="884">
        <f t="shared" ca="1" si="42"/>
        <v>0</v>
      </c>
      <c r="W136" s="885">
        <f ca="1">IF(OR(B92&lt;&gt;0,C92&lt;&gt;0),IF(AB92&lt;&gt;0,IF(B92&gt;0,Q92,T92),V92) -  F92 * $T$1,PlotData!$CB$4)</f>
        <v>0</v>
      </c>
      <c r="X136" s="885">
        <f ca="1">IF(OR(B92&lt;&gt;0,C92&lt;&gt;0),IF(AB92&lt;&gt;0,IF(B92&gt;0,Q92,T92),V92) +  F92 * $T$1,PlotData!$CB$4)</f>
        <v>0</v>
      </c>
      <c r="Y136" s="885">
        <f t="shared" ref="Y136:Y174" ca="1" si="56">V136</f>
        <v>0</v>
      </c>
      <c r="Z136" s="884">
        <f t="shared" ca="1" si="43"/>
        <v>0</v>
      </c>
      <c r="AA136" s="885">
        <f t="shared" ca="1" si="44"/>
        <v>0</v>
      </c>
      <c r="AB136" s="884">
        <f t="shared" ca="1" si="45"/>
        <v>0</v>
      </c>
      <c r="AC136" s="888">
        <f t="shared" ca="1" si="46"/>
        <v>0</v>
      </c>
    </row>
    <row r="137" spans="1:32" x14ac:dyDescent="0.25">
      <c r="A137" s="827">
        <v>3</v>
      </c>
      <c r="B137" s="887">
        <f t="shared" ca="1" si="47"/>
        <v>0</v>
      </c>
      <c r="C137" s="885">
        <f t="shared" ref="C137:C174" ca="1" si="57">IF(OR(B93&gt;0,AND(B93=0,C93&gt;0)),H93,I93)</f>
        <v>0</v>
      </c>
      <c r="D137" s="884">
        <f t="shared" ref="D137:D174" ca="1" si="58">IF(AB93&lt;&gt;0,IF(B93&gt;0,L93,C137),C137)</f>
        <v>0</v>
      </c>
      <c r="E137" s="885">
        <f t="shared" ca="1" si="48"/>
        <v>0</v>
      </c>
      <c r="F137" s="884">
        <f t="shared" ca="1" si="49"/>
        <v>0</v>
      </c>
      <c r="G137" s="885">
        <f t="shared" ca="1" si="50"/>
        <v>0</v>
      </c>
      <c r="H137" s="884">
        <f t="shared" ca="1" si="51"/>
        <v>0</v>
      </c>
      <c r="I137" s="885">
        <f ca="1">IF(OR(B93&lt;&gt;0,C93&lt;&gt;0),IF(AB93&lt;&gt;0,IF(B93&gt;0,I93,L93),N93) -  E93 * $T$1,PlotData!$CB$3)</f>
        <v>0</v>
      </c>
      <c r="J137" s="884">
        <f ca="1">IF(OR(B93&lt;&gt;0,C93&lt;&gt;0),IF(AB93&lt;&gt;0,IF(B93&gt;0,I93,L93),N93) +  E93 * $T$1,PlotData!$CB$3)</f>
        <v>0</v>
      </c>
      <c r="K137" s="885">
        <f t="shared" ca="1" si="52"/>
        <v>0</v>
      </c>
      <c r="L137" s="884">
        <f t="shared" ca="1" si="53"/>
        <v>0</v>
      </c>
      <c r="M137" s="885">
        <f t="shared" ca="1" si="54"/>
        <v>0</v>
      </c>
      <c r="N137" s="884">
        <f t="shared" ca="1" si="35"/>
        <v>0</v>
      </c>
      <c r="O137" s="886">
        <f t="shared" ca="1" si="36"/>
        <v>0</v>
      </c>
      <c r="P137" s="882">
        <f t="shared" ca="1" si="37"/>
        <v>0</v>
      </c>
      <c r="Q137" s="883">
        <f t="shared" ca="1" si="38"/>
        <v>0</v>
      </c>
      <c r="R137" s="884">
        <f t="shared" ca="1" si="39"/>
        <v>0</v>
      </c>
      <c r="S137" s="885">
        <f t="shared" ca="1" si="40"/>
        <v>0</v>
      </c>
      <c r="T137" s="884">
        <f t="shared" ca="1" si="41"/>
        <v>0</v>
      </c>
      <c r="U137" s="885">
        <f t="shared" ca="1" si="55"/>
        <v>0</v>
      </c>
      <c r="V137" s="884">
        <f t="shared" ca="1" si="42"/>
        <v>0</v>
      </c>
      <c r="W137" s="885">
        <f ca="1">IF(OR(B93&lt;&gt;0,C93&lt;&gt;0),IF(AB93&lt;&gt;0,IF(B93&gt;0,Q93,T93),V93) -  F93 * $T$1,PlotData!$CB$4)</f>
        <v>0</v>
      </c>
      <c r="X137" s="885">
        <f ca="1">IF(OR(B93&lt;&gt;0,C93&lt;&gt;0),IF(AB93&lt;&gt;0,IF(B93&gt;0,Q93,T93),V93) +  F93 * $T$1,PlotData!$CB$4)</f>
        <v>0</v>
      </c>
      <c r="Y137" s="885">
        <f t="shared" ca="1" si="56"/>
        <v>0</v>
      </c>
      <c r="Z137" s="884">
        <f t="shared" ca="1" si="43"/>
        <v>0</v>
      </c>
      <c r="AA137" s="885">
        <f t="shared" ca="1" si="44"/>
        <v>0</v>
      </c>
      <c r="AB137" s="884">
        <f t="shared" ca="1" si="45"/>
        <v>0</v>
      </c>
      <c r="AC137" s="888">
        <f t="shared" ca="1" si="46"/>
        <v>0</v>
      </c>
    </row>
    <row r="138" spans="1:32" x14ac:dyDescent="0.25">
      <c r="A138" s="827">
        <v>4</v>
      </c>
      <c r="B138" s="887">
        <f t="shared" ca="1" si="47"/>
        <v>0</v>
      </c>
      <c r="C138" s="885">
        <f t="shared" ca="1" si="57"/>
        <v>0</v>
      </c>
      <c r="D138" s="884">
        <f t="shared" ca="1" si="58"/>
        <v>0</v>
      </c>
      <c r="E138" s="885">
        <f t="shared" ca="1" si="48"/>
        <v>0</v>
      </c>
      <c r="F138" s="884">
        <f t="shared" ca="1" si="49"/>
        <v>0</v>
      </c>
      <c r="G138" s="885">
        <f t="shared" ca="1" si="50"/>
        <v>0</v>
      </c>
      <c r="H138" s="884">
        <f t="shared" ca="1" si="51"/>
        <v>0</v>
      </c>
      <c r="I138" s="885">
        <f ca="1">IF(OR(B94&lt;&gt;0,C94&lt;&gt;0),IF(AB94&lt;&gt;0,IF(B94&gt;0,I94,L94),N94) -  E94 * $T$1,PlotData!$CB$3)</f>
        <v>0</v>
      </c>
      <c r="J138" s="884">
        <f ca="1">IF(OR(B94&lt;&gt;0,C94&lt;&gt;0),IF(AB94&lt;&gt;0,IF(B94&gt;0,I94,L94),N94) +  E94 * $T$1,PlotData!$CB$3)</f>
        <v>0</v>
      </c>
      <c r="K138" s="885">
        <f t="shared" ca="1" si="52"/>
        <v>0</v>
      </c>
      <c r="L138" s="884">
        <f t="shared" ca="1" si="53"/>
        <v>0</v>
      </c>
      <c r="M138" s="885">
        <f t="shared" ca="1" si="54"/>
        <v>0</v>
      </c>
      <c r="N138" s="884">
        <f t="shared" ca="1" si="35"/>
        <v>0</v>
      </c>
      <c r="O138" s="886">
        <f t="shared" ca="1" si="36"/>
        <v>0</v>
      </c>
      <c r="P138" s="882">
        <f t="shared" ca="1" si="37"/>
        <v>0</v>
      </c>
      <c r="Q138" s="883">
        <f t="shared" ca="1" si="38"/>
        <v>0</v>
      </c>
      <c r="R138" s="884">
        <f t="shared" ca="1" si="39"/>
        <v>0</v>
      </c>
      <c r="S138" s="885">
        <f t="shared" ca="1" si="40"/>
        <v>0</v>
      </c>
      <c r="T138" s="884">
        <f t="shared" ca="1" si="41"/>
        <v>0</v>
      </c>
      <c r="U138" s="885">
        <f t="shared" ca="1" si="55"/>
        <v>0</v>
      </c>
      <c r="V138" s="884">
        <f t="shared" ca="1" si="42"/>
        <v>0</v>
      </c>
      <c r="W138" s="885">
        <f ca="1">IF(OR(B94&lt;&gt;0,C94&lt;&gt;0),IF(AB94&lt;&gt;0,IF(B94&gt;0,Q94,T94),V94) -  F94 * $T$1,PlotData!$CB$4)</f>
        <v>0</v>
      </c>
      <c r="X138" s="885">
        <f ca="1">IF(OR(B94&lt;&gt;0,C94&lt;&gt;0),IF(AB94&lt;&gt;0,IF(B94&gt;0,Q94,T94),V94) +  F94 * $T$1,PlotData!$CB$4)</f>
        <v>0</v>
      </c>
      <c r="Y138" s="885">
        <f t="shared" ca="1" si="56"/>
        <v>0</v>
      </c>
      <c r="Z138" s="884">
        <f t="shared" ca="1" si="43"/>
        <v>0</v>
      </c>
      <c r="AA138" s="885">
        <f t="shared" ca="1" si="44"/>
        <v>0</v>
      </c>
      <c r="AB138" s="884">
        <f t="shared" ca="1" si="45"/>
        <v>0</v>
      </c>
      <c r="AC138" s="888">
        <f t="shared" ca="1" si="46"/>
        <v>0</v>
      </c>
    </row>
    <row r="139" spans="1:32" x14ac:dyDescent="0.25">
      <c r="A139" s="827">
        <v>5</v>
      </c>
      <c r="B139" s="887">
        <f t="shared" ca="1" si="47"/>
        <v>0</v>
      </c>
      <c r="C139" s="885">
        <f t="shared" ca="1" si="57"/>
        <v>0</v>
      </c>
      <c r="D139" s="884">
        <f t="shared" ca="1" si="58"/>
        <v>0</v>
      </c>
      <c r="E139" s="885">
        <f t="shared" ca="1" si="48"/>
        <v>0</v>
      </c>
      <c r="F139" s="884">
        <f t="shared" ca="1" si="49"/>
        <v>0</v>
      </c>
      <c r="G139" s="885">
        <f t="shared" ca="1" si="50"/>
        <v>0</v>
      </c>
      <c r="H139" s="884">
        <f t="shared" ca="1" si="51"/>
        <v>0</v>
      </c>
      <c r="I139" s="885">
        <f ca="1">IF(OR(B95&lt;&gt;0,C95&lt;&gt;0),IF(AB95&lt;&gt;0,IF(B95&gt;0,I95,L95),N95) -  E95 * $T$1,PlotData!$CB$3)</f>
        <v>0</v>
      </c>
      <c r="J139" s="884">
        <f ca="1">IF(OR(B95&lt;&gt;0,C95&lt;&gt;0),IF(AB95&lt;&gt;0,IF(B95&gt;0,I95,L95),N95) +  E95 * $T$1,PlotData!$CB$3)</f>
        <v>0</v>
      </c>
      <c r="K139" s="885">
        <f t="shared" ca="1" si="52"/>
        <v>0</v>
      </c>
      <c r="L139" s="884">
        <f t="shared" ca="1" si="53"/>
        <v>0</v>
      </c>
      <c r="M139" s="885">
        <f t="shared" ca="1" si="54"/>
        <v>0</v>
      </c>
      <c r="N139" s="884">
        <f t="shared" ca="1" si="35"/>
        <v>0</v>
      </c>
      <c r="O139" s="886">
        <f t="shared" ca="1" si="36"/>
        <v>0</v>
      </c>
      <c r="P139" s="882">
        <f t="shared" ca="1" si="37"/>
        <v>0</v>
      </c>
      <c r="Q139" s="883">
        <f t="shared" ca="1" si="38"/>
        <v>0</v>
      </c>
      <c r="R139" s="884">
        <f t="shared" ca="1" si="39"/>
        <v>0</v>
      </c>
      <c r="S139" s="885">
        <f t="shared" ca="1" si="40"/>
        <v>0</v>
      </c>
      <c r="T139" s="884">
        <f t="shared" ca="1" si="41"/>
        <v>0</v>
      </c>
      <c r="U139" s="885">
        <f t="shared" ca="1" si="55"/>
        <v>0</v>
      </c>
      <c r="V139" s="884">
        <f t="shared" ca="1" si="42"/>
        <v>0</v>
      </c>
      <c r="W139" s="885">
        <f ca="1">IF(OR(B95&lt;&gt;0,C95&lt;&gt;0),IF(AB95&lt;&gt;0,IF(B95&gt;0,Q95,T95),V95) -  F95 * $T$1,PlotData!$CB$4)</f>
        <v>0</v>
      </c>
      <c r="X139" s="885">
        <f ca="1">IF(OR(B95&lt;&gt;0,C95&lt;&gt;0),IF(AB95&lt;&gt;0,IF(B95&gt;0,Q95,T95),V95) +  F95 * $T$1,PlotData!$CB$4)</f>
        <v>0</v>
      </c>
      <c r="Y139" s="885">
        <f t="shared" ca="1" si="56"/>
        <v>0</v>
      </c>
      <c r="Z139" s="884">
        <f t="shared" ca="1" si="43"/>
        <v>0</v>
      </c>
      <c r="AA139" s="885">
        <f t="shared" ca="1" si="44"/>
        <v>0</v>
      </c>
      <c r="AB139" s="884">
        <f t="shared" ca="1" si="45"/>
        <v>0</v>
      </c>
      <c r="AC139" s="888">
        <f t="shared" ca="1" si="46"/>
        <v>0</v>
      </c>
    </row>
    <row r="140" spans="1:32" x14ac:dyDescent="0.25">
      <c r="A140" s="827">
        <v>6</v>
      </c>
      <c r="B140" s="887">
        <f t="shared" si="47"/>
        <v>0</v>
      </c>
      <c r="C140" s="885">
        <f t="shared" si="57"/>
        <v>0</v>
      </c>
      <c r="D140" s="884">
        <f t="shared" si="58"/>
        <v>0</v>
      </c>
      <c r="E140" s="885">
        <f t="shared" si="48"/>
        <v>0</v>
      </c>
      <c r="F140" s="884">
        <f t="shared" si="49"/>
        <v>0</v>
      </c>
      <c r="G140" s="885">
        <f t="shared" si="50"/>
        <v>0</v>
      </c>
      <c r="H140" s="884">
        <f t="shared" si="51"/>
        <v>0</v>
      </c>
      <c r="I140" s="885">
        <f>IF(OR(B96&lt;&gt;0,C96&lt;&gt;0),IF(AB96&lt;&gt;0,IF(B96&gt;0,I96,L96),N96) -  E96 * $T$1,PlotData!$CB$3)</f>
        <v>0</v>
      </c>
      <c r="J140" s="884">
        <f>IF(OR(B96&lt;&gt;0,C96&lt;&gt;0),IF(AB96&lt;&gt;0,IF(B96&gt;0,I96,L96),N96) +  E96 * $T$1,PlotData!$CB$3)</f>
        <v>0</v>
      </c>
      <c r="K140" s="885">
        <f t="shared" si="52"/>
        <v>0</v>
      </c>
      <c r="L140" s="884">
        <f t="shared" si="53"/>
        <v>0</v>
      </c>
      <c r="M140" s="885">
        <f t="shared" si="54"/>
        <v>0</v>
      </c>
      <c r="N140" s="884">
        <f t="shared" si="35"/>
        <v>0</v>
      </c>
      <c r="O140" s="886">
        <f t="shared" si="36"/>
        <v>0</v>
      </c>
      <c r="P140" s="882">
        <f t="shared" si="37"/>
        <v>0</v>
      </c>
      <c r="Q140" s="883">
        <f t="shared" si="38"/>
        <v>0</v>
      </c>
      <c r="R140" s="884">
        <f t="shared" si="39"/>
        <v>0</v>
      </c>
      <c r="S140" s="885">
        <f t="shared" si="40"/>
        <v>0</v>
      </c>
      <c r="T140" s="884">
        <f t="shared" si="41"/>
        <v>0</v>
      </c>
      <c r="U140" s="885">
        <f t="shared" si="55"/>
        <v>0</v>
      </c>
      <c r="V140" s="884">
        <f t="shared" si="42"/>
        <v>0</v>
      </c>
      <c r="W140" s="885">
        <f>IF(OR(B96&lt;&gt;0,C96&lt;&gt;0),IF(AB96&lt;&gt;0,IF(B96&gt;0,Q96,T96),V96) -  F96 * $T$1,PlotData!$CB$4)</f>
        <v>0</v>
      </c>
      <c r="X140" s="885">
        <f>IF(OR(B96&lt;&gt;0,C96&lt;&gt;0),IF(AB96&lt;&gt;0,IF(B96&gt;0,Q96,T96),V96) +  F96 * $T$1,PlotData!$CB$4)</f>
        <v>0</v>
      </c>
      <c r="Y140" s="885">
        <f t="shared" si="56"/>
        <v>0</v>
      </c>
      <c r="Z140" s="884">
        <f t="shared" si="43"/>
        <v>0</v>
      </c>
      <c r="AA140" s="885">
        <f t="shared" si="44"/>
        <v>0</v>
      </c>
      <c r="AB140" s="884">
        <f t="shared" si="45"/>
        <v>0</v>
      </c>
      <c r="AC140" s="888">
        <f t="shared" si="46"/>
        <v>0</v>
      </c>
    </row>
    <row r="141" spans="1:32" x14ac:dyDescent="0.25">
      <c r="A141" s="827">
        <v>7</v>
      </c>
      <c r="B141" s="887">
        <f t="shared" si="47"/>
        <v>0</v>
      </c>
      <c r="C141" s="885">
        <f t="shared" si="57"/>
        <v>0</v>
      </c>
      <c r="D141" s="884">
        <f t="shared" si="58"/>
        <v>0</v>
      </c>
      <c r="E141" s="885">
        <f t="shared" si="48"/>
        <v>0</v>
      </c>
      <c r="F141" s="884">
        <f t="shared" si="49"/>
        <v>0</v>
      </c>
      <c r="G141" s="885">
        <f t="shared" si="50"/>
        <v>0</v>
      </c>
      <c r="H141" s="884">
        <f t="shared" si="51"/>
        <v>0</v>
      </c>
      <c r="I141" s="885">
        <f>IF(OR(B97&lt;&gt;0,C97&lt;&gt;0),IF(AB97&lt;&gt;0,IF(B97&gt;0,I97,L97),N97) -  E97 * $T$1,PlotData!$CB$3)</f>
        <v>0</v>
      </c>
      <c r="J141" s="884">
        <f>IF(OR(B97&lt;&gt;0,C97&lt;&gt;0),IF(AB97&lt;&gt;0,IF(B97&gt;0,I97,L97),N97) +  E97 * $T$1,PlotData!$CB$3)</f>
        <v>0</v>
      </c>
      <c r="K141" s="885">
        <f t="shared" si="52"/>
        <v>0</v>
      </c>
      <c r="L141" s="884">
        <f t="shared" si="53"/>
        <v>0</v>
      </c>
      <c r="M141" s="885">
        <f t="shared" si="54"/>
        <v>0</v>
      </c>
      <c r="N141" s="884">
        <f t="shared" si="35"/>
        <v>0</v>
      </c>
      <c r="O141" s="886">
        <f t="shared" si="36"/>
        <v>0</v>
      </c>
      <c r="P141" s="882">
        <f t="shared" si="37"/>
        <v>0</v>
      </c>
      <c r="Q141" s="883">
        <f t="shared" si="38"/>
        <v>0</v>
      </c>
      <c r="R141" s="884">
        <f t="shared" si="39"/>
        <v>0</v>
      </c>
      <c r="S141" s="885">
        <f t="shared" si="40"/>
        <v>0</v>
      </c>
      <c r="T141" s="884">
        <f t="shared" si="41"/>
        <v>0</v>
      </c>
      <c r="U141" s="885">
        <f t="shared" si="55"/>
        <v>0</v>
      </c>
      <c r="V141" s="884">
        <f t="shared" si="42"/>
        <v>0</v>
      </c>
      <c r="W141" s="885">
        <f>IF(OR(B97&lt;&gt;0,C97&lt;&gt;0),IF(AB97&lt;&gt;0,IF(B97&gt;0,Q97,T97),V97) -  F97 * $T$1,PlotData!$CB$4)</f>
        <v>0</v>
      </c>
      <c r="X141" s="885">
        <f>IF(OR(B97&lt;&gt;0,C97&lt;&gt;0),IF(AB97&lt;&gt;0,IF(B97&gt;0,Q97,T97),V97) +  F97 * $T$1,PlotData!$CB$4)</f>
        <v>0</v>
      </c>
      <c r="Y141" s="885">
        <f t="shared" si="56"/>
        <v>0</v>
      </c>
      <c r="Z141" s="884">
        <f t="shared" si="43"/>
        <v>0</v>
      </c>
      <c r="AA141" s="885">
        <f t="shared" si="44"/>
        <v>0</v>
      </c>
      <c r="AB141" s="884">
        <f t="shared" si="45"/>
        <v>0</v>
      </c>
      <c r="AC141" s="888">
        <f t="shared" si="46"/>
        <v>0</v>
      </c>
    </row>
    <row r="142" spans="1:32" x14ac:dyDescent="0.25">
      <c r="A142" s="827">
        <v>8</v>
      </c>
      <c r="B142" s="887">
        <f t="shared" si="47"/>
        <v>0</v>
      </c>
      <c r="C142" s="885">
        <f t="shared" si="57"/>
        <v>0</v>
      </c>
      <c r="D142" s="884">
        <f t="shared" si="58"/>
        <v>0</v>
      </c>
      <c r="E142" s="885">
        <f t="shared" si="48"/>
        <v>0</v>
      </c>
      <c r="F142" s="884">
        <f t="shared" si="49"/>
        <v>0</v>
      </c>
      <c r="G142" s="885">
        <f t="shared" si="50"/>
        <v>0</v>
      </c>
      <c r="H142" s="884">
        <f t="shared" si="51"/>
        <v>0</v>
      </c>
      <c r="I142" s="885">
        <f>IF(OR(B98&lt;&gt;0,C98&lt;&gt;0),IF(AB98&lt;&gt;0,IF(B98&gt;0,I98,L98),N98) -  E98 * $T$1,PlotData!$CB$3)</f>
        <v>0</v>
      </c>
      <c r="J142" s="884">
        <f>IF(OR(B98&lt;&gt;0,C98&lt;&gt;0),IF(AB98&lt;&gt;0,IF(B98&gt;0,I98,L98),N98) +  E98 * $T$1,PlotData!$CB$3)</f>
        <v>0</v>
      </c>
      <c r="K142" s="885">
        <f t="shared" si="52"/>
        <v>0</v>
      </c>
      <c r="L142" s="884">
        <f t="shared" si="53"/>
        <v>0</v>
      </c>
      <c r="M142" s="885">
        <f t="shared" si="54"/>
        <v>0</v>
      </c>
      <c r="N142" s="884">
        <f t="shared" si="35"/>
        <v>0</v>
      </c>
      <c r="O142" s="886">
        <f t="shared" si="36"/>
        <v>0</v>
      </c>
      <c r="P142" s="882">
        <f t="shared" si="37"/>
        <v>0</v>
      </c>
      <c r="Q142" s="883">
        <f t="shared" si="38"/>
        <v>0</v>
      </c>
      <c r="R142" s="884">
        <f t="shared" si="39"/>
        <v>0</v>
      </c>
      <c r="S142" s="885">
        <f t="shared" si="40"/>
        <v>0</v>
      </c>
      <c r="T142" s="884">
        <f t="shared" si="41"/>
        <v>0</v>
      </c>
      <c r="U142" s="885">
        <f t="shared" si="55"/>
        <v>0</v>
      </c>
      <c r="V142" s="884">
        <f t="shared" si="42"/>
        <v>0</v>
      </c>
      <c r="W142" s="885">
        <f>IF(OR(B98&lt;&gt;0,C98&lt;&gt;0),IF(AB98&lt;&gt;0,IF(B98&gt;0,Q98,T98),V98) -  F98 * $T$1,PlotData!$CB$4)</f>
        <v>0</v>
      </c>
      <c r="X142" s="885">
        <f>IF(OR(B98&lt;&gt;0,C98&lt;&gt;0),IF(AB98&lt;&gt;0,IF(B98&gt;0,Q98,T98),V98) +  F98 * $T$1,PlotData!$CB$4)</f>
        <v>0</v>
      </c>
      <c r="Y142" s="885">
        <f t="shared" si="56"/>
        <v>0</v>
      </c>
      <c r="Z142" s="884">
        <f t="shared" si="43"/>
        <v>0</v>
      </c>
      <c r="AA142" s="885">
        <f t="shared" si="44"/>
        <v>0</v>
      </c>
      <c r="AB142" s="884">
        <f t="shared" si="45"/>
        <v>0</v>
      </c>
      <c r="AC142" s="888">
        <f t="shared" si="46"/>
        <v>0</v>
      </c>
    </row>
    <row r="143" spans="1:32" x14ac:dyDescent="0.25">
      <c r="A143" s="827">
        <v>9</v>
      </c>
      <c r="B143" s="887">
        <f t="shared" si="47"/>
        <v>0</v>
      </c>
      <c r="C143" s="885">
        <f t="shared" si="57"/>
        <v>0</v>
      </c>
      <c r="D143" s="884">
        <f t="shared" si="58"/>
        <v>0</v>
      </c>
      <c r="E143" s="885">
        <f t="shared" si="48"/>
        <v>0</v>
      </c>
      <c r="F143" s="884">
        <f t="shared" si="49"/>
        <v>0</v>
      </c>
      <c r="G143" s="885">
        <f t="shared" si="50"/>
        <v>0</v>
      </c>
      <c r="H143" s="884">
        <f t="shared" si="51"/>
        <v>0</v>
      </c>
      <c r="I143" s="885">
        <f>IF(OR(B99&lt;&gt;0,C99&lt;&gt;0),IF(AB99&lt;&gt;0,IF(B99&gt;0,I99,L99),N99) -  E99 * $T$1,PlotData!$CB$3)</f>
        <v>0</v>
      </c>
      <c r="J143" s="884">
        <f>IF(OR(B99&lt;&gt;0,C99&lt;&gt;0),IF(AB99&lt;&gt;0,IF(B99&gt;0,I99,L99),N99) +  E99 * $T$1,PlotData!$CB$3)</f>
        <v>0</v>
      </c>
      <c r="K143" s="885">
        <f t="shared" si="52"/>
        <v>0</v>
      </c>
      <c r="L143" s="884">
        <f t="shared" si="53"/>
        <v>0</v>
      </c>
      <c r="M143" s="885">
        <f t="shared" si="54"/>
        <v>0</v>
      </c>
      <c r="N143" s="884">
        <f t="shared" si="35"/>
        <v>0</v>
      </c>
      <c r="O143" s="886">
        <f t="shared" si="36"/>
        <v>0</v>
      </c>
      <c r="P143" s="882">
        <f t="shared" si="37"/>
        <v>0</v>
      </c>
      <c r="Q143" s="883">
        <f t="shared" si="38"/>
        <v>0</v>
      </c>
      <c r="R143" s="884">
        <f t="shared" si="39"/>
        <v>0</v>
      </c>
      <c r="S143" s="885">
        <f t="shared" si="40"/>
        <v>0</v>
      </c>
      <c r="T143" s="884">
        <f t="shared" si="41"/>
        <v>0</v>
      </c>
      <c r="U143" s="885">
        <f t="shared" si="55"/>
        <v>0</v>
      </c>
      <c r="V143" s="884">
        <f t="shared" si="42"/>
        <v>0</v>
      </c>
      <c r="W143" s="885">
        <f>IF(OR(B99&lt;&gt;0,C99&lt;&gt;0),IF(AB99&lt;&gt;0,IF(B99&gt;0,Q99,T99),V99) -  F99 * $T$1,PlotData!$CB$4)</f>
        <v>0</v>
      </c>
      <c r="X143" s="885">
        <f>IF(OR(B99&lt;&gt;0,C99&lt;&gt;0),IF(AB99&lt;&gt;0,IF(B99&gt;0,Q99,T99),V99) +  F99 * $T$1,PlotData!$CB$4)</f>
        <v>0</v>
      </c>
      <c r="Y143" s="885">
        <f t="shared" si="56"/>
        <v>0</v>
      </c>
      <c r="Z143" s="884">
        <f t="shared" si="43"/>
        <v>0</v>
      </c>
      <c r="AA143" s="885">
        <f t="shared" si="44"/>
        <v>0</v>
      </c>
      <c r="AB143" s="884">
        <f t="shared" si="45"/>
        <v>0</v>
      </c>
      <c r="AC143" s="888">
        <f t="shared" si="46"/>
        <v>0</v>
      </c>
    </row>
    <row r="144" spans="1:32" x14ac:dyDescent="0.25">
      <c r="A144" s="827">
        <v>10</v>
      </c>
      <c r="B144" s="887">
        <f t="shared" si="47"/>
        <v>0</v>
      </c>
      <c r="C144" s="885">
        <f t="shared" si="57"/>
        <v>0</v>
      </c>
      <c r="D144" s="884">
        <f t="shared" si="58"/>
        <v>0</v>
      </c>
      <c r="E144" s="885">
        <f t="shared" si="48"/>
        <v>0</v>
      </c>
      <c r="F144" s="884">
        <f t="shared" si="49"/>
        <v>0</v>
      </c>
      <c r="G144" s="885">
        <f t="shared" si="50"/>
        <v>0</v>
      </c>
      <c r="H144" s="884">
        <f t="shared" si="51"/>
        <v>0</v>
      </c>
      <c r="I144" s="885">
        <f>IF(OR(B100&lt;&gt;0,C100&lt;&gt;0),IF(AB100&lt;&gt;0,IF(B100&gt;0,I100,L100),N100) -  E100 * $T$1,PlotData!$CB$3)</f>
        <v>0</v>
      </c>
      <c r="J144" s="884">
        <f>IF(OR(B100&lt;&gt;0,C100&lt;&gt;0),IF(AB100&lt;&gt;0,IF(B100&gt;0,I100,L100),N100) +  E100 * $T$1,PlotData!$CB$3)</f>
        <v>0</v>
      </c>
      <c r="K144" s="885">
        <f t="shared" si="52"/>
        <v>0</v>
      </c>
      <c r="L144" s="884">
        <f t="shared" si="53"/>
        <v>0</v>
      </c>
      <c r="M144" s="885">
        <f t="shared" si="54"/>
        <v>0</v>
      </c>
      <c r="N144" s="884">
        <f t="shared" si="35"/>
        <v>0</v>
      </c>
      <c r="O144" s="886">
        <f t="shared" si="36"/>
        <v>0</v>
      </c>
      <c r="P144" s="882">
        <f t="shared" si="37"/>
        <v>0</v>
      </c>
      <c r="Q144" s="883">
        <f t="shared" si="38"/>
        <v>0</v>
      </c>
      <c r="R144" s="884">
        <f t="shared" si="39"/>
        <v>0</v>
      </c>
      <c r="S144" s="885">
        <f t="shared" si="40"/>
        <v>0</v>
      </c>
      <c r="T144" s="884">
        <f t="shared" si="41"/>
        <v>0</v>
      </c>
      <c r="U144" s="885">
        <f t="shared" si="55"/>
        <v>0</v>
      </c>
      <c r="V144" s="884">
        <f t="shared" si="42"/>
        <v>0</v>
      </c>
      <c r="W144" s="885">
        <f>IF(OR(B100&lt;&gt;0,C100&lt;&gt;0),IF(AB100&lt;&gt;0,IF(B100&gt;0,Q100,T100),V100) -  F100 * $T$1,PlotData!$CB$4)</f>
        <v>0</v>
      </c>
      <c r="X144" s="885">
        <f>IF(OR(B100&lt;&gt;0,C100&lt;&gt;0),IF(AB100&lt;&gt;0,IF(B100&gt;0,Q100,T100),V100) +  F100 * $T$1,PlotData!$CB$4)</f>
        <v>0</v>
      </c>
      <c r="Y144" s="885">
        <f t="shared" si="56"/>
        <v>0</v>
      </c>
      <c r="Z144" s="884">
        <f t="shared" si="43"/>
        <v>0</v>
      </c>
      <c r="AA144" s="885">
        <f t="shared" si="44"/>
        <v>0</v>
      </c>
      <c r="AB144" s="884">
        <f t="shared" si="45"/>
        <v>0</v>
      </c>
      <c r="AC144" s="888">
        <f t="shared" si="46"/>
        <v>0</v>
      </c>
    </row>
    <row r="145" spans="1:29" x14ac:dyDescent="0.25">
      <c r="A145" s="827">
        <v>11</v>
      </c>
      <c r="B145" s="887">
        <f t="shared" si="47"/>
        <v>0</v>
      </c>
      <c r="C145" s="885">
        <f t="shared" si="57"/>
        <v>0</v>
      </c>
      <c r="D145" s="884">
        <f t="shared" si="58"/>
        <v>0</v>
      </c>
      <c r="E145" s="885">
        <f t="shared" si="48"/>
        <v>0</v>
      </c>
      <c r="F145" s="884">
        <f t="shared" si="49"/>
        <v>0</v>
      </c>
      <c r="G145" s="885">
        <f t="shared" si="50"/>
        <v>0</v>
      </c>
      <c r="H145" s="884">
        <f t="shared" si="51"/>
        <v>0</v>
      </c>
      <c r="I145" s="885">
        <f>IF(OR(B101&lt;&gt;0,C101&lt;&gt;0),IF(AB101&lt;&gt;0,IF(B101&gt;0,I101,L101),N101) -  E101 * $T$1,PlotData!$CB$3)</f>
        <v>0</v>
      </c>
      <c r="J145" s="884">
        <f>IF(OR(B101&lt;&gt;0,C101&lt;&gt;0),IF(AB101&lt;&gt;0,IF(B101&gt;0,I101,L101),N101) +  E101 * $T$1,PlotData!$CB$3)</f>
        <v>0</v>
      </c>
      <c r="K145" s="885">
        <f t="shared" si="52"/>
        <v>0</v>
      </c>
      <c r="L145" s="884">
        <f t="shared" si="53"/>
        <v>0</v>
      </c>
      <c r="M145" s="885">
        <f t="shared" si="54"/>
        <v>0</v>
      </c>
      <c r="N145" s="884">
        <f t="shared" si="35"/>
        <v>0</v>
      </c>
      <c r="O145" s="886">
        <f t="shared" si="36"/>
        <v>0</v>
      </c>
      <c r="P145" s="882">
        <f t="shared" si="37"/>
        <v>0</v>
      </c>
      <c r="Q145" s="883">
        <f t="shared" si="38"/>
        <v>0</v>
      </c>
      <c r="R145" s="884">
        <f t="shared" si="39"/>
        <v>0</v>
      </c>
      <c r="S145" s="885">
        <f t="shared" si="40"/>
        <v>0</v>
      </c>
      <c r="T145" s="884">
        <f t="shared" si="41"/>
        <v>0</v>
      </c>
      <c r="U145" s="885">
        <f t="shared" si="55"/>
        <v>0</v>
      </c>
      <c r="V145" s="884">
        <f t="shared" si="42"/>
        <v>0</v>
      </c>
      <c r="W145" s="885">
        <f>IF(OR(B101&lt;&gt;0,C101&lt;&gt;0),IF(AB101&lt;&gt;0,IF(B101&gt;0,Q101,T101),V101) -  F101 * $T$1,PlotData!$CB$4)</f>
        <v>0</v>
      </c>
      <c r="X145" s="885">
        <f>IF(OR(B101&lt;&gt;0,C101&lt;&gt;0),IF(AB101&lt;&gt;0,IF(B101&gt;0,Q101,T101),V101) +  F101 * $T$1,PlotData!$CB$4)</f>
        <v>0</v>
      </c>
      <c r="Y145" s="885">
        <f t="shared" si="56"/>
        <v>0</v>
      </c>
      <c r="Z145" s="884">
        <f t="shared" si="43"/>
        <v>0</v>
      </c>
      <c r="AA145" s="885">
        <f t="shared" si="44"/>
        <v>0</v>
      </c>
      <c r="AB145" s="884">
        <f t="shared" si="45"/>
        <v>0</v>
      </c>
      <c r="AC145" s="888">
        <f t="shared" si="46"/>
        <v>0</v>
      </c>
    </row>
    <row r="146" spans="1:29" x14ac:dyDescent="0.25">
      <c r="A146" s="827">
        <v>12</v>
      </c>
      <c r="B146" s="887">
        <f t="shared" si="47"/>
        <v>0</v>
      </c>
      <c r="C146" s="885">
        <f t="shared" si="57"/>
        <v>0</v>
      </c>
      <c r="D146" s="884">
        <f t="shared" si="58"/>
        <v>0</v>
      </c>
      <c r="E146" s="885">
        <f t="shared" si="48"/>
        <v>0</v>
      </c>
      <c r="F146" s="884">
        <f t="shared" si="49"/>
        <v>0</v>
      </c>
      <c r="G146" s="885">
        <f t="shared" si="50"/>
        <v>0</v>
      </c>
      <c r="H146" s="884">
        <f t="shared" si="51"/>
        <v>0</v>
      </c>
      <c r="I146" s="885">
        <f>IF(OR(B102&lt;&gt;0,C102&lt;&gt;0),IF(AB102&lt;&gt;0,IF(B102&gt;0,I102,L102),N102) -  E102 * $T$1,PlotData!$CB$3)</f>
        <v>0</v>
      </c>
      <c r="J146" s="884">
        <f>IF(OR(B102&lt;&gt;0,C102&lt;&gt;0),IF(AB102&lt;&gt;0,IF(B102&gt;0,I102,L102),N102) +  E102 * $T$1,PlotData!$CB$3)</f>
        <v>0</v>
      </c>
      <c r="K146" s="885">
        <f t="shared" si="52"/>
        <v>0</v>
      </c>
      <c r="L146" s="884">
        <f t="shared" si="53"/>
        <v>0</v>
      </c>
      <c r="M146" s="885">
        <f t="shared" si="54"/>
        <v>0</v>
      </c>
      <c r="N146" s="884">
        <f t="shared" si="35"/>
        <v>0</v>
      </c>
      <c r="O146" s="886">
        <f t="shared" si="36"/>
        <v>0</v>
      </c>
      <c r="P146" s="882">
        <f t="shared" si="37"/>
        <v>0</v>
      </c>
      <c r="Q146" s="883">
        <f t="shared" si="38"/>
        <v>0</v>
      </c>
      <c r="R146" s="884">
        <f t="shared" si="39"/>
        <v>0</v>
      </c>
      <c r="S146" s="885">
        <f t="shared" si="40"/>
        <v>0</v>
      </c>
      <c r="T146" s="884">
        <f t="shared" si="41"/>
        <v>0</v>
      </c>
      <c r="U146" s="885">
        <f t="shared" si="55"/>
        <v>0</v>
      </c>
      <c r="V146" s="884">
        <f t="shared" si="42"/>
        <v>0</v>
      </c>
      <c r="W146" s="885">
        <f>IF(OR(B102&lt;&gt;0,C102&lt;&gt;0),IF(AB102&lt;&gt;0,IF(B102&gt;0,Q102,T102),V102) -  F102 * $T$1,PlotData!$CB$4)</f>
        <v>0</v>
      </c>
      <c r="X146" s="885">
        <f>IF(OR(B102&lt;&gt;0,C102&lt;&gt;0),IF(AB102&lt;&gt;0,IF(B102&gt;0,Q102,T102),V102) +  F102 * $T$1,PlotData!$CB$4)</f>
        <v>0</v>
      </c>
      <c r="Y146" s="885">
        <f t="shared" si="56"/>
        <v>0</v>
      </c>
      <c r="Z146" s="884">
        <f t="shared" si="43"/>
        <v>0</v>
      </c>
      <c r="AA146" s="885">
        <f t="shared" si="44"/>
        <v>0</v>
      </c>
      <c r="AB146" s="884">
        <f t="shared" si="45"/>
        <v>0</v>
      </c>
      <c r="AC146" s="888">
        <f t="shared" si="46"/>
        <v>0</v>
      </c>
    </row>
    <row r="147" spans="1:29" x14ac:dyDescent="0.25">
      <c r="A147" s="827">
        <v>13</v>
      </c>
      <c r="B147" s="887">
        <f t="shared" si="47"/>
        <v>0</v>
      </c>
      <c r="C147" s="885">
        <f t="shared" si="57"/>
        <v>0</v>
      </c>
      <c r="D147" s="884">
        <f t="shared" si="58"/>
        <v>0</v>
      </c>
      <c r="E147" s="885">
        <f t="shared" si="48"/>
        <v>0</v>
      </c>
      <c r="F147" s="884">
        <f t="shared" si="49"/>
        <v>0</v>
      </c>
      <c r="G147" s="885">
        <f t="shared" si="50"/>
        <v>0</v>
      </c>
      <c r="H147" s="884">
        <f t="shared" si="51"/>
        <v>0</v>
      </c>
      <c r="I147" s="885">
        <f>IF(OR(B103&lt;&gt;0,C103&lt;&gt;0),IF(AB103&lt;&gt;0,IF(B103&gt;0,I103,L103),N103) -  E103 * $T$1,PlotData!$CB$3)</f>
        <v>0</v>
      </c>
      <c r="J147" s="884">
        <f>IF(OR(B103&lt;&gt;0,C103&lt;&gt;0),IF(AB103&lt;&gt;0,IF(B103&gt;0,I103,L103),N103) +  E103 * $T$1,PlotData!$CB$3)</f>
        <v>0</v>
      </c>
      <c r="K147" s="885">
        <f t="shared" si="52"/>
        <v>0</v>
      </c>
      <c r="L147" s="884">
        <f t="shared" si="53"/>
        <v>0</v>
      </c>
      <c r="M147" s="885">
        <f t="shared" si="54"/>
        <v>0</v>
      </c>
      <c r="N147" s="884">
        <f t="shared" si="35"/>
        <v>0</v>
      </c>
      <c r="O147" s="886">
        <f t="shared" si="36"/>
        <v>0</v>
      </c>
      <c r="P147" s="882">
        <f t="shared" si="37"/>
        <v>0</v>
      </c>
      <c r="Q147" s="883">
        <f t="shared" si="38"/>
        <v>0</v>
      </c>
      <c r="R147" s="884">
        <f t="shared" si="39"/>
        <v>0</v>
      </c>
      <c r="S147" s="885">
        <f t="shared" si="40"/>
        <v>0</v>
      </c>
      <c r="T147" s="884">
        <f t="shared" si="41"/>
        <v>0</v>
      </c>
      <c r="U147" s="885">
        <f t="shared" si="55"/>
        <v>0</v>
      </c>
      <c r="V147" s="884">
        <f t="shared" si="42"/>
        <v>0</v>
      </c>
      <c r="W147" s="885">
        <f>IF(OR(B103&lt;&gt;0,C103&lt;&gt;0),IF(AB103&lt;&gt;0,IF(B103&gt;0,Q103,T103),V103) -  F103 * $T$1,PlotData!$CB$4)</f>
        <v>0</v>
      </c>
      <c r="X147" s="885">
        <f>IF(OR(B103&lt;&gt;0,C103&lt;&gt;0),IF(AB103&lt;&gt;0,IF(B103&gt;0,Q103,T103),V103) +  F103 * $T$1,PlotData!$CB$4)</f>
        <v>0</v>
      </c>
      <c r="Y147" s="885">
        <f t="shared" si="56"/>
        <v>0</v>
      </c>
      <c r="Z147" s="884">
        <f t="shared" si="43"/>
        <v>0</v>
      </c>
      <c r="AA147" s="885">
        <f t="shared" si="44"/>
        <v>0</v>
      </c>
      <c r="AB147" s="884">
        <f t="shared" si="45"/>
        <v>0</v>
      </c>
      <c r="AC147" s="888">
        <f t="shared" si="46"/>
        <v>0</v>
      </c>
    </row>
    <row r="148" spans="1:29" x14ac:dyDescent="0.25">
      <c r="A148" s="827">
        <v>14</v>
      </c>
      <c r="B148" s="887">
        <f t="shared" si="47"/>
        <v>0</v>
      </c>
      <c r="C148" s="885">
        <f t="shared" si="57"/>
        <v>0</v>
      </c>
      <c r="D148" s="884">
        <f t="shared" si="58"/>
        <v>0</v>
      </c>
      <c r="E148" s="885">
        <f t="shared" si="48"/>
        <v>0</v>
      </c>
      <c r="F148" s="884">
        <f t="shared" si="49"/>
        <v>0</v>
      </c>
      <c r="G148" s="885">
        <f t="shared" si="50"/>
        <v>0</v>
      </c>
      <c r="H148" s="884">
        <f t="shared" si="51"/>
        <v>0</v>
      </c>
      <c r="I148" s="885">
        <f>IF(OR(B104&lt;&gt;0,C104&lt;&gt;0),IF(AB104&lt;&gt;0,IF(B104&gt;0,I104,L104),N104) -  E104 * $T$1,PlotData!$CB$3)</f>
        <v>0</v>
      </c>
      <c r="J148" s="884">
        <f>IF(OR(B104&lt;&gt;0,C104&lt;&gt;0),IF(AB104&lt;&gt;0,IF(B104&gt;0,I104,L104),N104) +  E104 * $T$1,PlotData!$CB$3)</f>
        <v>0</v>
      </c>
      <c r="K148" s="885">
        <f t="shared" si="52"/>
        <v>0</v>
      </c>
      <c r="L148" s="884">
        <f t="shared" si="53"/>
        <v>0</v>
      </c>
      <c r="M148" s="885">
        <f t="shared" si="54"/>
        <v>0</v>
      </c>
      <c r="N148" s="884">
        <f t="shared" si="35"/>
        <v>0</v>
      </c>
      <c r="O148" s="886">
        <f t="shared" si="36"/>
        <v>0</v>
      </c>
      <c r="P148" s="882">
        <f t="shared" si="37"/>
        <v>0</v>
      </c>
      <c r="Q148" s="883">
        <f t="shared" si="38"/>
        <v>0</v>
      </c>
      <c r="R148" s="884">
        <f t="shared" si="39"/>
        <v>0</v>
      </c>
      <c r="S148" s="885">
        <f t="shared" si="40"/>
        <v>0</v>
      </c>
      <c r="T148" s="884">
        <f t="shared" si="41"/>
        <v>0</v>
      </c>
      <c r="U148" s="885">
        <f t="shared" si="55"/>
        <v>0</v>
      </c>
      <c r="V148" s="884">
        <f t="shared" si="42"/>
        <v>0</v>
      </c>
      <c r="W148" s="885">
        <f>IF(OR(B104&lt;&gt;0,C104&lt;&gt;0),IF(AB104&lt;&gt;0,IF(B104&gt;0,Q104,T104),V104) -  F104 * $T$1,PlotData!$CB$4)</f>
        <v>0</v>
      </c>
      <c r="X148" s="885">
        <f>IF(OR(B104&lt;&gt;0,C104&lt;&gt;0),IF(AB104&lt;&gt;0,IF(B104&gt;0,Q104,T104),V104) +  F104 * $T$1,PlotData!$CB$4)</f>
        <v>0</v>
      </c>
      <c r="Y148" s="885">
        <f t="shared" si="56"/>
        <v>0</v>
      </c>
      <c r="Z148" s="884">
        <f t="shared" si="43"/>
        <v>0</v>
      </c>
      <c r="AA148" s="885">
        <f t="shared" si="44"/>
        <v>0</v>
      </c>
      <c r="AB148" s="884">
        <f t="shared" si="45"/>
        <v>0</v>
      </c>
      <c r="AC148" s="888">
        <f t="shared" si="46"/>
        <v>0</v>
      </c>
    </row>
    <row r="149" spans="1:29" x14ac:dyDescent="0.25">
      <c r="A149" s="827">
        <v>15</v>
      </c>
      <c r="B149" s="887">
        <f t="shared" si="47"/>
        <v>0</v>
      </c>
      <c r="C149" s="885">
        <f t="shared" si="57"/>
        <v>0</v>
      </c>
      <c r="D149" s="884">
        <f t="shared" si="58"/>
        <v>0</v>
      </c>
      <c r="E149" s="885">
        <f t="shared" si="48"/>
        <v>0</v>
      </c>
      <c r="F149" s="884">
        <f t="shared" si="49"/>
        <v>0</v>
      </c>
      <c r="G149" s="885">
        <f t="shared" si="50"/>
        <v>0</v>
      </c>
      <c r="H149" s="884">
        <f t="shared" si="51"/>
        <v>0</v>
      </c>
      <c r="I149" s="885">
        <f>IF(OR(B105&lt;&gt;0,C105&lt;&gt;0),IF(AB105&lt;&gt;0,IF(B105&gt;0,I105,L105),N105) -  E105 * $T$1,PlotData!$CB$3)</f>
        <v>0</v>
      </c>
      <c r="J149" s="884">
        <f>IF(OR(B105&lt;&gt;0,C105&lt;&gt;0),IF(AB105&lt;&gt;0,IF(B105&gt;0,I105,L105),N105) +  E105 * $T$1,PlotData!$CB$3)</f>
        <v>0</v>
      </c>
      <c r="K149" s="885">
        <f t="shared" si="52"/>
        <v>0</v>
      </c>
      <c r="L149" s="884">
        <f t="shared" si="53"/>
        <v>0</v>
      </c>
      <c r="M149" s="885">
        <f t="shared" si="54"/>
        <v>0</v>
      </c>
      <c r="N149" s="884">
        <f t="shared" si="35"/>
        <v>0</v>
      </c>
      <c r="O149" s="886">
        <f t="shared" si="36"/>
        <v>0</v>
      </c>
      <c r="P149" s="882">
        <f t="shared" si="37"/>
        <v>0</v>
      </c>
      <c r="Q149" s="883">
        <f t="shared" si="38"/>
        <v>0</v>
      </c>
      <c r="R149" s="884">
        <f t="shared" si="39"/>
        <v>0</v>
      </c>
      <c r="S149" s="885">
        <f t="shared" si="40"/>
        <v>0</v>
      </c>
      <c r="T149" s="884">
        <f t="shared" si="41"/>
        <v>0</v>
      </c>
      <c r="U149" s="885">
        <f t="shared" si="55"/>
        <v>0</v>
      </c>
      <c r="V149" s="884">
        <f t="shared" si="42"/>
        <v>0</v>
      </c>
      <c r="W149" s="885">
        <f>IF(OR(B105&lt;&gt;0,C105&lt;&gt;0),IF(AB105&lt;&gt;0,IF(B105&gt;0,Q105,T105),V105) -  F105 * $T$1,PlotData!$CB$4)</f>
        <v>0</v>
      </c>
      <c r="X149" s="885">
        <f>IF(OR(B105&lt;&gt;0,C105&lt;&gt;0),IF(AB105&lt;&gt;0,IF(B105&gt;0,Q105,T105),V105) +  F105 * $T$1,PlotData!$CB$4)</f>
        <v>0</v>
      </c>
      <c r="Y149" s="885">
        <f t="shared" si="56"/>
        <v>0</v>
      </c>
      <c r="Z149" s="884">
        <f t="shared" si="43"/>
        <v>0</v>
      </c>
      <c r="AA149" s="885">
        <f t="shared" si="44"/>
        <v>0</v>
      </c>
      <c r="AB149" s="884">
        <f t="shared" si="45"/>
        <v>0</v>
      </c>
      <c r="AC149" s="888">
        <f t="shared" si="46"/>
        <v>0</v>
      </c>
    </row>
    <row r="150" spans="1:29" x14ac:dyDescent="0.25">
      <c r="A150" s="827">
        <v>16</v>
      </c>
      <c r="B150" s="887">
        <f t="shared" si="47"/>
        <v>0</v>
      </c>
      <c r="C150" s="885">
        <f t="shared" si="57"/>
        <v>0</v>
      </c>
      <c r="D150" s="884">
        <f t="shared" si="58"/>
        <v>0</v>
      </c>
      <c r="E150" s="885">
        <f t="shared" si="48"/>
        <v>0</v>
      </c>
      <c r="F150" s="884">
        <f t="shared" si="49"/>
        <v>0</v>
      </c>
      <c r="G150" s="885">
        <f t="shared" si="50"/>
        <v>0</v>
      </c>
      <c r="H150" s="884">
        <f t="shared" si="51"/>
        <v>0</v>
      </c>
      <c r="I150" s="885">
        <f>IF(OR(B106&lt;&gt;0,C106&lt;&gt;0),IF(AB106&lt;&gt;0,IF(B106&gt;0,I106,L106),N106) -  E106 * $T$1,PlotData!$CB$3)</f>
        <v>0</v>
      </c>
      <c r="J150" s="884">
        <f>IF(OR(B106&lt;&gt;0,C106&lt;&gt;0),IF(AB106&lt;&gt;0,IF(B106&gt;0,I106,L106),N106) +  E106 * $T$1,PlotData!$CB$3)</f>
        <v>0</v>
      </c>
      <c r="K150" s="885">
        <f t="shared" si="52"/>
        <v>0</v>
      </c>
      <c r="L150" s="884">
        <f t="shared" si="53"/>
        <v>0</v>
      </c>
      <c r="M150" s="885">
        <f t="shared" si="54"/>
        <v>0</v>
      </c>
      <c r="N150" s="884">
        <f t="shared" si="35"/>
        <v>0</v>
      </c>
      <c r="O150" s="886">
        <f t="shared" si="36"/>
        <v>0</v>
      </c>
      <c r="P150" s="882">
        <f t="shared" si="37"/>
        <v>0</v>
      </c>
      <c r="Q150" s="883">
        <f t="shared" si="38"/>
        <v>0</v>
      </c>
      <c r="R150" s="884">
        <f t="shared" si="39"/>
        <v>0</v>
      </c>
      <c r="S150" s="885">
        <f t="shared" si="40"/>
        <v>0</v>
      </c>
      <c r="T150" s="884">
        <f t="shared" si="41"/>
        <v>0</v>
      </c>
      <c r="U150" s="885">
        <f t="shared" si="55"/>
        <v>0</v>
      </c>
      <c r="V150" s="884">
        <f t="shared" si="42"/>
        <v>0</v>
      </c>
      <c r="W150" s="885">
        <f>IF(OR(B106&lt;&gt;0,C106&lt;&gt;0),IF(AB106&lt;&gt;0,IF(B106&gt;0,Q106,T106),V106) -  F106 * $T$1,PlotData!$CB$4)</f>
        <v>0</v>
      </c>
      <c r="X150" s="885">
        <f>IF(OR(B106&lt;&gt;0,C106&lt;&gt;0),IF(AB106&lt;&gt;0,IF(B106&gt;0,Q106,T106),V106) +  F106 * $T$1,PlotData!$CB$4)</f>
        <v>0</v>
      </c>
      <c r="Y150" s="885">
        <f t="shared" si="56"/>
        <v>0</v>
      </c>
      <c r="Z150" s="884">
        <f t="shared" si="43"/>
        <v>0</v>
      </c>
      <c r="AA150" s="885">
        <f t="shared" si="44"/>
        <v>0</v>
      </c>
      <c r="AB150" s="884">
        <f t="shared" si="45"/>
        <v>0</v>
      </c>
      <c r="AC150" s="888">
        <f t="shared" si="46"/>
        <v>0</v>
      </c>
    </row>
    <row r="151" spans="1:29" x14ac:dyDescent="0.25">
      <c r="A151" s="827">
        <v>17</v>
      </c>
      <c r="B151" s="887">
        <f t="shared" si="47"/>
        <v>0</v>
      </c>
      <c r="C151" s="885">
        <f t="shared" si="57"/>
        <v>0</v>
      </c>
      <c r="D151" s="884">
        <f t="shared" si="58"/>
        <v>0</v>
      </c>
      <c r="E151" s="885">
        <f t="shared" si="48"/>
        <v>0</v>
      </c>
      <c r="F151" s="884">
        <f t="shared" si="49"/>
        <v>0</v>
      </c>
      <c r="G151" s="885">
        <f t="shared" si="50"/>
        <v>0</v>
      </c>
      <c r="H151" s="884">
        <f t="shared" si="51"/>
        <v>0</v>
      </c>
      <c r="I151" s="885">
        <f>IF(OR(B107&lt;&gt;0,C107&lt;&gt;0),IF(AB107&lt;&gt;0,IF(B107&gt;0,I107,L107),N107) -  E107 * $T$1,PlotData!$CB$3)</f>
        <v>0</v>
      </c>
      <c r="J151" s="884">
        <f>IF(OR(B107&lt;&gt;0,C107&lt;&gt;0),IF(AB107&lt;&gt;0,IF(B107&gt;0,I107,L107),N107) +  E107 * $T$1,PlotData!$CB$3)</f>
        <v>0</v>
      </c>
      <c r="K151" s="885">
        <f t="shared" si="52"/>
        <v>0</v>
      </c>
      <c r="L151" s="884">
        <f t="shared" si="53"/>
        <v>0</v>
      </c>
      <c r="M151" s="885">
        <f t="shared" si="54"/>
        <v>0</v>
      </c>
      <c r="N151" s="884">
        <f t="shared" si="35"/>
        <v>0</v>
      </c>
      <c r="O151" s="886">
        <f t="shared" si="36"/>
        <v>0</v>
      </c>
      <c r="P151" s="882">
        <f t="shared" si="37"/>
        <v>0</v>
      </c>
      <c r="Q151" s="883">
        <f t="shared" si="38"/>
        <v>0</v>
      </c>
      <c r="R151" s="884">
        <f t="shared" si="39"/>
        <v>0</v>
      </c>
      <c r="S151" s="885">
        <f t="shared" si="40"/>
        <v>0</v>
      </c>
      <c r="T151" s="884">
        <f t="shared" si="41"/>
        <v>0</v>
      </c>
      <c r="U151" s="885">
        <f t="shared" si="55"/>
        <v>0</v>
      </c>
      <c r="V151" s="884">
        <f t="shared" si="42"/>
        <v>0</v>
      </c>
      <c r="W151" s="885">
        <f>IF(OR(B107&lt;&gt;0,C107&lt;&gt;0),IF(AB107&lt;&gt;0,IF(B107&gt;0,Q107,T107),V107) -  F107 * $T$1,PlotData!$CB$4)</f>
        <v>0</v>
      </c>
      <c r="X151" s="885">
        <f>IF(OR(B107&lt;&gt;0,C107&lt;&gt;0),IF(AB107&lt;&gt;0,IF(B107&gt;0,Q107,T107),V107) +  F107 * $T$1,PlotData!$CB$4)</f>
        <v>0</v>
      </c>
      <c r="Y151" s="885">
        <f t="shared" si="56"/>
        <v>0</v>
      </c>
      <c r="Z151" s="884">
        <f t="shared" si="43"/>
        <v>0</v>
      </c>
      <c r="AA151" s="885">
        <f t="shared" si="44"/>
        <v>0</v>
      </c>
      <c r="AB151" s="884">
        <f t="shared" si="45"/>
        <v>0</v>
      </c>
      <c r="AC151" s="888">
        <f t="shared" si="46"/>
        <v>0</v>
      </c>
    </row>
    <row r="152" spans="1:29" x14ac:dyDescent="0.25">
      <c r="A152" s="827">
        <v>18</v>
      </c>
      <c r="B152" s="887">
        <f t="shared" si="47"/>
        <v>0</v>
      </c>
      <c r="C152" s="885">
        <f t="shared" si="57"/>
        <v>0</v>
      </c>
      <c r="D152" s="884">
        <f t="shared" si="58"/>
        <v>0</v>
      </c>
      <c r="E152" s="885">
        <f t="shared" si="48"/>
        <v>0</v>
      </c>
      <c r="F152" s="884">
        <f t="shared" si="49"/>
        <v>0</v>
      </c>
      <c r="G152" s="885">
        <f t="shared" si="50"/>
        <v>0</v>
      </c>
      <c r="H152" s="884">
        <f t="shared" si="51"/>
        <v>0</v>
      </c>
      <c r="I152" s="885">
        <f>IF(OR(B108&lt;&gt;0,C108&lt;&gt;0),IF(AB108&lt;&gt;0,IF(B108&gt;0,I108,L108),N108) -  E108 * $T$1,PlotData!$CB$3)</f>
        <v>0</v>
      </c>
      <c r="J152" s="884">
        <f>IF(OR(B108&lt;&gt;0,C108&lt;&gt;0),IF(AB108&lt;&gt;0,IF(B108&gt;0,I108,L108),N108) +  E108 * $T$1,PlotData!$CB$3)</f>
        <v>0</v>
      </c>
      <c r="K152" s="885">
        <f t="shared" si="52"/>
        <v>0</v>
      </c>
      <c r="L152" s="884">
        <f t="shared" si="53"/>
        <v>0</v>
      </c>
      <c r="M152" s="885">
        <f t="shared" si="54"/>
        <v>0</v>
      </c>
      <c r="N152" s="884">
        <f t="shared" si="35"/>
        <v>0</v>
      </c>
      <c r="O152" s="886">
        <f t="shared" si="36"/>
        <v>0</v>
      </c>
      <c r="P152" s="882">
        <f t="shared" si="37"/>
        <v>0</v>
      </c>
      <c r="Q152" s="883">
        <f t="shared" si="38"/>
        <v>0</v>
      </c>
      <c r="R152" s="884">
        <f t="shared" si="39"/>
        <v>0</v>
      </c>
      <c r="S152" s="885">
        <f t="shared" si="40"/>
        <v>0</v>
      </c>
      <c r="T152" s="884">
        <f t="shared" si="41"/>
        <v>0</v>
      </c>
      <c r="U152" s="885">
        <f t="shared" si="55"/>
        <v>0</v>
      </c>
      <c r="V152" s="884">
        <f t="shared" si="42"/>
        <v>0</v>
      </c>
      <c r="W152" s="885">
        <f>IF(OR(B108&lt;&gt;0,C108&lt;&gt;0),IF(AB108&lt;&gt;0,IF(B108&gt;0,Q108,T108),V108) -  F108 * $T$1,PlotData!$CB$4)</f>
        <v>0</v>
      </c>
      <c r="X152" s="885">
        <f>IF(OR(B108&lt;&gt;0,C108&lt;&gt;0),IF(AB108&lt;&gt;0,IF(B108&gt;0,Q108,T108),V108) +  F108 * $T$1,PlotData!$CB$4)</f>
        <v>0</v>
      </c>
      <c r="Y152" s="885">
        <f t="shared" si="56"/>
        <v>0</v>
      </c>
      <c r="Z152" s="884">
        <f t="shared" si="43"/>
        <v>0</v>
      </c>
      <c r="AA152" s="885">
        <f t="shared" si="44"/>
        <v>0</v>
      </c>
      <c r="AB152" s="884">
        <f t="shared" si="45"/>
        <v>0</v>
      </c>
      <c r="AC152" s="888">
        <f t="shared" si="46"/>
        <v>0</v>
      </c>
    </row>
    <row r="153" spans="1:29" x14ac:dyDescent="0.25">
      <c r="A153" s="827">
        <v>19</v>
      </c>
      <c r="B153" s="887">
        <f t="shared" si="47"/>
        <v>0</v>
      </c>
      <c r="C153" s="885">
        <f t="shared" si="57"/>
        <v>0</v>
      </c>
      <c r="D153" s="884">
        <f t="shared" si="58"/>
        <v>0</v>
      </c>
      <c r="E153" s="885">
        <f t="shared" si="48"/>
        <v>0</v>
      </c>
      <c r="F153" s="884">
        <f t="shared" si="49"/>
        <v>0</v>
      </c>
      <c r="G153" s="885">
        <f t="shared" si="50"/>
        <v>0</v>
      </c>
      <c r="H153" s="884">
        <f t="shared" si="51"/>
        <v>0</v>
      </c>
      <c r="I153" s="885">
        <f>IF(OR(B109&lt;&gt;0,C109&lt;&gt;0),IF(AB109&lt;&gt;0,IF(B109&gt;0,I109,L109),N109) -  E109 * $T$1,PlotData!$CB$3)</f>
        <v>0</v>
      </c>
      <c r="J153" s="884">
        <f>IF(OR(B109&lt;&gt;0,C109&lt;&gt;0),IF(AB109&lt;&gt;0,IF(B109&gt;0,I109,L109),N109) +  E109 * $T$1,PlotData!$CB$3)</f>
        <v>0</v>
      </c>
      <c r="K153" s="885">
        <f t="shared" si="52"/>
        <v>0</v>
      </c>
      <c r="L153" s="884">
        <f t="shared" si="53"/>
        <v>0</v>
      </c>
      <c r="M153" s="885">
        <f t="shared" si="54"/>
        <v>0</v>
      </c>
      <c r="N153" s="884">
        <f t="shared" si="35"/>
        <v>0</v>
      </c>
      <c r="O153" s="886">
        <f t="shared" si="36"/>
        <v>0</v>
      </c>
      <c r="P153" s="882">
        <f t="shared" si="37"/>
        <v>0</v>
      </c>
      <c r="Q153" s="883">
        <f t="shared" si="38"/>
        <v>0</v>
      </c>
      <c r="R153" s="884">
        <f t="shared" si="39"/>
        <v>0</v>
      </c>
      <c r="S153" s="885">
        <f t="shared" si="40"/>
        <v>0</v>
      </c>
      <c r="T153" s="884">
        <f t="shared" si="41"/>
        <v>0</v>
      </c>
      <c r="U153" s="885">
        <f t="shared" si="55"/>
        <v>0</v>
      </c>
      <c r="V153" s="884">
        <f t="shared" si="42"/>
        <v>0</v>
      </c>
      <c r="W153" s="885">
        <f>IF(OR(B109&lt;&gt;0,C109&lt;&gt;0),IF(AB109&lt;&gt;0,IF(B109&gt;0,Q109,T109),V109) -  F109 * $T$1,PlotData!$CB$4)</f>
        <v>0</v>
      </c>
      <c r="X153" s="885">
        <f>IF(OR(B109&lt;&gt;0,C109&lt;&gt;0),IF(AB109&lt;&gt;0,IF(B109&gt;0,Q109,T109),V109) +  F109 * $T$1,PlotData!$CB$4)</f>
        <v>0</v>
      </c>
      <c r="Y153" s="885">
        <f t="shared" si="56"/>
        <v>0</v>
      </c>
      <c r="Z153" s="884">
        <f t="shared" si="43"/>
        <v>0</v>
      </c>
      <c r="AA153" s="885">
        <f t="shared" si="44"/>
        <v>0</v>
      </c>
      <c r="AB153" s="884">
        <f t="shared" si="45"/>
        <v>0</v>
      </c>
      <c r="AC153" s="888">
        <f t="shared" si="46"/>
        <v>0</v>
      </c>
    </row>
    <row r="154" spans="1:29" x14ac:dyDescent="0.25">
      <c r="A154" s="827">
        <v>20</v>
      </c>
      <c r="B154" s="887">
        <f t="shared" si="47"/>
        <v>0</v>
      </c>
      <c r="C154" s="885">
        <f t="shared" si="57"/>
        <v>0</v>
      </c>
      <c r="D154" s="884">
        <f t="shared" si="58"/>
        <v>0</v>
      </c>
      <c r="E154" s="885">
        <f t="shared" si="48"/>
        <v>0</v>
      </c>
      <c r="F154" s="884">
        <f t="shared" si="49"/>
        <v>0</v>
      </c>
      <c r="G154" s="885">
        <f t="shared" si="50"/>
        <v>0</v>
      </c>
      <c r="H154" s="884">
        <f t="shared" si="51"/>
        <v>0</v>
      </c>
      <c r="I154" s="885">
        <f>IF(OR(B110&lt;&gt;0,C110&lt;&gt;0),IF(AB110&lt;&gt;0,IF(B110&gt;0,I110,L110),N110) -  E110 * $T$1,PlotData!$CB$3)</f>
        <v>0</v>
      </c>
      <c r="J154" s="884">
        <f>IF(OR(B110&lt;&gt;0,C110&lt;&gt;0),IF(AB110&lt;&gt;0,IF(B110&gt;0,I110,L110),N110) +  E110 * $T$1,PlotData!$CB$3)</f>
        <v>0</v>
      </c>
      <c r="K154" s="885">
        <f t="shared" si="52"/>
        <v>0</v>
      </c>
      <c r="L154" s="884">
        <f t="shared" si="53"/>
        <v>0</v>
      </c>
      <c r="M154" s="885">
        <f t="shared" si="54"/>
        <v>0</v>
      </c>
      <c r="N154" s="884">
        <f t="shared" si="35"/>
        <v>0</v>
      </c>
      <c r="O154" s="886">
        <f t="shared" si="36"/>
        <v>0</v>
      </c>
      <c r="P154" s="882">
        <f t="shared" si="37"/>
        <v>0</v>
      </c>
      <c r="Q154" s="883">
        <f t="shared" si="38"/>
        <v>0</v>
      </c>
      <c r="R154" s="884">
        <f t="shared" si="39"/>
        <v>0</v>
      </c>
      <c r="S154" s="885">
        <f t="shared" si="40"/>
        <v>0</v>
      </c>
      <c r="T154" s="884">
        <f t="shared" si="41"/>
        <v>0</v>
      </c>
      <c r="U154" s="885">
        <f t="shared" si="55"/>
        <v>0</v>
      </c>
      <c r="V154" s="884">
        <f t="shared" si="42"/>
        <v>0</v>
      </c>
      <c r="W154" s="885">
        <f>IF(OR(B110&lt;&gt;0,C110&lt;&gt;0),IF(AB110&lt;&gt;0,IF(B110&gt;0,Q110,T110),V110) -  F110 * $T$1,PlotData!$CB$4)</f>
        <v>0</v>
      </c>
      <c r="X154" s="885">
        <f>IF(OR(B110&lt;&gt;0,C110&lt;&gt;0),IF(AB110&lt;&gt;0,IF(B110&gt;0,Q110,T110),V110) +  F110 * $T$1,PlotData!$CB$4)</f>
        <v>0</v>
      </c>
      <c r="Y154" s="885">
        <f t="shared" si="56"/>
        <v>0</v>
      </c>
      <c r="Z154" s="884">
        <f t="shared" si="43"/>
        <v>0</v>
      </c>
      <c r="AA154" s="885">
        <f t="shared" si="44"/>
        <v>0</v>
      </c>
      <c r="AB154" s="884">
        <f t="shared" si="45"/>
        <v>0</v>
      </c>
      <c r="AC154" s="888">
        <f t="shared" si="46"/>
        <v>0</v>
      </c>
    </row>
    <row r="155" spans="1:29" x14ac:dyDescent="0.25">
      <c r="A155" s="827">
        <v>21</v>
      </c>
      <c r="B155" s="887">
        <f t="shared" si="47"/>
        <v>0</v>
      </c>
      <c r="C155" s="885">
        <f t="shared" si="57"/>
        <v>0</v>
      </c>
      <c r="D155" s="884">
        <f t="shared" si="58"/>
        <v>0</v>
      </c>
      <c r="E155" s="885">
        <f t="shared" si="48"/>
        <v>0</v>
      </c>
      <c r="F155" s="884">
        <f t="shared" si="49"/>
        <v>0</v>
      </c>
      <c r="G155" s="885">
        <f t="shared" si="50"/>
        <v>0</v>
      </c>
      <c r="H155" s="884">
        <f t="shared" si="51"/>
        <v>0</v>
      </c>
      <c r="I155" s="885">
        <f>IF(OR(B111&lt;&gt;0,C111&lt;&gt;0),IF(AB111&lt;&gt;0,IF(B111&gt;0,I111,L111),N111) -  E111 * $T$1,PlotData!$CB$3)</f>
        <v>0</v>
      </c>
      <c r="J155" s="884">
        <f>IF(OR(B111&lt;&gt;0,C111&lt;&gt;0),IF(AB111&lt;&gt;0,IF(B111&gt;0,I111,L111),N111) +  E111 * $T$1,PlotData!$CB$3)</f>
        <v>0</v>
      </c>
      <c r="K155" s="885">
        <f t="shared" si="52"/>
        <v>0</v>
      </c>
      <c r="L155" s="884">
        <f t="shared" si="53"/>
        <v>0</v>
      </c>
      <c r="M155" s="885">
        <f t="shared" si="54"/>
        <v>0</v>
      </c>
      <c r="N155" s="884">
        <f t="shared" si="35"/>
        <v>0</v>
      </c>
      <c r="O155" s="886">
        <f t="shared" si="36"/>
        <v>0</v>
      </c>
      <c r="P155" s="882">
        <f t="shared" si="37"/>
        <v>0</v>
      </c>
      <c r="Q155" s="883">
        <f t="shared" si="38"/>
        <v>0</v>
      </c>
      <c r="R155" s="884">
        <f t="shared" si="39"/>
        <v>0</v>
      </c>
      <c r="S155" s="885">
        <f t="shared" si="40"/>
        <v>0</v>
      </c>
      <c r="T155" s="884">
        <f t="shared" si="41"/>
        <v>0</v>
      </c>
      <c r="U155" s="885">
        <f t="shared" si="55"/>
        <v>0</v>
      </c>
      <c r="V155" s="884">
        <f t="shared" si="42"/>
        <v>0</v>
      </c>
      <c r="W155" s="885">
        <f>IF(OR(B111&lt;&gt;0,C111&lt;&gt;0),IF(AB111&lt;&gt;0,IF(B111&gt;0,Q111,T111),V111) -  F111 * $T$1,PlotData!$CB$4)</f>
        <v>0</v>
      </c>
      <c r="X155" s="885">
        <f>IF(OR(B111&lt;&gt;0,C111&lt;&gt;0),IF(AB111&lt;&gt;0,IF(B111&gt;0,Q111,T111),V111) +  F111 * $T$1,PlotData!$CB$4)</f>
        <v>0</v>
      </c>
      <c r="Y155" s="885">
        <f t="shared" si="56"/>
        <v>0</v>
      </c>
      <c r="Z155" s="884">
        <f t="shared" si="43"/>
        <v>0</v>
      </c>
      <c r="AA155" s="885">
        <f t="shared" si="44"/>
        <v>0</v>
      </c>
      <c r="AB155" s="884">
        <f t="shared" si="45"/>
        <v>0</v>
      </c>
      <c r="AC155" s="888">
        <f t="shared" si="46"/>
        <v>0</v>
      </c>
    </row>
    <row r="156" spans="1:29" x14ac:dyDescent="0.25">
      <c r="A156" s="827">
        <v>22</v>
      </c>
      <c r="B156" s="887">
        <f t="shared" si="47"/>
        <v>0</v>
      </c>
      <c r="C156" s="885">
        <f t="shared" si="57"/>
        <v>0</v>
      </c>
      <c r="D156" s="884">
        <f t="shared" si="58"/>
        <v>0</v>
      </c>
      <c r="E156" s="885">
        <f t="shared" si="48"/>
        <v>0</v>
      </c>
      <c r="F156" s="884">
        <f t="shared" si="49"/>
        <v>0</v>
      </c>
      <c r="G156" s="885">
        <f t="shared" si="50"/>
        <v>0</v>
      </c>
      <c r="H156" s="884">
        <f t="shared" si="51"/>
        <v>0</v>
      </c>
      <c r="I156" s="885">
        <f>IF(OR(B112&lt;&gt;0,C112&lt;&gt;0),IF(AB112&lt;&gt;0,IF(B112&gt;0,I112,L112),N112) -  E112 * $T$1,PlotData!$CB$3)</f>
        <v>0</v>
      </c>
      <c r="J156" s="884">
        <f>IF(OR(B112&lt;&gt;0,C112&lt;&gt;0),IF(AB112&lt;&gt;0,IF(B112&gt;0,I112,L112),N112) +  E112 * $T$1,PlotData!$CB$3)</f>
        <v>0</v>
      </c>
      <c r="K156" s="885">
        <f t="shared" si="52"/>
        <v>0</v>
      </c>
      <c r="L156" s="884">
        <f t="shared" si="53"/>
        <v>0</v>
      </c>
      <c r="M156" s="885">
        <f t="shared" si="54"/>
        <v>0</v>
      </c>
      <c r="N156" s="884">
        <f t="shared" si="35"/>
        <v>0</v>
      </c>
      <c r="O156" s="886">
        <f t="shared" si="36"/>
        <v>0</v>
      </c>
      <c r="P156" s="882">
        <f t="shared" si="37"/>
        <v>0</v>
      </c>
      <c r="Q156" s="883">
        <f t="shared" si="38"/>
        <v>0</v>
      </c>
      <c r="R156" s="884">
        <f t="shared" si="39"/>
        <v>0</v>
      </c>
      <c r="S156" s="885">
        <f t="shared" si="40"/>
        <v>0</v>
      </c>
      <c r="T156" s="884">
        <f t="shared" si="41"/>
        <v>0</v>
      </c>
      <c r="U156" s="885">
        <f t="shared" si="55"/>
        <v>0</v>
      </c>
      <c r="V156" s="884">
        <f t="shared" si="42"/>
        <v>0</v>
      </c>
      <c r="W156" s="885">
        <f>IF(OR(B112&lt;&gt;0,C112&lt;&gt;0),IF(AB112&lt;&gt;0,IF(B112&gt;0,Q112,T112),V112) -  F112 * $T$1,PlotData!$CB$4)</f>
        <v>0</v>
      </c>
      <c r="X156" s="885">
        <f>IF(OR(B112&lt;&gt;0,C112&lt;&gt;0),IF(AB112&lt;&gt;0,IF(B112&gt;0,Q112,T112),V112) +  F112 * $T$1,PlotData!$CB$4)</f>
        <v>0</v>
      </c>
      <c r="Y156" s="885">
        <f t="shared" si="56"/>
        <v>0</v>
      </c>
      <c r="Z156" s="884">
        <f t="shared" si="43"/>
        <v>0</v>
      </c>
      <c r="AA156" s="885">
        <f t="shared" si="44"/>
        <v>0</v>
      </c>
      <c r="AB156" s="884">
        <f t="shared" si="45"/>
        <v>0</v>
      </c>
      <c r="AC156" s="888">
        <f t="shared" si="46"/>
        <v>0</v>
      </c>
    </row>
    <row r="157" spans="1:29" x14ac:dyDescent="0.25">
      <c r="A157" s="827">
        <v>23</v>
      </c>
      <c r="B157" s="887">
        <f t="shared" si="47"/>
        <v>0</v>
      </c>
      <c r="C157" s="885">
        <f t="shared" si="57"/>
        <v>0</v>
      </c>
      <c r="D157" s="884">
        <f t="shared" si="58"/>
        <v>0</v>
      </c>
      <c r="E157" s="885">
        <f t="shared" si="48"/>
        <v>0</v>
      </c>
      <c r="F157" s="884">
        <f t="shared" si="49"/>
        <v>0</v>
      </c>
      <c r="G157" s="885">
        <f t="shared" si="50"/>
        <v>0</v>
      </c>
      <c r="H157" s="884">
        <f t="shared" si="51"/>
        <v>0</v>
      </c>
      <c r="I157" s="885">
        <f>IF(OR(B113&lt;&gt;0,C113&lt;&gt;0),IF(AB113&lt;&gt;0,IF(B113&gt;0,I113,L113),N113) -  E113 * $T$1,PlotData!$CB$3)</f>
        <v>0</v>
      </c>
      <c r="J157" s="884">
        <f>IF(OR(B113&lt;&gt;0,C113&lt;&gt;0),IF(AB113&lt;&gt;0,IF(B113&gt;0,I113,L113),N113) +  E113 * $T$1,PlotData!$CB$3)</f>
        <v>0</v>
      </c>
      <c r="K157" s="885">
        <f t="shared" si="52"/>
        <v>0</v>
      </c>
      <c r="L157" s="884">
        <f t="shared" si="53"/>
        <v>0</v>
      </c>
      <c r="M157" s="885">
        <f t="shared" si="54"/>
        <v>0</v>
      </c>
      <c r="N157" s="884">
        <f t="shared" si="35"/>
        <v>0</v>
      </c>
      <c r="O157" s="886">
        <f t="shared" si="36"/>
        <v>0</v>
      </c>
      <c r="P157" s="882">
        <f t="shared" si="37"/>
        <v>0</v>
      </c>
      <c r="Q157" s="883">
        <f t="shared" si="38"/>
        <v>0</v>
      </c>
      <c r="R157" s="884">
        <f t="shared" si="39"/>
        <v>0</v>
      </c>
      <c r="S157" s="885">
        <f t="shared" si="40"/>
        <v>0</v>
      </c>
      <c r="T157" s="884">
        <f t="shared" si="41"/>
        <v>0</v>
      </c>
      <c r="U157" s="885">
        <f t="shared" si="55"/>
        <v>0</v>
      </c>
      <c r="V157" s="884">
        <f t="shared" si="42"/>
        <v>0</v>
      </c>
      <c r="W157" s="885">
        <f>IF(OR(B113&lt;&gt;0,C113&lt;&gt;0),IF(AB113&lt;&gt;0,IF(B113&gt;0,Q113,T113),V113) -  F113 * $T$1,PlotData!$CB$4)</f>
        <v>0</v>
      </c>
      <c r="X157" s="885">
        <f>IF(OR(B113&lt;&gt;0,C113&lt;&gt;0),IF(AB113&lt;&gt;0,IF(B113&gt;0,Q113,T113),V113) +  F113 * $T$1,PlotData!$CB$4)</f>
        <v>0</v>
      </c>
      <c r="Y157" s="885">
        <f t="shared" si="56"/>
        <v>0</v>
      </c>
      <c r="Z157" s="884">
        <f t="shared" si="43"/>
        <v>0</v>
      </c>
      <c r="AA157" s="885">
        <f t="shared" si="44"/>
        <v>0</v>
      </c>
      <c r="AB157" s="884">
        <f t="shared" si="45"/>
        <v>0</v>
      </c>
      <c r="AC157" s="888">
        <f t="shared" si="46"/>
        <v>0</v>
      </c>
    </row>
    <row r="158" spans="1:29" x14ac:dyDescent="0.25">
      <c r="A158" s="827">
        <v>24</v>
      </c>
      <c r="B158" s="887">
        <f t="shared" si="47"/>
        <v>0</v>
      </c>
      <c r="C158" s="885">
        <f t="shared" si="57"/>
        <v>0</v>
      </c>
      <c r="D158" s="884">
        <f t="shared" si="58"/>
        <v>0</v>
      </c>
      <c r="E158" s="885">
        <f t="shared" si="48"/>
        <v>0</v>
      </c>
      <c r="F158" s="884">
        <f t="shared" si="49"/>
        <v>0</v>
      </c>
      <c r="G158" s="885">
        <f t="shared" si="50"/>
        <v>0</v>
      </c>
      <c r="H158" s="884">
        <f t="shared" si="51"/>
        <v>0</v>
      </c>
      <c r="I158" s="885">
        <f>IF(OR(B114&lt;&gt;0,C114&lt;&gt;0),IF(AB114&lt;&gt;0,IF(B114&gt;0,I114,L114),N114) -  E114 * $T$1,PlotData!$CB$3)</f>
        <v>0</v>
      </c>
      <c r="J158" s="884">
        <f>IF(OR(B114&lt;&gt;0,C114&lt;&gt;0),IF(AB114&lt;&gt;0,IF(B114&gt;0,I114,L114),N114) +  E114 * $T$1,PlotData!$CB$3)</f>
        <v>0</v>
      </c>
      <c r="K158" s="885">
        <f t="shared" si="52"/>
        <v>0</v>
      </c>
      <c r="L158" s="884">
        <f t="shared" si="53"/>
        <v>0</v>
      </c>
      <c r="M158" s="885">
        <f t="shared" si="54"/>
        <v>0</v>
      </c>
      <c r="N158" s="884">
        <f t="shared" si="35"/>
        <v>0</v>
      </c>
      <c r="O158" s="886">
        <f t="shared" si="36"/>
        <v>0</v>
      </c>
      <c r="P158" s="882">
        <f t="shared" si="37"/>
        <v>0</v>
      </c>
      <c r="Q158" s="883">
        <f t="shared" si="38"/>
        <v>0</v>
      </c>
      <c r="R158" s="884">
        <f t="shared" si="39"/>
        <v>0</v>
      </c>
      <c r="S158" s="885">
        <f t="shared" si="40"/>
        <v>0</v>
      </c>
      <c r="T158" s="884">
        <f t="shared" si="41"/>
        <v>0</v>
      </c>
      <c r="U158" s="885">
        <f t="shared" si="55"/>
        <v>0</v>
      </c>
      <c r="V158" s="884">
        <f t="shared" si="42"/>
        <v>0</v>
      </c>
      <c r="W158" s="885">
        <f>IF(OR(B114&lt;&gt;0,C114&lt;&gt;0),IF(AB114&lt;&gt;0,IF(B114&gt;0,Q114,T114),V114) -  F114 * $T$1,PlotData!$CB$4)</f>
        <v>0</v>
      </c>
      <c r="X158" s="885">
        <f>IF(OR(B114&lt;&gt;0,C114&lt;&gt;0),IF(AB114&lt;&gt;0,IF(B114&gt;0,Q114,T114),V114) +  F114 * $T$1,PlotData!$CB$4)</f>
        <v>0</v>
      </c>
      <c r="Y158" s="885">
        <f t="shared" si="56"/>
        <v>0</v>
      </c>
      <c r="Z158" s="884">
        <f t="shared" si="43"/>
        <v>0</v>
      </c>
      <c r="AA158" s="885">
        <f t="shared" si="44"/>
        <v>0</v>
      </c>
      <c r="AB158" s="884">
        <f t="shared" si="45"/>
        <v>0</v>
      </c>
      <c r="AC158" s="888">
        <f t="shared" si="46"/>
        <v>0</v>
      </c>
    </row>
    <row r="159" spans="1:29" x14ac:dyDescent="0.25">
      <c r="A159" s="827">
        <v>25</v>
      </c>
      <c r="B159" s="887">
        <f t="shared" si="47"/>
        <v>0</v>
      </c>
      <c r="C159" s="885">
        <f t="shared" si="57"/>
        <v>0</v>
      </c>
      <c r="D159" s="884">
        <f t="shared" si="58"/>
        <v>0</v>
      </c>
      <c r="E159" s="885">
        <f t="shared" si="48"/>
        <v>0</v>
      </c>
      <c r="F159" s="884">
        <f t="shared" si="49"/>
        <v>0</v>
      </c>
      <c r="G159" s="885">
        <f t="shared" si="50"/>
        <v>0</v>
      </c>
      <c r="H159" s="884">
        <f t="shared" si="51"/>
        <v>0</v>
      </c>
      <c r="I159" s="885">
        <f>IF(OR(B115&lt;&gt;0,C115&lt;&gt;0),IF(AB115&lt;&gt;0,IF(B115&gt;0,I115,L115),N115) -  E115 * $T$1,PlotData!$CB$3)</f>
        <v>0</v>
      </c>
      <c r="J159" s="884">
        <f>IF(OR(B115&lt;&gt;0,C115&lt;&gt;0),IF(AB115&lt;&gt;0,IF(B115&gt;0,I115,L115),N115) +  E115 * $T$1,PlotData!$CB$3)</f>
        <v>0</v>
      </c>
      <c r="K159" s="885">
        <f t="shared" si="52"/>
        <v>0</v>
      </c>
      <c r="L159" s="884">
        <f t="shared" si="53"/>
        <v>0</v>
      </c>
      <c r="M159" s="885">
        <f t="shared" si="54"/>
        <v>0</v>
      </c>
      <c r="N159" s="884">
        <f t="shared" si="35"/>
        <v>0</v>
      </c>
      <c r="O159" s="886">
        <f t="shared" si="36"/>
        <v>0</v>
      </c>
      <c r="P159" s="882">
        <f t="shared" si="37"/>
        <v>0</v>
      </c>
      <c r="Q159" s="883">
        <f t="shared" si="38"/>
        <v>0</v>
      </c>
      <c r="R159" s="884">
        <f t="shared" si="39"/>
        <v>0</v>
      </c>
      <c r="S159" s="885">
        <f t="shared" si="40"/>
        <v>0</v>
      </c>
      <c r="T159" s="884">
        <f t="shared" si="41"/>
        <v>0</v>
      </c>
      <c r="U159" s="885">
        <f t="shared" si="55"/>
        <v>0</v>
      </c>
      <c r="V159" s="884">
        <f t="shared" si="42"/>
        <v>0</v>
      </c>
      <c r="W159" s="885">
        <f>IF(OR(B115&lt;&gt;0,C115&lt;&gt;0),IF(AB115&lt;&gt;0,IF(B115&gt;0,Q115,T115),V115) -  F115 * $T$1,PlotData!$CB$4)</f>
        <v>0</v>
      </c>
      <c r="X159" s="885">
        <f>IF(OR(B115&lt;&gt;0,C115&lt;&gt;0),IF(AB115&lt;&gt;0,IF(B115&gt;0,Q115,T115),V115) +  F115 * $T$1,PlotData!$CB$4)</f>
        <v>0</v>
      </c>
      <c r="Y159" s="885">
        <f t="shared" si="56"/>
        <v>0</v>
      </c>
      <c r="Z159" s="884">
        <f t="shared" si="43"/>
        <v>0</v>
      </c>
      <c r="AA159" s="885">
        <f t="shared" si="44"/>
        <v>0</v>
      </c>
      <c r="AB159" s="884">
        <f t="shared" si="45"/>
        <v>0</v>
      </c>
      <c r="AC159" s="888">
        <f t="shared" si="46"/>
        <v>0</v>
      </c>
    </row>
    <row r="160" spans="1:29" x14ac:dyDescent="0.25">
      <c r="A160" s="827">
        <v>26</v>
      </c>
      <c r="B160" s="887">
        <f t="shared" si="47"/>
        <v>0</v>
      </c>
      <c r="C160" s="885">
        <f t="shared" si="57"/>
        <v>0</v>
      </c>
      <c r="D160" s="884">
        <f t="shared" si="58"/>
        <v>0</v>
      </c>
      <c r="E160" s="885">
        <f t="shared" si="48"/>
        <v>0</v>
      </c>
      <c r="F160" s="884">
        <f t="shared" si="49"/>
        <v>0</v>
      </c>
      <c r="G160" s="885">
        <f t="shared" si="50"/>
        <v>0</v>
      </c>
      <c r="H160" s="884">
        <f t="shared" si="51"/>
        <v>0</v>
      </c>
      <c r="I160" s="885">
        <f>IF(OR(B116&lt;&gt;0,C116&lt;&gt;0),IF(AB116&lt;&gt;0,IF(B116&gt;0,I116,L116),N116) -  E116 * $T$1,PlotData!$CB$3)</f>
        <v>0</v>
      </c>
      <c r="J160" s="884">
        <f>IF(OR(B116&lt;&gt;0,C116&lt;&gt;0),IF(AB116&lt;&gt;0,IF(B116&gt;0,I116,L116),N116) +  E116 * $T$1,PlotData!$CB$3)</f>
        <v>0</v>
      </c>
      <c r="K160" s="885">
        <f t="shared" si="52"/>
        <v>0</v>
      </c>
      <c r="L160" s="884">
        <f t="shared" si="53"/>
        <v>0</v>
      </c>
      <c r="M160" s="885">
        <f t="shared" si="54"/>
        <v>0</v>
      </c>
      <c r="N160" s="884">
        <f t="shared" si="35"/>
        <v>0</v>
      </c>
      <c r="O160" s="886">
        <f t="shared" si="36"/>
        <v>0</v>
      </c>
      <c r="P160" s="882">
        <f t="shared" si="37"/>
        <v>0</v>
      </c>
      <c r="Q160" s="883">
        <f t="shared" si="38"/>
        <v>0</v>
      </c>
      <c r="R160" s="884">
        <f t="shared" si="39"/>
        <v>0</v>
      </c>
      <c r="S160" s="885">
        <f t="shared" si="40"/>
        <v>0</v>
      </c>
      <c r="T160" s="884">
        <f t="shared" si="41"/>
        <v>0</v>
      </c>
      <c r="U160" s="885">
        <f t="shared" si="55"/>
        <v>0</v>
      </c>
      <c r="V160" s="884">
        <f t="shared" si="42"/>
        <v>0</v>
      </c>
      <c r="W160" s="885">
        <f>IF(OR(B116&lt;&gt;0,C116&lt;&gt;0),IF(AB116&lt;&gt;0,IF(B116&gt;0,Q116,T116),V116) -  F116 * $T$1,PlotData!$CB$4)</f>
        <v>0</v>
      </c>
      <c r="X160" s="885">
        <f>IF(OR(B116&lt;&gt;0,C116&lt;&gt;0),IF(AB116&lt;&gt;0,IF(B116&gt;0,Q116,T116),V116) +  F116 * $T$1,PlotData!$CB$4)</f>
        <v>0</v>
      </c>
      <c r="Y160" s="885">
        <f t="shared" si="56"/>
        <v>0</v>
      </c>
      <c r="Z160" s="884">
        <f t="shared" si="43"/>
        <v>0</v>
      </c>
      <c r="AA160" s="885">
        <f t="shared" si="44"/>
        <v>0</v>
      </c>
      <c r="AB160" s="884">
        <f t="shared" si="45"/>
        <v>0</v>
      </c>
      <c r="AC160" s="888">
        <f t="shared" si="46"/>
        <v>0</v>
      </c>
    </row>
    <row r="161" spans="1:29" x14ac:dyDescent="0.25">
      <c r="A161" s="827">
        <v>27</v>
      </c>
      <c r="B161" s="887">
        <f t="shared" si="47"/>
        <v>0</v>
      </c>
      <c r="C161" s="885">
        <f t="shared" si="57"/>
        <v>0</v>
      </c>
      <c r="D161" s="884">
        <f t="shared" si="58"/>
        <v>0</v>
      </c>
      <c r="E161" s="885">
        <f t="shared" si="48"/>
        <v>0</v>
      </c>
      <c r="F161" s="884">
        <f t="shared" si="49"/>
        <v>0</v>
      </c>
      <c r="G161" s="885">
        <f t="shared" si="50"/>
        <v>0</v>
      </c>
      <c r="H161" s="884">
        <f t="shared" si="51"/>
        <v>0</v>
      </c>
      <c r="I161" s="885">
        <f>IF(OR(B117&lt;&gt;0,C117&lt;&gt;0),IF(AB117&lt;&gt;0,IF(B117&gt;0,I117,L117),N117) -  E117 * $T$1,PlotData!$CB$3)</f>
        <v>0</v>
      </c>
      <c r="J161" s="884">
        <f>IF(OR(B117&lt;&gt;0,C117&lt;&gt;0),IF(AB117&lt;&gt;0,IF(B117&gt;0,I117,L117),N117) +  E117 * $T$1,PlotData!$CB$3)</f>
        <v>0</v>
      </c>
      <c r="K161" s="885">
        <f t="shared" si="52"/>
        <v>0</v>
      </c>
      <c r="L161" s="884">
        <f t="shared" si="53"/>
        <v>0</v>
      </c>
      <c r="M161" s="885">
        <f t="shared" si="54"/>
        <v>0</v>
      </c>
      <c r="N161" s="884">
        <f t="shared" si="35"/>
        <v>0</v>
      </c>
      <c r="O161" s="886">
        <f t="shared" si="36"/>
        <v>0</v>
      </c>
      <c r="P161" s="882">
        <f t="shared" si="37"/>
        <v>0</v>
      </c>
      <c r="Q161" s="883">
        <f t="shared" si="38"/>
        <v>0</v>
      </c>
      <c r="R161" s="884">
        <f t="shared" si="39"/>
        <v>0</v>
      </c>
      <c r="S161" s="885">
        <f t="shared" si="40"/>
        <v>0</v>
      </c>
      <c r="T161" s="884">
        <f t="shared" si="41"/>
        <v>0</v>
      </c>
      <c r="U161" s="885">
        <f t="shared" si="55"/>
        <v>0</v>
      </c>
      <c r="V161" s="884">
        <f t="shared" si="42"/>
        <v>0</v>
      </c>
      <c r="W161" s="885">
        <f>IF(OR(B117&lt;&gt;0,C117&lt;&gt;0),IF(AB117&lt;&gt;0,IF(B117&gt;0,Q117,T117),V117) -  F117 * $T$1,PlotData!$CB$4)</f>
        <v>0</v>
      </c>
      <c r="X161" s="885">
        <f>IF(OR(B117&lt;&gt;0,C117&lt;&gt;0),IF(AB117&lt;&gt;0,IF(B117&gt;0,Q117,T117),V117) +  F117 * $T$1,PlotData!$CB$4)</f>
        <v>0</v>
      </c>
      <c r="Y161" s="885">
        <f t="shared" si="56"/>
        <v>0</v>
      </c>
      <c r="Z161" s="884">
        <f t="shared" si="43"/>
        <v>0</v>
      </c>
      <c r="AA161" s="885">
        <f t="shared" si="44"/>
        <v>0</v>
      </c>
      <c r="AB161" s="884">
        <f t="shared" si="45"/>
        <v>0</v>
      </c>
      <c r="AC161" s="888">
        <f t="shared" si="46"/>
        <v>0</v>
      </c>
    </row>
    <row r="162" spans="1:29" x14ac:dyDescent="0.25">
      <c r="A162" s="827">
        <v>28</v>
      </c>
      <c r="B162" s="887">
        <f t="shared" si="47"/>
        <v>0</v>
      </c>
      <c r="C162" s="885">
        <f t="shared" si="57"/>
        <v>0</v>
      </c>
      <c r="D162" s="884">
        <f t="shared" si="58"/>
        <v>0</v>
      </c>
      <c r="E162" s="885">
        <f t="shared" si="48"/>
        <v>0</v>
      </c>
      <c r="F162" s="884">
        <f t="shared" si="49"/>
        <v>0</v>
      </c>
      <c r="G162" s="885">
        <f t="shared" si="50"/>
        <v>0</v>
      </c>
      <c r="H162" s="884">
        <f t="shared" si="51"/>
        <v>0</v>
      </c>
      <c r="I162" s="885">
        <f>IF(OR(B118&lt;&gt;0,C118&lt;&gt;0),IF(AB118&lt;&gt;0,IF(B118&gt;0,I118,L118),N118) -  E118 * $T$1,PlotData!$CB$3)</f>
        <v>0</v>
      </c>
      <c r="J162" s="884">
        <f>IF(OR(B118&lt;&gt;0,C118&lt;&gt;0),IF(AB118&lt;&gt;0,IF(B118&gt;0,I118,L118),N118) +  E118 * $T$1,PlotData!$CB$3)</f>
        <v>0</v>
      </c>
      <c r="K162" s="885">
        <f t="shared" si="52"/>
        <v>0</v>
      </c>
      <c r="L162" s="884">
        <f t="shared" si="53"/>
        <v>0</v>
      </c>
      <c r="M162" s="885">
        <f t="shared" si="54"/>
        <v>0</v>
      </c>
      <c r="N162" s="884">
        <f t="shared" si="35"/>
        <v>0</v>
      </c>
      <c r="O162" s="886">
        <f t="shared" si="36"/>
        <v>0</v>
      </c>
      <c r="P162" s="882">
        <f t="shared" si="37"/>
        <v>0</v>
      </c>
      <c r="Q162" s="883">
        <f t="shared" si="38"/>
        <v>0</v>
      </c>
      <c r="R162" s="884">
        <f t="shared" si="39"/>
        <v>0</v>
      </c>
      <c r="S162" s="885">
        <f t="shared" si="40"/>
        <v>0</v>
      </c>
      <c r="T162" s="884">
        <f t="shared" si="41"/>
        <v>0</v>
      </c>
      <c r="U162" s="885">
        <f t="shared" si="55"/>
        <v>0</v>
      </c>
      <c r="V162" s="884">
        <f t="shared" si="42"/>
        <v>0</v>
      </c>
      <c r="W162" s="885">
        <f>IF(OR(B118&lt;&gt;0,C118&lt;&gt;0),IF(AB118&lt;&gt;0,IF(B118&gt;0,Q118,T118),V118) -  F118 * $T$1,PlotData!$CB$4)</f>
        <v>0</v>
      </c>
      <c r="X162" s="885">
        <f>IF(OR(B118&lt;&gt;0,C118&lt;&gt;0),IF(AB118&lt;&gt;0,IF(B118&gt;0,Q118,T118),V118) +  F118 * $T$1,PlotData!$CB$4)</f>
        <v>0</v>
      </c>
      <c r="Y162" s="885">
        <f t="shared" si="56"/>
        <v>0</v>
      </c>
      <c r="Z162" s="884">
        <f t="shared" si="43"/>
        <v>0</v>
      </c>
      <c r="AA162" s="885">
        <f t="shared" si="44"/>
        <v>0</v>
      </c>
      <c r="AB162" s="884">
        <f t="shared" si="45"/>
        <v>0</v>
      </c>
      <c r="AC162" s="888">
        <f t="shared" si="46"/>
        <v>0</v>
      </c>
    </row>
    <row r="163" spans="1:29" x14ac:dyDescent="0.25">
      <c r="A163" s="827">
        <v>29</v>
      </c>
      <c r="B163" s="887">
        <f t="shared" si="47"/>
        <v>0</v>
      </c>
      <c r="C163" s="885">
        <f t="shared" si="57"/>
        <v>0</v>
      </c>
      <c r="D163" s="884">
        <f t="shared" si="58"/>
        <v>0</v>
      </c>
      <c r="E163" s="885">
        <f t="shared" si="48"/>
        <v>0</v>
      </c>
      <c r="F163" s="884">
        <f t="shared" si="49"/>
        <v>0</v>
      </c>
      <c r="G163" s="885">
        <f t="shared" si="50"/>
        <v>0</v>
      </c>
      <c r="H163" s="884">
        <f t="shared" si="51"/>
        <v>0</v>
      </c>
      <c r="I163" s="885">
        <f>IF(OR(B119&lt;&gt;0,C119&lt;&gt;0),IF(AB119&lt;&gt;0,IF(B119&gt;0,I119,L119),N119) -  E119 * $T$1,PlotData!$CB$3)</f>
        <v>0</v>
      </c>
      <c r="J163" s="884">
        <f>IF(OR(B119&lt;&gt;0,C119&lt;&gt;0),IF(AB119&lt;&gt;0,IF(B119&gt;0,I119,L119),N119) +  E119 * $T$1,PlotData!$CB$3)</f>
        <v>0</v>
      </c>
      <c r="K163" s="885">
        <f t="shared" si="52"/>
        <v>0</v>
      </c>
      <c r="L163" s="884">
        <f t="shared" si="53"/>
        <v>0</v>
      </c>
      <c r="M163" s="885">
        <f t="shared" si="54"/>
        <v>0</v>
      </c>
      <c r="N163" s="884">
        <f t="shared" si="35"/>
        <v>0</v>
      </c>
      <c r="O163" s="886">
        <f t="shared" si="36"/>
        <v>0</v>
      </c>
      <c r="P163" s="882">
        <f t="shared" si="37"/>
        <v>0</v>
      </c>
      <c r="Q163" s="883">
        <f t="shared" si="38"/>
        <v>0</v>
      </c>
      <c r="R163" s="884">
        <f t="shared" si="39"/>
        <v>0</v>
      </c>
      <c r="S163" s="885">
        <f t="shared" si="40"/>
        <v>0</v>
      </c>
      <c r="T163" s="884">
        <f t="shared" si="41"/>
        <v>0</v>
      </c>
      <c r="U163" s="885">
        <f t="shared" si="55"/>
        <v>0</v>
      </c>
      <c r="V163" s="884">
        <f t="shared" si="42"/>
        <v>0</v>
      </c>
      <c r="W163" s="885">
        <f>IF(OR(B119&lt;&gt;0,C119&lt;&gt;0),IF(AB119&lt;&gt;0,IF(B119&gt;0,Q119,T119),V119) -  F119 * $T$1,PlotData!$CB$4)</f>
        <v>0</v>
      </c>
      <c r="X163" s="885">
        <f>IF(OR(B119&lt;&gt;0,C119&lt;&gt;0),IF(AB119&lt;&gt;0,IF(B119&gt;0,Q119,T119),V119) +  F119 * $T$1,PlotData!$CB$4)</f>
        <v>0</v>
      </c>
      <c r="Y163" s="885">
        <f t="shared" si="56"/>
        <v>0</v>
      </c>
      <c r="Z163" s="884">
        <f t="shared" si="43"/>
        <v>0</v>
      </c>
      <c r="AA163" s="885">
        <f t="shared" si="44"/>
        <v>0</v>
      </c>
      <c r="AB163" s="884">
        <f t="shared" si="45"/>
        <v>0</v>
      </c>
      <c r="AC163" s="888">
        <f t="shared" si="46"/>
        <v>0</v>
      </c>
    </row>
    <row r="164" spans="1:29" x14ac:dyDescent="0.25">
      <c r="A164" s="827">
        <v>30</v>
      </c>
      <c r="B164" s="887">
        <f t="shared" si="47"/>
        <v>0</v>
      </c>
      <c r="C164" s="885">
        <f t="shared" si="57"/>
        <v>0</v>
      </c>
      <c r="D164" s="884">
        <f t="shared" si="58"/>
        <v>0</v>
      </c>
      <c r="E164" s="885">
        <f t="shared" si="48"/>
        <v>0</v>
      </c>
      <c r="F164" s="884">
        <f t="shared" si="49"/>
        <v>0</v>
      </c>
      <c r="G164" s="885">
        <f t="shared" si="50"/>
        <v>0</v>
      </c>
      <c r="H164" s="884">
        <f t="shared" si="51"/>
        <v>0</v>
      </c>
      <c r="I164" s="885">
        <f>IF(OR(B120&lt;&gt;0,C120&lt;&gt;0),IF(AB120&lt;&gt;0,IF(B120&gt;0,I120,L120),N120) -  E120 * $T$1,PlotData!$CB$3)</f>
        <v>0</v>
      </c>
      <c r="J164" s="884">
        <f>IF(OR(B120&lt;&gt;0,C120&lt;&gt;0),IF(AB120&lt;&gt;0,IF(B120&gt;0,I120,L120),N120) +  E120 * $T$1,PlotData!$CB$3)</f>
        <v>0</v>
      </c>
      <c r="K164" s="885">
        <f t="shared" si="52"/>
        <v>0</v>
      </c>
      <c r="L164" s="884">
        <f t="shared" si="53"/>
        <v>0</v>
      </c>
      <c r="M164" s="885">
        <f t="shared" si="54"/>
        <v>0</v>
      </c>
      <c r="N164" s="884">
        <f t="shared" si="35"/>
        <v>0</v>
      </c>
      <c r="O164" s="886">
        <f t="shared" si="36"/>
        <v>0</v>
      </c>
      <c r="P164" s="882">
        <f t="shared" si="37"/>
        <v>0</v>
      </c>
      <c r="Q164" s="883">
        <f t="shared" si="38"/>
        <v>0</v>
      </c>
      <c r="R164" s="884">
        <f t="shared" si="39"/>
        <v>0</v>
      </c>
      <c r="S164" s="885">
        <f t="shared" si="40"/>
        <v>0</v>
      </c>
      <c r="T164" s="884">
        <f t="shared" si="41"/>
        <v>0</v>
      </c>
      <c r="U164" s="885">
        <f t="shared" si="55"/>
        <v>0</v>
      </c>
      <c r="V164" s="884">
        <f t="shared" si="42"/>
        <v>0</v>
      </c>
      <c r="W164" s="885">
        <f>IF(OR(B120&lt;&gt;0,C120&lt;&gt;0),IF(AB120&lt;&gt;0,IF(B120&gt;0,Q120,T120),V120) -  F120 * $T$1,PlotData!$CB$4)</f>
        <v>0</v>
      </c>
      <c r="X164" s="885">
        <f>IF(OR(B120&lt;&gt;0,C120&lt;&gt;0),IF(AB120&lt;&gt;0,IF(B120&gt;0,Q120,T120),V120) +  F120 * $T$1,PlotData!$CB$4)</f>
        <v>0</v>
      </c>
      <c r="Y164" s="885">
        <f t="shared" si="56"/>
        <v>0</v>
      </c>
      <c r="Z164" s="884">
        <f t="shared" si="43"/>
        <v>0</v>
      </c>
      <c r="AA164" s="885">
        <f t="shared" si="44"/>
        <v>0</v>
      </c>
      <c r="AB164" s="884">
        <f t="shared" si="45"/>
        <v>0</v>
      </c>
      <c r="AC164" s="888">
        <f t="shared" si="46"/>
        <v>0</v>
      </c>
    </row>
    <row r="165" spans="1:29" x14ac:dyDescent="0.25">
      <c r="A165" s="827">
        <v>31</v>
      </c>
      <c r="B165" s="887">
        <f t="shared" si="47"/>
        <v>0</v>
      </c>
      <c r="C165" s="885">
        <f t="shared" si="57"/>
        <v>0</v>
      </c>
      <c r="D165" s="884">
        <f t="shared" si="58"/>
        <v>0</v>
      </c>
      <c r="E165" s="885">
        <f t="shared" si="48"/>
        <v>0</v>
      </c>
      <c r="F165" s="884">
        <f t="shared" si="49"/>
        <v>0</v>
      </c>
      <c r="G165" s="885">
        <f t="shared" si="50"/>
        <v>0</v>
      </c>
      <c r="H165" s="884">
        <f t="shared" si="51"/>
        <v>0</v>
      </c>
      <c r="I165" s="885">
        <f>IF(OR(B121&lt;&gt;0,C121&lt;&gt;0),IF(AB121&lt;&gt;0,IF(B121&gt;0,I121,L121),N121) -  E121 * $T$1,PlotData!$CB$3)</f>
        <v>0</v>
      </c>
      <c r="J165" s="884">
        <f>IF(OR(B121&lt;&gt;0,C121&lt;&gt;0),IF(AB121&lt;&gt;0,IF(B121&gt;0,I121,L121),N121) +  E121 * $T$1,PlotData!$CB$3)</f>
        <v>0</v>
      </c>
      <c r="K165" s="885">
        <f t="shared" si="52"/>
        <v>0</v>
      </c>
      <c r="L165" s="884">
        <f t="shared" si="53"/>
        <v>0</v>
      </c>
      <c r="M165" s="885">
        <f t="shared" si="54"/>
        <v>0</v>
      </c>
      <c r="N165" s="884">
        <f t="shared" si="35"/>
        <v>0</v>
      </c>
      <c r="O165" s="886">
        <f t="shared" si="36"/>
        <v>0</v>
      </c>
      <c r="P165" s="882">
        <f t="shared" si="37"/>
        <v>0</v>
      </c>
      <c r="Q165" s="883">
        <f t="shared" si="38"/>
        <v>0</v>
      </c>
      <c r="R165" s="884">
        <f t="shared" si="39"/>
        <v>0</v>
      </c>
      <c r="S165" s="885">
        <f t="shared" si="40"/>
        <v>0</v>
      </c>
      <c r="T165" s="884">
        <f t="shared" si="41"/>
        <v>0</v>
      </c>
      <c r="U165" s="885">
        <f t="shared" si="55"/>
        <v>0</v>
      </c>
      <c r="V165" s="884">
        <f t="shared" si="42"/>
        <v>0</v>
      </c>
      <c r="W165" s="885">
        <f>IF(OR(B121&lt;&gt;0,C121&lt;&gt;0),IF(AB121&lt;&gt;0,IF(B121&gt;0,Q121,T121),V121) -  F121 * $T$1,PlotData!$CB$4)</f>
        <v>0</v>
      </c>
      <c r="X165" s="885">
        <f>IF(OR(B121&lt;&gt;0,C121&lt;&gt;0),IF(AB121&lt;&gt;0,IF(B121&gt;0,Q121,T121),V121) +  F121 * $T$1,PlotData!$CB$4)</f>
        <v>0</v>
      </c>
      <c r="Y165" s="885">
        <f t="shared" si="56"/>
        <v>0</v>
      </c>
      <c r="Z165" s="884">
        <f t="shared" si="43"/>
        <v>0</v>
      </c>
      <c r="AA165" s="885">
        <f t="shared" si="44"/>
        <v>0</v>
      </c>
      <c r="AB165" s="884">
        <f t="shared" si="45"/>
        <v>0</v>
      </c>
      <c r="AC165" s="888">
        <f t="shared" si="46"/>
        <v>0</v>
      </c>
    </row>
    <row r="166" spans="1:29" x14ac:dyDescent="0.25">
      <c r="A166" s="827">
        <v>32</v>
      </c>
      <c r="B166" s="887">
        <f t="shared" si="47"/>
        <v>0</v>
      </c>
      <c r="C166" s="885">
        <f t="shared" si="57"/>
        <v>0</v>
      </c>
      <c r="D166" s="884">
        <f t="shared" si="58"/>
        <v>0</v>
      </c>
      <c r="E166" s="885">
        <f t="shared" si="48"/>
        <v>0</v>
      </c>
      <c r="F166" s="884">
        <f t="shared" si="49"/>
        <v>0</v>
      </c>
      <c r="G166" s="885">
        <f t="shared" si="50"/>
        <v>0</v>
      </c>
      <c r="H166" s="884">
        <f t="shared" si="51"/>
        <v>0</v>
      </c>
      <c r="I166" s="885">
        <f>IF(OR(B122&lt;&gt;0,C122&lt;&gt;0),IF(AB122&lt;&gt;0,IF(B122&gt;0,I122,L122),N122) -  E122 * $T$1,PlotData!$CB$3)</f>
        <v>0</v>
      </c>
      <c r="J166" s="884">
        <f>IF(OR(B122&lt;&gt;0,C122&lt;&gt;0),IF(AB122&lt;&gt;0,IF(B122&gt;0,I122,L122),N122) +  E122 * $T$1,PlotData!$CB$3)</f>
        <v>0</v>
      </c>
      <c r="K166" s="885">
        <f t="shared" si="52"/>
        <v>0</v>
      </c>
      <c r="L166" s="884">
        <f t="shared" si="53"/>
        <v>0</v>
      </c>
      <c r="M166" s="885">
        <f t="shared" si="54"/>
        <v>0</v>
      </c>
      <c r="N166" s="884">
        <f t="shared" si="35"/>
        <v>0</v>
      </c>
      <c r="O166" s="886">
        <f t="shared" si="36"/>
        <v>0</v>
      </c>
      <c r="P166" s="882">
        <f t="shared" si="37"/>
        <v>0</v>
      </c>
      <c r="Q166" s="883">
        <f t="shared" si="38"/>
        <v>0</v>
      </c>
      <c r="R166" s="884">
        <f t="shared" si="39"/>
        <v>0</v>
      </c>
      <c r="S166" s="885">
        <f t="shared" si="40"/>
        <v>0</v>
      </c>
      <c r="T166" s="884">
        <f t="shared" si="41"/>
        <v>0</v>
      </c>
      <c r="U166" s="885">
        <f t="shared" si="55"/>
        <v>0</v>
      </c>
      <c r="V166" s="884">
        <f t="shared" si="42"/>
        <v>0</v>
      </c>
      <c r="W166" s="885">
        <f>IF(OR(B122&lt;&gt;0,C122&lt;&gt;0),IF(AB122&lt;&gt;0,IF(B122&gt;0,Q122,T122),V122) -  F122 * $T$1,PlotData!$CB$4)</f>
        <v>0</v>
      </c>
      <c r="X166" s="885">
        <f>IF(OR(B122&lt;&gt;0,C122&lt;&gt;0),IF(AB122&lt;&gt;0,IF(B122&gt;0,Q122,T122),V122) +  F122 * $T$1,PlotData!$CB$4)</f>
        <v>0</v>
      </c>
      <c r="Y166" s="885">
        <f t="shared" si="56"/>
        <v>0</v>
      </c>
      <c r="Z166" s="884">
        <f t="shared" si="43"/>
        <v>0</v>
      </c>
      <c r="AA166" s="885">
        <f t="shared" si="44"/>
        <v>0</v>
      </c>
      <c r="AB166" s="884">
        <f t="shared" si="45"/>
        <v>0</v>
      </c>
      <c r="AC166" s="888">
        <f t="shared" si="46"/>
        <v>0</v>
      </c>
    </row>
    <row r="167" spans="1:29" x14ac:dyDescent="0.25">
      <c r="A167" s="827">
        <v>33</v>
      </c>
      <c r="B167" s="887">
        <f t="shared" si="47"/>
        <v>0</v>
      </c>
      <c r="C167" s="885">
        <f t="shared" si="57"/>
        <v>0</v>
      </c>
      <c r="D167" s="884">
        <f t="shared" si="58"/>
        <v>0</v>
      </c>
      <c r="E167" s="885">
        <f t="shared" si="48"/>
        <v>0</v>
      </c>
      <c r="F167" s="884">
        <f t="shared" si="49"/>
        <v>0</v>
      </c>
      <c r="G167" s="885">
        <f t="shared" si="50"/>
        <v>0</v>
      </c>
      <c r="H167" s="884">
        <f t="shared" si="51"/>
        <v>0</v>
      </c>
      <c r="I167" s="885">
        <f>IF(OR(B123&lt;&gt;0,C123&lt;&gt;0),IF(AB123&lt;&gt;0,IF(B123&gt;0,I123,L123),N123) -  E123 * $T$1,PlotData!$CB$3)</f>
        <v>0</v>
      </c>
      <c r="J167" s="884">
        <f>IF(OR(B123&lt;&gt;0,C123&lt;&gt;0),IF(AB123&lt;&gt;0,IF(B123&gt;0,I123,L123),N123) +  E123 * $T$1,PlotData!$CB$3)</f>
        <v>0</v>
      </c>
      <c r="K167" s="885">
        <f t="shared" si="52"/>
        <v>0</v>
      </c>
      <c r="L167" s="884">
        <f t="shared" si="53"/>
        <v>0</v>
      </c>
      <c r="M167" s="885">
        <f t="shared" si="54"/>
        <v>0</v>
      </c>
      <c r="N167" s="884">
        <f t="shared" si="35"/>
        <v>0</v>
      </c>
      <c r="O167" s="886">
        <f t="shared" si="36"/>
        <v>0</v>
      </c>
      <c r="P167" s="882">
        <f t="shared" si="37"/>
        <v>0</v>
      </c>
      <c r="Q167" s="883">
        <f t="shared" si="38"/>
        <v>0</v>
      </c>
      <c r="R167" s="884">
        <f t="shared" si="39"/>
        <v>0</v>
      </c>
      <c r="S167" s="885">
        <f t="shared" si="40"/>
        <v>0</v>
      </c>
      <c r="T167" s="884">
        <f t="shared" si="41"/>
        <v>0</v>
      </c>
      <c r="U167" s="885">
        <f t="shared" si="55"/>
        <v>0</v>
      </c>
      <c r="V167" s="884">
        <f t="shared" si="42"/>
        <v>0</v>
      </c>
      <c r="W167" s="885">
        <f>IF(OR(B123&lt;&gt;0,C123&lt;&gt;0),IF(AB123&lt;&gt;0,IF(B123&gt;0,Q123,T123),V123) -  F123 * $T$1,PlotData!$CB$4)</f>
        <v>0</v>
      </c>
      <c r="X167" s="885">
        <f>IF(OR(B123&lt;&gt;0,C123&lt;&gt;0),IF(AB123&lt;&gt;0,IF(B123&gt;0,Q123,T123),V123) +  F123 * $T$1,PlotData!$CB$4)</f>
        <v>0</v>
      </c>
      <c r="Y167" s="885">
        <f t="shared" si="56"/>
        <v>0</v>
      </c>
      <c r="Z167" s="884">
        <f t="shared" si="43"/>
        <v>0</v>
      </c>
      <c r="AA167" s="885">
        <f t="shared" si="44"/>
        <v>0</v>
      </c>
      <c r="AB167" s="884">
        <f t="shared" si="45"/>
        <v>0</v>
      </c>
      <c r="AC167" s="888">
        <f t="shared" si="46"/>
        <v>0</v>
      </c>
    </row>
    <row r="168" spans="1:29" x14ac:dyDescent="0.25">
      <c r="A168" s="827">
        <v>34</v>
      </c>
      <c r="B168" s="887">
        <f t="shared" si="47"/>
        <v>0</v>
      </c>
      <c r="C168" s="885">
        <f t="shared" si="57"/>
        <v>0</v>
      </c>
      <c r="D168" s="884">
        <f t="shared" si="58"/>
        <v>0</v>
      </c>
      <c r="E168" s="885">
        <f t="shared" si="48"/>
        <v>0</v>
      </c>
      <c r="F168" s="884">
        <f t="shared" si="49"/>
        <v>0</v>
      </c>
      <c r="G168" s="885">
        <f t="shared" si="50"/>
        <v>0</v>
      </c>
      <c r="H168" s="884">
        <f t="shared" si="51"/>
        <v>0</v>
      </c>
      <c r="I168" s="885">
        <f>IF(OR(B124&lt;&gt;0,C124&lt;&gt;0),IF(AB124&lt;&gt;0,IF(B124&gt;0,I124,L124),N124) -  E124 * $T$1,PlotData!$CB$3)</f>
        <v>0</v>
      </c>
      <c r="J168" s="884">
        <f>IF(OR(B124&lt;&gt;0,C124&lt;&gt;0),IF(AB124&lt;&gt;0,IF(B124&gt;0,I124,L124),N124) +  E124 * $T$1,PlotData!$CB$3)</f>
        <v>0</v>
      </c>
      <c r="K168" s="885">
        <f t="shared" si="52"/>
        <v>0</v>
      </c>
      <c r="L168" s="884">
        <f t="shared" si="53"/>
        <v>0</v>
      </c>
      <c r="M168" s="885">
        <f t="shared" si="54"/>
        <v>0</v>
      </c>
      <c r="N168" s="884">
        <f t="shared" si="35"/>
        <v>0</v>
      </c>
      <c r="O168" s="886">
        <f t="shared" si="36"/>
        <v>0</v>
      </c>
      <c r="P168" s="882">
        <f t="shared" si="37"/>
        <v>0</v>
      </c>
      <c r="Q168" s="883">
        <f t="shared" si="38"/>
        <v>0</v>
      </c>
      <c r="R168" s="884">
        <f t="shared" si="39"/>
        <v>0</v>
      </c>
      <c r="S168" s="885">
        <f t="shared" si="40"/>
        <v>0</v>
      </c>
      <c r="T168" s="884">
        <f t="shared" si="41"/>
        <v>0</v>
      </c>
      <c r="U168" s="885">
        <f t="shared" si="55"/>
        <v>0</v>
      </c>
      <c r="V168" s="884">
        <f t="shared" si="42"/>
        <v>0</v>
      </c>
      <c r="W168" s="885">
        <f>IF(OR(B124&lt;&gt;0,C124&lt;&gt;0),IF(AB124&lt;&gt;0,IF(B124&gt;0,Q124,T124),V124) -  F124 * $T$1,PlotData!$CB$4)</f>
        <v>0</v>
      </c>
      <c r="X168" s="885">
        <f>IF(OR(B124&lt;&gt;0,C124&lt;&gt;0),IF(AB124&lt;&gt;0,IF(B124&gt;0,Q124,T124),V124) +  F124 * $T$1,PlotData!$CB$4)</f>
        <v>0</v>
      </c>
      <c r="Y168" s="885">
        <f t="shared" si="56"/>
        <v>0</v>
      </c>
      <c r="Z168" s="884">
        <f t="shared" si="43"/>
        <v>0</v>
      </c>
      <c r="AA168" s="885">
        <f t="shared" si="44"/>
        <v>0</v>
      </c>
      <c r="AB168" s="884">
        <f t="shared" si="45"/>
        <v>0</v>
      </c>
      <c r="AC168" s="888">
        <f t="shared" si="46"/>
        <v>0</v>
      </c>
    </row>
    <row r="169" spans="1:29" x14ac:dyDescent="0.25">
      <c r="A169" s="827">
        <v>35</v>
      </c>
      <c r="B169" s="887">
        <f t="shared" si="47"/>
        <v>0</v>
      </c>
      <c r="C169" s="885">
        <f t="shared" si="57"/>
        <v>0</v>
      </c>
      <c r="D169" s="884">
        <f t="shared" si="58"/>
        <v>0</v>
      </c>
      <c r="E169" s="885">
        <f t="shared" si="48"/>
        <v>0</v>
      </c>
      <c r="F169" s="884">
        <f t="shared" si="49"/>
        <v>0</v>
      </c>
      <c r="G169" s="885">
        <f t="shared" si="50"/>
        <v>0</v>
      </c>
      <c r="H169" s="884">
        <f t="shared" si="51"/>
        <v>0</v>
      </c>
      <c r="I169" s="885">
        <f>IF(OR(B125&lt;&gt;0,C125&lt;&gt;0),IF(AB125&lt;&gt;0,IF(B125&gt;0,I125,L125),N125) -  E125 * $T$1,PlotData!$CB$3)</f>
        <v>0</v>
      </c>
      <c r="J169" s="884">
        <f>IF(OR(B125&lt;&gt;0,C125&lt;&gt;0),IF(AB125&lt;&gt;0,IF(B125&gt;0,I125,L125),N125) +  E125 * $T$1,PlotData!$CB$3)</f>
        <v>0</v>
      </c>
      <c r="K169" s="885">
        <f t="shared" si="52"/>
        <v>0</v>
      </c>
      <c r="L169" s="884">
        <f t="shared" si="53"/>
        <v>0</v>
      </c>
      <c r="M169" s="885">
        <f t="shared" si="54"/>
        <v>0</v>
      </c>
      <c r="N169" s="884">
        <f t="shared" si="35"/>
        <v>0</v>
      </c>
      <c r="O169" s="886">
        <f t="shared" si="36"/>
        <v>0</v>
      </c>
      <c r="P169" s="882">
        <f t="shared" si="37"/>
        <v>0</v>
      </c>
      <c r="Q169" s="883">
        <f t="shared" si="38"/>
        <v>0</v>
      </c>
      <c r="R169" s="884">
        <f t="shared" si="39"/>
        <v>0</v>
      </c>
      <c r="S169" s="885">
        <f t="shared" si="40"/>
        <v>0</v>
      </c>
      <c r="T169" s="884">
        <f t="shared" si="41"/>
        <v>0</v>
      </c>
      <c r="U169" s="885">
        <f t="shared" si="55"/>
        <v>0</v>
      </c>
      <c r="V169" s="884">
        <f t="shared" si="42"/>
        <v>0</v>
      </c>
      <c r="W169" s="885">
        <f>IF(OR(B125&lt;&gt;0,C125&lt;&gt;0),IF(AB125&lt;&gt;0,IF(B125&gt;0,Q125,T125),V125) -  F125 * $T$1,PlotData!$CB$4)</f>
        <v>0</v>
      </c>
      <c r="X169" s="885">
        <f>IF(OR(B125&lt;&gt;0,C125&lt;&gt;0),IF(AB125&lt;&gt;0,IF(B125&gt;0,Q125,T125),V125) +  F125 * $T$1,PlotData!$CB$4)</f>
        <v>0</v>
      </c>
      <c r="Y169" s="885">
        <f t="shared" si="56"/>
        <v>0</v>
      </c>
      <c r="Z169" s="884">
        <f t="shared" si="43"/>
        <v>0</v>
      </c>
      <c r="AA169" s="885">
        <f t="shared" si="44"/>
        <v>0</v>
      </c>
      <c r="AB169" s="884">
        <f t="shared" si="45"/>
        <v>0</v>
      </c>
      <c r="AC169" s="888">
        <f t="shared" si="46"/>
        <v>0</v>
      </c>
    </row>
    <row r="170" spans="1:29" x14ac:dyDescent="0.25">
      <c r="A170" s="827">
        <v>36</v>
      </c>
      <c r="B170" s="887">
        <f t="shared" si="47"/>
        <v>0</v>
      </c>
      <c r="C170" s="885">
        <f t="shared" si="57"/>
        <v>0</v>
      </c>
      <c r="D170" s="884">
        <f t="shared" si="58"/>
        <v>0</v>
      </c>
      <c r="E170" s="885">
        <f t="shared" si="48"/>
        <v>0</v>
      </c>
      <c r="F170" s="884">
        <f t="shared" si="49"/>
        <v>0</v>
      </c>
      <c r="G170" s="885">
        <f t="shared" si="50"/>
        <v>0</v>
      </c>
      <c r="H170" s="884">
        <f t="shared" si="51"/>
        <v>0</v>
      </c>
      <c r="I170" s="885">
        <f>IF(OR(B126&lt;&gt;0,C126&lt;&gt;0),IF(AB126&lt;&gt;0,IF(B126&gt;0,I126,L126),N126) -  E126 * $T$1,PlotData!$CB$3)</f>
        <v>0</v>
      </c>
      <c r="J170" s="884">
        <f>IF(OR(B126&lt;&gt;0,C126&lt;&gt;0),IF(AB126&lt;&gt;0,IF(B126&gt;0,I126,L126),N126) +  E126 * $T$1,PlotData!$CB$3)</f>
        <v>0</v>
      </c>
      <c r="K170" s="885">
        <f t="shared" si="52"/>
        <v>0</v>
      </c>
      <c r="L170" s="884">
        <f t="shared" si="53"/>
        <v>0</v>
      </c>
      <c r="M170" s="885">
        <f t="shared" si="54"/>
        <v>0</v>
      </c>
      <c r="N170" s="884">
        <f t="shared" si="35"/>
        <v>0</v>
      </c>
      <c r="O170" s="886">
        <f t="shared" si="36"/>
        <v>0</v>
      </c>
      <c r="P170" s="882">
        <f t="shared" si="37"/>
        <v>0</v>
      </c>
      <c r="Q170" s="883">
        <f t="shared" si="38"/>
        <v>0</v>
      </c>
      <c r="R170" s="884">
        <f t="shared" si="39"/>
        <v>0</v>
      </c>
      <c r="S170" s="885">
        <f t="shared" si="40"/>
        <v>0</v>
      </c>
      <c r="T170" s="884">
        <f t="shared" si="41"/>
        <v>0</v>
      </c>
      <c r="U170" s="885">
        <f t="shared" si="55"/>
        <v>0</v>
      </c>
      <c r="V170" s="884">
        <f t="shared" si="42"/>
        <v>0</v>
      </c>
      <c r="W170" s="885">
        <f>IF(OR(B126&lt;&gt;0,C126&lt;&gt;0),IF(AB126&lt;&gt;0,IF(B126&gt;0,Q126,T126),V126) -  F126 * $T$1,PlotData!$CB$4)</f>
        <v>0</v>
      </c>
      <c r="X170" s="885">
        <f>IF(OR(B126&lt;&gt;0,C126&lt;&gt;0),IF(AB126&lt;&gt;0,IF(B126&gt;0,Q126,T126),V126) +  F126 * $T$1,PlotData!$CB$4)</f>
        <v>0</v>
      </c>
      <c r="Y170" s="885">
        <f t="shared" si="56"/>
        <v>0</v>
      </c>
      <c r="Z170" s="884">
        <f t="shared" si="43"/>
        <v>0</v>
      </c>
      <c r="AA170" s="885">
        <f t="shared" si="44"/>
        <v>0</v>
      </c>
      <c r="AB170" s="884">
        <f t="shared" si="45"/>
        <v>0</v>
      </c>
      <c r="AC170" s="888">
        <f t="shared" si="46"/>
        <v>0</v>
      </c>
    </row>
    <row r="171" spans="1:29" x14ac:dyDescent="0.25">
      <c r="A171" s="827">
        <v>37</v>
      </c>
      <c r="B171" s="887">
        <f t="shared" si="47"/>
        <v>0</v>
      </c>
      <c r="C171" s="885">
        <f t="shared" si="57"/>
        <v>0</v>
      </c>
      <c r="D171" s="884">
        <f t="shared" si="58"/>
        <v>0</v>
      </c>
      <c r="E171" s="885">
        <f t="shared" si="48"/>
        <v>0</v>
      </c>
      <c r="F171" s="884">
        <f t="shared" si="49"/>
        <v>0</v>
      </c>
      <c r="G171" s="885">
        <f t="shared" si="50"/>
        <v>0</v>
      </c>
      <c r="H171" s="884">
        <f t="shared" si="51"/>
        <v>0</v>
      </c>
      <c r="I171" s="885">
        <f>IF(OR(B127&lt;&gt;0,C127&lt;&gt;0),IF(AB127&lt;&gt;0,IF(B127&gt;0,I127,L127),N127) -  E127 * $T$1,PlotData!$CB$3)</f>
        <v>0</v>
      </c>
      <c r="J171" s="884">
        <f>IF(OR(B127&lt;&gt;0,C127&lt;&gt;0),IF(AB127&lt;&gt;0,IF(B127&gt;0,I127,L127),N127) +  E127 * $T$1,PlotData!$CB$3)</f>
        <v>0</v>
      </c>
      <c r="K171" s="885">
        <f t="shared" si="52"/>
        <v>0</v>
      </c>
      <c r="L171" s="884">
        <f t="shared" si="53"/>
        <v>0</v>
      </c>
      <c r="M171" s="885">
        <f t="shared" si="54"/>
        <v>0</v>
      </c>
      <c r="N171" s="884">
        <f t="shared" si="35"/>
        <v>0</v>
      </c>
      <c r="O171" s="886">
        <f t="shared" si="36"/>
        <v>0</v>
      </c>
      <c r="P171" s="882">
        <f t="shared" si="37"/>
        <v>0</v>
      </c>
      <c r="Q171" s="883">
        <f t="shared" si="38"/>
        <v>0</v>
      </c>
      <c r="R171" s="884">
        <f t="shared" si="39"/>
        <v>0</v>
      </c>
      <c r="S171" s="885">
        <f t="shared" si="40"/>
        <v>0</v>
      </c>
      <c r="T171" s="884">
        <f t="shared" si="41"/>
        <v>0</v>
      </c>
      <c r="U171" s="885">
        <f t="shared" si="55"/>
        <v>0</v>
      </c>
      <c r="V171" s="884">
        <f t="shared" si="42"/>
        <v>0</v>
      </c>
      <c r="W171" s="885">
        <f>IF(OR(B127&lt;&gt;0,C127&lt;&gt;0),IF(AB127&lt;&gt;0,IF(B127&gt;0,Q127,T127),V127) -  F127 * $T$1,PlotData!$CB$4)</f>
        <v>0</v>
      </c>
      <c r="X171" s="885">
        <f>IF(OR(B127&lt;&gt;0,C127&lt;&gt;0),IF(AB127&lt;&gt;0,IF(B127&gt;0,Q127,T127),V127) +  F127 * $T$1,PlotData!$CB$4)</f>
        <v>0</v>
      </c>
      <c r="Y171" s="885">
        <f t="shared" si="56"/>
        <v>0</v>
      </c>
      <c r="Z171" s="884">
        <f t="shared" si="43"/>
        <v>0</v>
      </c>
      <c r="AA171" s="885">
        <f t="shared" si="44"/>
        <v>0</v>
      </c>
      <c r="AB171" s="884">
        <f t="shared" si="45"/>
        <v>0</v>
      </c>
      <c r="AC171" s="888">
        <f t="shared" si="46"/>
        <v>0</v>
      </c>
    </row>
    <row r="172" spans="1:29" x14ac:dyDescent="0.25">
      <c r="A172" s="827">
        <v>38</v>
      </c>
      <c r="B172" s="887">
        <f t="shared" si="47"/>
        <v>0</v>
      </c>
      <c r="C172" s="885">
        <f t="shared" si="57"/>
        <v>0</v>
      </c>
      <c r="D172" s="884">
        <f t="shared" si="58"/>
        <v>0</v>
      </c>
      <c r="E172" s="885">
        <f t="shared" si="48"/>
        <v>0</v>
      </c>
      <c r="F172" s="884">
        <f t="shared" si="49"/>
        <v>0</v>
      </c>
      <c r="G172" s="885">
        <f t="shared" si="50"/>
        <v>0</v>
      </c>
      <c r="H172" s="884">
        <f t="shared" si="51"/>
        <v>0</v>
      </c>
      <c r="I172" s="885">
        <f>IF(OR(B128&lt;&gt;0,C128&lt;&gt;0),IF(AB128&lt;&gt;0,IF(B128&gt;0,I128,L128),N128) -  E128 * $T$1,PlotData!$CB$3)</f>
        <v>0</v>
      </c>
      <c r="J172" s="884">
        <f>IF(OR(B128&lt;&gt;0,C128&lt;&gt;0),IF(AB128&lt;&gt;0,IF(B128&gt;0,I128,L128),N128) +  E128 * $T$1,PlotData!$CB$3)</f>
        <v>0</v>
      </c>
      <c r="K172" s="885">
        <f t="shared" si="52"/>
        <v>0</v>
      </c>
      <c r="L172" s="884">
        <f t="shared" si="53"/>
        <v>0</v>
      </c>
      <c r="M172" s="885">
        <f t="shared" si="54"/>
        <v>0</v>
      </c>
      <c r="N172" s="884">
        <f t="shared" si="35"/>
        <v>0</v>
      </c>
      <c r="O172" s="886">
        <f t="shared" si="36"/>
        <v>0</v>
      </c>
      <c r="P172" s="882">
        <f t="shared" si="37"/>
        <v>0</v>
      </c>
      <c r="Q172" s="883">
        <f t="shared" si="38"/>
        <v>0</v>
      </c>
      <c r="R172" s="884">
        <f t="shared" si="39"/>
        <v>0</v>
      </c>
      <c r="S172" s="885">
        <f t="shared" si="40"/>
        <v>0</v>
      </c>
      <c r="T172" s="884">
        <f t="shared" si="41"/>
        <v>0</v>
      </c>
      <c r="U172" s="885">
        <f t="shared" si="55"/>
        <v>0</v>
      </c>
      <c r="V172" s="884">
        <f t="shared" si="42"/>
        <v>0</v>
      </c>
      <c r="W172" s="885">
        <f>IF(OR(B128&lt;&gt;0,C128&lt;&gt;0),IF(AB128&lt;&gt;0,IF(B128&gt;0,Q128,T128),V128) -  F128 * $T$1,PlotData!$CB$4)</f>
        <v>0</v>
      </c>
      <c r="X172" s="885">
        <f>IF(OR(B128&lt;&gt;0,C128&lt;&gt;0),IF(AB128&lt;&gt;0,IF(B128&gt;0,Q128,T128),V128) +  F128 * $T$1,PlotData!$CB$4)</f>
        <v>0</v>
      </c>
      <c r="Y172" s="885">
        <f t="shared" si="56"/>
        <v>0</v>
      </c>
      <c r="Z172" s="884">
        <f t="shared" si="43"/>
        <v>0</v>
      </c>
      <c r="AA172" s="885">
        <f t="shared" si="44"/>
        <v>0</v>
      </c>
      <c r="AB172" s="884">
        <f t="shared" si="45"/>
        <v>0</v>
      </c>
      <c r="AC172" s="888">
        <f t="shared" si="46"/>
        <v>0</v>
      </c>
    </row>
    <row r="173" spans="1:29" x14ac:dyDescent="0.25">
      <c r="A173" s="827">
        <v>39</v>
      </c>
      <c r="B173" s="887">
        <f t="shared" si="47"/>
        <v>0</v>
      </c>
      <c r="C173" s="885">
        <f t="shared" si="57"/>
        <v>0</v>
      </c>
      <c r="D173" s="884">
        <f t="shared" si="58"/>
        <v>0</v>
      </c>
      <c r="E173" s="885">
        <f t="shared" si="48"/>
        <v>0</v>
      </c>
      <c r="F173" s="884">
        <f t="shared" si="49"/>
        <v>0</v>
      </c>
      <c r="G173" s="885">
        <f t="shared" si="50"/>
        <v>0</v>
      </c>
      <c r="H173" s="884">
        <f t="shared" si="51"/>
        <v>0</v>
      </c>
      <c r="I173" s="885">
        <f>IF(OR(B129&lt;&gt;0,C129&lt;&gt;0),IF(AB129&lt;&gt;0,IF(B129&gt;0,I129,L129),N129) -  E129 * $T$1,PlotData!$CB$3)</f>
        <v>0</v>
      </c>
      <c r="J173" s="884">
        <f>IF(OR(B129&lt;&gt;0,C129&lt;&gt;0),IF(AB129&lt;&gt;0,IF(B129&gt;0,I129,L129),N129) +  E129 * $T$1,PlotData!$CB$3)</f>
        <v>0</v>
      </c>
      <c r="K173" s="885">
        <f t="shared" si="52"/>
        <v>0</v>
      </c>
      <c r="L173" s="884">
        <f t="shared" si="53"/>
        <v>0</v>
      </c>
      <c r="M173" s="885">
        <f t="shared" si="54"/>
        <v>0</v>
      </c>
      <c r="N173" s="884">
        <f t="shared" si="35"/>
        <v>0</v>
      </c>
      <c r="O173" s="886">
        <f t="shared" si="36"/>
        <v>0</v>
      </c>
      <c r="P173" s="882">
        <f t="shared" si="37"/>
        <v>0</v>
      </c>
      <c r="Q173" s="883">
        <f t="shared" si="38"/>
        <v>0</v>
      </c>
      <c r="R173" s="884">
        <f t="shared" si="39"/>
        <v>0</v>
      </c>
      <c r="S173" s="885">
        <f t="shared" si="40"/>
        <v>0</v>
      </c>
      <c r="T173" s="884">
        <f t="shared" si="41"/>
        <v>0</v>
      </c>
      <c r="U173" s="885">
        <f t="shared" si="55"/>
        <v>0</v>
      </c>
      <c r="V173" s="884">
        <f t="shared" si="42"/>
        <v>0</v>
      </c>
      <c r="W173" s="885">
        <f>IF(OR(B129&lt;&gt;0,C129&lt;&gt;0),IF(AB129&lt;&gt;0,IF(B129&gt;0,Q129,T129),V129) -  F129 * $T$1,PlotData!$CB$4)</f>
        <v>0</v>
      </c>
      <c r="X173" s="885">
        <f>IF(OR(B129&lt;&gt;0,C129&lt;&gt;0),IF(AB129&lt;&gt;0,IF(B129&gt;0,Q129,T129),V129) +  F129 * $T$1,PlotData!$CB$4)</f>
        <v>0</v>
      </c>
      <c r="Y173" s="885">
        <f t="shared" si="56"/>
        <v>0</v>
      </c>
      <c r="Z173" s="884">
        <f t="shared" si="43"/>
        <v>0</v>
      </c>
      <c r="AA173" s="885">
        <f t="shared" si="44"/>
        <v>0</v>
      </c>
      <c r="AB173" s="884">
        <f t="shared" si="45"/>
        <v>0</v>
      </c>
      <c r="AC173" s="888">
        <f t="shared" si="46"/>
        <v>0</v>
      </c>
    </row>
    <row r="174" spans="1:29" ht="13.8" thickBot="1" x14ac:dyDescent="0.3">
      <c r="A174" s="838">
        <v>40</v>
      </c>
      <c r="B174" s="896">
        <f t="shared" si="47"/>
        <v>0</v>
      </c>
      <c r="C174" s="894">
        <f t="shared" si="57"/>
        <v>0</v>
      </c>
      <c r="D174" s="893">
        <f t="shared" si="58"/>
        <v>0</v>
      </c>
      <c r="E174" s="894">
        <f t="shared" si="48"/>
        <v>0</v>
      </c>
      <c r="F174" s="893">
        <f t="shared" si="49"/>
        <v>0</v>
      </c>
      <c r="G174" s="894">
        <f t="shared" si="50"/>
        <v>0</v>
      </c>
      <c r="H174" s="893">
        <f t="shared" si="51"/>
        <v>0</v>
      </c>
      <c r="I174" s="894">
        <f>IF(OR(B130&lt;&gt;0,C130&lt;&gt;0),IF(AB130&lt;&gt;0,IF(B130&gt;0,I130,L130),N130) -  E130 * $T$1,PlotData!$CB$3)</f>
        <v>0</v>
      </c>
      <c r="J174" s="893">
        <f>IF(OR(B130&lt;&gt;0,C130&lt;&gt;0),IF(AB130&lt;&gt;0,IF(B130&gt;0,I130,L130),N130) +  E130 * $T$1,PlotData!$CB$3)</f>
        <v>0</v>
      </c>
      <c r="K174" s="894">
        <f t="shared" si="52"/>
        <v>0</v>
      </c>
      <c r="L174" s="893">
        <f t="shared" si="53"/>
        <v>0</v>
      </c>
      <c r="M174" s="894">
        <f t="shared" si="54"/>
        <v>0</v>
      </c>
      <c r="N174" s="893">
        <f t="shared" si="35"/>
        <v>0</v>
      </c>
      <c r="O174" s="895">
        <f t="shared" si="36"/>
        <v>0</v>
      </c>
      <c r="P174" s="890">
        <f t="shared" si="37"/>
        <v>0</v>
      </c>
      <c r="Q174" s="891">
        <f t="shared" si="38"/>
        <v>0</v>
      </c>
      <c r="R174" s="893">
        <f t="shared" si="39"/>
        <v>0</v>
      </c>
      <c r="S174" s="894">
        <f t="shared" si="40"/>
        <v>0</v>
      </c>
      <c r="T174" s="893">
        <f t="shared" si="41"/>
        <v>0</v>
      </c>
      <c r="U174" s="894">
        <f t="shared" si="55"/>
        <v>0</v>
      </c>
      <c r="V174" s="893">
        <f t="shared" si="42"/>
        <v>0</v>
      </c>
      <c r="W174" s="894">
        <f>IF(OR(B130&lt;&gt;0,C130&lt;&gt;0),IF(AB130&lt;&gt;0,IF(B130&gt;0,Q130,T130),V130) -  F130 * $T$1,PlotData!$CB$4)</f>
        <v>0</v>
      </c>
      <c r="X174" s="894">
        <f>IF(OR(B130&lt;&gt;0,C130&lt;&gt;0),IF(AB130&lt;&gt;0,IF(B130&gt;0,Q130,T130),V130) +  F130 * $T$1,PlotData!$CB$4)</f>
        <v>0</v>
      </c>
      <c r="Y174" s="894">
        <f t="shared" si="56"/>
        <v>0</v>
      </c>
      <c r="Z174" s="893">
        <f t="shared" si="43"/>
        <v>0</v>
      </c>
      <c r="AA174" s="894">
        <f t="shared" si="44"/>
        <v>0</v>
      </c>
      <c r="AB174" s="893">
        <f t="shared" si="45"/>
        <v>0</v>
      </c>
      <c r="AC174" s="897">
        <f t="shared" si="46"/>
        <v>0</v>
      </c>
    </row>
    <row r="175" spans="1:29" x14ac:dyDescent="0.25">
      <c r="A175" s="656"/>
    </row>
    <row r="176" spans="1:29" ht="13.8" thickBot="1" x14ac:dyDescent="0.3">
      <c r="A176" s="656"/>
    </row>
    <row r="177" spans="1:23" ht="27.75" customHeight="1" thickBot="1" x14ac:dyDescent="0.3">
      <c r="A177" s="656"/>
      <c r="B177" s="860" t="s">
        <v>336</v>
      </c>
      <c r="C177" s="861"/>
      <c r="D177" s="861"/>
      <c r="E177" s="862"/>
    </row>
    <row r="178" spans="1:23" s="9" customFormat="1" ht="22.5" customHeight="1" thickBot="1" x14ac:dyDescent="0.35">
      <c r="A178" s="904" t="s">
        <v>43</v>
      </c>
      <c r="B178" s="900" t="s">
        <v>157</v>
      </c>
      <c r="C178" s="905" t="s">
        <v>158</v>
      </c>
      <c r="D178" s="905" t="s">
        <v>62</v>
      </c>
      <c r="E178" s="901" t="s">
        <v>184</v>
      </c>
      <c r="F178" s="902" t="s">
        <v>185</v>
      </c>
      <c r="G178" s="901" t="s">
        <v>97</v>
      </c>
      <c r="H178" s="869" t="s">
        <v>180</v>
      </c>
      <c r="I178" s="868" t="s">
        <v>181</v>
      </c>
      <c r="J178" s="865" t="s">
        <v>279</v>
      </c>
      <c r="K178" s="868" t="s">
        <v>280</v>
      </c>
      <c r="L178" s="865" t="s">
        <v>281</v>
      </c>
      <c r="M178" s="868" t="s">
        <v>282</v>
      </c>
      <c r="N178" s="869" t="s">
        <v>182</v>
      </c>
      <c r="O178" s="868" t="s">
        <v>183</v>
      </c>
      <c r="P178" s="865" t="s">
        <v>285</v>
      </c>
      <c r="Q178" s="868" t="s">
        <v>286</v>
      </c>
      <c r="R178" s="865" t="s">
        <v>287</v>
      </c>
      <c r="S178" s="866" t="s">
        <v>288</v>
      </c>
      <c r="T178" s="870" t="s">
        <v>170</v>
      </c>
      <c r="U178" s="905" t="s">
        <v>331</v>
      </c>
      <c r="V178" s="906" t="s">
        <v>332</v>
      </c>
      <c r="W178" s="906" t="s">
        <v>337</v>
      </c>
    </row>
    <row r="179" spans="1:23" x14ac:dyDescent="0.25">
      <c r="A179" s="871">
        <v>1</v>
      </c>
      <c r="B179" s="872">
        <f ca="1">IF(AND(ABS(System!T4)+ABS(System!U4)&lt;&gt;0,F91=0),SIGN(System!T4),IF(AND(ABS(System!V4)+ABS(System!W4)&lt;&gt;0,F91=0),0,IF(ISNUMBER(System!$C4),SIGN(System!BP122),0)))</f>
        <v>0</v>
      </c>
      <c r="C179" s="876">
        <f ca="1">IF(AND(ABS(System!T4)+ABS(System!U4)&lt;&gt;0,F91=0),SIGN(System!U4),IF(AND(ABS(System!V4)+ABS(System!W4)&lt;&gt;0,F91=0),0,IF(ISNUMBER(System!$C4),SIGN(System!BQ122),0)))</f>
        <v>0</v>
      </c>
      <c r="D179" s="876">
        <f ca="1">IF(ISNUMBER(System!$C4),System!BG122,0)</f>
        <v>100</v>
      </c>
      <c r="E179" s="876">
        <f ca="1">IF(ISNUMBER(System!$C4),System!BJ122,0)</f>
        <v>-0.6</v>
      </c>
      <c r="F179" s="876">
        <f ca="1">IF(ISNUMBER(System!$C4),System!BK122,0)</f>
        <v>0.8</v>
      </c>
      <c r="G179" s="907">
        <f ca="1">IF(F179=0,1,IF(OR(System!V4&lt;&gt;0,System!W4 &lt;&gt;0),0,1))</f>
        <v>1</v>
      </c>
      <c r="H179" s="875">
        <f ca="1">IF(AND(ISNUMBER(System!$C4),ABS(B179)+ABS(C179)&lt;&gt;0),System!$BC122+$J$1*MIN($E$1,D179)*F179 - IF(AND(B179=0,C179&lt;&gt;0),ABS(C179)*$H$1*$E$1*E179,ABS(B179)*$H$1*$E$1*E179),PlotData!$CB$3)</f>
        <v>0</v>
      </c>
      <c r="I179" s="876">
        <f ca="1">IF(AND(ISNUMBER(System!$C4),ABS(B179)+ABS(C179)&lt;&gt;0),System!$BD122-$J$1*MIN($E$1,D179)*F179 -  IF(AND(C179=0,B179&lt;&gt;0),ABS(B179)*$H$1*$E$1*E179,ABS(C179)*$H$1*$E$1*E179),PlotData!$CB$3)</f>
        <v>0</v>
      </c>
      <c r="J179" s="875">
        <f ca="1">IF(AND(ISNUMBER(System!$C4),ABS(B179)+ABS(C179)&lt;&gt;0),I179 - $C179*$E$1*E179*G179*V179,PlotData!$CB$3)</f>
        <v>0</v>
      </c>
      <c r="K179" s="876">
        <f ca="1">IF(AND(ISNUMBER(System!$C4),ABS(B179)+ABS(C179)&lt;&gt;0),H179 - $B179*$E$1*E179*U179*G179,PlotData!$CB$3)</f>
        <v>0</v>
      </c>
      <c r="L179" s="875">
        <f ca="1">IF(AND(ISNUMBER(System!$C4),ABS(B179)+ABS(C179)&lt;&gt;0),H179 - B179*$N$1*$E$1*E179*G179,PlotData!$CB$3)</f>
        <v>0</v>
      </c>
      <c r="M179" s="876">
        <f ca="1">IF(AND(ISNUMBER(System!$C4),ABS(B179)+ABS(C179)&lt;&gt;0),I179 - C179*$N$1*$E$1*E179*G179,PlotData!$CB$3)</f>
        <v>0</v>
      </c>
      <c r="N179" s="878">
        <f ca="1">IF(AND(ISNUMBER(System!$C4),ABS(B179)+ABS(C179)&lt;&gt;0),System!$BE122-$J$1*MIN($E$1,D179)*E179-SIGN(ABS(B179)+0.2)*$H$1*$E$1*F179,PlotData!$CB$4)</f>
        <v>0</v>
      </c>
      <c r="O179" s="876">
        <f ca="1">IF(AND(ISNUMBER(System!$C4),ABS(B179)+ABS(C179)&lt;&gt;0),System!$BF122+$J$1*MIN($E$1,D179)*E179 - SIGN(ABS(B179)+0.2)*$H$1*$E$1*F179,PlotData!$CB$4)</f>
        <v>0</v>
      </c>
      <c r="P179" s="875">
        <f ca="1">IF(AND(ISNUMBER(System!$C4),ABS(B179)+ABS(C179)&lt;&gt;0),O179 - $C179*$E$1*F179*V179,PlotData!$CB$4)</f>
        <v>0</v>
      </c>
      <c r="Q179" s="876">
        <f ca="1">IF(AND(ISNUMBER(System!$C4),(ABS(B179)+ABS(C179))&lt;&gt;0),N179 - $B179*$E$1*F179*U179,PlotData!$CB$4)</f>
        <v>0</v>
      </c>
      <c r="R179" s="875">
        <f ca="1">IF(AND(ISNUMBER(System!$C4),ABS(B179)+ABS(C179)&lt;&gt;0),N179 - SIGN(B179)*$N$1*$E$1*F179,PlotData!$CB$4)</f>
        <v>0</v>
      </c>
      <c r="S179" s="877">
        <f ca="1">IF(AND(ISNUMBER(System!$C4),ABS(B179)+ABS(C179)&lt;&gt;0),O179 - SIGN(C179)*$N$1*$E$1*F179,PlotData!$CB$4)</f>
        <v>0</v>
      </c>
      <c r="T179" s="878">
        <f>IF(ISNUMBER(System!$C4),SIGN(System!$AG4),0)</f>
        <v>0</v>
      </c>
      <c r="U179" s="880">
        <f ca="1">IF(AND(ABS(System!T4)+ABS(System!U4)&lt;&gt;0,F91=0),ABS(System!BN122)/AA91,IF(ISNUMBER(System!BP122),ABS(System!BP122)/W179,0))</f>
        <v>0</v>
      </c>
      <c r="V179" s="880">
        <f ca="1">IF(AND(ABS(System!T4)+ABS(System!U4)&lt;&gt;0,F91=0),ABS(System!BO122)/AA91,IF(ISNUMBER(System!BQ122),ABS(System!BQ122)/W179,0))</f>
        <v>0</v>
      </c>
      <c r="W179" s="880">
        <f ca="1">IF(AND(ABS(System!T4)+ABS(System!U4)&lt;&gt;0,F91=0),MAX(ABS(System!BO122),ABS(System!BN122)),IF(ABS(System!V4)+ABS(System!W4)+ABS(System!R4)+ABS(System!S4)&lt;&gt;0,MAX(ABS(System!BP122),ABS(System!BQ122)),1))</f>
        <v>1</v>
      </c>
    </row>
    <row r="180" spans="1:23" x14ac:dyDescent="0.25">
      <c r="A180" s="827">
        <v>2</v>
      </c>
      <c r="B180" s="882">
        <f ca="1">IF(AND(ABS(System!T5)+ABS(System!U5)&lt;&gt;0,F92=0),SIGN(System!T5),IF(AND(ABS(System!V5)+ABS(System!W5)&lt;&gt;0,F92=0),0,IF(ISNUMBER(System!$C5),SIGN(System!BP123),0)))</f>
        <v>0</v>
      </c>
      <c r="C180" s="885">
        <f ca="1">IF(AND(ABS(System!T5)+ABS(System!U5)&lt;&gt;0,F92=0),SIGN(System!U5),IF(AND(ABS(System!V5)+ABS(System!W5)&lt;&gt;0,F92=0),0,IF(ISNUMBER(System!$C5),SIGN(System!BQ123),0)))</f>
        <v>0</v>
      </c>
      <c r="D180" s="885">
        <f ca="1">IF(ISNUMBER(System!$C5),System!BG123,0)</f>
        <v>60</v>
      </c>
      <c r="E180" s="885">
        <f ca="1">IF(ISNUMBER(System!$C5),System!BJ123,0)</f>
        <v>-1</v>
      </c>
      <c r="F180" s="885">
        <f ca="1">IF(ISNUMBER(System!$C5),System!BK123,0)</f>
        <v>0</v>
      </c>
      <c r="G180" s="874">
        <f ca="1">IF(F180=0,1,IF(OR(System!V5&lt;&gt;0,System!W5 &lt;&gt;0),0,1))</f>
        <v>1</v>
      </c>
      <c r="H180" s="884">
        <f ca="1">IF(AND(ISNUMBER(System!$C5),ABS(B180)+ABS(C180)&lt;&gt;0),System!$BC123+$J$1*MIN($E$1,D180)*F180 - IF(AND(B180=0,C180&lt;&gt;0),ABS(C180)*$H$1*$E$1*E180,ABS(B180)*$H$1*$E$1*E180),PlotData!$CB$3)</f>
        <v>0</v>
      </c>
      <c r="I180" s="885">
        <f ca="1">IF(AND(ISNUMBER(System!$C5),ABS(B180)+ABS(C180)&lt;&gt;0),System!$BD123-$J$1*MIN($E$1,D180)*F180 -  IF(AND(C180=0,B180&lt;&gt;0),ABS(B180)*$H$1*$E$1*E180,ABS(C180)*$H$1*$E$1*E180),PlotData!$CB$3)</f>
        <v>0</v>
      </c>
      <c r="J180" s="884">
        <f ca="1">IF(AND(ISNUMBER(System!$C5),ABS(B180)+ABS(C180)&lt;&gt;0),I180 - $C180*$E$1*E180*G180*V180,PlotData!$CB$3)</f>
        <v>0</v>
      </c>
      <c r="K180" s="885">
        <f ca="1">IF(AND(ISNUMBER(System!$C5),ABS(B180)+ABS(C180)&lt;&gt;0),H180 - $B180*$E$1*E180*U180*G180,PlotData!$CB$3)</f>
        <v>0</v>
      </c>
      <c r="L180" s="884">
        <f ca="1">IF(AND(ISNUMBER(System!$C5),ABS(B180)+ABS(C180)&lt;&gt;0),H180 - B180*$N$1*$E$1*E180*G180,PlotData!$CB$3)</f>
        <v>0</v>
      </c>
      <c r="M180" s="885">
        <f ca="1">IF(AND(ISNUMBER(System!$C5),ABS(B180)+ABS(C180)&lt;&gt;0),I180 - C180*$N$1*$E$1*E180*G180,PlotData!$CB$3)</f>
        <v>0</v>
      </c>
      <c r="N180" s="887">
        <f ca="1">IF(AND(ISNUMBER(System!$C5),ABS(B180)+ABS(C180)&lt;&gt;0),System!$BE123-$J$1*MIN($E$1,D180)*E180-SIGN(ABS(B180)+0.2)*$H$1*$E$1*F180,PlotData!$CB$4)</f>
        <v>0</v>
      </c>
      <c r="O180" s="885">
        <f ca="1">IF(AND(ISNUMBER(System!$C5),ABS(B180)+ABS(C180)&lt;&gt;0),System!$BF123+$J$1*MIN($E$1,D180)*E180 - SIGN(ABS(B180)+0.2)*$H$1*$E$1*F180,PlotData!$CB$4)</f>
        <v>0</v>
      </c>
      <c r="P180" s="884">
        <f ca="1">IF(AND(ISNUMBER(System!$C5),ABS(B180)+ABS(C180)&lt;&gt;0),O180 - $C180*$E$1*F180*V180,PlotData!$CB$4)</f>
        <v>0</v>
      </c>
      <c r="Q180" s="885">
        <f ca="1">IF(AND(ISNUMBER(System!$C5),(ABS(B180)+ABS(C180))&lt;&gt;0),N180 - $B180*$E$1*F180*U180,PlotData!$CB$4)</f>
        <v>0</v>
      </c>
      <c r="R180" s="884">
        <f ca="1">IF(AND(ISNUMBER(System!$C5),ABS(B180)+ABS(C180)&lt;&gt;0),N180 - SIGN(B180)*$N$1*$E$1*F180,PlotData!$CB$4)</f>
        <v>0</v>
      </c>
      <c r="S180" s="886">
        <f ca="1">IF(AND(ISNUMBER(System!$C5),ABS(B180)+ABS(C180)&lt;&gt;0),O180 - SIGN(C180)*$N$1*$E$1*F180,PlotData!$CB$4)</f>
        <v>0</v>
      </c>
      <c r="T180" s="887">
        <f>IF(ISNUMBER(System!$C5),SIGN(System!$AG5),0)</f>
        <v>0</v>
      </c>
      <c r="U180" s="881">
        <f ca="1">IF(AND(ABS(System!T5)+ABS(System!U5)&lt;&gt;0,F92=0),ABS(System!BN123)/AA92,IF(ISNUMBER(System!BP123),ABS(System!BP123)/W180,0))</f>
        <v>0</v>
      </c>
      <c r="V180" s="881">
        <f ca="1">IF(AND(ABS(System!T5)+ABS(System!U5)&lt;&gt;0,F92=0),ABS(System!BO123)/AA92,IF(ISNUMBER(System!BQ123),ABS(System!BQ123)/W180,0))</f>
        <v>0</v>
      </c>
      <c r="W180" s="881">
        <f ca="1">IF(AND(ABS(System!T5)+ABS(System!U5)&lt;&gt;0,F92=0),MAX(ABS(System!BO123),ABS(System!BN123)),IF(ABS(System!V5)+ABS(System!W5)+ABS(System!R5)+ABS(System!S5)&lt;&gt;0,MAX(ABS(System!BP123),ABS(System!BQ123)),1))</f>
        <v>1</v>
      </c>
    </row>
    <row r="181" spans="1:23" x14ac:dyDescent="0.25">
      <c r="A181" s="827">
        <v>3</v>
      </c>
      <c r="B181" s="882">
        <f ca="1">IF(AND(ABS(System!T6)+ABS(System!U6)&lt;&gt;0,F93=0),SIGN(System!T6),IF(AND(ABS(System!V6)+ABS(System!W6)&lt;&gt;0,F93=0),0,IF(ISNUMBER(System!$C6),SIGN(System!BP124),0)))</f>
        <v>0</v>
      </c>
      <c r="C181" s="885">
        <f ca="1">IF(AND(ABS(System!T6)+ABS(System!U6)&lt;&gt;0,F93=0),SIGN(System!U6),IF(AND(ABS(System!V6)+ABS(System!W6)&lt;&gt;0,F93=0),0,IF(ISNUMBER(System!$C6),SIGN(System!BQ124),0)))</f>
        <v>0</v>
      </c>
      <c r="D181" s="885">
        <f ca="1">IF(ISNUMBER(System!$C6),System!BG124,0)</f>
        <v>72.111025509279784</v>
      </c>
      <c r="E181" s="885">
        <f ca="1">IF(ISNUMBER(System!$C6),System!BJ124,0)</f>
        <v>0.83205029433784372</v>
      </c>
      <c r="F181" s="885">
        <f ca="1">IF(ISNUMBER(System!$C6),System!BK124,0)</f>
        <v>0.55470019622522915</v>
      </c>
      <c r="G181" s="874">
        <f ca="1">IF(F181=0,1,IF(OR(System!V6&lt;&gt;0,System!W6 &lt;&gt;0),0,1))</f>
        <v>1</v>
      </c>
      <c r="H181" s="884">
        <f ca="1">IF(AND(ISNUMBER(System!$C6),ABS(B181)+ABS(C181)&lt;&gt;0),System!$BC124+$J$1*MIN($E$1,D181)*F181 - IF(AND(B181=0,C181&lt;&gt;0),ABS(C181)*$H$1*$E$1*E181,ABS(B181)*$H$1*$E$1*E181),PlotData!$CB$3)</f>
        <v>0</v>
      </c>
      <c r="I181" s="885">
        <f ca="1">IF(AND(ISNUMBER(System!$C6),ABS(B181)+ABS(C181)&lt;&gt;0),System!$BD124-$J$1*MIN($E$1,D181)*F181 -  IF(AND(C181=0,B181&lt;&gt;0),ABS(B181)*$H$1*$E$1*E181,ABS(C181)*$H$1*$E$1*E181),PlotData!$CB$3)</f>
        <v>0</v>
      </c>
      <c r="J181" s="884">
        <f ca="1">IF(AND(ISNUMBER(System!$C6),ABS(B181)+ABS(C181)&lt;&gt;0),I181 - $C181*$E$1*E181*G181*V181,PlotData!$CB$3)</f>
        <v>0</v>
      </c>
      <c r="K181" s="885">
        <f ca="1">IF(AND(ISNUMBER(System!$C6),ABS(B181)+ABS(C181)&lt;&gt;0),H181 - $B181*$E$1*E181*U181*G181,PlotData!$CB$3)</f>
        <v>0</v>
      </c>
      <c r="L181" s="884">
        <f ca="1">IF(AND(ISNUMBER(System!$C6),ABS(B181)+ABS(C181)&lt;&gt;0),H181 - B181*$N$1*$E$1*E181*G181,PlotData!$CB$3)</f>
        <v>0</v>
      </c>
      <c r="M181" s="885">
        <f ca="1">IF(AND(ISNUMBER(System!$C6),ABS(B181)+ABS(C181)&lt;&gt;0),I181 - C181*$N$1*$E$1*E181*G181,PlotData!$CB$3)</f>
        <v>0</v>
      </c>
      <c r="N181" s="887">
        <f ca="1">IF(AND(ISNUMBER(System!$C6),ABS(B181)+ABS(C181)&lt;&gt;0),System!$BE124-$J$1*MIN($E$1,D181)*E181-SIGN(ABS(B181)+0.2)*$H$1*$E$1*F181,PlotData!$CB$4)</f>
        <v>0</v>
      </c>
      <c r="O181" s="885">
        <f ca="1">IF(AND(ISNUMBER(System!$C6),ABS(B181)+ABS(C181)&lt;&gt;0),System!$BF124+$J$1*MIN($E$1,D181)*E181 - SIGN(ABS(B181)+0.2)*$H$1*$E$1*F181,PlotData!$CB$4)</f>
        <v>0</v>
      </c>
      <c r="P181" s="884">
        <f ca="1">IF(AND(ISNUMBER(System!$C6),ABS(B181)+ABS(C181)&lt;&gt;0),O181 - $C181*$E$1*F181*V181,PlotData!$CB$4)</f>
        <v>0</v>
      </c>
      <c r="Q181" s="885">
        <f ca="1">IF(AND(ISNUMBER(System!$C6),(ABS(B181)+ABS(C181))&lt;&gt;0),N181 - $B181*$E$1*F181*U181,PlotData!$CB$4)</f>
        <v>0</v>
      </c>
      <c r="R181" s="884">
        <f ca="1">IF(AND(ISNUMBER(System!$C6),ABS(B181)+ABS(C181)&lt;&gt;0),N181 - SIGN(B181)*$N$1*$E$1*F181,PlotData!$CB$4)</f>
        <v>0</v>
      </c>
      <c r="S181" s="886">
        <f ca="1">IF(AND(ISNUMBER(System!$C6),ABS(B181)+ABS(C181)&lt;&gt;0),O181 - SIGN(C181)*$N$1*$E$1*F181,PlotData!$CB$4)</f>
        <v>0</v>
      </c>
      <c r="T181" s="887">
        <f>IF(ISNUMBER(System!$C6),SIGN(System!$AG6),0)</f>
        <v>0</v>
      </c>
      <c r="U181" s="881">
        <f ca="1">IF(AND(ABS(System!T6)+ABS(System!U6)&lt;&gt;0,F93=0),ABS(System!BN124)/AA93,IF(ISNUMBER(System!BP124),ABS(System!BP124)/W181,0))</f>
        <v>0</v>
      </c>
      <c r="V181" s="881">
        <f ca="1">IF(AND(ABS(System!T6)+ABS(System!U6)&lt;&gt;0,F93=0),ABS(System!BO124)/AA93,IF(ISNUMBER(System!BQ124),ABS(System!BQ124)/W181,0))</f>
        <v>0</v>
      </c>
      <c r="W181" s="881">
        <f ca="1">IF(AND(ABS(System!T6)+ABS(System!U6)&lt;&gt;0,F93=0),MAX(ABS(System!BO124),ABS(System!BN124)),IF(ABS(System!V6)+ABS(System!W6)+ABS(System!R6)+ABS(System!S6)&lt;&gt;0,MAX(ABS(System!BP124),ABS(System!BQ124)),1))</f>
        <v>1</v>
      </c>
    </row>
    <row r="182" spans="1:23" x14ac:dyDescent="0.25">
      <c r="A182" s="827">
        <v>4</v>
      </c>
      <c r="B182" s="882">
        <f ca="1">IF(AND(ABS(System!T7)+ABS(System!U7)&lt;&gt;0,F94=0),SIGN(System!T7),IF(AND(ABS(System!V7)+ABS(System!W7)&lt;&gt;0,F94=0),0,IF(ISNUMBER(System!$C7),SIGN(System!BP125),0)))</f>
        <v>0</v>
      </c>
      <c r="C182" s="885">
        <f ca="1">IF(AND(ABS(System!T7)+ABS(System!U7)&lt;&gt;0,F94=0),SIGN(System!U7),IF(AND(ABS(System!V7)+ABS(System!W7)&lt;&gt;0,F94=0),0,IF(ISNUMBER(System!$C7),SIGN(System!BQ125),0)))</f>
        <v>0</v>
      </c>
      <c r="D182" s="885">
        <f ca="1">IF(ISNUMBER(System!$C7),System!BG125,0)</f>
        <v>76.157731058639087</v>
      </c>
      <c r="E182" s="885">
        <f ca="1">IF(ISNUMBER(System!$C7),System!BJ125,0)</f>
        <v>0.39391929857916763</v>
      </c>
      <c r="F182" s="885">
        <f ca="1">IF(ISNUMBER(System!$C7),System!BK125,0)</f>
        <v>-0.91914503001805781</v>
      </c>
      <c r="G182" s="874">
        <f ca="1">IF(F182=0,1,IF(OR(System!V7&lt;&gt;0,System!W7 &lt;&gt;0),0,1))</f>
        <v>1</v>
      </c>
      <c r="H182" s="884">
        <f ca="1">IF(AND(ISNUMBER(System!$C7),ABS(B182)+ABS(C182)&lt;&gt;0),System!$BC125+$J$1*MIN($E$1,D182)*F182 - IF(AND(B182=0,C182&lt;&gt;0),ABS(C182)*$H$1*$E$1*E182,ABS(B182)*$H$1*$E$1*E182),PlotData!$CB$3)</f>
        <v>0</v>
      </c>
      <c r="I182" s="885">
        <f ca="1">IF(AND(ISNUMBER(System!$C7),ABS(B182)+ABS(C182)&lt;&gt;0),System!$BD125-$J$1*MIN($E$1,D182)*F182 -  IF(AND(C182=0,B182&lt;&gt;0),ABS(B182)*$H$1*$E$1*E182,ABS(C182)*$H$1*$E$1*E182),PlotData!$CB$3)</f>
        <v>0</v>
      </c>
      <c r="J182" s="884">
        <f ca="1">IF(AND(ISNUMBER(System!$C7),ABS(B182)+ABS(C182)&lt;&gt;0),I182 - $C182*$E$1*E182*G182*V182,PlotData!$CB$3)</f>
        <v>0</v>
      </c>
      <c r="K182" s="885">
        <f ca="1">IF(AND(ISNUMBER(System!$C7),ABS(B182)+ABS(C182)&lt;&gt;0),H182 - $B182*$E$1*E182*U182*G182,PlotData!$CB$3)</f>
        <v>0</v>
      </c>
      <c r="L182" s="884">
        <f ca="1">IF(AND(ISNUMBER(System!$C7),ABS(B182)+ABS(C182)&lt;&gt;0),H182 - B182*$N$1*$E$1*E182*G182,PlotData!$CB$3)</f>
        <v>0</v>
      </c>
      <c r="M182" s="885">
        <f ca="1">IF(AND(ISNUMBER(System!$C7),ABS(B182)+ABS(C182)&lt;&gt;0),I182 - C182*$N$1*$E$1*E182*G182,PlotData!$CB$3)</f>
        <v>0</v>
      </c>
      <c r="N182" s="887">
        <f ca="1">IF(AND(ISNUMBER(System!$C7),ABS(B182)+ABS(C182)&lt;&gt;0),System!$BE125-$J$1*MIN($E$1,D182)*E182-SIGN(ABS(B182)+0.2)*$H$1*$E$1*F182,PlotData!$CB$4)</f>
        <v>0</v>
      </c>
      <c r="O182" s="885">
        <f ca="1">IF(AND(ISNUMBER(System!$C7),ABS(B182)+ABS(C182)&lt;&gt;0),System!$BF125+$J$1*MIN($E$1,D182)*E182 - SIGN(ABS(B182)+0.2)*$H$1*$E$1*F182,PlotData!$CB$4)</f>
        <v>0</v>
      </c>
      <c r="P182" s="884">
        <f ca="1">IF(AND(ISNUMBER(System!$C7),ABS(B182)+ABS(C182)&lt;&gt;0),O182 - $C182*$E$1*F182*V182,PlotData!$CB$4)</f>
        <v>0</v>
      </c>
      <c r="Q182" s="885">
        <f ca="1">IF(AND(ISNUMBER(System!$C7),(ABS(B182)+ABS(C182))&lt;&gt;0),N182 - $B182*$E$1*F182*U182,PlotData!$CB$4)</f>
        <v>0</v>
      </c>
      <c r="R182" s="884">
        <f ca="1">IF(AND(ISNUMBER(System!$C7),ABS(B182)+ABS(C182)&lt;&gt;0),N182 - SIGN(B182)*$N$1*$E$1*F182,PlotData!$CB$4)</f>
        <v>0</v>
      </c>
      <c r="S182" s="886">
        <f ca="1">IF(AND(ISNUMBER(System!$C7),ABS(B182)+ABS(C182)&lt;&gt;0),O182 - SIGN(C182)*$N$1*$E$1*F182,PlotData!$CB$4)</f>
        <v>0</v>
      </c>
      <c r="T182" s="887">
        <f>IF(ISNUMBER(System!$C7),SIGN(System!$AG7),0)</f>
        <v>0</v>
      </c>
      <c r="U182" s="881">
        <f ca="1">IF(AND(ABS(System!T7)+ABS(System!U7)&lt;&gt;0,F94=0),ABS(System!BN125)/AA94,IF(ISNUMBER(System!BP125),ABS(System!BP125)/W182,0))</f>
        <v>0</v>
      </c>
      <c r="V182" s="881">
        <f ca="1">IF(AND(ABS(System!T7)+ABS(System!U7)&lt;&gt;0,F94=0),ABS(System!BO125)/AA94,IF(ISNUMBER(System!BQ125),ABS(System!BQ125)/W182,0))</f>
        <v>0</v>
      </c>
      <c r="W182" s="881">
        <f ca="1">IF(AND(ABS(System!T7)+ABS(System!U7)&lt;&gt;0,F94=0),MAX(ABS(System!BO125),ABS(System!BN125)),IF(ABS(System!V7)+ABS(System!W7)+ABS(System!R7)+ABS(System!S7)&lt;&gt;0,MAX(ABS(System!BP125),ABS(System!BQ125)),1))</f>
        <v>1</v>
      </c>
    </row>
    <row r="183" spans="1:23" x14ac:dyDescent="0.25">
      <c r="A183" s="827">
        <v>5</v>
      </c>
      <c r="B183" s="882">
        <f ca="1">IF(AND(ABS(System!T8)+ABS(System!U8)&lt;&gt;0,F95=0),SIGN(System!T8),IF(AND(ABS(System!V8)+ABS(System!W8)&lt;&gt;0,F95=0),0,IF(ISNUMBER(System!$C8),SIGN(System!BP126),0)))</f>
        <v>0</v>
      </c>
      <c r="C183" s="885">
        <f ca="1">IF(AND(ABS(System!T8)+ABS(System!U8)&lt;&gt;0,F95=0),SIGN(System!U8),IF(AND(ABS(System!V8)+ABS(System!W8)&lt;&gt;0,F95=0),0,IF(ISNUMBER(System!$C8),SIGN(System!BQ126),0)))</f>
        <v>0</v>
      </c>
      <c r="D183" s="885">
        <f ca="1">IF(ISNUMBER(System!$C8),System!BG126,0)</f>
        <v>184.39088914585776</v>
      </c>
      <c r="E183" s="885">
        <f ca="1">IF(ISNUMBER(System!$C8),System!BJ126,0)</f>
        <v>-0.75925660236529657</v>
      </c>
      <c r="F183" s="885">
        <f ca="1">IF(ISNUMBER(System!$C8),System!BK126,0)</f>
        <v>-0.65079137345596849</v>
      </c>
      <c r="G183" s="874">
        <f ca="1">IF(F183=0,1,IF(OR(System!V8&lt;&gt;0,System!W8 &lt;&gt;0),0,1))</f>
        <v>1</v>
      </c>
      <c r="H183" s="884">
        <f ca="1">IF(AND(ISNUMBER(System!$C8),ABS(B183)+ABS(C183)&lt;&gt;0),System!$BC126+$J$1*MIN($E$1,D183)*F183 - IF(AND(B183=0,C183&lt;&gt;0),ABS(C183)*$H$1*$E$1*E183,ABS(B183)*$H$1*$E$1*E183),PlotData!$CB$3)</f>
        <v>0</v>
      </c>
      <c r="I183" s="885">
        <f ca="1">IF(AND(ISNUMBER(System!$C8),ABS(B183)+ABS(C183)&lt;&gt;0),System!$BD126-$J$1*MIN($E$1,D183)*F183 -  IF(AND(C183=0,B183&lt;&gt;0),ABS(B183)*$H$1*$E$1*E183,ABS(C183)*$H$1*$E$1*E183),PlotData!$CB$3)</f>
        <v>0</v>
      </c>
      <c r="J183" s="884">
        <f ca="1">IF(AND(ISNUMBER(System!$C8),ABS(B183)+ABS(C183)&lt;&gt;0),I183 - $C183*$E$1*E183*G183*V183,PlotData!$CB$3)</f>
        <v>0</v>
      </c>
      <c r="K183" s="885">
        <f ca="1">IF(AND(ISNUMBER(System!$C8),ABS(B183)+ABS(C183)&lt;&gt;0),H183 - $B183*$E$1*E183*U183*G183,PlotData!$CB$3)</f>
        <v>0</v>
      </c>
      <c r="L183" s="884">
        <f ca="1">IF(AND(ISNUMBER(System!$C8),ABS(B183)+ABS(C183)&lt;&gt;0),H183 - B183*$N$1*$E$1*E183*G183,PlotData!$CB$3)</f>
        <v>0</v>
      </c>
      <c r="M183" s="885">
        <f ca="1">IF(AND(ISNUMBER(System!$C8),ABS(B183)+ABS(C183)&lt;&gt;0),I183 - C183*$N$1*$E$1*E183*G183,PlotData!$CB$3)</f>
        <v>0</v>
      </c>
      <c r="N183" s="887">
        <f ca="1">IF(AND(ISNUMBER(System!$C8),ABS(B183)+ABS(C183)&lt;&gt;0),System!$BE126-$J$1*MIN($E$1,D183)*E183-SIGN(ABS(B183)+0.2)*$H$1*$E$1*F183,PlotData!$CB$4)</f>
        <v>0</v>
      </c>
      <c r="O183" s="885">
        <f ca="1">IF(AND(ISNUMBER(System!$C8),ABS(B183)+ABS(C183)&lt;&gt;0),System!$BF126+$J$1*MIN($E$1,D183)*E183 - SIGN(ABS(B183)+0.2)*$H$1*$E$1*F183,PlotData!$CB$4)</f>
        <v>0</v>
      </c>
      <c r="P183" s="884">
        <f ca="1">IF(AND(ISNUMBER(System!$C8),ABS(B183)+ABS(C183)&lt;&gt;0),O183 - $C183*$E$1*F183*V183,PlotData!$CB$4)</f>
        <v>0</v>
      </c>
      <c r="Q183" s="885">
        <f ca="1">IF(AND(ISNUMBER(System!$C8),(ABS(B183)+ABS(C183))&lt;&gt;0),N183 - $B183*$E$1*F183*U183,PlotData!$CB$4)</f>
        <v>0</v>
      </c>
      <c r="R183" s="884">
        <f ca="1">IF(AND(ISNUMBER(System!$C8),ABS(B183)+ABS(C183)&lt;&gt;0),N183 - SIGN(B183)*$N$1*$E$1*F183,PlotData!$CB$4)</f>
        <v>0</v>
      </c>
      <c r="S183" s="886">
        <f ca="1">IF(AND(ISNUMBER(System!$C8),ABS(B183)+ABS(C183)&lt;&gt;0),O183 - SIGN(C183)*$N$1*$E$1*F183,PlotData!$CB$4)</f>
        <v>0</v>
      </c>
      <c r="T183" s="887">
        <f>IF(ISNUMBER(System!$C8),SIGN(System!$AG8),0)</f>
        <v>0</v>
      </c>
      <c r="U183" s="881">
        <f ca="1">IF(AND(ABS(System!T8)+ABS(System!U8)&lt;&gt;0,F95=0),ABS(System!BN126)/AA95,IF(ISNUMBER(System!BP126),ABS(System!BP126)/W183,0))</f>
        <v>0</v>
      </c>
      <c r="V183" s="881">
        <f ca="1">IF(AND(ABS(System!T8)+ABS(System!U8)&lt;&gt;0,F95=0),ABS(System!BO126)/AA95,IF(ISNUMBER(System!BQ126),ABS(System!BQ126)/W183,0))</f>
        <v>0</v>
      </c>
      <c r="W183" s="881">
        <f ca="1">IF(AND(ABS(System!T8)+ABS(System!U8)&lt;&gt;0,F95=0),MAX(ABS(System!BO126),ABS(System!BN126)),IF(ABS(System!V8)+ABS(System!W8)+ABS(System!R8)+ABS(System!S8)&lt;&gt;0,MAX(ABS(System!BP126),ABS(System!BQ126)),1))</f>
        <v>1</v>
      </c>
    </row>
    <row r="184" spans="1:23" x14ac:dyDescent="0.25">
      <c r="A184" s="827">
        <v>6</v>
      </c>
      <c r="B184" s="882">
        <f>IF(AND(ABS(System!T9)+ABS(System!U9)&lt;&gt;0,F96=0),SIGN(System!T9),IF(AND(ABS(System!V9)+ABS(System!W9)&lt;&gt;0,F96=0),0,IF(ISNUMBER(System!$C9),SIGN(System!BP127),0)))</f>
        <v>0</v>
      </c>
      <c r="C184" s="885">
        <f>IF(AND(ABS(System!T9)+ABS(System!U9)&lt;&gt;0,F96=0),SIGN(System!U9),IF(AND(ABS(System!V9)+ABS(System!W9)&lt;&gt;0,F96=0),0,IF(ISNUMBER(System!$C9),SIGN(System!BQ127),0)))</f>
        <v>0</v>
      </c>
      <c r="D184" s="885">
        <f>IF(ISNUMBER(System!$C9),System!BG127,0)</f>
        <v>0</v>
      </c>
      <c r="E184" s="885">
        <f>IF(ISNUMBER(System!$C9),System!BJ127,0)</f>
        <v>0</v>
      </c>
      <c r="F184" s="885">
        <f>IF(ISNUMBER(System!$C9),System!BK127,0)</f>
        <v>0</v>
      </c>
      <c r="G184" s="874">
        <f>IF(F184=0,1,IF(OR(System!V9&lt;&gt;0,System!W9 &lt;&gt;0),0,1))</f>
        <v>1</v>
      </c>
      <c r="H184" s="884">
        <f>IF(AND(ISNUMBER(System!$C9),ABS(B184)+ABS(C184)&lt;&gt;0),System!$BC127+$J$1*MIN($E$1,D184)*F184 - IF(AND(B184=0,C184&lt;&gt;0),ABS(C184)*$H$1*$E$1*E184,ABS(B184)*$H$1*$E$1*E184),PlotData!$CB$3)</f>
        <v>0</v>
      </c>
      <c r="I184" s="885">
        <f>IF(AND(ISNUMBER(System!$C9),ABS(B184)+ABS(C184)&lt;&gt;0),System!$BD127-$J$1*MIN($E$1,D184)*F184 -  IF(AND(C184=0,B184&lt;&gt;0),ABS(B184)*$H$1*$E$1*E184,ABS(C184)*$H$1*$E$1*E184),PlotData!$CB$3)</f>
        <v>0</v>
      </c>
      <c r="J184" s="884">
        <f>IF(AND(ISNUMBER(System!$C9),ABS(B184)+ABS(C184)&lt;&gt;0),I184 - $C184*$E$1*E184*G184*V184,PlotData!$CB$3)</f>
        <v>0</v>
      </c>
      <c r="K184" s="885">
        <f>IF(AND(ISNUMBER(System!$C9),ABS(B184)+ABS(C184)&lt;&gt;0),H184 - $B184*$E$1*E184*U184*G184,PlotData!$CB$3)</f>
        <v>0</v>
      </c>
      <c r="L184" s="884">
        <f>IF(AND(ISNUMBER(System!$C9),ABS(B184)+ABS(C184)&lt;&gt;0),H184 - B184*$N$1*$E$1*E184*G184,PlotData!$CB$3)</f>
        <v>0</v>
      </c>
      <c r="M184" s="885">
        <f>IF(AND(ISNUMBER(System!$C9),ABS(B184)+ABS(C184)&lt;&gt;0),I184 - C184*$N$1*$E$1*E184*G184,PlotData!$CB$3)</f>
        <v>0</v>
      </c>
      <c r="N184" s="887">
        <f>IF(AND(ISNUMBER(System!$C9),ABS(B184)+ABS(C184)&lt;&gt;0),System!$BE127-$J$1*MIN($E$1,D184)*E184-SIGN(ABS(B184)+0.2)*$H$1*$E$1*F184,PlotData!$CB$4)</f>
        <v>0</v>
      </c>
      <c r="O184" s="885">
        <f>IF(AND(ISNUMBER(System!$C9),ABS(B184)+ABS(C184)&lt;&gt;0),System!$BF127+$J$1*MIN($E$1,D184)*E184 - SIGN(ABS(B184)+0.2)*$H$1*$E$1*F184,PlotData!$CB$4)</f>
        <v>0</v>
      </c>
      <c r="P184" s="884">
        <f>IF(AND(ISNUMBER(System!$C9),ABS(B184)+ABS(C184)&lt;&gt;0),O184 - $C184*$E$1*F184*V184,PlotData!$CB$4)</f>
        <v>0</v>
      </c>
      <c r="Q184" s="885">
        <f>IF(AND(ISNUMBER(System!$C9),(ABS(B184)+ABS(C184))&lt;&gt;0),N184 - $B184*$E$1*F184*U184,PlotData!$CB$4)</f>
        <v>0</v>
      </c>
      <c r="R184" s="884">
        <f>IF(AND(ISNUMBER(System!$C9),ABS(B184)+ABS(C184)&lt;&gt;0),N184 - SIGN(B184)*$N$1*$E$1*F184,PlotData!$CB$4)</f>
        <v>0</v>
      </c>
      <c r="S184" s="886">
        <f>IF(AND(ISNUMBER(System!$C9),ABS(B184)+ABS(C184)&lt;&gt;0),O184 - SIGN(C184)*$N$1*$E$1*F184,PlotData!$CB$4)</f>
        <v>0</v>
      </c>
      <c r="T184" s="887">
        <f>IF(ISNUMBER(System!$C9),SIGN(System!$AG9),0)</f>
        <v>0</v>
      </c>
      <c r="U184" s="881">
        <f>IF(AND(ABS(System!T9)+ABS(System!U9)&lt;&gt;0,F96=0),ABS(System!BN127)/AA96,IF(ISNUMBER(System!BP127),ABS(System!BP127)/W184,0))</f>
        <v>0</v>
      </c>
      <c r="V184" s="881">
        <f>IF(AND(ABS(System!T9)+ABS(System!U9)&lt;&gt;0,F96=0),ABS(System!BO127)/AA96,IF(ISNUMBER(System!BQ127),ABS(System!BQ127)/W184,0))</f>
        <v>0</v>
      </c>
      <c r="W184" s="881">
        <f>IF(AND(ABS(System!T9)+ABS(System!U9)&lt;&gt;0,F96=0),MAX(ABS(System!BO127),ABS(System!BN127)),IF(ABS(System!V9)+ABS(System!W9)+ABS(System!R9)+ABS(System!S9)&lt;&gt;0,MAX(ABS(System!BP127),ABS(System!BQ127)),1))</f>
        <v>1</v>
      </c>
    </row>
    <row r="185" spans="1:23" x14ac:dyDescent="0.25">
      <c r="A185" s="827">
        <v>7</v>
      </c>
      <c r="B185" s="882">
        <f>IF(AND(ABS(System!T10)+ABS(System!U10)&lt;&gt;0,F97=0),SIGN(System!T10),IF(AND(ABS(System!V10)+ABS(System!W10)&lt;&gt;0,F97=0),0,IF(ISNUMBER(System!$C10),SIGN(System!BP128),0)))</f>
        <v>0</v>
      </c>
      <c r="C185" s="885">
        <f>IF(AND(ABS(System!T10)+ABS(System!U10)&lt;&gt;0,F97=0),SIGN(System!U10),IF(AND(ABS(System!V10)+ABS(System!W10)&lt;&gt;0,F97=0),0,IF(ISNUMBER(System!$C10),SIGN(System!BQ128),0)))</f>
        <v>0</v>
      </c>
      <c r="D185" s="885">
        <f>IF(ISNUMBER(System!$C10),System!BG128,0)</f>
        <v>0</v>
      </c>
      <c r="E185" s="885">
        <f>IF(ISNUMBER(System!$C10),System!BJ128,0)</f>
        <v>0</v>
      </c>
      <c r="F185" s="885">
        <f>IF(ISNUMBER(System!$C10),System!BK128,0)</f>
        <v>0</v>
      </c>
      <c r="G185" s="874">
        <f>IF(F185=0,1,IF(OR(System!V10&lt;&gt;0,System!W10 &lt;&gt;0),0,1))</f>
        <v>1</v>
      </c>
      <c r="H185" s="884">
        <f>IF(AND(ISNUMBER(System!$C10),ABS(B185)+ABS(C185)&lt;&gt;0),System!$BC128+$J$1*MIN($E$1,D185)*F185 - IF(AND(B185=0,C185&lt;&gt;0),ABS(C185)*$H$1*$E$1*E185,ABS(B185)*$H$1*$E$1*E185),PlotData!$CB$3)</f>
        <v>0</v>
      </c>
      <c r="I185" s="885">
        <f>IF(AND(ISNUMBER(System!$C10),ABS(B185)+ABS(C185)&lt;&gt;0),System!$BD128-$J$1*MIN($E$1,D185)*F185 -  IF(AND(C185=0,B185&lt;&gt;0),ABS(B185)*$H$1*$E$1*E185,ABS(C185)*$H$1*$E$1*E185),PlotData!$CB$3)</f>
        <v>0</v>
      </c>
      <c r="J185" s="884">
        <f>IF(AND(ISNUMBER(System!$C10),ABS(B185)+ABS(C185)&lt;&gt;0),I185 - $C185*$E$1*E185*G185*V185,PlotData!$CB$3)</f>
        <v>0</v>
      </c>
      <c r="K185" s="885">
        <f>IF(AND(ISNUMBER(System!$C10),ABS(B185)+ABS(C185)&lt;&gt;0),H185 - $B185*$E$1*E185*U185*G185,PlotData!$CB$3)</f>
        <v>0</v>
      </c>
      <c r="L185" s="884">
        <f>IF(AND(ISNUMBER(System!$C10),ABS(B185)+ABS(C185)&lt;&gt;0),H185 - B185*$N$1*$E$1*E185*G185,PlotData!$CB$3)</f>
        <v>0</v>
      </c>
      <c r="M185" s="885">
        <f>IF(AND(ISNUMBER(System!$C10),ABS(B185)+ABS(C185)&lt;&gt;0),I185 - C185*$N$1*$E$1*E185*G185,PlotData!$CB$3)</f>
        <v>0</v>
      </c>
      <c r="N185" s="887">
        <f>IF(AND(ISNUMBER(System!$C10),ABS(B185)+ABS(C185)&lt;&gt;0),System!$BE128-$J$1*MIN($E$1,D185)*E185-SIGN(ABS(B185)+0.2)*$H$1*$E$1*F185,PlotData!$CB$4)</f>
        <v>0</v>
      </c>
      <c r="O185" s="885">
        <f>IF(AND(ISNUMBER(System!$C10),ABS(B185)+ABS(C185)&lt;&gt;0),System!$BF128+$J$1*MIN($E$1,D185)*E185 - SIGN(ABS(B185)+0.2)*$H$1*$E$1*F185,PlotData!$CB$4)</f>
        <v>0</v>
      </c>
      <c r="P185" s="884">
        <f>IF(AND(ISNUMBER(System!$C10),ABS(B185)+ABS(C185)&lt;&gt;0),O185 - $C185*$E$1*F185*V185,PlotData!$CB$4)</f>
        <v>0</v>
      </c>
      <c r="Q185" s="885">
        <f>IF(AND(ISNUMBER(System!$C10),(ABS(B185)+ABS(C185))&lt;&gt;0),N185 - $B185*$E$1*F185*U185,PlotData!$CB$4)</f>
        <v>0</v>
      </c>
      <c r="R185" s="884">
        <f>IF(AND(ISNUMBER(System!$C10),ABS(B185)+ABS(C185)&lt;&gt;0),N185 - SIGN(B185)*$N$1*$E$1*F185,PlotData!$CB$4)</f>
        <v>0</v>
      </c>
      <c r="S185" s="886">
        <f>IF(AND(ISNUMBER(System!$C10),ABS(B185)+ABS(C185)&lt;&gt;0),O185 - SIGN(C185)*$N$1*$E$1*F185,PlotData!$CB$4)</f>
        <v>0</v>
      </c>
      <c r="T185" s="887">
        <f>IF(ISNUMBER(System!$C10),SIGN(System!$AG10),0)</f>
        <v>0</v>
      </c>
      <c r="U185" s="881">
        <f>IF(AND(ABS(System!T10)+ABS(System!U10)&lt;&gt;0,F97=0),ABS(System!BN128)/AA97,IF(ISNUMBER(System!BP128),ABS(System!BP128)/W185,0))</f>
        <v>0</v>
      </c>
      <c r="V185" s="881">
        <f>IF(AND(ABS(System!T10)+ABS(System!U10)&lt;&gt;0,F97=0),ABS(System!BO128)/AA97,IF(ISNUMBER(System!BQ128),ABS(System!BQ128)/W185,0))</f>
        <v>0</v>
      </c>
      <c r="W185" s="881">
        <f>IF(AND(ABS(System!T10)+ABS(System!U10)&lt;&gt;0,F97=0),MAX(ABS(System!BO128),ABS(System!BN128)),IF(ABS(System!V10)+ABS(System!W10)+ABS(System!R10)+ABS(System!S10)&lt;&gt;0,MAX(ABS(System!BP128),ABS(System!BQ128)),1))</f>
        <v>1</v>
      </c>
    </row>
    <row r="186" spans="1:23" x14ac:dyDescent="0.25">
      <c r="A186" s="827">
        <v>8</v>
      </c>
      <c r="B186" s="882">
        <f>IF(AND(ABS(System!T11)+ABS(System!U11)&lt;&gt;0,F98=0),SIGN(System!T11),IF(AND(ABS(System!V11)+ABS(System!W11)&lt;&gt;0,F98=0),0,IF(ISNUMBER(System!$C11),SIGN(System!BP129),0)))</f>
        <v>0</v>
      </c>
      <c r="C186" s="885">
        <f>IF(ISNUMBER(System!$C11),SIGN(System!$BQ129),0)</f>
        <v>0</v>
      </c>
      <c r="D186" s="885">
        <f>IF(ISNUMBER(System!$C11),System!BG129,0)</f>
        <v>0</v>
      </c>
      <c r="E186" s="885">
        <f>IF(ISNUMBER(System!$C11),System!BJ129,0)</f>
        <v>0</v>
      </c>
      <c r="F186" s="885">
        <f>IF(ISNUMBER(System!$C11),System!BK129,0)</f>
        <v>0</v>
      </c>
      <c r="G186" s="874">
        <f>IF(F186=0,1,IF(OR(System!V11&lt;&gt;0,System!W11 &lt;&gt;0),0,1))</f>
        <v>1</v>
      </c>
      <c r="H186" s="884">
        <f>IF(AND(ISNUMBER(System!$C11),ABS(B186)+ABS(C186)&lt;&gt;0),System!$BC129+$J$1*MIN($E$1,D186)*F186 - IF(AND(B186=0,C186&lt;&gt;0),ABS(C186)*$H$1*$E$1*E186,ABS(B186)*$H$1*$E$1*E186),PlotData!$CB$3)</f>
        <v>0</v>
      </c>
      <c r="I186" s="885">
        <f>IF(AND(ISNUMBER(System!$C11),ABS(B186)+ABS(C186)&lt;&gt;0),System!$BD129-$J$1*MIN($E$1,D186)*F186 -  IF(AND(C186=0,B186&lt;&gt;0),ABS(B186)*$H$1*$E$1*E186,ABS(C186)*$H$1*$E$1*E186),PlotData!$CB$3)</f>
        <v>0</v>
      </c>
      <c r="J186" s="884">
        <f>IF(AND(ISNUMBER(System!$C11),ABS(B186)+ABS(C186)&lt;&gt;0),I186 - $C186*$E$1*E186*G186*V186,PlotData!$CB$3)</f>
        <v>0</v>
      </c>
      <c r="K186" s="885">
        <f>IF(AND(ISNUMBER(System!$C11),ABS(B186)+ABS(C186)&lt;&gt;0),H186 - $B186*$E$1*E186*U186*G186,PlotData!$CB$3)</f>
        <v>0</v>
      </c>
      <c r="L186" s="884">
        <f>IF(AND(ISNUMBER(System!$C11),ABS(B186)+ABS(C186)&lt;&gt;0),H186 - B186*$N$1*$E$1*E186*G186,PlotData!$CB$3)</f>
        <v>0</v>
      </c>
      <c r="M186" s="885">
        <f>IF(AND(ISNUMBER(System!$C11),ABS(B186)+ABS(C186)&lt;&gt;0),I186 - C186*$N$1*$E$1*E186*G186,PlotData!$CB$3)</f>
        <v>0</v>
      </c>
      <c r="N186" s="887">
        <f>IF(AND(ISNUMBER(System!$C11),ABS(B186)+ABS(C186)&lt;&gt;0),System!$BE129-$J$1*MIN($E$1,D186)*E186-SIGN(ABS(B186)+0.2)*$H$1*$E$1*F186,PlotData!$CB$4)</f>
        <v>0</v>
      </c>
      <c r="O186" s="885">
        <f>IF(AND(ISNUMBER(System!$C11),ABS(B186)+ABS(C186)&lt;&gt;0),System!$BF129+$J$1*MIN($E$1,D186)*E186 - SIGN(ABS(B186)+0.2)*$H$1*$E$1*F186,PlotData!$CB$4)</f>
        <v>0</v>
      </c>
      <c r="P186" s="884">
        <f>IF(AND(ISNUMBER(System!$C11),ABS(B186)+ABS(C186)&lt;&gt;0),O186 - $C186*$E$1*F186*V186,PlotData!$CB$4)</f>
        <v>0</v>
      </c>
      <c r="Q186" s="885">
        <f>IF(AND(ISNUMBER(System!$C11),(ABS(B186)+ABS(C186))&lt;&gt;0),N186 - $B186*$E$1*F186*U186,PlotData!$CB$4)</f>
        <v>0</v>
      </c>
      <c r="R186" s="884">
        <f>IF(AND(ISNUMBER(System!$C11),ABS(B186)+ABS(C186)&lt;&gt;0),N186 - SIGN(B186)*$N$1*$E$1*F186,PlotData!$CB$4)</f>
        <v>0</v>
      </c>
      <c r="S186" s="886">
        <f>IF(AND(ISNUMBER(System!$C11),ABS(B186)+ABS(C186)&lt;&gt;0),O186 - SIGN(C186)*$N$1*$E$1*F186,PlotData!$CB$4)</f>
        <v>0</v>
      </c>
      <c r="T186" s="887">
        <f>IF(ISNUMBER(System!$C11),SIGN(System!$AG11),0)</f>
        <v>0</v>
      </c>
      <c r="U186" s="881">
        <f>IF(AND(ABS(System!T11)+ABS(System!U11)&lt;&gt;0,F98=0),ABS(System!BN129)/AA98,IF(ISNUMBER(System!BP129),ABS(System!BP129)/W186,0))</f>
        <v>0</v>
      </c>
      <c r="V186" s="881">
        <f>IF(AND(ABS(System!T11)+ABS(System!U11)&lt;&gt;0,F98=0),ABS(System!BO129)/AA98,IF(ISNUMBER(System!BQ129),ABS(System!BQ129)/W186,0))</f>
        <v>0</v>
      </c>
      <c r="W186" s="881">
        <f>IF(AND(ABS(System!T11)+ABS(System!U11)&lt;&gt;0,F98=0),MAX(ABS(System!BO129),ABS(System!BN129)),IF(ABS(System!V11)+ABS(System!W11)+ABS(System!R11)+ABS(System!S11)&lt;&gt;0,MAX(ABS(System!BP129),ABS(System!BQ129)),1))</f>
        <v>1</v>
      </c>
    </row>
    <row r="187" spans="1:23" x14ac:dyDescent="0.25">
      <c r="A187" s="827">
        <v>9</v>
      </c>
      <c r="B187" s="882">
        <f>IF(ISNUMBER(System!$C12),SIGN(System!BP130),0)</f>
        <v>0</v>
      </c>
      <c r="C187" s="885">
        <f>IF(ISNUMBER(System!$C12),SIGN(System!$BQ130),0)</f>
        <v>0</v>
      </c>
      <c r="D187" s="885">
        <f>IF(ISNUMBER(System!$C12),System!BG130,0)</f>
        <v>0</v>
      </c>
      <c r="E187" s="885">
        <f>IF(ISNUMBER(System!$C12),System!BJ130,0)</f>
        <v>0</v>
      </c>
      <c r="F187" s="885">
        <f>IF(ISNUMBER(System!$C12),System!BK130,0)</f>
        <v>0</v>
      </c>
      <c r="G187" s="874">
        <f>IF(F187=0,1,IF(OR(System!V12&lt;&gt;0,System!W12 &lt;&gt;0),0,1))</f>
        <v>1</v>
      </c>
      <c r="H187" s="884">
        <f>IF(AND(ISNUMBER(System!$C12),ABS(B187)+ABS(C187)&lt;&gt;0),System!$BC130+$J$1*MIN($E$1,D187)*F187 - IF(AND(B187=0,C187&lt;&gt;0),ABS(C187)*$H$1*$E$1*E187,ABS(B187)*$H$1*$E$1*E187),PlotData!$CB$3)</f>
        <v>0</v>
      </c>
      <c r="I187" s="885">
        <f>IF(AND(ISNUMBER(System!$C12),ABS(B187)+ABS(C187)&lt;&gt;0),System!$BD130-$J$1*MIN($E$1,D187)*F187 -  IF(AND(C187=0,B187&lt;&gt;0),ABS(B187)*$H$1*$E$1*E187,ABS(C187)*$H$1*$E$1*E187),PlotData!$CB$3)</f>
        <v>0</v>
      </c>
      <c r="J187" s="884">
        <f>IF(AND(ISNUMBER(System!$C12),ABS(B187)+ABS(C187)&lt;&gt;0),I187 - $C187*$E$1*E187*G187*V187,PlotData!$CB$3)</f>
        <v>0</v>
      </c>
      <c r="K187" s="885">
        <f>IF(AND(ISNUMBER(System!$C12),ABS(B187)+ABS(C187)&lt;&gt;0),H187 - $B187*$E$1*E187*U187*G187,PlotData!$CB$3)</f>
        <v>0</v>
      </c>
      <c r="L187" s="884">
        <f>IF(AND(ISNUMBER(System!$C12),ABS(B187)+ABS(C187)&lt;&gt;0),H187 - B187*$N$1*$E$1*E187*G187,PlotData!$CB$3)</f>
        <v>0</v>
      </c>
      <c r="M187" s="885">
        <f>IF(AND(ISNUMBER(System!$C12),ABS(B187)+ABS(C187)&lt;&gt;0),I187 - C187*$N$1*$E$1*E187*G187,PlotData!$CB$3)</f>
        <v>0</v>
      </c>
      <c r="N187" s="887">
        <f>IF(AND(ISNUMBER(System!$C12),ABS(B187)+ABS(C187)&lt;&gt;0),System!$BE130-$J$1*MIN($E$1,D187)*E187-SIGN(ABS(B187)+0.2)*$H$1*$E$1*F187,PlotData!$CB$4)</f>
        <v>0</v>
      </c>
      <c r="O187" s="885">
        <f>IF(AND(ISNUMBER(System!$C12),ABS(B187)+ABS(C187)&lt;&gt;0),System!$BF130+$J$1*MIN($E$1,D187)*E187 - SIGN(ABS(B187)+0.2)*$H$1*$E$1*F187,PlotData!$CB$4)</f>
        <v>0</v>
      </c>
      <c r="P187" s="884">
        <f>IF(AND(ISNUMBER(System!$C12),ABS(B187)+ABS(C187)&lt;&gt;0),O187 - $C187*$E$1*F187*V187,PlotData!$CB$4)</f>
        <v>0</v>
      </c>
      <c r="Q187" s="885">
        <f>IF(AND(ISNUMBER(System!$C12),(ABS(B187)+ABS(C187))&lt;&gt;0),N187 - $B187*$E$1*F187*U187,PlotData!$CB$4)</f>
        <v>0</v>
      </c>
      <c r="R187" s="884">
        <f>IF(AND(ISNUMBER(System!$C12),ABS(B187)+ABS(C187)&lt;&gt;0),N187 - SIGN(B187)*$N$1*$E$1*F187,PlotData!$CB$4)</f>
        <v>0</v>
      </c>
      <c r="S187" s="886">
        <f>IF(AND(ISNUMBER(System!$C12),ABS(B187)+ABS(C187)&lt;&gt;0),O187 - SIGN(C187)*$N$1*$E$1*F187,PlotData!$CB$4)</f>
        <v>0</v>
      </c>
      <c r="T187" s="887">
        <f>IF(ISNUMBER(System!$C12),SIGN(System!$AG12),0)</f>
        <v>0</v>
      </c>
      <c r="U187" s="881">
        <f>IF(AND(ABS(System!T12)+ABS(System!U12)&lt;&gt;0,F99=0),ABS(System!BN130)/AA99,IF(ISNUMBER(System!BP130),ABS(System!BP130)/W187,0))</f>
        <v>0</v>
      </c>
      <c r="V187" s="881">
        <f>IF(ISNUMBER(System!BQ130),ABS(System!BQ130)/W187,0)</f>
        <v>0</v>
      </c>
      <c r="W187" s="881">
        <f>IF(AND(ABS(System!T12)+ABS(System!U12)&lt;&gt;0,F99=0),MAX(ABS(System!BO130),ABS(System!BN130)),IF(ABS(System!V12)+ABS(System!W12)+ABS(System!R12)+ABS(System!S12)&lt;&gt;0,MAX(ABS(System!BP130),ABS(System!BQ130)),1))</f>
        <v>1</v>
      </c>
    </row>
    <row r="188" spans="1:23" x14ac:dyDescent="0.25">
      <c r="A188" s="827">
        <v>10</v>
      </c>
      <c r="B188" s="882">
        <f>IF(ISNUMBER(System!$C13),SIGN(System!BP131),0)</f>
        <v>0</v>
      </c>
      <c r="C188" s="885">
        <f>IF(ISNUMBER(System!$C13),SIGN(System!$BQ131),0)</f>
        <v>0</v>
      </c>
      <c r="D188" s="885">
        <f>IF(ISNUMBER(System!$C13),System!BG131,0)</f>
        <v>0</v>
      </c>
      <c r="E188" s="885">
        <f>IF(ISNUMBER(System!$C13),System!BJ131,0)</f>
        <v>0</v>
      </c>
      <c r="F188" s="885">
        <f>IF(ISNUMBER(System!$C13),System!BK131,0)</f>
        <v>0</v>
      </c>
      <c r="G188" s="874">
        <f>IF(F188=0,1,IF(OR(System!V13&lt;&gt;0,System!W13 &lt;&gt;0),0,1))</f>
        <v>1</v>
      </c>
      <c r="H188" s="884">
        <f>IF(AND(ISNUMBER(System!$C13),ABS(B188)+ABS(C188)&lt;&gt;0),System!$BC131+$J$1*MIN($E$1,D188)*F188 - IF(AND(B188=0,C188&lt;&gt;0),ABS(C188)*$H$1*$E$1*E188,ABS(B188)*$H$1*$E$1*E188),PlotData!$CB$3)</f>
        <v>0</v>
      </c>
      <c r="I188" s="885">
        <f>IF(AND(ISNUMBER(System!$C13),ABS(B188)+ABS(C188)&lt;&gt;0),System!$BD131-$J$1*MIN($E$1,D188)*F188 -  IF(AND(C188=0,B188&lt;&gt;0),ABS(B188)*$H$1*$E$1*E188,ABS(C188)*$H$1*$E$1*E188),PlotData!$CB$3)</f>
        <v>0</v>
      </c>
      <c r="J188" s="884">
        <f>IF(AND(ISNUMBER(System!$C13),ABS(B188)+ABS(C188)&lt;&gt;0),I188 - $C188*$E$1*E188*G188*V188,PlotData!$CB$3)</f>
        <v>0</v>
      </c>
      <c r="K188" s="885">
        <f>IF(AND(ISNUMBER(System!$C13),ABS(B188)+ABS(C188)&lt;&gt;0),H188 - $B188*$E$1*E188*U188*G188,PlotData!$CB$3)</f>
        <v>0</v>
      </c>
      <c r="L188" s="884">
        <f>IF(AND(ISNUMBER(System!$C13),ABS(B188)+ABS(C188)&lt;&gt;0),H188 - B188*$N$1*$E$1*E188*G188,PlotData!$CB$3)</f>
        <v>0</v>
      </c>
      <c r="M188" s="885">
        <f>IF(AND(ISNUMBER(System!$C13),ABS(B188)+ABS(C188)&lt;&gt;0),I188 - C188*$N$1*$E$1*E188*G188,PlotData!$CB$3)</f>
        <v>0</v>
      </c>
      <c r="N188" s="887">
        <f>IF(AND(ISNUMBER(System!$C13),ABS(B188)+ABS(C188)&lt;&gt;0),System!$BE131-$J$1*MIN($E$1,D188)*E188-SIGN(ABS(B188)+0.2)*$H$1*$E$1*F188,PlotData!$CB$4)</f>
        <v>0</v>
      </c>
      <c r="O188" s="885">
        <f>IF(AND(ISNUMBER(System!$C13),ABS(B188)+ABS(C188)&lt;&gt;0),System!$BF131+$J$1*MIN($E$1,D188)*E188 - SIGN(ABS(B188)+0.2)*$H$1*$E$1*F188,PlotData!$CB$4)</f>
        <v>0</v>
      </c>
      <c r="P188" s="884">
        <f>IF(AND(ISNUMBER(System!$C13),ABS(B188)+ABS(C188)&lt;&gt;0),O188 - $C188*$E$1*F188*V188,PlotData!$CB$4)</f>
        <v>0</v>
      </c>
      <c r="Q188" s="885">
        <f>IF(AND(ISNUMBER(System!$C13),(ABS(B188)+ABS(C188))&lt;&gt;0),N188 - $B188*$E$1*F188*U188,PlotData!$CB$4)</f>
        <v>0</v>
      </c>
      <c r="R188" s="884">
        <f>IF(AND(ISNUMBER(System!$C13),ABS(B188)+ABS(C188)&lt;&gt;0),N188 - SIGN(B188)*$N$1*$E$1*F188,PlotData!$CB$4)</f>
        <v>0</v>
      </c>
      <c r="S188" s="886">
        <f>IF(AND(ISNUMBER(System!$C13),ABS(B188)+ABS(C188)&lt;&gt;0),O188 - SIGN(C188)*$N$1*$E$1*F188,PlotData!$CB$4)</f>
        <v>0</v>
      </c>
      <c r="T188" s="887">
        <f>IF(ISNUMBER(System!$C13),SIGN(System!$AG13),0)</f>
        <v>0</v>
      </c>
      <c r="U188" s="881">
        <f>IF(ISNUMBER(System!BP131),ABS(System!BP131)/W188,0)</f>
        <v>0</v>
      </c>
      <c r="V188" s="881">
        <f>IF(ISNUMBER(System!BQ131),ABS(System!BQ131)/W188,0)</f>
        <v>0</v>
      </c>
      <c r="W188" s="881">
        <f>IF(AND(ABS(System!T13)+ABS(System!U13)&lt;&gt;0,F100=0),MAX(ABS(System!BO131),ABS(System!BN131)),IF(ABS(System!V13)+ABS(System!W13)+ABS(System!R13)+ABS(System!S13)&lt;&gt;0,MAX(ABS(System!BP131),ABS(System!BQ131)),1))</f>
        <v>1</v>
      </c>
    </row>
    <row r="189" spans="1:23" x14ac:dyDescent="0.25">
      <c r="A189" s="827">
        <v>11</v>
      </c>
      <c r="B189" s="882">
        <f>IF(ISNUMBER(System!$C14),SIGN(System!BP132),0)</f>
        <v>0</v>
      </c>
      <c r="C189" s="885">
        <f>IF(ISNUMBER(System!$C14),SIGN(System!$BQ132),0)</f>
        <v>0</v>
      </c>
      <c r="D189" s="885">
        <f>IF(ISNUMBER(System!$C14),System!BG132,0)</f>
        <v>0</v>
      </c>
      <c r="E189" s="885">
        <f>IF(ISNUMBER(System!$C14),System!BJ132,0)</f>
        <v>0</v>
      </c>
      <c r="F189" s="885">
        <f>IF(ISNUMBER(System!$C14),System!BK132,0)</f>
        <v>0</v>
      </c>
      <c r="G189" s="874">
        <f>IF(F189=0,1,IF(OR(System!V14&lt;&gt;0,System!W14 &lt;&gt;0),0,1))</f>
        <v>1</v>
      </c>
      <c r="H189" s="884">
        <f>IF(AND(ISNUMBER(System!$C14),ABS(B189)+ABS(C189)&lt;&gt;0),System!$BC132+$J$1*MIN($E$1,D189)*F189 - IF(AND(B189=0,C189&lt;&gt;0),ABS(C189)*$H$1*$E$1*E189,ABS(B189)*$H$1*$E$1*E189),PlotData!$CB$3)</f>
        <v>0</v>
      </c>
      <c r="I189" s="885">
        <f>IF(AND(ISNUMBER(System!$C14),ABS(B189)+ABS(C189)&lt;&gt;0),System!$BD132-$J$1*MIN($E$1,D189)*F189 -  IF(AND(C189=0,B189&lt;&gt;0),ABS(B189)*$H$1*$E$1*E189,ABS(C189)*$H$1*$E$1*E189),PlotData!$CB$3)</f>
        <v>0</v>
      </c>
      <c r="J189" s="884">
        <f>IF(AND(ISNUMBER(System!$C14),ABS(B189)+ABS(C189)&lt;&gt;0),I189 - $C189*$E$1*E189*G189*V189,PlotData!$CB$3)</f>
        <v>0</v>
      </c>
      <c r="K189" s="885">
        <f>IF(AND(ISNUMBER(System!$C14),ABS(B189)+ABS(C189)&lt;&gt;0),H189 - $B189*$E$1*E189*U189*G189,PlotData!$CB$3)</f>
        <v>0</v>
      </c>
      <c r="L189" s="884">
        <f>IF(AND(ISNUMBER(System!$C14),ABS(B189)+ABS(C189)&lt;&gt;0),H189 - B189*$N$1*$E$1*E189*G189,PlotData!$CB$3)</f>
        <v>0</v>
      </c>
      <c r="M189" s="885">
        <f>IF(AND(ISNUMBER(System!$C14),ABS(B189)+ABS(C189)&lt;&gt;0),I189 - C189*$N$1*$E$1*E189*G189,PlotData!$CB$3)</f>
        <v>0</v>
      </c>
      <c r="N189" s="887">
        <f>IF(AND(ISNUMBER(System!$C14),ABS(B189)+ABS(C189)&lt;&gt;0),System!$BE132-$J$1*MIN($E$1,D189)*E189-SIGN(ABS(B189)+0.2)*$H$1*$E$1*F189,PlotData!$CB$4)</f>
        <v>0</v>
      </c>
      <c r="O189" s="885">
        <f>IF(AND(ISNUMBER(System!$C14),ABS(B189)+ABS(C189)&lt;&gt;0),System!$BF132+$J$1*MIN($E$1,D189)*E189 - SIGN(ABS(B189)+0.2)*$H$1*$E$1*F189,PlotData!$CB$4)</f>
        <v>0</v>
      </c>
      <c r="P189" s="884">
        <f>IF(AND(ISNUMBER(System!$C14),ABS(B189)+ABS(C189)&lt;&gt;0),O189 - $C189*$E$1*F189*V189,PlotData!$CB$4)</f>
        <v>0</v>
      </c>
      <c r="Q189" s="885">
        <f>IF(AND(ISNUMBER(System!$C14),(ABS(B189)+ABS(C189))&lt;&gt;0),N189 - $B189*$E$1*F189*U189,PlotData!$CB$4)</f>
        <v>0</v>
      </c>
      <c r="R189" s="884">
        <f>IF(AND(ISNUMBER(System!$C14),ABS(B189)+ABS(C189)&lt;&gt;0),N189 - SIGN(B189)*$N$1*$E$1*F189,PlotData!$CB$4)</f>
        <v>0</v>
      </c>
      <c r="S189" s="886">
        <f>IF(AND(ISNUMBER(System!$C14),ABS(B189)+ABS(C189)&lt;&gt;0),O189 - SIGN(C189)*$N$1*$E$1*F189,PlotData!$CB$4)</f>
        <v>0</v>
      </c>
      <c r="T189" s="887">
        <f>IF(ISNUMBER(System!$C14),SIGN(System!$AG14),0)</f>
        <v>0</v>
      </c>
      <c r="U189" s="881">
        <f>IF(ISNUMBER(System!BP132),ABS(System!BP132)/W189,0)</f>
        <v>0</v>
      </c>
      <c r="V189" s="881">
        <f>IF(ISNUMBER(System!BQ132),ABS(System!BQ132)/W189,0)</f>
        <v>0</v>
      </c>
      <c r="W189" s="881">
        <f>IF(AND(ABS(System!T14)+ABS(System!U14)&lt;&gt;0,F101=0),MAX(ABS(System!BO132),ABS(System!BN132)),IF(ABS(System!V14)+ABS(System!W14)+ABS(System!R14)+ABS(System!S14)&lt;&gt;0,MAX(ABS(System!BP132),ABS(System!BQ132)),1))</f>
        <v>1</v>
      </c>
    </row>
    <row r="190" spans="1:23" x14ac:dyDescent="0.25">
      <c r="A190" s="827">
        <v>12</v>
      </c>
      <c r="B190" s="882">
        <f>IF(ISNUMBER(System!$C15),SIGN(System!BP133),0)</f>
        <v>0</v>
      </c>
      <c r="C190" s="885">
        <f>IF(ISNUMBER(System!$C15),SIGN(System!$BQ133),0)</f>
        <v>0</v>
      </c>
      <c r="D190" s="885">
        <f>IF(ISNUMBER(System!$C15),System!BG133,0)</f>
        <v>0</v>
      </c>
      <c r="E190" s="885">
        <f>IF(ISNUMBER(System!$C15),System!BJ133,0)</f>
        <v>0</v>
      </c>
      <c r="F190" s="885">
        <f>IF(ISNUMBER(System!$C15),System!BK133,0)</f>
        <v>0</v>
      </c>
      <c r="G190" s="874">
        <f>IF(F190=0,1,IF(OR(System!V15&lt;&gt;0,System!W15 &lt;&gt;0),0,1))</f>
        <v>1</v>
      </c>
      <c r="H190" s="884">
        <f>IF(AND(ISNUMBER(System!$C15),ABS(B190)+ABS(C190)&lt;&gt;0),System!$BC133+$J$1*MIN($E$1,D190)*F190 - IF(AND(B190=0,C190&lt;&gt;0),ABS(C190)*$H$1*$E$1*E190,ABS(B190)*$H$1*$E$1*E190),PlotData!$CB$3)</f>
        <v>0</v>
      </c>
      <c r="I190" s="885">
        <f>IF(AND(ISNUMBER(System!$C15),ABS(B190)+ABS(C190)&lt;&gt;0),System!$BD133-$J$1*MIN($E$1,D190)*F190 -  IF(AND(C190=0,B190&lt;&gt;0),ABS(B190)*$H$1*$E$1*E190,ABS(C190)*$H$1*$E$1*E190),PlotData!$CB$3)</f>
        <v>0</v>
      </c>
      <c r="J190" s="884">
        <f>IF(AND(ISNUMBER(System!$C15),ABS(B190)+ABS(C190)&lt;&gt;0),I190 - $C190*$E$1*E190*G190*V190,PlotData!$CB$3)</f>
        <v>0</v>
      </c>
      <c r="K190" s="885">
        <f>IF(AND(ISNUMBER(System!$C15),ABS(B190)+ABS(C190)&lt;&gt;0),H190 - $B190*$E$1*E190*U190*G190,PlotData!$CB$3)</f>
        <v>0</v>
      </c>
      <c r="L190" s="884">
        <f>IF(AND(ISNUMBER(System!$C15),ABS(B190)+ABS(C190)&lt;&gt;0),H190 - B190*$N$1*$E$1*E190*G190,PlotData!$CB$3)</f>
        <v>0</v>
      </c>
      <c r="M190" s="885">
        <f>IF(AND(ISNUMBER(System!$C15),ABS(B190)+ABS(C190)&lt;&gt;0),I190 - C190*$N$1*$E$1*E190*G190,PlotData!$CB$3)</f>
        <v>0</v>
      </c>
      <c r="N190" s="887">
        <f>IF(AND(ISNUMBER(System!$C15),ABS(B190)+ABS(C190)&lt;&gt;0),System!$BE133-$J$1*MIN($E$1,D190)*E190-SIGN(ABS(B190)+0.2)*$H$1*$E$1*F190,PlotData!$CB$4)</f>
        <v>0</v>
      </c>
      <c r="O190" s="885">
        <f>IF(AND(ISNUMBER(System!$C15),ABS(B190)+ABS(C190)&lt;&gt;0),System!$BF133+$J$1*MIN($E$1,D190)*E190 - SIGN(ABS(B190)+0.2)*$H$1*$E$1*F190,PlotData!$CB$4)</f>
        <v>0</v>
      </c>
      <c r="P190" s="884">
        <f>IF(AND(ISNUMBER(System!$C15),ABS(B190)+ABS(C190)&lt;&gt;0),O190 - $C190*$E$1*F190*V190,PlotData!$CB$4)</f>
        <v>0</v>
      </c>
      <c r="Q190" s="885">
        <f>IF(AND(ISNUMBER(System!$C15),(ABS(B190)+ABS(C190))&lt;&gt;0),N190 - $B190*$E$1*F190*U190,PlotData!$CB$4)</f>
        <v>0</v>
      </c>
      <c r="R190" s="884">
        <f>IF(AND(ISNUMBER(System!$C15),ABS(B190)+ABS(C190)&lt;&gt;0),N190 - SIGN(B190)*$N$1*$E$1*F190,PlotData!$CB$4)</f>
        <v>0</v>
      </c>
      <c r="S190" s="886">
        <f>IF(AND(ISNUMBER(System!$C15),ABS(B190)+ABS(C190)&lt;&gt;0),O190 - SIGN(C190)*$N$1*$E$1*F190,PlotData!$CB$4)</f>
        <v>0</v>
      </c>
      <c r="T190" s="887">
        <f>IF(ISNUMBER(System!$C15),SIGN(System!$AG15),0)</f>
        <v>0</v>
      </c>
      <c r="U190" s="881">
        <f>IF(ISNUMBER(System!BP133),ABS(System!BP133)/W190,0)</f>
        <v>0</v>
      </c>
      <c r="V190" s="881">
        <f>IF(ISNUMBER(System!BQ133),ABS(System!BQ133)/W190,0)</f>
        <v>0</v>
      </c>
      <c r="W190" s="881">
        <f>IF(AND(ABS(System!T15)+ABS(System!U15)&lt;&gt;0,F102=0),MAX(ABS(System!BO133),ABS(System!BN133)),IF(ABS(System!V15)+ABS(System!W15)+ABS(System!R15)+ABS(System!S15)&lt;&gt;0,MAX(ABS(System!BP133),ABS(System!BQ133)),1))</f>
        <v>1</v>
      </c>
    </row>
    <row r="191" spans="1:23" x14ac:dyDescent="0.25">
      <c r="A191" s="827">
        <v>13</v>
      </c>
      <c r="B191" s="882">
        <f>IF(ISNUMBER(System!$C16),SIGN(System!BP134),0)</f>
        <v>0</v>
      </c>
      <c r="C191" s="885">
        <f>IF(ISNUMBER(System!$C16),SIGN(System!$BQ134),0)</f>
        <v>0</v>
      </c>
      <c r="D191" s="885">
        <f>IF(ISNUMBER(System!$C16),System!BG134,0)</f>
        <v>0</v>
      </c>
      <c r="E191" s="885">
        <f>IF(ISNUMBER(System!$C16),System!BJ134,0)</f>
        <v>0</v>
      </c>
      <c r="F191" s="885">
        <f>IF(ISNUMBER(System!$C16),System!BK134,0)</f>
        <v>0</v>
      </c>
      <c r="G191" s="874">
        <f>IF(F191=0,1,IF(OR(System!V16&lt;&gt;0,System!W16 &lt;&gt;0),0,1))</f>
        <v>1</v>
      </c>
      <c r="H191" s="884">
        <f>IF(AND(ISNUMBER(System!$C16),ABS(B191)+ABS(C191)&lt;&gt;0),System!$BC134+$J$1*MIN($E$1,D191)*F191 - IF(AND(B191=0,C191&lt;&gt;0),ABS(C191)*$H$1*$E$1*E191,ABS(B191)*$H$1*$E$1*E191),PlotData!$CB$3)</f>
        <v>0</v>
      </c>
      <c r="I191" s="885">
        <f>IF(AND(ISNUMBER(System!$C16),ABS(B191)+ABS(C191)&lt;&gt;0),System!$BD134-$J$1*MIN($E$1,D191)*F191 -  IF(AND(C191=0,B191&lt;&gt;0),ABS(B191)*$H$1*$E$1*E191,ABS(C191)*$H$1*$E$1*E191),PlotData!$CB$3)</f>
        <v>0</v>
      </c>
      <c r="J191" s="884">
        <f>IF(AND(ISNUMBER(System!$C16),ABS(B191)+ABS(C191)&lt;&gt;0),I191 - $C191*$E$1*E191*G191*V191,PlotData!$CB$3)</f>
        <v>0</v>
      </c>
      <c r="K191" s="885">
        <f>IF(AND(ISNUMBER(System!$C16),ABS(B191)+ABS(C191)&lt;&gt;0),H191 - $B191*$E$1*E191*U191*G191,PlotData!$CB$3)</f>
        <v>0</v>
      </c>
      <c r="L191" s="884">
        <f>IF(AND(ISNUMBER(System!$C16),ABS(B191)+ABS(C191)&lt;&gt;0),H191 - B191*$N$1*$E$1*E191*G191,PlotData!$CB$3)</f>
        <v>0</v>
      </c>
      <c r="M191" s="885">
        <f>IF(AND(ISNUMBER(System!$C16),ABS(B191)+ABS(C191)&lt;&gt;0),I191 - C191*$N$1*$E$1*E191*G191,PlotData!$CB$3)</f>
        <v>0</v>
      </c>
      <c r="N191" s="887">
        <f>IF(AND(ISNUMBER(System!$C16),ABS(B191)+ABS(C191)&lt;&gt;0),System!$BE134-$J$1*MIN($E$1,D191)*E191-SIGN(ABS(B191)+0.2)*$H$1*$E$1*F191,PlotData!$CB$4)</f>
        <v>0</v>
      </c>
      <c r="O191" s="885">
        <f>IF(AND(ISNUMBER(System!$C16),ABS(B191)+ABS(C191)&lt;&gt;0),System!$BF134+$J$1*MIN($E$1,D191)*E191 - SIGN(ABS(B191)+0.2)*$H$1*$E$1*F191,PlotData!$CB$4)</f>
        <v>0</v>
      </c>
      <c r="P191" s="884">
        <f>IF(AND(ISNUMBER(System!$C16),ABS(B191)+ABS(C191)&lt;&gt;0),O191 - $C191*$E$1*F191*V191,PlotData!$CB$4)</f>
        <v>0</v>
      </c>
      <c r="Q191" s="885">
        <f>IF(AND(ISNUMBER(System!$C16),(ABS(B191)+ABS(C191))&lt;&gt;0),N191 - $B191*$E$1*F191*U191,PlotData!$CB$4)</f>
        <v>0</v>
      </c>
      <c r="R191" s="884">
        <f>IF(AND(ISNUMBER(System!$C16),ABS(B191)+ABS(C191)&lt;&gt;0),N191 - SIGN(B191)*$N$1*$E$1*F191,PlotData!$CB$4)</f>
        <v>0</v>
      </c>
      <c r="S191" s="886">
        <f>IF(AND(ISNUMBER(System!$C16),ABS(B191)+ABS(C191)&lt;&gt;0),O191 - SIGN(C191)*$N$1*$E$1*F191,PlotData!$CB$4)</f>
        <v>0</v>
      </c>
      <c r="T191" s="887">
        <f>IF(ISNUMBER(System!$C16),SIGN(System!$AG16),0)</f>
        <v>0</v>
      </c>
      <c r="U191" s="881">
        <f>IF(ISNUMBER(System!BP134),ABS(System!BP134)/W191,0)</f>
        <v>0</v>
      </c>
      <c r="V191" s="881">
        <f>IF(ISNUMBER(System!BQ134),ABS(System!BQ134)/W191,0)</f>
        <v>0</v>
      </c>
      <c r="W191" s="881">
        <f>IF(AND(ABS(System!T16)+ABS(System!U16)&lt;&gt;0,F103=0),MAX(ABS(System!BO134),ABS(System!BN134)),IF(ABS(System!V16)+ABS(System!W16)+ABS(System!R16)+ABS(System!S16)&lt;&gt;0,MAX(ABS(System!BP134),ABS(System!BQ134)),1))</f>
        <v>1</v>
      </c>
    </row>
    <row r="192" spans="1:23" x14ac:dyDescent="0.25">
      <c r="A192" s="827">
        <v>14</v>
      </c>
      <c r="B192" s="882">
        <f>IF(ISNUMBER(System!$C17),SIGN(System!BP135),0)</f>
        <v>0</v>
      </c>
      <c r="C192" s="885">
        <f>IF(ISNUMBER(System!$C17),SIGN(System!$BQ135),0)</f>
        <v>0</v>
      </c>
      <c r="D192" s="885">
        <f>IF(ISNUMBER(System!$C17),System!BG135,0)</f>
        <v>0</v>
      </c>
      <c r="E192" s="885">
        <f>IF(ISNUMBER(System!$C17),System!BJ135,0)</f>
        <v>0</v>
      </c>
      <c r="F192" s="885">
        <f>IF(ISNUMBER(System!$C17),System!BK135,0)</f>
        <v>0</v>
      </c>
      <c r="G192" s="874">
        <f>IF(F192=0,1,IF(OR(System!V17&lt;&gt;0,System!W17 &lt;&gt;0),0,1))</f>
        <v>1</v>
      </c>
      <c r="H192" s="884">
        <f>IF(AND(ISNUMBER(System!$C17),ABS(B192)+ABS(C192)&lt;&gt;0),System!$BC135+$J$1*MIN($E$1,D192)*F192 - IF(AND(B192=0,C192&lt;&gt;0),ABS(C192)*$H$1*$E$1*E192,ABS(B192)*$H$1*$E$1*E192),PlotData!$CB$3)</f>
        <v>0</v>
      </c>
      <c r="I192" s="885">
        <f>IF(AND(ISNUMBER(System!$C17),ABS(B192)+ABS(C192)&lt;&gt;0),System!$BD135-$J$1*MIN($E$1,D192)*F192 -  IF(AND(C192=0,B192&lt;&gt;0),ABS(B192)*$H$1*$E$1*E192,ABS(C192)*$H$1*$E$1*E192),PlotData!$CB$3)</f>
        <v>0</v>
      </c>
      <c r="J192" s="884">
        <f>IF(AND(ISNUMBER(System!$C17),ABS(B192)+ABS(C192)&lt;&gt;0),I192 - $C192*$E$1*E192*G192*V192,PlotData!$CB$3)</f>
        <v>0</v>
      </c>
      <c r="K192" s="885">
        <f>IF(AND(ISNUMBER(System!$C17),ABS(B192)+ABS(C192)&lt;&gt;0),H192 - $B192*$E$1*E192*U192*G192,PlotData!$CB$3)</f>
        <v>0</v>
      </c>
      <c r="L192" s="884">
        <f>IF(AND(ISNUMBER(System!$C17),ABS(B192)+ABS(C192)&lt;&gt;0),H192 - B192*$N$1*$E$1*E192*G192,PlotData!$CB$3)</f>
        <v>0</v>
      </c>
      <c r="M192" s="885">
        <f>IF(AND(ISNUMBER(System!$C17),ABS(B192)+ABS(C192)&lt;&gt;0),I192 - C192*$N$1*$E$1*E192*G192,PlotData!$CB$3)</f>
        <v>0</v>
      </c>
      <c r="N192" s="887">
        <f>IF(AND(ISNUMBER(System!$C17),ABS(B192)+ABS(C192)&lt;&gt;0),System!$BE135-$J$1*MIN($E$1,D192)*E192-SIGN(ABS(B192)+0.2)*$H$1*$E$1*F192,PlotData!$CB$4)</f>
        <v>0</v>
      </c>
      <c r="O192" s="885">
        <f>IF(AND(ISNUMBER(System!$C17),ABS(B192)+ABS(C192)&lt;&gt;0),System!$BF135+$J$1*MIN($E$1,D192)*E192 - SIGN(ABS(B192)+0.2)*$H$1*$E$1*F192,PlotData!$CB$4)</f>
        <v>0</v>
      </c>
      <c r="P192" s="884">
        <f>IF(AND(ISNUMBER(System!$C17),ABS(B192)+ABS(C192)&lt;&gt;0),O192 - $C192*$E$1*F192*V192,PlotData!$CB$4)</f>
        <v>0</v>
      </c>
      <c r="Q192" s="885">
        <f>IF(AND(ISNUMBER(System!$C17),(ABS(B192)+ABS(C192))&lt;&gt;0),N192 - $B192*$E$1*F192*U192,PlotData!$CB$4)</f>
        <v>0</v>
      </c>
      <c r="R192" s="884">
        <f>IF(AND(ISNUMBER(System!$C17),ABS(B192)+ABS(C192)&lt;&gt;0),N192 - SIGN(B192)*$N$1*$E$1*F192,PlotData!$CB$4)</f>
        <v>0</v>
      </c>
      <c r="S192" s="886">
        <f>IF(AND(ISNUMBER(System!$C17),ABS(B192)+ABS(C192)&lt;&gt;0),O192 - SIGN(C192)*$N$1*$E$1*F192,PlotData!$CB$4)</f>
        <v>0</v>
      </c>
      <c r="T192" s="887">
        <f>IF(ISNUMBER(System!$C17),SIGN(System!$AG17),0)</f>
        <v>0</v>
      </c>
      <c r="U192" s="881">
        <f>IF(ISNUMBER(System!BP135),ABS(System!BP135)/W192,0)</f>
        <v>0</v>
      </c>
      <c r="V192" s="881">
        <f>IF(ISNUMBER(System!BQ135),ABS(System!BQ135)/W192,0)</f>
        <v>0</v>
      </c>
      <c r="W192" s="881">
        <f>IF(AND(ABS(System!T17)+ABS(System!U17)&lt;&gt;0,F104=0),MAX(ABS(System!BO135),ABS(System!BN135)),IF(ABS(System!V17)+ABS(System!W17)+ABS(System!R17)+ABS(System!S17)&lt;&gt;0,MAX(ABS(System!BP135),ABS(System!BQ135)),1))</f>
        <v>1</v>
      </c>
    </row>
    <row r="193" spans="1:23" x14ac:dyDescent="0.25">
      <c r="A193" s="827">
        <v>15</v>
      </c>
      <c r="B193" s="882">
        <f>IF(ISNUMBER(System!$C18),SIGN(System!BP136),0)</f>
        <v>0</v>
      </c>
      <c r="C193" s="885">
        <f>IF(ISNUMBER(System!$C18),SIGN(System!$BQ136),0)</f>
        <v>0</v>
      </c>
      <c r="D193" s="885">
        <f>IF(ISNUMBER(System!$C18),System!BG136,0)</f>
        <v>0</v>
      </c>
      <c r="E193" s="885">
        <f>IF(ISNUMBER(System!$C18),System!BJ136,0)</f>
        <v>0</v>
      </c>
      <c r="F193" s="885">
        <f>IF(ISNUMBER(System!$C18),System!BK136,0)</f>
        <v>0</v>
      </c>
      <c r="G193" s="874">
        <f>IF(F193=0,1,IF(OR(System!V18&lt;&gt;0,System!W18 &lt;&gt;0),0,1))</f>
        <v>1</v>
      </c>
      <c r="H193" s="884">
        <f>IF(AND(ISNUMBER(System!$C18),ABS(B193)+ABS(C193)&lt;&gt;0),System!$BC136+$J$1*MIN($E$1,D193)*F193 - IF(AND(B193=0,C193&lt;&gt;0),ABS(C193)*$H$1*$E$1*E193,ABS(B193)*$H$1*$E$1*E193),PlotData!$CB$3)</f>
        <v>0</v>
      </c>
      <c r="I193" s="885">
        <f>IF(AND(ISNUMBER(System!$C18),ABS(B193)+ABS(C193)&lt;&gt;0),System!$BD136-$J$1*MIN($E$1,D193)*F193 -  IF(AND(C193=0,B193&lt;&gt;0),ABS(B193)*$H$1*$E$1*E193,ABS(C193)*$H$1*$E$1*E193),PlotData!$CB$3)</f>
        <v>0</v>
      </c>
      <c r="J193" s="884">
        <f>IF(AND(ISNUMBER(System!$C18),ABS(B193)+ABS(C193)&lt;&gt;0),I193 - $C193*$E$1*E193*G193*V193,PlotData!$CB$3)</f>
        <v>0</v>
      </c>
      <c r="K193" s="885">
        <f>IF(AND(ISNUMBER(System!$C18),ABS(B193)+ABS(C193)&lt;&gt;0),H193 - $B193*$E$1*E193*U193*G193,PlotData!$CB$3)</f>
        <v>0</v>
      </c>
      <c r="L193" s="884">
        <f>IF(AND(ISNUMBER(System!$C18),ABS(B193)+ABS(C193)&lt;&gt;0),H193 - B193*$N$1*$E$1*E193*G193,PlotData!$CB$3)</f>
        <v>0</v>
      </c>
      <c r="M193" s="885">
        <f>IF(AND(ISNUMBER(System!$C18),ABS(B193)+ABS(C193)&lt;&gt;0),I193 - C193*$N$1*$E$1*E193*G193,PlotData!$CB$3)</f>
        <v>0</v>
      </c>
      <c r="N193" s="887">
        <f>IF(AND(ISNUMBER(System!$C18),ABS(B193)+ABS(C193)&lt;&gt;0),System!$BE136-$J$1*MIN($E$1,D193)*E193-SIGN(ABS(B193)+0.2)*$H$1*$E$1*F193,PlotData!$CB$4)</f>
        <v>0</v>
      </c>
      <c r="O193" s="885">
        <f>IF(AND(ISNUMBER(System!$C18),ABS(B193)+ABS(C193)&lt;&gt;0),System!$BF136+$J$1*MIN($E$1,D193)*E193 - SIGN(ABS(B193)+0.2)*$H$1*$E$1*F193,PlotData!$CB$4)</f>
        <v>0</v>
      </c>
      <c r="P193" s="884">
        <f>IF(AND(ISNUMBER(System!$C18),ABS(B193)+ABS(C193)&lt;&gt;0),O193 - $C193*$E$1*F193*V193,PlotData!$CB$4)</f>
        <v>0</v>
      </c>
      <c r="Q193" s="885">
        <f>IF(AND(ISNUMBER(System!$C18),(ABS(B193)+ABS(C193))&lt;&gt;0),N193 - $B193*$E$1*F193*U193,PlotData!$CB$4)</f>
        <v>0</v>
      </c>
      <c r="R193" s="884">
        <f>IF(AND(ISNUMBER(System!$C18),ABS(B193)+ABS(C193)&lt;&gt;0),N193 - SIGN(B193)*$N$1*$E$1*F193,PlotData!$CB$4)</f>
        <v>0</v>
      </c>
      <c r="S193" s="886">
        <f>IF(AND(ISNUMBER(System!$C18),ABS(B193)+ABS(C193)&lt;&gt;0),O193 - SIGN(C193)*$N$1*$E$1*F193,PlotData!$CB$4)</f>
        <v>0</v>
      </c>
      <c r="T193" s="887">
        <f>IF(ISNUMBER(System!$C18),SIGN(System!$AG18),0)</f>
        <v>0</v>
      </c>
      <c r="U193" s="881">
        <f>IF(ISNUMBER(System!BP136),ABS(System!BP136)/W193,0)</f>
        <v>0</v>
      </c>
      <c r="V193" s="881">
        <f>IF(ISNUMBER(System!BQ136),ABS(System!BQ136)/W193,0)</f>
        <v>0</v>
      </c>
      <c r="W193" s="881">
        <f>IF(AND(ABS(System!T18)+ABS(System!U18)&lt;&gt;0,F105=0),MAX(ABS(System!BO136),ABS(System!BN136)),IF(ABS(System!V18)+ABS(System!W18)+ABS(System!R18)+ABS(System!S18)&lt;&gt;0,MAX(ABS(System!BP136),ABS(System!BQ136)),1))</f>
        <v>1</v>
      </c>
    </row>
    <row r="194" spans="1:23" x14ac:dyDescent="0.25">
      <c r="A194" s="827">
        <v>16</v>
      </c>
      <c r="B194" s="882">
        <f>IF(ISNUMBER(System!$C19),SIGN(System!BP137),0)</f>
        <v>0</v>
      </c>
      <c r="C194" s="885">
        <f>IF(ISNUMBER(System!$C19),SIGN(System!$BQ137),0)</f>
        <v>0</v>
      </c>
      <c r="D194" s="885">
        <f>IF(ISNUMBER(System!$C19),System!BG137,0)</f>
        <v>0</v>
      </c>
      <c r="E194" s="885">
        <f>IF(ISNUMBER(System!$C19),System!BJ137,0)</f>
        <v>0</v>
      </c>
      <c r="F194" s="885">
        <f>IF(ISNUMBER(System!$C19),System!BK137,0)</f>
        <v>0</v>
      </c>
      <c r="G194" s="874">
        <f>IF(F194=0,1,IF(OR(System!V19&lt;&gt;0,System!W19 &lt;&gt;0),0,1))</f>
        <v>1</v>
      </c>
      <c r="H194" s="884">
        <f>IF(AND(ISNUMBER(System!$C19),ABS(B194)+ABS(C194)&lt;&gt;0),System!$BC137+$J$1*MIN($E$1,D194)*F194 - IF(AND(B194=0,C194&lt;&gt;0),ABS(C194)*$H$1*$E$1*E194,ABS(B194)*$H$1*$E$1*E194),PlotData!$CB$3)</f>
        <v>0</v>
      </c>
      <c r="I194" s="885">
        <f>IF(AND(ISNUMBER(System!$C19),ABS(B194)+ABS(C194)&lt;&gt;0),System!$BD137-$J$1*MIN($E$1,D194)*F194 -  IF(AND(C194=0,B194&lt;&gt;0),ABS(B194)*$H$1*$E$1*E194,ABS(C194)*$H$1*$E$1*E194),PlotData!$CB$3)</f>
        <v>0</v>
      </c>
      <c r="J194" s="884">
        <f>IF(AND(ISNUMBER(System!$C19),ABS(B194)+ABS(C194)&lt;&gt;0),I194 - $C194*$E$1*E194*G194*V194,PlotData!$CB$3)</f>
        <v>0</v>
      </c>
      <c r="K194" s="885">
        <f>IF(AND(ISNUMBER(System!$C19),ABS(B194)+ABS(C194)&lt;&gt;0),H194 - $B194*$E$1*E194*U194*G194,PlotData!$CB$3)</f>
        <v>0</v>
      </c>
      <c r="L194" s="884">
        <f>IF(AND(ISNUMBER(System!$C19),ABS(B194)+ABS(C194)&lt;&gt;0),H194 - B194*$N$1*$E$1*E194*G194,PlotData!$CB$3)</f>
        <v>0</v>
      </c>
      <c r="M194" s="885">
        <f>IF(AND(ISNUMBER(System!$C19),ABS(B194)+ABS(C194)&lt;&gt;0),I194 - C194*$N$1*$E$1*E194*G194,PlotData!$CB$3)</f>
        <v>0</v>
      </c>
      <c r="N194" s="887">
        <f>IF(AND(ISNUMBER(System!$C19),ABS(B194)+ABS(C194)&lt;&gt;0),System!$BE137-$J$1*MIN($E$1,D194)*E194-SIGN(ABS(B194)+0.2)*$H$1*$E$1*F194,PlotData!$CB$4)</f>
        <v>0</v>
      </c>
      <c r="O194" s="885">
        <f>IF(AND(ISNUMBER(System!$C19),ABS(B194)+ABS(C194)&lt;&gt;0),System!$BF137+$J$1*MIN($E$1,D194)*E194 - SIGN(ABS(B194)+0.2)*$H$1*$E$1*F194,PlotData!$CB$4)</f>
        <v>0</v>
      </c>
      <c r="P194" s="884">
        <f>IF(AND(ISNUMBER(System!$C19),ABS(B194)+ABS(C194)&lt;&gt;0),O194 - $C194*$E$1*F194*V194,PlotData!$CB$4)</f>
        <v>0</v>
      </c>
      <c r="Q194" s="885">
        <f>IF(AND(ISNUMBER(System!$C19),(ABS(B194)+ABS(C194))&lt;&gt;0),N194 - $B194*$E$1*F194*U194,PlotData!$CB$4)</f>
        <v>0</v>
      </c>
      <c r="R194" s="884">
        <f>IF(AND(ISNUMBER(System!$C19),ABS(B194)+ABS(C194)&lt;&gt;0),N194 - SIGN(B194)*$N$1*$E$1*F194,PlotData!$CB$4)</f>
        <v>0</v>
      </c>
      <c r="S194" s="886">
        <f>IF(AND(ISNUMBER(System!$C19),ABS(B194)+ABS(C194)&lt;&gt;0),O194 - SIGN(C194)*$N$1*$E$1*F194,PlotData!$CB$4)</f>
        <v>0</v>
      </c>
      <c r="T194" s="887">
        <f>IF(ISNUMBER(System!$C19),SIGN(System!$AG19),0)</f>
        <v>0</v>
      </c>
      <c r="U194" s="881">
        <f>IF(ISNUMBER(System!BP137),ABS(System!BP137)/W194,0)</f>
        <v>0</v>
      </c>
      <c r="V194" s="881">
        <f>IF(ISNUMBER(System!BQ137),ABS(System!BQ137)/W194,0)</f>
        <v>0</v>
      </c>
      <c r="W194" s="881">
        <f>IF(AND(ABS(System!T19)+ABS(System!U19)&lt;&gt;0,F106=0),MAX(ABS(System!BO137),ABS(System!BN137)),IF(ABS(System!V19)+ABS(System!W19)+ABS(System!R19)+ABS(System!S19)&lt;&gt;0,MAX(ABS(System!BP137),ABS(System!BQ137)),1))</f>
        <v>1</v>
      </c>
    </row>
    <row r="195" spans="1:23" x14ac:dyDescent="0.25">
      <c r="A195" s="827">
        <v>17</v>
      </c>
      <c r="B195" s="882">
        <f>IF(ISNUMBER(System!$C20),SIGN(System!BP138),0)</f>
        <v>0</v>
      </c>
      <c r="C195" s="885">
        <f>IF(ISNUMBER(System!$C20),SIGN(System!$BQ138),0)</f>
        <v>0</v>
      </c>
      <c r="D195" s="885">
        <f>IF(ISNUMBER(System!$C20),System!BG138,0)</f>
        <v>0</v>
      </c>
      <c r="E195" s="885">
        <f>IF(ISNUMBER(System!$C20),System!BJ138,0)</f>
        <v>0</v>
      </c>
      <c r="F195" s="885">
        <f>IF(ISNUMBER(System!$C20),System!BK138,0)</f>
        <v>0</v>
      </c>
      <c r="G195" s="874">
        <f>IF(F195=0,1,IF(OR(System!V20&lt;&gt;0,System!W20 &lt;&gt;0),0,1))</f>
        <v>1</v>
      </c>
      <c r="H195" s="884">
        <f>IF(AND(ISNUMBER(System!$C20),ABS(B195)+ABS(C195)&lt;&gt;0),System!$BC138+$J$1*MIN($E$1,D195)*F195 - IF(AND(B195=0,C195&lt;&gt;0),ABS(C195)*$H$1*$E$1*E195,ABS(B195)*$H$1*$E$1*E195),PlotData!$CB$3)</f>
        <v>0</v>
      </c>
      <c r="I195" s="885">
        <f>IF(AND(ISNUMBER(System!$C20),ABS(B195)+ABS(C195)&lt;&gt;0),System!$BD138-$J$1*MIN($E$1,D195)*F195 -  IF(AND(C195=0,B195&lt;&gt;0),ABS(B195)*$H$1*$E$1*E195,ABS(C195)*$H$1*$E$1*E195),PlotData!$CB$3)</f>
        <v>0</v>
      </c>
      <c r="J195" s="884">
        <f>IF(AND(ISNUMBER(System!$C20),ABS(B195)+ABS(C195)&lt;&gt;0),I195 - $C195*$E$1*E195*G195*V195,PlotData!$CB$3)</f>
        <v>0</v>
      </c>
      <c r="K195" s="885">
        <f>IF(AND(ISNUMBER(System!$C20),ABS(B195)+ABS(C195)&lt;&gt;0),H195 - $B195*$E$1*E195*U195*G195,PlotData!$CB$3)</f>
        <v>0</v>
      </c>
      <c r="L195" s="884">
        <f>IF(AND(ISNUMBER(System!$C20),ABS(B195)+ABS(C195)&lt;&gt;0),H195 - B195*$N$1*$E$1*E195*G195,PlotData!$CB$3)</f>
        <v>0</v>
      </c>
      <c r="M195" s="885">
        <f>IF(AND(ISNUMBER(System!$C20),ABS(B195)+ABS(C195)&lt;&gt;0),I195 - C195*$N$1*$E$1*E195*G195,PlotData!$CB$3)</f>
        <v>0</v>
      </c>
      <c r="N195" s="887">
        <f>IF(AND(ISNUMBER(System!$C20),ABS(B195)+ABS(C195)&lt;&gt;0),System!$BE138-$J$1*MIN($E$1,D195)*E195-SIGN(ABS(B195)+0.2)*$H$1*$E$1*F195,PlotData!$CB$4)</f>
        <v>0</v>
      </c>
      <c r="O195" s="885">
        <f>IF(AND(ISNUMBER(System!$C20),ABS(B195)+ABS(C195)&lt;&gt;0),System!$BF138+$J$1*MIN($E$1,D195)*E195 - SIGN(ABS(B195)+0.2)*$H$1*$E$1*F195,PlotData!$CB$4)</f>
        <v>0</v>
      </c>
      <c r="P195" s="884">
        <f>IF(AND(ISNUMBER(System!$C20),ABS(B195)+ABS(C195)&lt;&gt;0),O195 - $C195*$E$1*F195*V195,PlotData!$CB$4)</f>
        <v>0</v>
      </c>
      <c r="Q195" s="885">
        <f>IF(AND(ISNUMBER(System!$C20),(ABS(B195)+ABS(C195))&lt;&gt;0),N195 - $B195*$E$1*F195*U195,PlotData!$CB$4)</f>
        <v>0</v>
      </c>
      <c r="R195" s="884">
        <f>IF(AND(ISNUMBER(System!$C20),ABS(B195)+ABS(C195)&lt;&gt;0),N195 - SIGN(B195)*$N$1*$E$1*F195,PlotData!$CB$4)</f>
        <v>0</v>
      </c>
      <c r="S195" s="886">
        <f>IF(AND(ISNUMBER(System!$C20),ABS(B195)+ABS(C195)&lt;&gt;0),O195 - SIGN(C195)*$N$1*$E$1*F195,PlotData!$CB$4)</f>
        <v>0</v>
      </c>
      <c r="T195" s="887">
        <f>IF(ISNUMBER(System!$C20),SIGN(System!$AG20),0)</f>
        <v>0</v>
      </c>
      <c r="U195" s="881">
        <f>IF(ISNUMBER(System!BP138),ABS(System!BP138)/W195,0)</f>
        <v>0</v>
      </c>
      <c r="V195" s="881">
        <f>IF(ISNUMBER(System!BQ138),ABS(System!BQ138)/W195,0)</f>
        <v>0</v>
      </c>
      <c r="W195" s="881">
        <f>IF(AND(ABS(System!T20)+ABS(System!U20)&lt;&gt;0,F107=0),MAX(ABS(System!BO138),ABS(System!BN138)),IF(ABS(System!V20)+ABS(System!W20)+ABS(System!R20)+ABS(System!S20)&lt;&gt;0,MAX(ABS(System!BP138),ABS(System!BQ138)),1))</f>
        <v>1</v>
      </c>
    </row>
    <row r="196" spans="1:23" x14ac:dyDescent="0.25">
      <c r="A196" s="827">
        <v>18</v>
      </c>
      <c r="B196" s="882">
        <f>IF(ISNUMBER(System!$C21),SIGN(System!BP139),0)</f>
        <v>0</v>
      </c>
      <c r="C196" s="885">
        <f>IF(ISNUMBER(System!$C21),SIGN(System!$BQ139),0)</f>
        <v>0</v>
      </c>
      <c r="D196" s="885">
        <f>IF(ISNUMBER(System!$C21),System!BG139,0)</f>
        <v>0</v>
      </c>
      <c r="E196" s="885">
        <f>IF(ISNUMBER(System!$C21),System!BJ139,0)</f>
        <v>0</v>
      </c>
      <c r="F196" s="885">
        <f>IF(ISNUMBER(System!$C21),System!BK139,0)</f>
        <v>0</v>
      </c>
      <c r="G196" s="874">
        <f>IF(F196=0,1,IF(OR(System!V21&lt;&gt;0,System!W21 &lt;&gt;0),0,1))</f>
        <v>1</v>
      </c>
      <c r="H196" s="884">
        <f>IF(AND(ISNUMBER(System!$C21),ABS(B196)+ABS(C196)&lt;&gt;0),System!$BC139+$J$1*MIN($E$1,D196)*F196 - IF(AND(B196=0,C196&lt;&gt;0),ABS(C196)*$H$1*$E$1*E196,ABS(B196)*$H$1*$E$1*E196),PlotData!$CB$3)</f>
        <v>0</v>
      </c>
      <c r="I196" s="885">
        <f>IF(AND(ISNUMBER(System!$C21),ABS(B196)+ABS(C196)&lt;&gt;0),System!$BD139-$J$1*MIN($E$1,D196)*F196 -  IF(AND(C196=0,B196&lt;&gt;0),ABS(B196)*$H$1*$E$1*E196,ABS(C196)*$H$1*$E$1*E196),PlotData!$CB$3)</f>
        <v>0</v>
      </c>
      <c r="J196" s="884">
        <f>IF(AND(ISNUMBER(System!$C21),ABS(B196)+ABS(C196)&lt;&gt;0),I196 - $C196*$E$1*E196*G196*V196,PlotData!$CB$3)</f>
        <v>0</v>
      </c>
      <c r="K196" s="885">
        <f>IF(AND(ISNUMBER(System!$C21),ABS(B196)+ABS(C196)&lt;&gt;0),H196 - $B196*$E$1*E196*U196*G196,PlotData!$CB$3)</f>
        <v>0</v>
      </c>
      <c r="L196" s="884">
        <f>IF(AND(ISNUMBER(System!$C21),ABS(B196)+ABS(C196)&lt;&gt;0),H196 - B196*$N$1*$E$1*E196*G196,PlotData!$CB$3)</f>
        <v>0</v>
      </c>
      <c r="M196" s="885">
        <f>IF(AND(ISNUMBER(System!$C21),ABS(B196)+ABS(C196)&lt;&gt;0),I196 - C196*$N$1*$E$1*E196*G196,PlotData!$CB$3)</f>
        <v>0</v>
      </c>
      <c r="N196" s="887">
        <f>IF(AND(ISNUMBER(System!$C21),ABS(B196)+ABS(C196)&lt;&gt;0),System!$BE139-$J$1*MIN($E$1,D196)*E196-SIGN(ABS(B196)+0.2)*$H$1*$E$1*F196,PlotData!$CB$4)</f>
        <v>0</v>
      </c>
      <c r="O196" s="885">
        <f>IF(AND(ISNUMBER(System!$C21),ABS(B196)+ABS(C196)&lt;&gt;0),System!$BF139+$J$1*MIN($E$1,D196)*E196 - SIGN(ABS(B196)+0.2)*$H$1*$E$1*F196,PlotData!$CB$4)</f>
        <v>0</v>
      </c>
      <c r="P196" s="884">
        <f>IF(AND(ISNUMBER(System!$C21),ABS(B196)+ABS(C196)&lt;&gt;0),O196 - $C196*$E$1*F196*V196,PlotData!$CB$4)</f>
        <v>0</v>
      </c>
      <c r="Q196" s="885">
        <f>IF(AND(ISNUMBER(System!$C21),(ABS(B196)+ABS(C196))&lt;&gt;0),N196 - $B196*$E$1*F196*U196,PlotData!$CB$4)</f>
        <v>0</v>
      </c>
      <c r="R196" s="884">
        <f>IF(AND(ISNUMBER(System!$C21),ABS(B196)+ABS(C196)&lt;&gt;0),N196 - SIGN(B196)*$N$1*$E$1*F196,PlotData!$CB$4)</f>
        <v>0</v>
      </c>
      <c r="S196" s="886">
        <f>IF(AND(ISNUMBER(System!$C21),ABS(B196)+ABS(C196)&lt;&gt;0),O196 - SIGN(C196)*$N$1*$E$1*F196,PlotData!$CB$4)</f>
        <v>0</v>
      </c>
      <c r="T196" s="887">
        <f>IF(ISNUMBER(System!$C21),SIGN(System!$AG21),0)</f>
        <v>0</v>
      </c>
      <c r="U196" s="881">
        <f>IF(ISNUMBER(System!BP139),ABS(System!BP139)/W196,0)</f>
        <v>0</v>
      </c>
      <c r="V196" s="881">
        <f>IF(ISNUMBER(System!BQ139),ABS(System!BQ139)/W196,0)</f>
        <v>0</v>
      </c>
      <c r="W196" s="881">
        <f>IF(AND(ABS(System!T21)+ABS(System!U21)&lt;&gt;0,F108=0),MAX(ABS(System!BO139),ABS(System!BN139)),IF(ABS(System!V21)+ABS(System!W21)+ABS(System!R21)+ABS(System!S21)&lt;&gt;0,MAX(ABS(System!BP139),ABS(System!BQ139)),1))</f>
        <v>1</v>
      </c>
    </row>
    <row r="197" spans="1:23" x14ac:dyDescent="0.25">
      <c r="A197" s="827">
        <v>19</v>
      </c>
      <c r="B197" s="882">
        <f>IF(ISNUMBER(System!$C22),SIGN(System!BP140),0)</f>
        <v>0</v>
      </c>
      <c r="C197" s="885">
        <f>IF(ISNUMBER(System!$C22),SIGN(System!$BQ140),0)</f>
        <v>0</v>
      </c>
      <c r="D197" s="885">
        <f>IF(ISNUMBER(System!$C22),System!BG140,0)</f>
        <v>0</v>
      </c>
      <c r="E197" s="885">
        <f>IF(ISNUMBER(System!$C22),System!BJ140,0)</f>
        <v>0</v>
      </c>
      <c r="F197" s="885">
        <f>IF(ISNUMBER(System!$C22),System!BK140,0)</f>
        <v>0</v>
      </c>
      <c r="G197" s="874">
        <f>IF(F197=0,1,IF(OR(System!V22&lt;&gt;0,System!W22 &lt;&gt;0),0,1))</f>
        <v>1</v>
      </c>
      <c r="H197" s="884">
        <f>IF(AND(ISNUMBER(System!$C22),ABS(B197)+ABS(C197)&lt;&gt;0),System!$BC140+$J$1*MIN($E$1,D197)*F197 - IF(AND(B197=0,C197&lt;&gt;0),ABS(C197)*$H$1*$E$1*E197,ABS(B197)*$H$1*$E$1*E197),PlotData!$CB$3)</f>
        <v>0</v>
      </c>
      <c r="I197" s="885">
        <f>IF(AND(ISNUMBER(System!$C22),ABS(B197)+ABS(C197)&lt;&gt;0),System!$BD140-$J$1*MIN($E$1,D197)*F197 -  IF(AND(C197=0,B197&lt;&gt;0),ABS(B197)*$H$1*$E$1*E197,ABS(C197)*$H$1*$E$1*E197),PlotData!$CB$3)</f>
        <v>0</v>
      </c>
      <c r="J197" s="884">
        <f>IF(AND(ISNUMBER(System!$C22),ABS(B197)+ABS(C197)&lt;&gt;0),I197 - $C197*$E$1*E197*G197*V197,PlotData!$CB$3)</f>
        <v>0</v>
      </c>
      <c r="K197" s="885">
        <f>IF(AND(ISNUMBER(System!$C22),ABS(B197)+ABS(C197)&lt;&gt;0),H197 - $B197*$E$1*E197*U197*G197,PlotData!$CB$3)</f>
        <v>0</v>
      </c>
      <c r="L197" s="884">
        <f>IF(AND(ISNUMBER(System!$C22),ABS(B197)+ABS(C197)&lt;&gt;0),H197 - B197*$N$1*$E$1*E197*G197,PlotData!$CB$3)</f>
        <v>0</v>
      </c>
      <c r="M197" s="885">
        <f>IF(AND(ISNUMBER(System!$C22),ABS(B197)+ABS(C197)&lt;&gt;0),I197 - C197*$N$1*$E$1*E197*G197,PlotData!$CB$3)</f>
        <v>0</v>
      </c>
      <c r="N197" s="887">
        <f>IF(AND(ISNUMBER(System!$C22),ABS(B197)+ABS(C197)&lt;&gt;0),System!$BE140-$J$1*MIN($E$1,D197)*E197-SIGN(ABS(B197)+0.2)*$H$1*$E$1*F197,PlotData!$CB$4)</f>
        <v>0</v>
      </c>
      <c r="O197" s="885">
        <f>IF(AND(ISNUMBER(System!$C22),ABS(B197)+ABS(C197)&lt;&gt;0),System!$BF140+$J$1*MIN($E$1,D197)*E197 - SIGN(ABS(B197)+0.2)*$H$1*$E$1*F197,PlotData!$CB$4)</f>
        <v>0</v>
      </c>
      <c r="P197" s="884">
        <f>IF(AND(ISNUMBER(System!$C22),ABS(B197)+ABS(C197)&lt;&gt;0),O197 - $C197*$E$1*F197*V197,PlotData!$CB$4)</f>
        <v>0</v>
      </c>
      <c r="Q197" s="885">
        <f>IF(AND(ISNUMBER(System!$C22),(ABS(B197)+ABS(C197))&lt;&gt;0),N197 - $B197*$E$1*F197*U197,PlotData!$CB$4)</f>
        <v>0</v>
      </c>
      <c r="R197" s="884">
        <f>IF(AND(ISNUMBER(System!$C22),ABS(B197)+ABS(C197)&lt;&gt;0),N197 - SIGN(B197)*$N$1*$E$1*F197,PlotData!$CB$4)</f>
        <v>0</v>
      </c>
      <c r="S197" s="886">
        <f>IF(AND(ISNUMBER(System!$C22),ABS(B197)+ABS(C197)&lt;&gt;0),O197 - SIGN(C197)*$N$1*$E$1*F197,PlotData!$CB$4)</f>
        <v>0</v>
      </c>
      <c r="T197" s="887">
        <f>IF(ISNUMBER(System!$C22),SIGN(System!$AG22),0)</f>
        <v>0</v>
      </c>
      <c r="U197" s="881">
        <f>IF(ISNUMBER(System!BP140),ABS(System!BP140)/W197,0)</f>
        <v>0</v>
      </c>
      <c r="V197" s="881">
        <f>IF(ISNUMBER(System!BQ140),ABS(System!BQ140)/W197,0)</f>
        <v>0</v>
      </c>
      <c r="W197" s="881">
        <f>IF(AND(ABS(System!T22)+ABS(System!U22)&lt;&gt;0,F109=0),MAX(ABS(System!BO140),ABS(System!BN140)),IF(ABS(System!V22)+ABS(System!W22)+ABS(System!R22)+ABS(System!S22)&lt;&gt;0,MAX(ABS(System!BP140),ABS(System!BQ140)),1))</f>
        <v>1</v>
      </c>
    </row>
    <row r="198" spans="1:23" x14ac:dyDescent="0.25">
      <c r="A198" s="827">
        <v>20</v>
      </c>
      <c r="B198" s="882">
        <f>IF(ISNUMBER(System!$C23),SIGN(System!BP141),0)</f>
        <v>0</v>
      </c>
      <c r="C198" s="885">
        <f>IF(ISNUMBER(System!$C23),SIGN(System!$BQ141),0)</f>
        <v>0</v>
      </c>
      <c r="D198" s="885">
        <f>IF(ISNUMBER(System!$C23),System!BG141,0)</f>
        <v>0</v>
      </c>
      <c r="E198" s="885">
        <f>IF(ISNUMBER(System!$C23),System!BJ141,0)</f>
        <v>0</v>
      </c>
      <c r="F198" s="885">
        <f>IF(ISNUMBER(System!$C23),System!BK141,0)</f>
        <v>0</v>
      </c>
      <c r="G198" s="874">
        <f>IF(F198=0,1,IF(OR(System!V23&lt;&gt;0,System!W23 &lt;&gt;0),0,1))</f>
        <v>1</v>
      </c>
      <c r="H198" s="884">
        <f>IF(AND(ISNUMBER(System!$C23),ABS(B198)+ABS(C198)&lt;&gt;0),System!$BC141+$J$1*MIN($E$1,D198)*F198 - IF(AND(B198=0,C198&lt;&gt;0),ABS(C198)*$H$1*$E$1*E198,ABS(B198)*$H$1*$E$1*E198),PlotData!$CB$3)</f>
        <v>0</v>
      </c>
      <c r="I198" s="885">
        <f>IF(AND(ISNUMBER(System!$C23),ABS(B198)+ABS(C198)&lt;&gt;0),System!$BD141-$J$1*MIN($E$1,D198)*F198 -  IF(AND(C198=0,B198&lt;&gt;0),ABS(B198)*$H$1*$E$1*E198,ABS(C198)*$H$1*$E$1*E198),PlotData!$CB$3)</f>
        <v>0</v>
      </c>
      <c r="J198" s="884">
        <f>IF(AND(ISNUMBER(System!$C23),ABS(B198)+ABS(C198)&lt;&gt;0),I198 - $C198*$E$1*E198*G198*V198,PlotData!$CB$3)</f>
        <v>0</v>
      </c>
      <c r="K198" s="885">
        <f>IF(AND(ISNUMBER(System!$C23),ABS(B198)+ABS(C198)&lt;&gt;0),H198 - $B198*$E$1*E198*U198*G198,PlotData!$CB$3)</f>
        <v>0</v>
      </c>
      <c r="L198" s="884">
        <f>IF(AND(ISNUMBER(System!$C23),ABS(B198)+ABS(C198)&lt;&gt;0),H198 - B198*$N$1*$E$1*E198*G198,PlotData!$CB$3)</f>
        <v>0</v>
      </c>
      <c r="M198" s="885">
        <f>IF(AND(ISNUMBER(System!$C23),ABS(B198)+ABS(C198)&lt;&gt;0),I198 - C198*$N$1*$E$1*E198*G198,PlotData!$CB$3)</f>
        <v>0</v>
      </c>
      <c r="N198" s="887">
        <f>IF(AND(ISNUMBER(System!$C23),ABS(B198)+ABS(C198)&lt;&gt;0),System!$BE141-$J$1*MIN($E$1,D198)*E198-SIGN(ABS(B198)+0.2)*$H$1*$E$1*F198,PlotData!$CB$4)</f>
        <v>0</v>
      </c>
      <c r="O198" s="885">
        <f>IF(AND(ISNUMBER(System!$C23),ABS(B198)+ABS(C198)&lt;&gt;0),System!$BF141+$J$1*MIN($E$1,D198)*E198 - SIGN(ABS(B198)+0.2)*$H$1*$E$1*F198,PlotData!$CB$4)</f>
        <v>0</v>
      </c>
      <c r="P198" s="884">
        <f>IF(AND(ISNUMBER(System!$C23),ABS(B198)+ABS(C198)&lt;&gt;0),O198 - $C198*$E$1*F198*V198,PlotData!$CB$4)</f>
        <v>0</v>
      </c>
      <c r="Q198" s="885">
        <f>IF(AND(ISNUMBER(System!$C23),(ABS(B198)+ABS(C198))&lt;&gt;0),N198 - $B198*$E$1*F198*U198,PlotData!$CB$4)</f>
        <v>0</v>
      </c>
      <c r="R198" s="884">
        <f>IF(AND(ISNUMBER(System!$C23),ABS(B198)+ABS(C198)&lt;&gt;0),N198 - SIGN(B198)*$N$1*$E$1*F198,PlotData!$CB$4)</f>
        <v>0</v>
      </c>
      <c r="S198" s="886">
        <f>IF(AND(ISNUMBER(System!$C23),ABS(B198)+ABS(C198)&lt;&gt;0),O198 - SIGN(C198)*$N$1*$E$1*F198,PlotData!$CB$4)</f>
        <v>0</v>
      </c>
      <c r="T198" s="887">
        <f>IF(ISNUMBER(System!$C23),SIGN(System!$AG23),0)</f>
        <v>0</v>
      </c>
      <c r="U198" s="881">
        <f>IF(ISNUMBER(System!BP141),ABS(System!BP141)/W198,0)</f>
        <v>0</v>
      </c>
      <c r="V198" s="881">
        <f>IF(ISNUMBER(System!BQ141),ABS(System!BQ141)/W198,0)</f>
        <v>0</v>
      </c>
      <c r="W198" s="881">
        <f>IF(AND(ABS(System!T23)+ABS(System!U23)&lt;&gt;0,F110=0),MAX(ABS(System!BO141),ABS(System!BN141)),IF(ABS(System!V23)+ABS(System!W23)+ABS(System!R23)+ABS(System!S23)&lt;&gt;0,MAX(ABS(System!BP141),ABS(System!BQ141)),1))</f>
        <v>1</v>
      </c>
    </row>
    <row r="199" spans="1:23" x14ac:dyDescent="0.25">
      <c r="A199" s="827">
        <v>21</v>
      </c>
      <c r="B199" s="882">
        <f>IF(ISNUMBER(System!$C24),SIGN(System!BP142),0)</f>
        <v>0</v>
      </c>
      <c r="C199" s="885">
        <f>IF(ISNUMBER(System!$C24),SIGN(System!$BQ142),0)</f>
        <v>0</v>
      </c>
      <c r="D199" s="885">
        <f>IF(ISNUMBER(System!$C24),System!BG142,0)</f>
        <v>0</v>
      </c>
      <c r="E199" s="885">
        <f>IF(ISNUMBER(System!$C24),System!BJ142,0)</f>
        <v>0</v>
      </c>
      <c r="F199" s="885">
        <f>IF(ISNUMBER(System!$C24),System!BK142,0)</f>
        <v>0</v>
      </c>
      <c r="G199" s="874">
        <f>IF(F199=0,1,IF(OR(System!V24&lt;&gt;0,System!W24 &lt;&gt;0),0,1))</f>
        <v>1</v>
      </c>
      <c r="H199" s="884">
        <f>IF(AND(ISNUMBER(System!$C24),ABS(B199)+ABS(C199)&lt;&gt;0),System!$BC142+$J$1*MIN($E$1,D199)*F199 - IF(AND(B199=0,C199&lt;&gt;0),ABS(C199)*$H$1*$E$1*E199,ABS(B199)*$H$1*$E$1*E199),PlotData!$CB$3)</f>
        <v>0</v>
      </c>
      <c r="I199" s="885">
        <f>IF(AND(ISNUMBER(System!$C24),ABS(B199)+ABS(C199)&lt;&gt;0),System!$BD142-$J$1*MIN($E$1,D199)*F199 -  IF(AND(C199=0,B199&lt;&gt;0),ABS(B199)*$H$1*$E$1*E199,ABS(C199)*$H$1*$E$1*E199),PlotData!$CB$3)</f>
        <v>0</v>
      </c>
      <c r="J199" s="884">
        <f>IF(AND(ISNUMBER(System!$C24),ABS(B199)+ABS(C199)&lt;&gt;0),I199 - $C199*$E$1*E199*G199*V199,PlotData!$CB$3)</f>
        <v>0</v>
      </c>
      <c r="K199" s="885">
        <f>IF(AND(ISNUMBER(System!$C24),ABS(B199)+ABS(C199)&lt;&gt;0),H199 - $B199*$E$1*E199*U199*G199,PlotData!$CB$3)</f>
        <v>0</v>
      </c>
      <c r="L199" s="884">
        <f>IF(AND(ISNUMBER(System!$C24),ABS(B199)+ABS(C199)&lt;&gt;0),H199 - B199*$N$1*$E$1*E199*G199,PlotData!$CB$3)</f>
        <v>0</v>
      </c>
      <c r="M199" s="885">
        <f>IF(AND(ISNUMBER(System!$C24),ABS(B199)+ABS(C199)&lt;&gt;0),I199 - C199*$N$1*$E$1*E199*G199,PlotData!$CB$3)</f>
        <v>0</v>
      </c>
      <c r="N199" s="887">
        <f>IF(AND(ISNUMBER(System!$C24),ABS(B199)+ABS(C199)&lt;&gt;0),System!$BE142-$J$1*MIN($E$1,D199)*E199-SIGN(ABS(B199)+0.2)*$H$1*$E$1*F199,PlotData!$CB$4)</f>
        <v>0</v>
      </c>
      <c r="O199" s="885">
        <f>IF(AND(ISNUMBER(System!$C24),ABS(B199)+ABS(C199)&lt;&gt;0),System!$BF142+$J$1*MIN($E$1,D199)*E199 - SIGN(ABS(B199)+0.2)*$H$1*$E$1*F199,PlotData!$CB$4)</f>
        <v>0</v>
      </c>
      <c r="P199" s="884">
        <f>IF(AND(ISNUMBER(System!$C24),ABS(B199)+ABS(C199)&lt;&gt;0),O199 - $C199*$E$1*F199*V199,PlotData!$CB$4)</f>
        <v>0</v>
      </c>
      <c r="Q199" s="885">
        <f>IF(AND(ISNUMBER(System!$C24),(ABS(B199)+ABS(C199))&lt;&gt;0),N199 - $B199*$E$1*F199*U199,PlotData!$CB$4)</f>
        <v>0</v>
      </c>
      <c r="R199" s="884">
        <f>IF(AND(ISNUMBER(System!$C24),ABS(B199)+ABS(C199)&lt;&gt;0),N199 - SIGN(B199)*$N$1*$E$1*F199,PlotData!$CB$4)</f>
        <v>0</v>
      </c>
      <c r="S199" s="886">
        <f>IF(AND(ISNUMBER(System!$C24),ABS(B199)+ABS(C199)&lt;&gt;0),O199 - SIGN(C199)*$N$1*$E$1*F199,PlotData!$CB$4)</f>
        <v>0</v>
      </c>
      <c r="T199" s="887">
        <f>IF(ISNUMBER(System!$C24),SIGN(System!$AG24),0)</f>
        <v>0</v>
      </c>
      <c r="U199" s="881">
        <f>IF(ISNUMBER(System!BP142),ABS(System!BP142)/W199,0)</f>
        <v>0</v>
      </c>
      <c r="V199" s="881">
        <f>IF(ISNUMBER(System!BQ142),ABS(System!BQ142)/W199,0)</f>
        <v>0</v>
      </c>
      <c r="W199" s="881">
        <f>IF(AND(ABS(System!T24)+ABS(System!U24)&lt;&gt;0,F111=0),MAX(ABS(System!BO142),ABS(System!BN142)),IF(ABS(System!V24)+ABS(System!W24)+ABS(System!R24)+ABS(System!S24)&lt;&gt;0,MAX(ABS(System!BP142),ABS(System!BQ142)),1))</f>
        <v>1</v>
      </c>
    </row>
    <row r="200" spans="1:23" x14ac:dyDescent="0.25">
      <c r="A200" s="827">
        <v>22</v>
      </c>
      <c r="B200" s="882">
        <f>IF(ISNUMBER(System!$C25),SIGN(System!BP143),0)</f>
        <v>0</v>
      </c>
      <c r="C200" s="885">
        <f>IF(ISNUMBER(System!$C25),SIGN(System!$BQ143),0)</f>
        <v>0</v>
      </c>
      <c r="D200" s="885">
        <f>IF(ISNUMBER(System!$C25),System!BG143,0)</f>
        <v>0</v>
      </c>
      <c r="E200" s="885">
        <f>IF(ISNUMBER(System!$C25),System!BJ143,0)</f>
        <v>0</v>
      </c>
      <c r="F200" s="885">
        <f>IF(ISNUMBER(System!$C25),System!BK143,0)</f>
        <v>0</v>
      </c>
      <c r="G200" s="874">
        <f>IF(F200=0,1,IF(OR(System!V25&lt;&gt;0,System!W25 &lt;&gt;0),0,1))</f>
        <v>1</v>
      </c>
      <c r="H200" s="884">
        <f>IF(AND(ISNUMBER(System!$C25),ABS(B200)+ABS(C200)&lt;&gt;0),System!$BC143+$J$1*MIN($E$1,D200)*F200 - IF(AND(B200=0,C200&lt;&gt;0),ABS(C200)*$H$1*$E$1*E200,ABS(B200)*$H$1*$E$1*E200),PlotData!$CB$3)</f>
        <v>0</v>
      </c>
      <c r="I200" s="885">
        <f>IF(AND(ISNUMBER(System!$C25),ABS(B200)+ABS(C200)&lt;&gt;0),System!$BD143-$J$1*MIN($E$1,D200)*F200 -  IF(AND(C200=0,B200&lt;&gt;0),ABS(B200)*$H$1*$E$1*E200,ABS(C200)*$H$1*$E$1*E200),PlotData!$CB$3)</f>
        <v>0</v>
      </c>
      <c r="J200" s="884">
        <f>IF(AND(ISNUMBER(System!$C25),ABS(B200)+ABS(C200)&lt;&gt;0),I200 - $C200*$E$1*E200*G200*V200,PlotData!$CB$3)</f>
        <v>0</v>
      </c>
      <c r="K200" s="885">
        <f>IF(AND(ISNUMBER(System!$C25),ABS(B200)+ABS(C200)&lt;&gt;0),H200 - $B200*$E$1*E200*U200*G200,PlotData!$CB$3)</f>
        <v>0</v>
      </c>
      <c r="L200" s="884">
        <f>IF(AND(ISNUMBER(System!$C25),ABS(B200)+ABS(C200)&lt;&gt;0),H200 - B200*$N$1*$E$1*E200*G200,PlotData!$CB$3)</f>
        <v>0</v>
      </c>
      <c r="M200" s="885">
        <f>IF(AND(ISNUMBER(System!$C25),ABS(B200)+ABS(C200)&lt;&gt;0),I200 - C200*$N$1*$E$1*E200*G200,PlotData!$CB$3)</f>
        <v>0</v>
      </c>
      <c r="N200" s="887">
        <f>IF(AND(ISNUMBER(System!$C25),ABS(B200)+ABS(C200)&lt;&gt;0),System!$BE143-$J$1*MIN($E$1,D200)*E200-SIGN(ABS(B200)+0.2)*$H$1*$E$1*F200,PlotData!$CB$4)</f>
        <v>0</v>
      </c>
      <c r="O200" s="885">
        <f>IF(AND(ISNUMBER(System!$C25),ABS(B200)+ABS(C200)&lt;&gt;0),System!$BF143+$J$1*MIN($E$1,D200)*E200 - SIGN(ABS(B200)+0.2)*$H$1*$E$1*F200,PlotData!$CB$4)</f>
        <v>0</v>
      </c>
      <c r="P200" s="884">
        <f>IF(AND(ISNUMBER(System!$C25),ABS(B200)+ABS(C200)&lt;&gt;0),O200 - $C200*$E$1*F200*V200,PlotData!$CB$4)</f>
        <v>0</v>
      </c>
      <c r="Q200" s="885">
        <f>IF(AND(ISNUMBER(System!$C25),(ABS(B200)+ABS(C200))&lt;&gt;0),N200 - $B200*$E$1*F200*U200,PlotData!$CB$4)</f>
        <v>0</v>
      </c>
      <c r="R200" s="884">
        <f>IF(AND(ISNUMBER(System!$C25),ABS(B200)+ABS(C200)&lt;&gt;0),N200 - SIGN(B200)*$N$1*$E$1*F200,PlotData!$CB$4)</f>
        <v>0</v>
      </c>
      <c r="S200" s="886">
        <f>IF(AND(ISNUMBER(System!$C25),ABS(B200)+ABS(C200)&lt;&gt;0),O200 - SIGN(C200)*$N$1*$E$1*F200,PlotData!$CB$4)</f>
        <v>0</v>
      </c>
      <c r="T200" s="887">
        <f>IF(ISNUMBER(System!$C25),SIGN(System!$AG25),0)</f>
        <v>0</v>
      </c>
      <c r="U200" s="881">
        <f>IF(ISNUMBER(System!BP143),ABS(System!BP143)/W200,0)</f>
        <v>0</v>
      </c>
      <c r="V200" s="881">
        <f>IF(ISNUMBER(System!BQ143),ABS(System!BQ143)/W200,0)</f>
        <v>0</v>
      </c>
      <c r="W200" s="881">
        <f>IF(AND(ABS(System!T25)+ABS(System!U25)&lt;&gt;0,F112=0),MAX(ABS(System!BO143),ABS(System!BN143)),IF(ABS(System!V25)+ABS(System!W25)+ABS(System!R25)+ABS(System!S25)&lt;&gt;0,MAX(ABS(System!BP143),ABS(System!BQ143)),1))</f>
        <v>1</v>
      </c>
    </row>
    <row r="201" spans="1:23" x14ac:dyDescent="0.25">
      <c r="A201" s="827">
        <v>23</v>
      </c>
      <c r="B201" s="882">
        <f>IF(ISNUMBER(System!$C26),SIGN(System!BP144),0)</f>
        <v>0</v>
      </c>
      <c r="C201" s="885">
        <f>IF(ISNUMBER(System!$C26),SIGN(System!$BQ144),0)</f>
        <v>0</v>
      </c>
      <c r="D201" s="885">
        <f>IF(ISNUMBER(System!$C26),System!BG144,0)</f>
        <v>0</v>
      </c>
      <c r="E201" s="885">
        <f>IF(ISNUMBER(System!$C26),System!BJ144,0)</f>
        <v>0</v>
      </c>
      <c r="F201" s="885">
        <f>IF(ISNUMBER(System!$C26),System!BK144,0)</f>
        <v>0</v>
      </c>
      <c r="G201" s="874">
        <f>IF(F201=0,1,IF(OR(System!V26&lt;&gt;0,System!W26 &lt;&gt;0),0,1))</f>
        <v>1</v>
      </c>
      <c r="H201" s="884">
        <f>IF(AND(ISNUMBER(System!$C26),ABS(B201)+ABS(C201)&lt;&gt;0),System!$BC144+$J$1*MIN($E$1,D201)*F201 - IF(AND(B201=0,C201&lt;&gt;0),ABS(C201)*$H$1*$E$1*E201,ABS(B201)*$H$1*$E$1*E201),PlotData!$CB$3)</f>
        <v>0</v>
      </c>
      <c r="I201" s="885">
        <f>IF(AND(ISNUMBER(System!$C26),ABS(B201)+ABS(C201)&lt;&gt;0),System!$BD144-$J$1*MIN($E$1,D201)*F201 -  IF(AND(C201=0,B201&lt;&gt;0),ABS(B201)*$H$1*$E$1*E201,ABS(C201)*$H$1*$E$1*E201),PlotData!$CB$3)</f>
        <v>0</v>
      </c>
      <c r="J201" s="884">
        <f>IF(AND(ISNUMBER(System!$C26),ABS(B201)+ABS(C201)&lt;&gt;0),I201 - $C201*$E$1*E201*G201*V201,PlotData!$CB$3)</f>
        <v>0</v>
      </c>
      <c r="K201" s="885">
        <f>IF(AND(ISNUMBER(System!$C26),ABS(B201)+ABS(C201)&lt;&gt;0),H201 - $B201*$E$1*E201*U201*G201,PlotData!$CB$3)</f>
        <v>0</v>
      </c>
      <c r="L201" s="884">
        <f>IF(AND(ISNUMBER(System!$C26),ABS(B201)+ABS(C201)&lt;&gt;0),H201 - B201*$N$1*$E$1*E201*G201,PlotData!$CB$3)</f>
        <v>0</v>
      </c>
      <c r="M201" s="885">
        <f>IF(AND(ISNUMBER(System!$C26),ABS(B201)+ABS(C201)&lt;&gt;0),I201 - C201*$N$1*$E$1*E201*G201,PlotData!$CB$3)</f>
        <v>0</v>
      </c>
      <c r="N201" s="887">
        <f>IF(AND(ISNUMBER(System!$C26),ABS(B201)+ABS(C201)&lt;&gt;0),System!$BE144-$J$1*MIN($E$1,D201)*E201-SIGN(ABS(B201)+0.2)*$H$1*$E$1*F201,PlotData!$CB$4)</f>
        <v>0</v>
      </c>
      <c r="O201" s="885">
        <f>IF(AND(ISNUMBER(System!$C26),ABS(B201)+ABS(C201)&lt;&gt;0),System!$BF144+$J$1*MIN($E$1,D201)*E201 - SIGN(ABS(B201)+0.2)*$H$1*$E$1*F201,PlotData!$CB$4)</f>
        <v>0</v>
      </c>
      <c r="P201" s="884">
        <f>IF(AND(ISNUMBER(System!$C26),ABS(B201)+ABS(C201)&lt;&gt;0),O201 - $C201*$E$1*F201*V201,PlotData!$CB$4)</f>
        <v>0</v>
      </c>
      <c r="Q201" s="885">
        <f>IF(AND(ISNUMBER(System!$C26),(ABS(B201)+ABS(C201))&lt;&gt;0),N201 - $B201*$E$1*F201*U201,PlotData!$CB$4)</f>
        <v>0</v>
      </c>
      <c r="R201" s="884">
        <f>IF(AND(ISNUMBER(System!$C26),ABS(B201)+ABS(C201)&lt;&gt;0),N201 - SIGN(B201)*$N$1*$E$1*F201,PlotData!$CB$4)</f>
        <v>0</v>
      </c>
      <c r="S201" s="886">
        <f>IF(AND(ISNUMBER(System!$C26),ABS(B201)+ABS(C201)&lt;&gt;0),O201 - SIGN(C201)*$N$1*$E$1*F201,PlotData!$CB$4)</f>
        <v>0</v>
      </c>
      <c r="T201" s="887">
        <f>IF(ISNUMBER(System!$C26),SIGN(System!$AG26),0)</f>
        <v>0</v>
      </c>
      <c r="U201" s="881">
        <f>IF(ISNUMBER(System!BP144),ABS(System!BP144)/W201,0)</f>
        <v>0</v>
      </c>
      <c r="V201" s="881">
        <f>IF(ISNUMBER(System!BQ144),ABS(System!BQ144)/W201,0)</f>
        <v>0</v>
      </c>
      <c r="W201" s="881">
        <f>IF(AND(ABS(System!T26)+ABS(System!U26)&lt;&gt;0,F113=0),MAX(ABS(System!BO144),ABS(System!BN144)),IF(ABS(System!V26)+ABS(System!W26)+ABS(System!R26)+ABS(System!S26)&lt;&gt;0,MAX(ABS(System!BP144),ABS(System!BQ144)),1))</f>
        <v>1</v>
      </c>
    </row>
    <row r="202" spans="1:23" x14ac:dyDescent="0.25">
      <c r="A202" s="827">
        <v>24</v>
      </c>
      <c r="B202" s="882">
        <f>IF(ISNUMBER(System!$C27),SIGN(System!BP145),0)</f>
        <v>0</v>
      </c>
      <c r="C202" s="885">
        <f>IF(ISNUMBER(System!$C27),SIGN(System!$BQ145),0)</f>
        <v>0</v>
      </c>
      <c r="D202" s="885">
        <f>IF(ISNUMBER(System!$C27),System!BG145,0)</f>
        <v>0</v>
      </c>
      <c r="E202" s="885">
        <f>IF(ISNUMBER(System!$C27),System!BJ145,0)</f>
        <v>0</v>
      </c>
      <c r="F202" s="885">
        <f>IF(ISNUMBER(System!$C27),System!BK145,0)</f>
        <v>0</v>
      </c>
      <c r="G202" s="874">
        <f>IF(F202=0,1,IF(OR(System!V27&lt;&gt;0,System!W27 &lt;&gt;0),0,1))</f>
        <v>1</v>
      </c>
      <c r="H202" s="884">
        <f>IF(AND(ISNUMBER(System!$C27),ABS(B202)+ABS(C202)&lt;&gt;0),System!$BC145+$J$1*MIN($E$1,D202)*F202 - IF(AND(B202=0,C202&lt;&gt;0),ABS(C202)*$H$1*$E$1*E202,ABS(B202)*$H$1*$E$1*E202),PlotData!$CB$3)</f>
        <v>0</v>
      </c>
      <c r="I202" s="885">
        <f>IF(AND(ISNUMBER(System!$C27),ABS(B202)+ABS(C202)&lt;&gt;0),System!$BD145-$J$1*MIN($E$1,D202)*F202 -  IF(AND(C202=0,B202&lt;&gt;0),ABS(B202)*$H$1*$E$1*E202,ABS(C202)*$H$1*$E$1*E202),PlotData!$CB$3)</f>
        <v>0</v>
      </c>
      <c r="J202" s="884">
        <f>IF(AND(ISNUMBER(System!$C27),ABS(B202)+ABS(C202)&lt;&gt;0),I202 - $C202*$E$1*E202*G202*V202,PlotData!$CB$3)</f>
        <v>0</v>
      </c>
      <c r="K202" s="885">
        <f>IF(AND(ISNUMBER(System!$C27),ABS(B202)+ABS(C202)&lt;&gt;0),H202 - $B202*$E$1*E202*U202*G202,PlotData!$CB$3)</f>
        <v>0</v>
      </c>
      <c r="L202" s="884">
        <f>IF(AND(ISNUMBER(System!$C27),ABS(B202)+ABS(C202)&lt;&gt;0),H202 - B202*$N$1*$E$1*E202*G202,PlotData!$CB$3)</f>
        <v>0</v>
      </c>
      <c r="M202" s="885">
        <f>IF(AND(ISNUMBER(System!$C27),ABS(B202)+ABS(C202)&lt;&gt;0),I202 - C202*$N$1*$E$1*E202*G202,PlotData!$CB$3)</f>
        <v>0</v>
      </c>
      <c r="N202" s="887">
        <f>IF(AND(ISNUMBER(System!$C27),ABS(B202)+ABS(C202)&lt;&gt;0),System!$BE145-$J$1*MIN($E$1,D202)*E202-SIGN(ABS(B202)+0.2)*$H$1*$E$1*F202,PlotData!$CB$4)</f>
        <v>0</v>
      </c>
      <c r="O202" s="885">
        <f>IF(AND(ISNUMBER(System!$C27),ABS(B202)+ABS(C202)&lt;&gt;0),System!$BF145+$J$1*MIN($E$1,D202)*E202 - SIGN(ABS(B202)+0.2)*$H$1*$E$1*F202,PlotData!$CB$4)</f>
        <v>0</v>
      </c>
      <c r="P202" s="884">
        <f>IF(AND(ISNUMBER(System!$C27),ABS(B202)+ABS(C202)&lt;&gt;0),O202 - $C202*$E$1*F202*V202,PlotData!$CB$4)</f>
        <v>0</v>
      </c>
      <c r="Q202" s="885">
        <f>IF(AND(ISNUMBER(System!$C27),(ABS(B202)+ABS(C202))&lt;&gt;0),N202 - $B202*$E$1*F202*U202,PlotData!$CB$4)</f>
        <v>0</v>
      </c>
      <c r="R202" s="884">
        <f>IF(AND(ISNUMBER(System!$C27),ABS(B202)+ABS(C202)&lt;&gt;0),N202 - SIGN(B202)*$N$1*$E$1*F202,PlotData!$CB$4)</f>
        <v>0</v>
      </c>
      <c r="S202" s="886">
        <f>IF(AND(ISNUMBER(System!$C27),ABS(B202)+ABS(C202)&lt;&gt;0),O202 - SIGN(C202)*$N$1*$E$1*F202,PlotData!$CB$4)</f>
        <v>0</v>
      </c>
      <c r="T202" s="887">
        <f>IF(ISNUMBER(System!$C27),SIGN(System!$AG27),0)</f>
        <v>0</v>
      </c>
      <c r="U202" s="881">
        <f>IF(ISNUMBER(System!BP145),ABS(System!BP145)/W202,0)</f>
        <v>0</v>
      </c>
      <c r="V202" s="881">
        <f>IF(ISNUMBER(System!BQ145),ABS(System!BQ145)/W202,0)</f>
        <v>0</v>
      </c>
      <c r="W202" s="881">
        <f>IF(AND(ABS(System!T27)+ABS(System!U27)&lt;&gt;0,F114=0),MAX(ABS(System!BO145),ABS(System!BN145)),IF(ABS(System!V27)+ABS(System!W27)+ABS(System!R27)+ABS(System!S27)&lt;&gt;0,MAX(ABS(System!BP145),ABS(System!BQ145)),1))</f>
        <v>1</v>
      </c>
    </row>
    <row r="203" spans="1:23" x14ac:dyDescent="0.25">
      <c r="A203" s="827">
        <v>25</v>
      </c>
      <c r="B203" s="882">
        <f>IF(ISNUMBER(System!$C28),SIGN(System!BP146),0)</f>
        <v>0</v>
      </c>
      <c r="C203" s="885">
        <f>IF(ISNUMBER(System!$C28),SIGN(System!$BQ146),0)</f>
        <v>0</v>
      </c>
      <c r="D203" s="885">
        <f>IF(ISNUMBER(System!$C28),System!BG146,0)</f>
        <v>0</v>
      </c>
      <c r="E203" s="885">
        <f>IF(ISNUMBER(System!$C28),System!BJ146,0)</f>
        <v>0</v>
      </c>
      <c r="F203" s="885">
        <f>IF(ISNUMBER(System!$C28),System!BK146,0)</f>
        <v>0</v>
      </c>
      <c r="G203" s="874">
        <f>IF(F203=0,1,IF(OR(System!V28&lt;&gt;0,System!W28 &lt;&gt;0),0,1))</f>
        <v>1</v>
      </c>
      <c r="H203" s="884">
        <f>IF(AND(ISNUMBER(System!$C28),ABS(B203)+ABS(C203)&lt;&gt;0),System!$BC146+$J$1*MIN($E$1,D203)*F203 - IF(AND(B203=0,C203&lt;&gt;0),ABS(C203)*$H$1*$E$1*E203,ABS(B203)*$H$1*$E$1*E203),PlotData!$CB$3)</f>
        <v>0</v>
      </c>
      <c r="I203" s="885">
        <f>IF(AND(ISNUMBER(System!$C28),ABS(B203)+ABS(C203)&lt;&gt;0),System!$BD146-$J$1*MIN($E$1,D203)*F203 -  IF(AND(C203=0,B203&lt;&gt;0),ABS(B203)*$H$1*$E$1*E203,ABS(C203)*$H$1*$E$1*E203),PlotData!$CB$3)</f>
        <v>0</v>
      </c>
      <c r="J203" s="884">
        <f>IF(AND(ISNUMBER(System!$C28),ABS(B203)+ABS(C203)&lt;&gt;0),I203 - $C203*$E$1*E203*G203*V203,PlotData!$CB$3)</f>
        <v>0</v>
      </c>
      <c r="K203" s="885">
        <f>IF(AND(ISNUMBER(System!$C28),ABS(B203)+ABS(C203)&lt;&gt;0),H203 - $B203*$E$1*E203*U203*G203,PlotData!$CB$3)</f>
        <v>0</v>
      </c>
      <c r="L203" s="884">
        <f>IF(AND(ISNUMBER(System!$C28),ABS(B203)+ABS(C203)&lt;&gt;0),H203 - B203*$N$1*$E$1*E203*G203,PlotData!$CB$3)</f>
        <v>0</v>
      </c>
      <c r="M203" s="885">
        <f>IF(AND(ISNUMBER(System!$C28),ABS(B203)+ABS(C203)&lt;&gt;0),I203 - C203*$N$1*$E$1*E203*G203,PlotData!$CB$3)</f>
        <v>0</v>
      </c>
      <c r="N203" s="887">
        <f>IF(AND(ISNUMBER(System!$C28),ABS(B203)+ABS(C203)&lt;&gt;0),System!$BE146-$J$1*MIN($E$1,D203)*E203-SIGN(ABS(B203)+0.2)*$H$1*$E$1*F203,PlotData!$CB$4)</f>
        <v>0</v>
      </c>
      <c r="O203" s="885">
        <f>IF(AND(ISNUMBER(System!$C28),ABS(B203)+ABS(C203)&lt;&gt;0),System!$BF146+$J$1*MIN($E$1,D203)*E203 - SIGN(ABS(B203)+0.2)*$H$1*$E$1*F203,PlotData!$CB$4)</f>
        <v>0</v>
      </c>
      <c r="P203" s="884">
        <f>IF(AND(ISNUMBER(System!$C28),ABS(B203)+ABS(C203)&lt;&gt;0),O203 - $C203*$E$1*F203*V203,PlotData!$CB$4)</f>
        <v>0</v>
      </c>
      <c r="Q203" s="885">
        <f>IF(AND(ISNUMBER(System!$C28),(ABS(B203)+ABS(C203))&lt;&gt;0),N203 - $B203*$E$1*F203*U203,PlotData!$CB$4)</f>
        <v>0</v>
      </c>
      <c r="R203" s="884">
        <f>IF(AND(ISNUMBER(System!$C28),ABS(B203)+ABS(C203)&lt;&gt;0),N203 - SIGN(B203)*$N$1*$E$1*F203,PlotData!$CB$4)</f>
        <v>0</v>
      </c>
      <c r="S203" s="886">
        <f>IF(AND(ISNUMBER(System!$C28),ABS(B203)+ABS(C203)&lt;&gt;0),O203 - SIGN(C203)*$N$1*$E$1*F203,PlotData!$CB$4)</f>
        <v>0</v>
      </c>
      <c r="T203" s="887">
        <f>IF(ISNUMBER(System!$C28),SIGN(System!$AG28),0)</f>
        <v>0</v>
      </c>
      <c r="U203" s="881">
        <f>IF(ISNUMBER(System!BP146),ABS(System!BP146)/W203,0)</f>
        <v>0</v>
      </c>
      <c r="V203" s="881">
        <f>IF(ISNUMBER(System!BQ146),ABS(System!BQ146)/W203,0)</f>
        <v>0</v>
      </c>
      <c r="W203" s="881">
        <f>IF(AND(ABS(System!T28)+ABS(System!U28)&lt;&gt;0,F115=0),MAX(ABS(System!BO146),ABS(System!BN146)),IF(ABS(System!V28)+ABS(System!W28)+ABS(System!R28)+ABS(System!S28)&lt;&gt;0,MAX(ABS(System!BP146),ABS(System!BQ146)),1))</f>
        <v>1</v>
      </c>
    </row>
    <row r="204" spans="1:23" x14ac:dyDescent="0.25">
      <c r="A204" s="827">
        <v>26</v>
      </c>
      <c r="B204" s="882">
        <f>IF(ISNUMBER(System!$C29),SIGN(System!BP147),0)</f>
        <v>0</v>
      </c>
      <c r="C204" s="885">
        <f>IF(ISNUMBER(System!$C29),SIGN(System!$BQ147),0)</f>
        <v>0</v>
      </c>
      <c r="D204" s="885">
        <f>IF(ISNUMBER(System!$C29),System!BG147,0)</f>
        <v>0</v>
      </c>
      <c r="E204" s="885">
        <f>IF(ISNUMBER(System!$C29),System!BJ147,0)</f>
        <v>0</v>
      </c>
      <c r="F204" s="885">
        <f>IF(ISNUMBER(System!$C29),System!BK147,0)</f>
        <v>0</v>
      </c>
      <c r="G204" s="874">
        <f>IF(F204=0,1,IF(OR(System!V29&lt;&gt;0,System!W29 &lt;&gt;0),0,1))</f>
        <v>1</v>
      </c>
      <c r="H204" s="884">
        <f>IF(AND(ISNUMBER(System!$C29),ABS(B204)+ABS(C204)&lt;&gt;0),System!$BC147+$J$1*MIN($E$1,D204)*F204 - IF(AND(B204=0,C204&lt;&gt;0),ABS(C204)*$H$1*$E$1*E204,ABS(B204)*$H$1*$E$1*E204),PlotData!$CB$3)</f>
        <v>0</v>
      </c>
      <c r="I204" s="885">
        <f>IF(AND(ISNUMBER(System!$C29),ABS(B204)+ABS(C204)&lt;&gt;0),System!$BD147-$J$1*MIN($E$1,D204)*F204 -  IF(AND(C204=0,B204&lt;&gt;0),ABS(B204)*$H$1*$E$1*E204,ABS(C204)*$H$1*$E$1*E204),PlotData!$CB$3)</f>
        <v>0</v>
      </c>
      <c r="J204" s="884">
        <f>IF(AND(ISNUMBER(System!$C29),ABS(B204)+ABS(C204)&lt;&gt;0),I204 - $C204*$E$1*E204*G204*V204,PlotData!$CB$3)</f>
        <v>0</v>
      </c>
      <c r="K204" s="885">
        <f>IF(AND(ISNUMBER(System!$C29),ABS(B204)+ABS(C204)&lt;&gt;0),H204 - $B204*$E$1*E204*U204*G204,PlotData!$CB$3)</f>
        <v>0</v>
      </c>
      <c r="L204" s="884">
        <f>IF(AND(ISNUMBER(System!$C29),ABS(B204)+ABS(C204)&lt;&gt;0),H204 - B204*$N$1*$E$1*E204*G204,PlotData!$CB$3)</f>
        <v>0</v>
      </c>
      <c r="M204" s="885">
        <f>IF(AND(ISNUMBER(System!$C29),ABS(B204)+ABS(C204)&lt;&gt;0),I204 - C204*$N$1*$E$1*E204*G204,PlotData!$CB$3)</f>
        <v>0</v>
      </c>
      <c r="N204" s="887">
        <f>IF(AND(ISNUMBER(System!$C29),ABS(B204)+ABS(C204)&lt;&gt;0),System!$BE147-$J$1*MIN($E$1,D204)*E204-SIGN(ABS(B204)+0.2)*$H$1*$E$1*F204,PlotData!$CB$4)</f>
        <v>0</v>
      </c>
      <c r="O204" s="885">
        <f>IF(AND(ISNUMBER(System!$C29),ABS(B204)+ABS(C204)&lt;&gt;0),System!$BF147+$J$1*MIN($E$1,D204)*E204 - SIGN(ABS(B204)+0.2)*$H$1*$E$1*F204,PlotData!$CB$4)</f>
        <v>0</v>
      </c>
      <c r="P204" s="884">
        <f>IF(AND(ISNUMBER(System!$C29),ABS(B204)+ABS(C204)&lt;&gt;0),O204 - $C204*$E$1*F204*V204,PlotData!$CB$4)</f>
        <v>0</v>
      </c>
      <c r="Q204" s="885">
        <f>IF(AND(ISNUMBER(System!$C29),(ABS(B204)+ABS(C204))&lt;&gt;0),N204 - $B204*$E$1*F204*U204,PlotData!$CB$4)</f>
        <v>0</v>
      </c>
      <c r="R204" s="884">
        <f>IF(AND(ISNUMBER(System!$C29),ABS(B204)+ABS(C204)&lt;&gt;0),N204 - SIGN(B204)*$N$1*$E$1*F204,PlotData!$CB$4)</f>
        <v>0</v>
      </c>
      <c r="S204" s="886">
        <f>IF(AND(ISNUMBER(System!$C29),ABS(B204)+ABS(C204)&lt;&gt;0),O204 - SIGN(C204)*$N$1*$E$1*F204,PlotData!$CB$4)</f>
        <v>0</v>
      </c>
      <c r="T204" s="887">
        <f>IF(ISNUMBER(System!$C29),SIGN(System!$AG29),0)</f>
        <v>0</v>
      </c>
      <c r="U204" s="881">
        <f>IF(ISNUMBER(System!BP147),ABS(System!BP147)/W204,0)</f>
        <v>0</v>
      </c>
      <c r="V204" s="881">
        <f>IF(ISNUMBER(System!BQ147),ABS(System!BQ147)/W204,0)</f>
        <v>0</v>
      </c>
      <c r="W204" s="881">
        <f>IF(AND(ABS(System!T29)+ABS(System!U29)&lt;&gt;0,F116=0),MAX(ABS(System!BO147),ABS(System!BN147)),IF(ABS(System!V29)+ABS(System!W29)+ABS(System!R29)+ABS(System!S29)&lt;&gt;0,MAX(ABS(System!BP147),ABS(System!BQ147)),1))</f>
        <v>1</v>
      </c>
    </row>
    <row r="205" spans="1:23" x14ac:dyDescent="0.25">
      <c r="A205" s="827">
        <v>27</v>
      </c>
      <c r="B205" s="882">
        <f>IF(ISNUMBER(System!$C30),SIGN(System!BP148),0)</f>
        <v>0</v>
      </c>
      <c r="C205" s="885">
        <f>IF(ISNUMBER(System!$C30),SIGN(System!$BQ148),0)</f>
        <v>0</v>
      </c>
      <c r="D205" s="885">
        <f>IF(ISNUMBER(System!$C30),System!BG148,0)</f>
        <v>0</v>
      </c>
      <c r="E205" s="885">
        <f>IF(ISNUMBER(System!$C30),System!BJ148,0)</f>
        <v>0</v>
      </c>
      <c r="F205" s="885">
        <f>IF(ISNUMBER(System!$C30),System!BK148,0)</f>
        <v>0</v>
      </c>
      <c r="G205" s="874">
        <f>IF(F205=0,1,IF(OR(System!V30&lt;&gt;0,System!W30 &lt;&gt;0),0,1))</f>
        <v>1</v>
      </c>
      <c r="H205" s="884">
        <f>IF(AND(ISNUMBER(System!$C30),ABS(B205)+ABS(C205)&lt;&gt;0),System!$BC148+$J$1*MIN($E$1,D205)*F205 - IF(AND(B205=0,C205&lt;&gt;0),ABS(C205)*$H$1*$E$1*E205,ABS(B205)*$H$1*$E$1*E205),PlotData!$CB$3)</f>
        <v>0</v>
      </c>
      <c r="I205" s="885">
        <f>IF(AND(ISNUMBER(System!$C30),ABS(B205)+ABS(C205)&lt;&gt;0),System!$BD148-$J$1*MIN($E$1,D205)*F205 -  IF(AND(C205=0,B205&lt;&gt;0),ABS(B205)*$H$1*$E$1*E205,ABS(C205)*$H$1*$E$1*E205),PlotData!$CB$3)</f>
        <v>0</v>
      </c>
      <c r="J205" s="884">
        <f>IF(AND(ISNUMBER(System!$C30),ABS(B205)+ABS(C205)&lt;&gt;0),I205 - $C205*$E$1*E205*G205*V205,PlotData!$CB$3)</f>
        <v>0</v>
      </c>
      <c r="K205" s="885">
        <f>IF(AND(ISNUMBER(System!$C30),ABS(B205)+ABS(C205)&lt;&gt;0),H205 - $B205*$E$1*E205*U205*G205,PlotData!$CB$3)</f>
        <v>0</v>
      </c>
      <c r="L205" s="884">
        <f>IF(AND(ISNUMBER(System!$C30),ABS(B205)+ABS(C205)&lt;&gt;0),H205 - B205*$N$1*$E$1*E205*G205,PlotData!$CB$3)</f>
        <v>0</v>
      </c>
      <c r="M205" s="885">
        <f>IF(AND(ISNUMBER(System!$C30),ABS(B205)+ABS(C205)&lt;&gt;0),I205 - C205*$N$1*$E$1*E205*G205,PlotData!$CB$3)</f>
        <v>0</v>
      </c>
      <c r="N205" s="887">
        <f>IF(AND(ISNUMBER(System!$C30),ABS(B205)+ABS(C205)&lt;&gt;0),System!$BE148-$J$1*MIN($E$1,D205)*E205-SIGN(ABS(B205)+0.2)*$H$1*$E$1*F205,PlotData!$CB$4)</f>
        <v>0</v>
      </c>
      <c r="O205" s="885">
        <f>IF(AND(ISNUMBER(System!$C30),ABS(B205)+ABS(C205)&lt;&gt;0),System!$BF148+$J$1*MIN($E$1,D205)*E205 - SIGN(ABS(B205)+0.2)*$H$1*$E$1*F205,PlotData!$CB$4)</f>
        <v>0</v>
      </c>
      <c r="P205" s="884">
        <f>IF(AND(ISNUMBER(System!$C30),ABS(B205)+ABS(C205)&lt;&gt;0),O205 - $C205*$E$1*F205*V205,PlotData!$CB$4)</f>
        <v>0</v>
      </c>
      <c r="Q205" s="885">
        <f>IF(AND(ISNUMBER(System!$C30),(ABS(B205)+ABS(C205))&lt;&gt;0),N205 - $B205*$E$1*F205*U205,PlotData!$CB$4)</f>
        <v>0</v>
      </c>
      <c r="R205" s="884">
        <f>IF(AND(ISNUMBER(System!$C30),ABS(B205)+ABS(C205)&lt;&gt;0),N205 - SIGN(B205)*$N$1*$E$1*F205,PlotData!$CB$4)</f>
        <v>0</v>
      </c>
      <c r="S205" s="886">
        <f>IF(AND(ISNUMBER(System!$C30),ABS(B205)+ABS(C205)&lt;&gt;0),O205 - SIGN(C205)*$N$1*$E$1*F205,PlotData!$CB$4)</f>
        <v>0</v>
      </c>
      <c r="T205" s="887">
        <f>IF(ISNUMBER(System!$C30),SIGN(System!$AG30),0)</f>
        <v>0</v>
      </c>
      <c r="U205" s="881">
        <f>IF(ISNUMBER(System!BP148),ABS(System!BP148)/W205,0)</f>
        <v>0</v>
      </c>
      <c r="V205" s="881">
        <f>IF(ISNUMBER(System!BQ148),ABS(System!BQ148)/W205,0)</f>
        <v>0</v>
      </c>
      <c r="W205" s="881">
        <f>IF(AND(ABS(System!T30)+ABS(System!U30)&lt;&gt;0,F117=0),MAX(ABS(System!BO148),ABS(System!BN148)),IF(ABS(System!V30)+ABS(System!W30)+ABS(System!R30)+ABS(System!S30)&lt;&gt;0,MAX(ABS(System!BP148),ABS(System!BQ148)),1))</f>
        <v>1</v>
      </c>
    </row>
    <row r="206" spans="1:23" x14ac:dyDescent="0.25">
      <c r="A206" s="827">
        <v>28</v>
      </c>
      <c r="B206" s="882">
        <f>IF(ISNUMBER(System!$C31),SIGN(System!BP149),0)</f>
        <v>0</v>
      </c>
      <c r="C206" s="885">
        <f>IF(ISNUMBER(System!$C31),SIGN(System!$BQ149),0)</f>
        <v>0</v>
      </c>
      <c r="D206" s="885">
        <f>IF(ISNUMBER(System!$C31),System!BG149,0)</f>
        <v>0</v>
      </c>
      <c r="E206" s="885">
        <f>IF(ISNUMBER(System!$C31),System!BJ149,0)</f>
        <v>0</v>
      </c>
      <c r="F206" s="885">
        <f>IF(ISNUMBER(System!$C31),System!BK149,0)</f>
        <v>0</v>
      </c>
      <c r="G206" s="874">
        <f>IF(F206=0,1,IF(OR(System!V31&lt;&gt;0,System!W31 &lt;&gt;0),0,1))</f>
        <v>1</v>
      </c>
      <c r="H206" s="884">
        <f>IF(AND(ISNUMBER(System!$C31),ABS(B206)+ABS(C206)&lt;&gt;0),System!$BC149+$J$1*MIN($E$1,D206)*F206 - IF(AND(B206=0,C206&lt;&gt;0),ABS(C206)*$H$1*$E$1*E206,ABS(B206)*$H$1*$E$1*E206),PlotData!$CB$3)</f>
        <v>0</v>
      </c>
      <c r="I206" s="885">
        <f>IF(AND(ISNUMBER(System!$C31),ABS(B206)+ABS(C206)&lt;&gt;0),System!$BD149-$J$1*MIN($E$1,D206)*F206 -  IF(AND(C206=0,B206&lt;&gt;0),ABS(B206)*$H$1*$E$1*E206,ABS(C206)*$H$1*$E$1*E206),PlotData!$CB$3)</f>
        <v>0</v>
      </c>
      <c r="J206" s="884">
        <f>IF(AND(ISNUMBER(System!$C31),ABS(B206)+ABS(C206)&lt;&gt;0),I206 - $C206*$E$1*E206*G206*V206,PlotData!$CB$3)</f>
        <v>0</v>
      </c>
      <c r="K206" s="885">
        <f>IF(AND(ISNUMBER(System!$C31),ABS(B206)+ABS(C206)&lt;&gt;0),H206 - $B206*$E$1*E206*U206*G206,PlotData!$CB$3)</f>
        <v>0</v>
      </c>
      <c r="L206" s="884">
        <f>IF(AND(ISNUMBER(System!$C31),ABS(B206)+ABS(C206)&lt;&gt;0),H206 - B206*$N$1*$E$1*E206*G206,PlotData!$CB$3)</f>
        <v>0</v>
      </c>
      <c r="M206" s="885">
        <f>IF(AND(ISNUMBER(System!$C31),ABS(B206)+ABS(C206)&lt;&gt;0),I206 - C206*$N$1*$E$1*E206*G206,PlotData!$CB$3)</f>
        <v>0</v>
      </c>
      <c r="N206" s="887">
        <f>IF(AND(ISNUMBER(System!$C31),ABS(B206)+ABS(C206)&lt;&gt;0),System!$BE149-$J$1*MIN($E$1,D206)*E206-SIGN(ABS(B206)+0.2)*$H$1*$E$1*F206,PlotData!$CB$4)</f>
        <v>0</v>
      </c>
      <c r="O206" s="885">
        <f>IF(AND(ISNUMBER(System!$C31),ABS(B206)+ABS(C206)&lt;&gt;0),System!$BF149+$J$1*MIN($E$1,D206)*E206 - SIGN(ABS(B206)+0.2)*$H$1*$E$1*F206,PlotData!$CB$4)</f>
        <v>0</v>
      </c>
      <c r="P206" s="884">
        <f>IF(AND(ISNUMBER(System!$C31),ABS(B206)+ABS(C206)&lt;&gt;0),O206 - $C206*$E$1*F206*V206,PlotData!$CB$4)</f>
        <v>0</v>
      </c>
      <c r="Q206" s="885">
        <f>IF(AND(ISNUMBER(System!$C31),(ABS(B206)+ABS(C206))&lt;&gt;0),N206 - $B206*$E$1*F206*U206,PlotData!$CB$4)</f>
        <v>0</v>
      </c>
      <c r="R206" s="884">
        <f>IF(AND(ISNUMBER(System!$C31),ABS(B206)+ABS(C206)&lt;&gt;0),N206 - SIGN(B206)*$N$1*$E$1*F206,PlotData!$CB$4)</f>
        <v>0</v>
      </c>
      <c r="S206" s="886">
        <f>IF(AND(ISNUMBER(System!$C31),ABS(B206)+ABS(C206)&lt;&gt;0),O206 - SIGN(C206)*$N$1*$E$1*F206,PlotData!$CB$4)</f>
        <v>0</v>
      </c>
      <c r="T206" s="887">
        <f>IF(ISNUMBER(System!$C31),SIGN(System!$AG31),0)</f>
        <v>0</v>
      </c>
      <c r="U206" s="881">
        <f>IF(ISNUMBER(System!BP149),ABS(System!BP149)/W206,0)</f>
        <v>0</v>
      </c>
      <c r="V206" s="881">
        <f>IF(ISNUMBER(System!BQ149),ABS(System!BQ149)/W206,0)</f>
        <v>0</v>
      </c>
      <c r="W206" s="881">
        <f>IF(AND(ABS(System!T31)+ABS(System!U31)&lt;&gt;0,F118=0),MAX(ABS(System!BO149),ABS(System!BN149)),IF(ABS(System!V31)+ABS(System!W31)+ABS(System!R31)+ABS(System!S31)&lt;&gt;0,MAX(ABS(System!BP149),ABS(System!BQ149)),1))</f>
        <v>1</v>
      </c>
    </row>
    <row r="207" spans="1:23" x14ac:dyDescent="0.25">
      <c r="A207" s="827">
        <v>29</v>
      </c>
      <c r="B207" s="882">
        <f>IF(ISNUMBER(System!$C32),SIGN(System!BP150),0)</f>
        <v>0</v>
      </c>
      <c r="C207" s="885">
        <f>IF(ISNUMBER(System!$C32),SIGN(System!$BQ150),0)</f>
        <v>0</v>
      </c>
      <c r="D207" s="885">
        <f>IF(ISNUMBER(System!$C32),System!BG150,0)</f>
        <v>0</v>
      </c>
      <c r="E207" s="885">
        <f>IF(ISNUMBER(System!$C32),System!BJ150,0)</f>
        <v>0</v>
      </c>
      <c r="F207" s="885">
        <f>IF(ISNUMBER(System!$C32),System!BK150,0)</f>
        <v>0</v>
      </c>
      <c r="G207" s="874">
        <f>IF(F207=0,1,IF(OR(System!V32&lt;&gt;0,System!W32 &lt;&gt;0),0,1))</f>
        <v>1</v>
      </c>
      <c r="H207" s="884">
        <f>IF(AND(ISNUMBER(System!$C32),ABS(B207)+ABS(C207)&lt;&gt;0),System!$BC150+$J$1*MIN($E$1,D207)*F207 - IF(AND(B207=0,C207&lt;&gt;0),ABS(C207)*$H$1*$E$1*E207,ABS(B207)*$H$1*$E$1*E207),PlotData!$CB$3)</f>
        <v>0</v>
      </c>
      <c r="I207" s="885">
        <f>IF(AND(ISNUMBER(System!$C32),ABS(B207)+ABS(C207)&lt;&gt;0),System!$BD150-$J$1*MIN($E$1,D207)*F207 -  IF(AND(C207=0,B207&lt;&gt;0),ABS(B207)*$H$1*$E$1*E207,ABS(C207)*$H$1*$E$1*E207),PlotData!$CB$3)</f>
        <v>0</v>
      </c>
      <c r="J207" s="884">
        <f>IF(AND(ISNUMBER(System!$C32),ABS(B207)+ABS(C207)&lt;&gt;0),I207 - $C207*$E$1*E207*G207*V207,PlotData!$CB$3)</f>
        <v>0</v>
      </c>
      <c r="K207" s="885">
        <f>IF(AND(ISNUMBER(System!$C32),ABS(B207)+ABS(C207)&lt;&gt;0),H207 - $B207*$E$1*E207*U207*G207,PlotData!$CB$3)</f>
        <v>0</v>
      </c>
      <c r="L207" s="884">
        <f>IF(AND(ISNUMBER(System!$C32),ABS(B207)+ABS(C207)&lt;&gt;0),H207 - B207*$N$1*$E$1*E207*G207,PlotData!$CB$3)</f>
        <v>0</v>
      </c>
      <c r="M207" s="885">
        <f>IF(AND(ISNUMBER(System!$C32),ABS(B207)+ABS(C207)&lt;&gt;0),I207 - C207*$N$1*$E$1*E207*G207,PlotData!$CB$3)</f>
        <v>0</v>
      </c>
      <c r="N207" s="887">
        <f>IF(AND(ISNUMBER(System!$C32),ABS(B207)+ABS(C207)&lt;&gt;0),System!$BE150-$J$1*MIN($E$1,D207)*E207-SIGN(ABS(B207)+0.2)*$H$1*$E$1*F207,PlotData!$CB$4)</f>
        <v>0</v>
      </c>
      <c r="O207" s="885">
        <f>IF(AND(ISNUMBER(System!$C32),ABS(B207)+ABS(C207)&lt;&gt;0),System!$BF150+$J$1*MIN($E$1,D207)*E207 - SIGN(ABS(B207)+0.2)*$H$1*$E$1*F207,PlotData!$CB$4)</f>
        <v>0</v>
      </c>
      <c r="P207" s="884">
        <f>IF(AND(ISNUMBER(System!$C32),ABS(B207)+ABS(C207)&lt;&gt;0),O207 - $C207*$E$1*F207*V207,PlotData!$CB$4)</f>
        <v>0</v>
      </c>
      <c r="Q207" s="885">
        <f>IF(AND(ISNUMBER(System!$C32),(ABS(B207)+ABS(C207))&lt;&gt;0),N207 - $B207*$E$1*F207*U207,PlotData!$CB$4)</f>
        <v>0</v>
      </c>
      <c r="R207" s="884">
        <f>IF(AND(ISNUMBER(System!$C32),ABS(B207)+ABS(C207)&lt;&gt;0),N207 - SIGN(B207)*$N$1*$E$1*F207,PlotData!$CB$4)</f>
        <v>0</v>
      </c>
      <c r="S207" s="886">
        <f>IF(AND(ISNUMBER(System!$C32),ABS(B207)+ABS(C207)&lt;&gt;0),O207 - SIGN(C207)*$N$1*$E$1*F207,PlotData!$CB$4)</f>
        <v>0</v>
      </c>
      <c r="T207" s="887">
        <f>IF(ISNUMBER(System!$C32),SIGN(System!$AG32),0)</f>
        <v>0</v>
      </c>
      <c r="U207" s="881">
        <f>IF(ISNUMBER(System!BP150),ABS(System!BP150)/W207,0)</f>
        <v>0</v>
      </c>
      <c r="V207" s="881">
        <f>IF(ISNUMBER(System!BQ150),ABS(System!BQ150)/W207,0)</f>
        <v>0</v>
      </c>
      <c r="W207" s="881">
        <f>IF(AND(ABS(System!T32)+ABS(System!U32)&lt;&gt;0,F119=0),MAX(ABS(System!BO150),ABS(System!BN150)),IF(ABS(System!V32)+ABS(System!W32)+ABS(System!R32)+ABS(System!S32)&lt;&gt;0,MAX(ABS(System!BP150),ABS(System!BQ150)),1))</f>
        <v>1</v>
      </c>
    </row>
    <row r="208" spans="1:23" x14ac:dyDescent="0.25">
      <c r="A208" s="827">
        <v>30</v>
      </c>
      <c r="B208" s="882">
        <f>IF(ISNUMBER(System!$C33),SIGN(System!BP151),0)</f>
        <v>0</v>
      </c>
      <c r="C208" s="885">
        <f>IF(ISNUMBER(System!$C33),SIGN(System!$BQ151),0)</f>
        <v>0</v>
      </c>
      <c r="D208" s="885">
        <f>IF(ISNUMBER(System!$C33),System!BG151,0)</f>
        <v>0</v>
      </c>
      <c r="E208" s="885">
        <f>IF(ISNUMBER(System!$C33),System!BJ151,0)</f>
        <v>0</v>
      </c>
      <c r="F208" s="885">
        <f>IF(ISNUMBER(System!$C33),System!BK151,0)</f>
        <v>0</v>
      </c>
      <c r="G208" s="874">
        <f>IF(F208=0,1,IF(OR(System!V33&lt;&gt;0,System!W33 &lt;&gt;0),0,1))</f>
        <v>1</v>
      </c>
      <c r="H208" s="884">
        <f>IF(AND(ISNUMBER(System!$C33),ABS(B208)+ABS(C208)&lt;&gt;0),System!$BC151+$J$1*MIN($E$1,D208)*F208 - IF(AND(B208=0,C208&lt;&gt;0),ABS(C208)*$H$1*$E$1*E208,ABS(B208)*$H$1*$E$1*E208),PlotData!$CB$3)</f>
        <v>0</v>
      </c>
      <c r="I208" s="885">
        <f>IF(AND(ISNUMBER(System!$C33),ABS(B208)+ABS(C208)&lt;&gt;0),System!$BD151-$J$1*MIN($E$1,D208)*F208 -  IF(AND(C208=0,B208&lt;&gt;0),ABS(B208)*$H$1*$E$1*E208,ABS(C208)*$H$1*$E$1*E208),PlotData!$CB$3)</f>
        <v>0</v>
      </c>
      <c r="J208" s="884">
        <f>IF(AND(ISNUMBER(System!$C33),ABS(B208)+ABS(C208)&lt;&gt;0),I208 - $C208*$E$1*E208*G208*V208,PlotData!$CB$3)</f>
        <v>0</v>
      </c>
      <c r="K208" s="885">
        <f>IF(AND(ISNUMBER(System!$C33),ABS(B208)+ABS(C208)&lt;&gt;0),H208 - $B208*$E$1*E208*U208*G208,PlotData!$CB$3)</f>
        <v>0</v>
      </c>
      <c r="L208" s="884">
        <f>IF(AND(ISNUMBER(System!$C33),ABS(B208)+ABS(C208)&lt;&gt;0),H208 - B208*$N$1*$E$1*E208*G208,PlotData!$CB$3)</f>
        <v>0</v>
      </c>
      <c r="M208" s="885">
        <f>IF(AND(ISNUMBER(System!$C33),ABS(B208)+ABS(C208)&lt;&gt;0),I208 - C208*$N$1*$E$1*E208*G208,PlotData!$CB$3)</f>
        <v>0</v>
      </c>
      <c r="N208" s="887">
        <f>IF(AND(ISNUMBER(System!$C33),ABS(B208)+ABS(C208)&lt;&gt;0),System!$BE151-$J$1*MIN($E$1,D208)*E208-SIGN(ABS(B208)+0.2)*$H$1*$E$1*F208,PlotData!$CB$4)</f>
        <v>0</v>
      </c>
      <c r="O208" s="885">
        <f>IF(AND(ISNUMBER(System!$C33),ABS(B208)+ABS(C208)&lt;&gt;0),System!$BF151+$J$1*MIN($E$1,D208)*E208 - SIGN(ABS(B208)+0.2)*$H$1*$E$1*F208,PlotData!$CB$4)</f>
        <v>0</v>
      </c>
      <c r="P208" s="884">
        <f>IF(AND(ISNUMBER(System!$C33),ABS(B208)+ABS(C208)&lt;&gt;0),O208 - $C208*$E$1*F208*V208,PlotData!$CB$4)</f>
        <v>0</v>
      </c>
      <c r="Q208" s="885">
        <f>IF(AND(ISNUMBER(System!$C33),(ABS(B208)+ABS(C208))&lt;&gt;0),N208 - $B208*$E$1*F208*U208,PlotData!$CB$4)</f>
        <v>0</v>
      </c>
      <c r="R208" s="884">
        <f>IF(AND(ISNUMBER(System!$C33),ABS(B208)+ABS(C208)&lt;&gt;0),N208 - SIGN(B208)*$N$1*$E$1*F208,PlotData!$CB$4)</f>
        <v>0</v>
      </c>
      <c r="S208" s="886">
        <f>IF(AND(ISNUMBER(System!$C33),ABS(B208)+ABS(C208)&lt;&gt;0),O208 - SIGN(C208)*$N$1*$E$1*F208,PlotData!$CB$4)</f>
        <v>0</v>
      </c>
      <c r="T208" s="887">
        <f>IF(ISNUMBER(System!$C33),SIGN(System!$AG33),0)</f>
        <v>0</v>
      </c>
      <c r="U208" s="881">
        <f>IF(ISNUMBER(System!BP151),ABS(System!BP151)/W208,0)</f>
        <v>0</v>
      </c>
      <c r="V208" s="881">
        <f>IF(ISNUMBER(System!BQ151),ABS(System!BQ151)/W208,0)</f>
        <v>0</v>
      </c>
      <c r="W208" s="881">
        <f>IF(AND(ABS(System!T33)+ABS(System!U33)&lt;&gt;0,F120=0),MAX(ABS(System!BO151),ABS(System!BN151)),IF(ABS(System!V33)+ABS(System!W33)+ABS(System!R33)+ABS(System!S33)&lt;&gt;0,MAX(ABS(System!BP151),ABS(System!BQ151)),1))</f>
        <v>1</v>
      </c>
    </row>
    <row r="209" spans="1:35" x14ac:dyDescent="0.25">
      <c r="A209" s="827">
        <v>31</v>
      </c>
      <c r="B209" s="882">
        <f>IF(ISNUMBER(System!$C34),SIGN(System!BP152),0)</f>
        <v>0</v>
      </c>
      <c r="C209" s="885">
        <f>IF(ISNUMBER(System!$C34),SIGN(System!$BQ152),0)</f>
        <v>0</v>
      </c>
      <c r="D209" s="885">
        <f>IF(ISNUMBER(System!$C34),System!BG152,0)</f>
        <v>0</v>
      </c>
      <c r="E209" s="885">
        <f>IF(ISNUMBER(System!$C34),System!BJ152,0)</f>
        <v>0</v>
      </c>
      <c r="F209" s="885">
        <f>IF(ISNUMBER(System!$C34),System!BK152,0)</f>
        <v>0</v>
      </c>
      <c r="G209" s="874">
        <f>IF(F209=0,1,IF(OR(System!V34&lt;&gt;0,System!W34 &lt;&gt;0),0,1))</f>
        <v>1</v>
      </c>
      <c r="H209" s="884">
        <f>IF(AND(ISNUMBER(System!$C34),ABS(B209)+ABS(C209)&lt;&gt;0),System!$BC152+$J$1*MIN($E$1,D209)*F209 - IF(AND(B209=0,C209&lt;&gt;0),ABS(C209)*$H$1*$E$1*E209,ABS(B209)*$H$1*$E$1*E209),PlotData!$CB$3)</f>
        <v>0</v>
      </c>
      <c r="I209" s="885">
        <f>IF(AND(ISNUMBER(System!$C34),ABS(B209)+ABS(C209)&lt;&gt;0),System!$BD152-$J$1*MIN($E$1,D209)*F209 -  IF(AND(C209=0,B209&lt;&gt;0),ABS(B209)*$H$1*$E$1*E209,ABS(C209)*$H$1*$E$1*E209),PlotData!$CB$3)</f>
        <v>0</v>
      </c>
      <c r="J209" s="884">
        <f>IF(AND(ISNUMBER(System!$C34),ABS(B209)+ABS(C209)&lt;&gt;0),I209 - $C209*$E$1*E209*G209*V209,PlotData!$CB$3)</f>
        <v>0</v>
      </c>
      <c r="K209" s="885">
        <f>IF(AND(ISNUMBER(System!$C34),ABS(B209)+ABS(C209)&lt;&gt;0),H209 - $B209*$E$1*E209*U209*G209,PlotData!$CB$3)</f>
        <v>0</v>
      </c>
      <c r="L209" s="884">
        <f>IF(AND(ISNUMBER(System!$C34),ABS(B209)+ABS(C209)&lt;&gt;0),H209 - B209*$N$1*$E$1*E209*G209,PlotData!$CB$3)</f>
        <v>0</v>
      </c>
      <c r="M209" s="885">
        <f>IF(AND(ISNUMBER(System!$C34),ABS(B209)+ABS(C209)&lt;&gt;0),I209 - C209*$N$1*$E$1*E209*G209,PlotData!$CB$3)</f>
        <v>0</v>
      </c>
      <c r="N209" s="887">
        <f>IF(AND(ISNUMBER(System!$C34),ABS(B209)+ABS(C209)&lt;&gt;0),System!$BE152-$J$1*MIN($E$1,D209)*E209-SIGN(ABS(B209)+0.2)*$H$1*$E$1*F209,PlotData!$CB$4)</f>
        <v>0</v>
      </c>
      <c r="O209" s="885">
        <f>IF(AND(ISNUMBER(System!$C34),ABS(B209)+ABS(C209)&lt;&gt;0),System!$BF152+$J$1*MIN($E$1,D209)*E209 - SIGN(ABS(B209)+0.2)*$H$1*$E$1*F209,PlotData!$CB$4)</f>
        <v>0</v>
      </c>
      <c r="P209" s="884">
        <f>IF(AND(ISNUMBER(System!$C34),ABS(B209)+ABS(C209)&lt;&gt;0),O209 - $C209*$E$1*F209*V209,PlotData!$CB$4)</f>
        <v>0</v>
      </c>
      <c r="Q209" s="885">
        <f>IF(AND(ISNUMBER(System!$C34),(ABS(B209)+ABS(C209))&lt;&gt;0),N209 - $B209*$E$1*F209*U209,PlotData!$CB$4)</f>
        <v>0</v>
      </c>
      <c r="R209" s="884">
        <f>IF(AND(ISNUMBER(System!$C34),ABS(B209)+ABS(C209)&lt;&gt;0),N209 - SIGN(B209)*$N$1*$E$1*F209,PlotData!$CB$4)</f>
        <v>0</v>
      </c>
      <c r="S209" s="886">
        <f>IF(AND(ISNUMBER(System!$C34),ABS(B209)+ABS(C209)&lt;&gt;0),O209 - SIGN(C209)*$N$1*$E$1*F209,PlotData!$CB$4)</f>
        <v>0</v>
      </c>
      <c r="T209" s="887">
        <f>IF(ISNUMBER(System!$C34),SIGN(System!$AG34),0)</f>
        <v>0</v>
      </c>
      <c r="U209" s="881">
        <f>IF(ISNUMBER(System!BP152),ABS(System!BP152)/W209,0)</f>
        <v>0</v>
      </c>
      <c r="V209" s="881">
        <f>IF(ISNUMBER(System!BQ152),ABS(System!BQ152)/W209,0)</f>
        <v>0</v>
      </c>
      <c r="W209" s="881">
        <f>IF(AND(ABS(System!T34)+ABS(System!U34)&lt;&gt;0,F121=0),MAX(ABS(System!BO152),ABS(System!BN152)),IF(ABS(System!V34)+ABS(System!W34)+ABS(System!R34)+ABS(System!S34)&lt;&gt;0,MAX(ABS(System!BP152),ABS(System!BQ152)),1))</f>
        <v>1</v>
      </c>
    </row>
    <row r="210" spans="1:35" x14ac:dyDescent="0.25">
      <c r="A210" s="827">
        <v>32</v>
      </c>
      <c r="B210" s="882">
        <f>IF(ISNUMBER(System!$C35),SIGN(System!BP153),0)</f>
        <v>0</v>
      </c>
      <c r="C210" s="885">
        <f>IF(ISNUMBER(System!$C35),SIGN(System!$BQ153),0)</f>
        <v>0</v>
      </c>
      <c r="D210" s="885">
        <f>IF(ISNUMBER(System!$C35),System!BG153,0)</f>
        <v>0</v>
      </c>
      <c r="E210" s="885">
        <f>IF(ISNUMBER(System!$C35),System!BJ153,0)</f>
        <v>0</v>
      </c>
      <c r="F210" s="885">
        <f>IF(ISNUMBER(System!$C35),System!BK153,0)</f>
        <v>0</v>
      </c>
      <c r="G210" s="874">
        <f>IF(F210=0,1,IF(OR(System!V35&lt;&gt;0,System!W35 &lt;&gt;0),0,1))</f>
        <v>1</v>
      </c>
      <c r="H210" s="884">
        <f>IF(AND(ISNUMBER(System!$C35),ABS(B210)+ABS(C210)&lt;&gt;0),System!$BC153+$J$1*MIN($E$1,D210)*F210 - IF(AND(B210=0,C210&lt;&gt;0),ABS(C210)*$H$1*$E$1*E210,ABS(B210)*$H$1*$E$1*E210),PlotData!$CB$3)</f>
        <v>0</v>
      </c>
      <c r="I210" s="885">
        <f>IF(AND(ISNUMBER(System!$C35),ABS(B210)+ABS(C210)&lt;&gt;0),System!$BD153-$J$1*MIN($E$1,D210)*F210 -  IF(AND(C210=0,B210&lt;&gt;0),ABS(B210)*$H$1*$E$1*E210,ABS(C210)*$H$1*$E$1*E210),PlotData!$CB$3)</f>
        <v>0</v>
      </c>
      <c r="J210" s="884">
        <f>IF(AND(ISNUMBER(System!$C35),ABS(B210)+ABS(C210)&lt;&gt;0),I210 - $C210*$E$1*E210*G210*V210,PlotData!$CB$3)</f>
        <v>0</v>
      </c>
      <c r="K210" s="885">
        <f>IF(AND(ISNUMBER(System!$C35),ABS(B210)+ABS(C210)&lt;&gt;0),H210 - $B210*$E$1*E210*U210*G210,PlotData!$CB$3)</f>
        <v>0</v>
      </c>
      <c r="L210" s="884">
        <f>IF(AND(ISNUMBER(System!$C35),ABS(B210)+ABS(C210)&lt;&gt;0),H210 - B210*$N$1*$E$1*E210*G210,PlotData!$CB$3)</f>
        <v>0</v>
      </c>
      <c r="M210" s="885">
        <f>IF(AND(ISNUMBER(System!$C35),ABS(B210)+ABS(C210)&lt;&gt;0),I210 - C210*$N$1*$E$1*E210*G210,PlotData!$CB$3)</f>
        <v>0</v>
      </c>
      <c r="N210" s="887">
        <f>IF(AND(ISNUMBER(System!$C35),ABS(B210)+ABS(C210)&lt;&gt;0),System!$BE153-$J$1*MIN($E$1,D210)*E210-SIGN(ABS(B210)+0.2)*$H$1*$E$1*F210,PlotData!$CB$4)</f>
        <v>0</v>
      </c>
      <c r="O210" s="885">
        <f>IF(AND(ISNUMBER(System!$C35),ABS(B210)+ABS(C210)&lt;&gt;0),System!$BF153+$J$1*MIN($E$1,D210)*E210 - SIGN(ABS(B210)+0.2)*$H$1*$E$1*F210,PlotData!$CB$4)</f>
        <v>0</v>
      </c>
      <c r="P210" s="884">
        <f>IF(AND(ISNUMBER(System!$C35),ABS(B210)+ABS(C210)&lt;&gt;0),O210 - $C210*$E$1*F210*V210,PlotData!$CB$4)</f>
        <v>0</v>
      </c>
      <c r="Q210" s="885">
        <f>IF(AND(ISNUMBER(System!$C35),(ABS(B210)+ABS(C210))&lt;&gt;0),N210 - $B210*$E$1*F210*U210,PlotData!$CB$4)</f>
        <v>0</v>
      </c>
      <c r="R210" s="884">
        <f>IF(AND(ISNUMBER(System!$C35),ABS(B210)+ABS(C210)&lt;&gt;0),N210 - SIGN(B210)*$N$1*$E$1*F210,PlotData!$CB$4)</f>
        <v>0</v>
      </c>
      <c r="S210" s="886">
        <f>IF(AND(ISNUMBER(System!$C35),ABS(B210)+ABS(C210)&lt;&gt;0),O210 - SIGN(C210)*$N$1*$E$1*F210,PlotData!$CB$4)</f>
        <v>0</v>
      </c>
      <c r="T210" s="887">
        <f>IF(ISNUMBER(System!$C35),SIGN(System!$AG35),0)</f>
        <v>0</v>
      </c>
      <c r="U210" s="881">
        <f>IF(ISNUMBER(System!BP153),ABS(System!BP153)/W210,0)</f>
        <v>0</v>
      </c>
      <c r="V210" s="881">
        <f>IF(ISNUMBER(System!BQ153),ABS(System!BQ153)/W210,0)</f>
        <v>0</v>
      </c>
      <c r="W210" s="881">
        <f>IF(AND(ABS(System!T35)+ABS(System!U35)&lt;&gt;0,F122=0),MAX(ABS(System!BO153),ABS(System!BN153)),IF(ABS(System!V35)+ABS(System!W35)+ABS(System!R35)+ABS(System!S35)&lt;&gt;0,MAX(ABS(System!BP153),ABS(System!BQ153)),1))</f>
        <v>1</v>
      </c>
    </row>
    <row r="211" spans="1:35" x14ac:dyDescent="0.25">
      <c r="A211" s="827">
        <v>33</v>
      </c>
      <c r="B211" s="882">
        <f>IF(ISNUMBER(System!$C36),SIGN(System!BP154),0)</f>
        <v>0</v>
      </c>
      <c r="C211" s="885">
        <f>IF(ISNUMBER(System!$C36),SIGN(System!$BQ154),0)</f>
        <v>0</v>
      </c>
      <c r="D211" s="885">
        <f>IF(ISNUMBER(System!$C36),System!BG154,0)</f>
        <v>0</v>
      </c>
      <c r="E211" s="885">
        <f>IF(ISNUMBER(System!$C36),System!BJ154,0)</f>
        <v>0</v>
      </c>
      <c r="F211" s="885">
        <f>IF(ISNUMBER(System!$C36),System!BK154,0)</f>
        <v>0</v>
      </c>
      <c r="G211" s="874">
        <f>IF(F211=0,1,IF(OR(System!V36&lt;&gt;0,System!W36 &lt;&gt;0),0,1))</f>
        <v>1</v>
      </c>
      <c r="H211" s="884">
        <f>IF(AND(ISNUMBER(System!$C36),ABS(B211)+ABS(C211)&lt;&gt;0),System!$BC154+$J$1*MIN($E$1,D211)*F211 - IF(AND(B211=0,C211&lt;&gt;0),ABS(C211)*$H$1*$E$1*E211,ABS(B211)*$H$1*$E$1*E211),PlotData!$CB$3)</f>
        <v>0</v>
      </c>
      <c r="I211" s="885">
        <f>IF(AND(ISNUMBER(System!$C36),ABS(B211)+ABS(C211)&lt;&gt;0),System!$BD154-$J$1*MIN($E$1,D211)*F211 -  IF(AND(C211=0,B211&lt;&gt;0),ABS(B211)*$H$1*$E$1*E211,ABS(C211)*$H$1*$E$1*E211),PlotData!$CB$3)</f>
        <v>0</v>
      </c>
      <c r="J211" s="884">
        <f>IF(AND(ISNUMBER(System!$C36),ABS(B211)+ABS(C211)&lt;&gt;0),I211 - $C211*$E$1*E211*G211*V211,PlotData!$CB$3)</f>
        <v>0</v>
      </c>
      <c r="K211" s="885">
        <f>IF(AND(ISNUMBER(System!$C36),ABS(B211)+ABS(C211)&lt;&gt;0),H211 - $B211*$E$1*E211*U211*G211,PlotData!$CB$3)</f>
        <v>0</v>
      </c>
      <c r="L211" s="884">
        <f>IF(AND(ISNUMBER(System!$C36),ABS(B211)+ABS(C211)&lt;&gt;0),H211 - B211*$N$1*$E$1*E211*G211,PlotData!$CB$3)</f>
        <v>0</v>
      </c>
      <c r="M211" s="885">
        <f>IF(AND(ISNUMBER(System!$C36),ABS(B211)+ABS(C211)&lt;&gt;0),I211 - C211*$N$1*$E$1*E211*G211,PlotData!$CB$3)</f>
        <v>0</v>
      </c>
      <c r="N211" s="887">
        <f>IF(AND(ISNUMBER(System!$C36),ABS(B211)+ABS(C211)&lt;&gt;0),System!$BE154-$J$1*MIN($E$1,D211)*E211-SIGN(ABS(B211)+0.2)*$H$1*$E$1*F211,PlotData!$CB$4)</f>
        <v>0</v>
      </c>
      <c r="O211" s="885">
        <f>IF(AND(ISNUMBER(System!$C36),ABS(B211)+ABS(C211)&lt;&gt;0),System!$BF154+$J$1*MIN($E$1,D211)*E211 - SIGN(ABS(B211)+0.2)*$H$1*$E$1*F211,PlotData!$CB$4)</f>
        <v>0</v>
      </c>
      <c r="P211" s="884">
        <f>IF(AND(ISNUMBER(System!$C36),ABS(B211)+ABS(C211)&lt;&gt;0),O211 - $C211*$E$1*F211*V211,PlotData!$CB$4)</f>
        <v>0</v>
      </c>
      <c r="Q211" s="885">
        <f>IF(AND(ISNUMBER(System!$C36),(ABS(B211)+ABS(C211))&lt;&gt;0),N211 - $B211*$E$1*F211*U211,PlotData!$CB$4)</f>
        <v>0</v>
      </c>
      <c r="R211" s="884">
        <f>IF(AND(ISNUMBER(System!$C36),ABS(B211)+ABS(C211)&lt;&gt;0),N211 - SIGN(B211)*$N$1*$E$1*F211,PlotData!$CB$4)</f>
        <v>0</v>
      </c>
      <c r="S211" s="886">
        <f>IF(AND(ISNUMBER(System!$C36),ABS(B211)+ABS(C211)&lt;&gt;0),O211 - SIGN(C211)*$N$1*$E$1*F211,PlotData!$CB$4)</f>
        <v>0</v>
      </c>
      <c r="T211" s="887">
        <f>IF(ISNUMBER(System!$C36),SIGN(System!$AG36),0)</f>
        <v>0</v>
      </c>
      <c r="U211" s="881">
        <f>IF(ISNUMBER(System!BP154),ABS(System!BP154)/W211,0)</f>
        <v>0</v>
      </c>
      <c r="V211" s="881">
        <f>IF(ISNUMBER(System!BQ154),ABS(System!BQ154)/W211,0)</f>
        <v>0</v>
      </c>
      <c r="W211" s="881">
        <f>IF(AND(ABS(System!T36)+ABS(System!U36)&lt;&gt;0,F123=0),MAX(ABS(System!BO154),ABS(System!BN154)),IF(ABS(System!V36)+ABS(System!W36)+ABS(System!R36)+ABS(System!S36)&lt;&gt;0,MAX(ABS(System!BP154),ABS(System!BQ154)),1))</f>
        <v>1</v>
      </c>
    </row>
    <row r="212" spans="1:35" x14ac:dyDescent="0.25">
      <c r="A212" s="827">
        <v>34</v>
      </c>
      <c r="B212" s="882">
        <f>IF(ISNUMBER(System!$C37),SIGN(System!BP155),0)</f>
        <v>0</v>
      </c>
      <c r="C212" s="885">
        <f>IF(ISNUMBER(System!$C37),SIGN(System!$BQ155),0)</f>
        <v>0</v>
      </c>
      <c r="D212" s="885">
        <f>IF(ISNUMBER(System!$C37),System!BG155,0)</f>
        <v>0</v>
      </c>
      <c r="E212" s="885">
        <f>IF(ISNUMBER(System!$C37),System!BJ155,0)</f>
        <v>0</v>
      </c>
      <c r="F212" s="885">
        <f>IF(ISNUMBER(System!$C37),System!BK155,0)</f>
        <v>0</v>
      </c>
      <c r="G212" s="874">
        <f>IF(F212=0,1,IF(OR(System!V37&lt;&gt;0,System!W37 &lt;&gt;0),0,1))</f>
        <v>1</v>
      </c>
      <c r="H212" s="884">
        <f>IF(AND(ISNUMBER(System!$C37),ABS(B212)+ABS(C212)&lt;&gt;0),System!$BC155+$J$1*MIN($E$1,D212)*F212 - IF(AND(B212=0,C212&lt;&gt;0),ABS(C212)*$H$1*$E$1*E212,ABS(B212)*$H$1*$E$1*E212),PlotData!$CB$3)</f>
        <v>0</v>
      </c>
      <c r="I212" s="885">
        <f>IF(AND(ISNUMBER(System!$C37),ABS(B212)+ABS(C212)&lt;&gt;0),System!$BD155-$J$1*MIN($E$1,D212)*F212 -  IF(AND(C212=0,B212&lt;&gt;0),ABS(B212)*$H$1*$E$1*E212,ABS(C212)*$H$1*$E$1*E212),PlotData!$CB$3)</f>
        <v>0</v>
      </c>
      <c r="J212" s="884">
        <f>IF(AND(ISNUMBER(System!$C37),ABS(B212)+ABS(C212)&lt;&gt;0),I212 - $C212*$E$1*E212*G212*V212,PlotData!$CB$3)</f>
        <v>0</v>
      </c>
      <c r="K212" s="885">
        <f>IF(AND(ISNUMBER(System!$C37),ABS(B212)+ABS(C212)&lt;&gt;0),H212 - $B212*$E$1*E212*U212*G212,PlotData!$CB$3)</f>
        <v>0</v>
      </c>
      <c r="L212" s="884">
        <f>IF(AND(ISNUMBER(System!$C37),ABS(B212)+ABS(C212)&lt;&gt;0),H212 - B212*$N$1*$E$1*E212*G212,PlotData!$CB$3)</f>
        <v>0</v>
      </c>
      <c r="M212" s="885">
        <f>IF(AND(ISNUMBER(System!$C37),ABS(B212)+ABS(C212)&lt;&gt;0),I212 - C212*$N$1*$E$1*E212*G212,PlotData!$CB$3)</f>
        <v>0</v>
      </c>
      <c r="N212" s="887">
        <f>IF(AND(ISNUMBER(System!$C37),ABS(B212)+ABS(C212)&lt;&gt;0),System!$BE155-$J$1*MIN($E$1,D212)*E212-SIGN(ABS(B212)+0.2)*$H$1*$E$1*F212,PlotData!$CB$4)</f>
        <v>0</v>
      </c>
      <c r="O212" s="885">
        <f>IF(AND(ISNUMBER(System!$C37),ABS(B212)+ABS(C212)&lt;&gt;0),System!$BF155+$J$1*MIN($E$1,D212)*E212 - SIGN(ABS(B212)+0.2)*$H$1*$E$1*F212,PlotData!$CB$4)</f>
        <v>0</v>
      </c>
      <c r="P212" s="884">
        <f>IF(AND(ISNUMBER(System!$C37),ABS(B212)+ABS(C212)&lt;&gt;0),O212 - $C212*$E$1*F212*V212,PlotData!$CB$4)</f>
        <v>0</v>
      </c>
      <c r="Q212" s="885">
        <f>IF(AND(ISNUMBER(System!$C37),(ABS(B212)+ABS(C212))&lt;&gt;0),N212 - $B212*$E$1*F212*U212,PlotData!$CB$4)</f>
        <v>0</v>
      </c>
      <c r="R212" s="884">
        <f>IF(AND(ISNUMBER(System!$C37),ABS(B212)+ABS(C212)&lt;&gt;0),N212 - SIGN(B212)*$N$1*$E$1*F212,PlotData!$CB$4)</f>
        <v>0</v>
      </c>
      <c r="S212" s="886">
        <f>IF(AND(ISNUMBER(System!$C37),ABS(B212)+ABS(C212)&lt;&gt;0),O212 - SIGN(C212)*$N$1*$E$1*F212,PlotData!$CB$4)</f>
        <v>0</v>
      </c>
      <c r="T212" s="887">
        <f>IF(ISNUMBER(System!$C37),SIGN(System!$AG37),0)</f>
        <v>0</v>
      </c>
      <c r="U212" s="881">
        <f>IF(ISNUMBER(System!BP155),ABS(System!BP155)/W212,0)</f>
        <v>0</v>
      </c>
      <c r="V212" s="881">
        <f>IF(ISNUMBER(System!BQ155),ABS(System!BQ155)/W212,0)</f>
        <v>0</v>
      </c>
      <c r="W212" s="881">
        <f>IF(AND(ABS(System!T37)+ABS(System!U37)&lt;&gt;0,F124=0),MAX(ABS(System!BO155),ABS(System!BN155)),IF(ABS(System!V37)+ABS(System!W37)+ABS(System!R37)+ABS(System!S37)&lt;&gt;0,MAX(ABS(System!BP155),ABS(System!BQ155)),1))</f>
        <v>1</v>
      </c>
    </row>
    <row r="213" spans="1:35" x14ac:dyDescent="0.25">
      <c r="A213" s="827">
        <v>35</v>
      </c>
      <c r="B213" s="882">
        <f>IF(ISNUMBER(System!$C38),SIGN(System!BP156),0)</f>
        <v>0</v>
      </c>
      <c r="C213" s="885">
        <f>IF(ISNUMBER(System!$C38),SIGN(System!$BQ156),0)</f>
        <v>0</v>
      </c>
      <c r="D213" s="885">
        <f>IF(ISNUMBER(System!$C38),System!BG156,0)</f>
        <v>0</v>
      </c>
      <c r="E213" s="885">
        <f>IF(ISNUMBER(System!$C38),System!BJ156,0)</f>
        <v>0</v>
      </c>
      <c r="F213" s="885">
        <f>IF(ISNUMBER(System!$C38),System!BK156,0)</f>
        <v>0</v>
      </c>
      <c r="G213" s="874">
        <f>IF(F213=0,1,IF(OR(System!V38&lt;&gt;0,System!W38 &lt;&gt;0),0,1))</f>
        <v>1</v>
      </c>
      <c r="H213" s="884">
        <f>IF(AND(ISNUMBER(System!$C38),ABS(B213)+ABS(C213)&lt;&gt;0),System!$BC156+$J$1*MIN($E$1,D213)*F213 - IF(AND(B213=0,C213&lt;&gt;0),ABS(C213)*$H$1*$E$1*E213,ABS(B213)*$H$1*$E$1*E213),PlotData!$CB$3)</f>
        <v>0</v>
      </c>
      <c r="I213" s="885">
        <f>IF(AND(ISNUMBER(System!$C38),ABS(B213)+ABS(C213)&lt;&gt;0),System!$BD156-$J$1*MIN($E$1,D213)*F213 -  IF(AND(C213=0,B213&lt;&gt;0),ABS(B213)*$H$1*$E$1*E213,ABS(C213)*$H$1*$E$1*E213),PlotData!$CB$3)</f>
        <v>0</v>
      </c>
      <c r="J213" s="884">
        <f>IF(AND(ISNUMBER(System!$C38),ABS(B213)+ABS(C213)&lt;&gt;0),I213 - $C213*$E$1*E213*G213*V213,PlotData!$CB$3)</f>
        <v>0</v>
      </c>
      <c r="K213" s="885">
        <f>IF(AND(ISNUMBER(System!$C38),ABS(B213)+ABS(C213)&lt;&gt;0),H213 - $B213*$E$1*E213*U213*G213,PlotData!$CB$3)</f>
        <v>0</v>
      </c>
      <c r="L213" s="884">
        <f>IF(AND(ISNUMBER(System!$C38),ABS(B213)+ABS(C213)&lt;&gt;0),H213 - B213*$N$1*$E$1*E213*G213,PlotData!$CB$3)</f>
        <v>0</v>
      </c>
      <c r="M213" s="885">
        <f>IF(AND(ISNUMBER(System!$C38),ABS(B213)+ABS(C213)&lt;&gt;0),I213 - C213*$N$1*$E$1*E213*G213,PlotData!$CB$3)</f>
        <v>0</v>
      </c>
      <c r="N213" s="887">
        <f>IF(AND(ISNUMBER(System!$C38),ABS(B213)+ABS(C213)&lt;&gt;0),System!$BE156-$J$1*MIN($E$1,D213)*E213-SIGN(ABS(B213)+0.2)*$H$1*$E$1*F213,PlotData!$CB$4)</f>
        <v>0</v>
      </c>
      <c r="O213" s="885">
        <f>IF(AND(ISNUMBER(System!$C38),ABS(B213)+ABS(C213)&lt;&gt;0),System!$BF156+$J$1*MIN($E$1,D213)*E213 - SIGN(ABS(B213)+0.2)*$H$1*$E$1*F213,PlotData!$CB$4)</f>
        <v>0</v>
      </c>
      <c r="P213" s="884">
        <f>IF(AND(ISNUMBER(System!$C38),ABS(B213)+ABS(C213)&lt;&gt;0),O213 - $C213*$E$1*F213*V213,PlotData!$CB$4)</f>
        <v>0</v>
      </c>
      <c r="Q213" s="885">
        <f>IF(AND(ISNUMBER(System!$C38),(ABS(B213)+ABS(C213))&lt;&gt;0),N213 - $B213*$E$1*F213*U213,PlotData!$CB$4)</f>
        <v>0</v>
      </c>
      <c r="R213" s="884">
        <f>IF(AND(ISNUMBER(System!$C38),ABS(B213)+ABS(C213)&lt;&gt;0),N213 - SIGN(B213)*$N$1*$E$1*F213,PlotData!$CB$4)</f>
        <v>0</v>
      </c>
      <c r="S213" s="886">
        <f>IF(AND(ISNUMBER(System!$C38),ABS(B213)+ABS(C213)&lt;&gt;0),O213 - SIGN(C213)*$N$1*$E$1*F213,PlotData!$CB$4)</f>
        <v>0</v>
      </c>
      <c r="T213" s="887">
        <f>IF(ISNUMBER(System!$C38),SIGN(System!$AG38),0)</f>
        <v>0</v>
      </c>
      <c r="U213" s="881">
        <f>IF(ISNUMBER(System!BP156),ABS(System!BP156)/W213,0)</f>
        <v>0</v>
      </c>
      <c r="V213" s="881">
        <f>IF(ISNUMBER(System!BQ156),ABS(System!BQ156)/W213,0)</f>
        <v>0</v>
      </c>
      <c r="W213" s="881">
        <f>IF(AND(ABS(System!T38)+ABS(System!U38)&lt;&gt;0,F125=0),MAX(ABS(System!BO156),ABS(System!BN156)),IF(ABS(System!V38)+ABS(System!W38)+ABS(System!R38)+ABS(System!S38)&lt;&gt;0,MAX(ABS(System!BP156),ABS(System!BQ156)),1))</f>
        <v>1</v>
      </c>
    </row>
    <row r="214" spans="1:35" x14ac:dyDescent="0.25">
      <c r="A214" s="827">
        <v>36</v>
      </c>
      <c r="B214" s="882">
        <f>IF(ISNUMBER(System!$C39),SIGN(System!BP157),0)</f>
        <v>0</v>
      </c>
      <c r="C214" s="885">
        <f>IF(ISNUMBER(System!$C39),SIGN(System!$BQ157),0)</f>
        <v>0</v>
      </c>
      <c r="D214" s="885">
        <f>IF(ISNUMBER(System!$C39),System!BG157,0)</f>
        <v>0</v>
      </c>
      <c r="E214" s="885">
        <f>IF(ISNUMBER(System!$C39),System!BJ157,0)</f>
        <v>0</v>
      </c>
      <c r="F214" s="885">
        <f>IF(ISNUMBER(System!$C39),System!BK157,0)</f>
        <v>0</v>
      </c>
      <c r="G214" s="874">
        <f>IF(F214=0,1,IF(OR(System!V39&lt;&gt;0,System!W39 &lt;&gt;0),0,1))</f>
        <v>1</v>
      </c>
      <c r="H214" s="884">
        <f>IF(AND(ISNUMBER(System!$C39),ABS(B214)+ABS(C214)&lt;&gt;0),System!$BC157+$J$1*MIN($E$1,D214)*F214 - IF(AND(B214=0,C214&lt;&gt;0),ABS(C214)*$H$1*$E$1*E214,ABS(B214)*$H$1*$E$1*E214),PlotData!$CB$3)</f>
        <v>0</v>
      </c>
      <c r="I214" s="885">
        <f>IF(AND(ISNUMBER(System!$C39),ABS(B214)+ABS(C214)&lt;&gt;0),System!$BD157-$J$1*MIN($E$1,D214)*F214 -  IF(AND(C214=0,B214&lt;&gt;0),ABS(B214)*$H$1*$E$1*E214,ABS(C214)*$H$1*$E$1*E214),PlotData!$CB$3)</f>
        <v>0</v>
      </c>
      <c r="J214" s="884">
        <f>IF(AND(ISNUMBER(System!$C39),ABS(B214)+ABS(C214)&lt;&gt;0),I214 - $C214*$E$1*E214*G214*V214,PlotData!$CB$3)</f>
        <v>0</v>
      </c>
      <c r="K214" s="885">
        <f>IF(AND(ISNUMBER(System!$C39),ABS(B214)+ABS(C214)&lt;&gt;0),H214 - $B214*$E$1*E214*U214*G214,PlotData!$CB$3)</f>
        <v>0</v>
      </c>
      <c r="L214" s="884">
        <f>IF(AND(ISNUMBER(System!$C39),ABS(B214)+ABS(C214)&lt;&gt;0),H214 - B214*$N$1*$E$1*E214*G214,PlotData!$CB$3)</f>
        <v>0</v>
      </c>
      <c r="M214" s="885">
        <f>IF(AND(ISNUMBER(System!$C39),ABS(B214)+ABS(C214)&lt;&gt;0),I214 - C214*$N$1*$E$1*E214*G214,PlotData!$CB$3)</f>
        <v>0</v>
      </c>
      <c r="N214" s="887">
        <f>IF(AND(ISNUMBER(System!$C39),ABS(B214)+ABS(C214)&lt;&gt;0),System!$BE157-$J$1*MIN($E$1,D214)*E214-SIGN(ABS(B214)+0.2)*$H$1*$E$1*F214,PlotData!$CB$4)</f>
        <v>0</v>
      </c>
      <c r="O214" s="885">
        <f>IF(AND(ISNUMBER(System!$C39),ABS(B214)+ABS(C214)&lt;&gt;0),System!$BF157+$J$1*MIN($E$1,D214)*E214 - SIGN(ABS(B214)+0.2)*$H$1*$E$1*F214,PlotData!$CB$4)</f>
        <v>0</v>
      </c>
      <c r="P214" s="884">
        <f>IF(AND(ISNUMBER(System!$C39),ABS(B214)+ABS(C214)&lt;&gt;0),O214 - $C214*$E$1*F214*V214,PlotData!$CB$4)</f>
        <v>0</v>
      </c>
      <c r="Q214" s="885">
        <f>IF(AND(ISNUMBER(System!$C39),(ABS(B214)+ABS(C214))&lt;&gt;0),N214 - $B214*$E$1*F214*U214,PlotData!$CB$4)</f>
        <v>0</v>
      </c>
      <c r="R214" s="884">
        <f>IF(AND(ISNUMBER(System!$C39),ABS(B214)+ABS(C214)&lt;&gt;0),N214 - SIGN(B214)*$N$1*$E$1*F214,PlotData!$CB$4)</f>
        <v>0</v>
      </c>
      <c r="S214" s="886">
        <f>IF(AND(ISNUMBER(System!$C39),ABS(B214)+ABS(C214)&lt;&gt;0),O214 - SIGN(C214)*$N$1*$E$1*F214,PlotData!$CB$4)</f>
        <v>0</v>
      </c>
      <c r="T214" s="887">
        <f>IF(ISNUMBER(System!$C39),SIGN(System!$AG39),0)</f>
        <v>0</v>
      </c>
      <c r="U214" s="881">
        <f>IF(ISNUMBER(System!BP157),ABS(System!BP157)/W214,0)</f>
        <v>0</v>
      </c>
      <c r="V214" s="881">
        <f>IF(ISNUMBER(System!BQ157),ABS(System!BQ157)/W214,0)</f>
        <v>0</v>
      </c>
      <c r="W214" s="881">
        <f>IF(AND(ABS(System!T39)+ABS(System!U39)&lt;&gt;0,F126=0),MAX(ABS(System!BO157),ABS(System!BN157)),IF(ABS(System!V39)+ABS(System!W39)+ABS(System!R39)+ABS(System!S39)&lt;&gt;0,MAX(ABS(System!BP157),ABS(System!BQ157)),1))</f>
        <v>1</v>
      </c>
    </row>
    <row r="215" spans="1:35" x14ac:dyDescent="0.25">
      <c r="A215" s="827">
        <v>37</v>
      </c>
      <c r="B215" s="882">
        <f>IF(ISNUMBER(System!$C40),SIGN(System!BP158),0)</f>
        <v>0</v>
      </c>
      <c r="C215" s="885">
        <f>IF(ISNUMBER(System!$C40),SIGN(System!$BQ158),0)</f>
        <v>0</v>
      </c>
      <c r="D215" s="885">
        <f>IF(ISNUMBER(System!$C40),System!BG158,0)</f>
        <v>0</v>
      </c>
      <c r="E215" s="885">
        <f>IF(ISNUMBER(System!$C40),System!BJ158,0)</f>
        <v>0</v>
      </c>
      <c r="F215" s="885">
        <f>IF(ISNUMBER(System!$C40),System!BK158,0)</f>
        <v>0</v>
      </c>
      <c r="G215" s="874">
        <f>IF(F215=0,1,IF(OR(System!V40&lt;&gt;0,System!W40 &lt;&gt;0),0,1))</f>
        <v>1</v>
      </c>
      <c r="H215" s="884">
        <f>IF(AND(ISNUMBER(System!$C40),ABS(B215)+ABS(C215)&lt;&gt;0),System!$BC158+$J$1*MIN($E$1,D215)*F215 - IF(AND(B215=0,C215&lt;&gt;0),ABS(C215)*$H$1*$E$1*E215,ABS(B215)*$H$1*$E$1*E215),PlotData!$CB$3)</f>
        <v>0</v>
      </c>
      <c r="I215" s="885">
        <f>IF(AND(ISNUMBER(System!$C40),ABS(B215)+ABS(C215)&lt;&gt;0),System!$BD158-$J$1*MIN($E$1,D215)*F215 -  IF(AND(C215=0,B215&lt;&gt;0),ABS(B215)*$H$1*$E$1*E215,ABS(C215)*$H$1*$E$1*E215),PlotData!$CB$3)</f>
        <v>0</v>
      </c>
      <c r="J215" s="884">
        <f>IF(AND(ISNUMBER(System!$C40),ABS(B215)+ABS(C215)&lt;&gt;0),I215 - $C215*$E$1*E215*G215*V215,PlotData!$CB$3)</f>
        <v>0</v>
      </c>
      <c r="K215" s="885">
        <f>IF(AND(ISNUMBER(System!$C40),ABS(B215)+ABS(C215)&lt;&gt;0),H215 - $B215*$E$1*E215*U215*G215,PlotData!$CB$3)</f>
        <v>0</v>
      </c>
      <c r="L215" s="884">
        <f>IF(AND(ISNUMBER(System!$C40),ABS(B215)+ABS(C215)&lt;&gt;0),H215 - B215*$N$1*$E$1*E215*G215,PlotData!$CB$3)</f>
        <v>0</v>
      </c>
      <c r="M215" s="885">
        <f>IF(AND(ISNUMBER(System!$C40),ABS(B215)+ABS(C215)&lt;&gt;0),I215 - C215*$N$1*$E$1*E215*G215,PlotData!$CB$3)</f>
        <v>0</v>
      </c>
      <c r="N215" s="887">
        <f>IF(AND(ISNUMBER(System!$C40),ABS(B215)+ABS(C215)&lt;&gt;0),System!$BE158-$J$1*MIN($E$1,D215)*E215-SIGN(ABS(B215)+0.2)*$H$1*$E$1*F215,PlotData!$CB$4)</f>
        <v>0</v>
      </c>
      <c r="O215" s="885">
        <f>IF(AND(ISNUMBER(System!$C40),ABS(B215)+ABS(C215)&lt;&gt;0),System!$BF158+$J$1*MIN($E$1,D215)*E215 - SIGN(ABS(B215)+0.2)*$H$1*$E$1*F215,PlotData!$CB$4)</f>
        <v>0</v>
      </c>
      <c r="P215" s="884">
        <f>IF(AND(ISNUMBER(System!$C40),ABS(B215)+ABS(C215)&lt;&gt;0),O215 - $C215*$E$1*F215*V215,PlotData!$CB$4)</f>
        <v>0</v>
      </c>
      <c r="Q215" s="885">
        <f>IF(AND(ISNUMBER(System!$C40),(ABS(B215)+ABS(C215))&lt;&gt;0),N215 - $B215*$E$1*F215*U215,PlotData!$CB$4)</f>
        <v>0</v>
      </c>
      <c r="R215" s="884">
        <f>IF(AND(ISNUMBER(System!$C40),ABS(B215)+ABS(C215)&lt;&gt;0),N215 - SIGN(B215)*$N$1*$E$1*F215,PlotData!$CB$4)</f>
        <v>0</v>
      </c>
      <c r="S215" s="886">
        <f>IF(AND(ISNUMBER(System!$C40),ABS(B215)+ABS(C215)&lt;&gt;0),O215 - SIGN(C215)*$N$1*$E$1*F215,PlotData!$CB$4)</f>
        <v>0</v>
      </c>
      <c r="T215" s="887">
        <f>IF(ISNUMBER(System!$C40),SIGN(System!$AG40),0)</f>
        <v>0</v>
      </c>
      <c r="U215" s="881">
        <f>IF(ISNUMBER(System!BP158),ABS(System!BP158)/W215,0)</f>
        <v>0</v>
      </c>
      <c r="V215" s="881">
        <f>IF(ISNUMBER(System!BQ158),ABS(System!BQ158)/W215,0)</f>
        <v>0</v>
      </c>
      <c r="W215" s="881">
        <f>IF(AND(ABS(System!T40)+ABS(System!U40)&lt;&gt;0,F127=0),MAX(ABS(System!BO158),ABS(System!BN158)),IF(ABS(System!V40)+ABS(System!W40)+ABS(System!R40)+ABS(System!S40)&lt;&gt;0,MAX(ABS(System!BP158),ABS(System!BQ158)),1))</f>
        <v>1</v>
      </c>
    </row>
    <row r="216" spans="1:35" x14ac:dyDescent="0.25">
      <c r="A216" s="827">
        <v>38</v>
      </c>
      <c r="B216" s="882">
        <f>IF(ISNUMBER(System!$C41),SIGN(System!BP159),0)</f>
        <v>0</v>
      </c>
      <c r="C216" s="885">
        <f>IF(ISNUMBER(System!$C41),SIGN(System!$BQ159),0)</f>
        <v>0</v>
      </c>
      <c r="D216" s="885">
        <f>IF(ISNUMBER(System!$C41),System!BG159,0)</f>
        <v>0</v>
      </c>
      <c r="E216" s="885">
        <f>IF(ISNUMBER(System!$C41),System!BJ159,0)</f>
        <v>0</v>
      </c>
      <c r="F216" s="885">
        <f>IF(ISNUMBER(System!$C41),System!BK159,0)</f>
        <v>0</v>
      </c>
      <c r="G216" s="874">
        <f>IF(F216=0,1,IF(OR(System!V41&lt;&gt;0,System!W41 &lt;&gt;0),0,1))</f>
        <v>1</v>
      </c>
      <c r="H216" s="884">
        <f>IF(AND(ISNUMBER(System!$C41),ABS(B216)+ABS(C216)&lt;&gt;0),System!$BC159+$J$1*MIN($E$1,D216)*F216 - IF(AND(B216=0,C216&lt;&gt;0),ABS(C216)*$H$1*$E$1*E216,ABS(B216)*$H$1*$E$1*E216),PlotData!$CB$3)</f>
        <v>0</v>
      </c>
      <c r="I216" s="885">
        <f>IF(AND(ISNUMBER(System!$C41),ABS(B216)+ABS(C216)&lt;&gt;0),System!$BD159-$J$1*MIN($E$1,D216)*F216 -  IF(AND(C216=0,B216&lt;&gt;0),ABS(B216)*$H$1*$E$1*E216,ABS(C216)*$H$1*$E$1*E216),PlotData!$CB$3)</f>
        <v>0</v>
      </c>
      <c r="J216" s="884">
        <f>IF(AND(ISNUMBER(System!$C41),ABS(B216)+ABS(C216)&lt;&gt;0),I216 - $C216*$E$1*E216*G216*V216,PlotData!$CB$3)</f>
        <v>0</v>
      </c>
      <c r="K216" s="885">
        <f>IF(AND(ISNUMBER(System!$C41),ABS(B216)+ABS(C216)&lt;&gt;0),H216 - $B216*$E$1*E216*U216*G216,PlotData!$CB$3)</f>
        <v>0</v>
      </c>
      <c r="L216" s="884">
        <f>IF(AND(ISNUMBER(System!$C41),ABS(B216)+ABS(C216)&lt;&gt;0),H216 - B216*$N$1*$E$1*E216*G216,PlotData!$CB$3)</f>
        <v>0</v>
      </c>
      <c r="M216" s="885">
        <f>IF(AND(ISNUMBER(System!$C41),ABS(B216)+ABS(C216)&lt;&gt;0),I216 - C216*$N$1*$E$1*E216*G216,PlotData!$CB$3)</f>
        <v>0</v>
      </c>
      <c r="N216" s="887">
        <f>IF(AND(ISNUMBER(System!$C41),ABS(B216)+ABS(C216)&lt;&gt;0),System!$BE159-$J$1*MIN($E$1,D216)*E216-SIGN(ABS(B216)+0.2)*$H$1*$E$1*F216,PlotData!$CB$4)</f>
        <v>0</v>
      </c>
      <c r="O216" s="885">
        <f>IF(AND(ISNUMBER(System!$C41),ABS(B216)+ABS(C216)&lt;&gt;0),System!$BF159+$J$1*MIN($E$1,D216)*E216 - SIGN(ABS(B216)+0.2)*$H$1*$E$1*F216,PlotData!$CB$4)</f>
        <v>0</v>
      </c>
      <c r="P216" s="884">
        <f>IF(AND(ISNUMBER(System!$C41),ABS(B216)+ABS(C216)&lt;&gt;0),O216 - $C216*$E$1*F216*V216,PlotData!$CB$4)</f>
        <v>0</v>
      </c>
      <c r="Q216" s="885">
        <f>IF(AND(ISNUMBER(System!$C41),(ABS(B216)+ABS(C216))&lt;&gt;0),N216 - $B216*$E$1*F216*U216,PlotData!$CB$4)</f>
        <v>0</v>
      </c>
      <c r="R216" s="884">
        <f>IF(AND(ISNUMBER(System!$C41),ABS(B216)+ABS(C216)&lt;&gt;0),N216 - SIGN(B216)*$N$1*$E$1*F216,PlotData!$CB$4)</f>
        <v>0</v>
      </c>
      <c r="S216" s="886">
        <f>IF(AND(ISNUMBER(System!$C41),ABS(B216)+ABS(C216)&lt;&gt;0),O216 - SIGN(C216)*$N$1*$E$1*F216,PlotData!$CB$4)</f>
        <v>0</v>
      </c>
      <c r="T216" s="887">
        <f>IF(ISNUMBER(System!$C41),SIGN(System!$AG41),0)</f>
        <v>0</v>
      </c>
      <c r="U216" s="881">
        <f>IF(ISNUMBER(System!BP159),ABS(System!BP159)/W216,0)</f>
        <v>0</v>
      </c>
      <c r="V216" s="881">
        <f>IF(ISNUMBER(System!BQ159),ABS(System!BQ159)/W216,0)</f>
        <v>0</v>
      </c>
      <c r="W216" s="881">
        <f>IF(AND(ABS(System!T41)+ABS(System!U41)&lt;&gt;0,F128=0),MAX(ABS(System!BO159),ABS(System!BN159)),IF(ABS(System!V41)+ABS(System!W41)+ABS(System!R41)+ABS(System!S41)&lt;&gt;0,MAX(ABS(System!BP159),ABS(System!BQ159)),1))</f>
        <v>1</v>
      </c>
    </row>
    <row r="217" spans="1:35" x14ac:dyDescent="0.25">
      <c r="A217" s="827">
        <v>39</v>
      </c>
      <c r="B217" s="882">
        <f>IF(ISNUMBER(System!$C42),SIGN(System!BP160),0)</f>
        <v>0</v>
      </c>
      <c r="C217" s="885">
        <f>IF(ISNUMBER(System!$C42),SIGN(System!$BQ160),0)</f>
        <v>0</v>
      </c>
      <c r="D217" s="885">
        <f>IF(ISNUMBER(System!$C42),System!BG160,0)</f>
        <v>0</v>
      </c>
      <c r="E217" s="885">
        <f>IF(ISNUMBER(System!$C42),System!BJ160,0)</f>
        <v>0</v>
      </c>
      <c r="F217" s="885">
        <f>IF(ISNUMBER(System!$C42),System!BK160,0)</f>
        <v>0</v>
      </c>
      <c r="G217" s="874">
        <f>IF(F217=0,1,IF(OR(System!V42&lt;&gt;0,System!W42 &lt;&gt;0),0,1))</f>
        <v>1</v>
      </c>
      <c r="H217" s="884">
        <f>IF(AND(ISNUMBER(System!$C42),ABS(B217)+ABS(C217)&lt;&gt;0),System!$BC160+$J$1*MIN($E$1,D217)*F217 - IF(AND(B217=0,C217&lt;&gt;0),ABS(C217)*$H$1*$E$1*E217,ABS(B217)*$H$1*$E$1*E217),PlotData!$CB$3)</f>
        <v>0</v>
      </c>
      <c r="I217" s="885">
        <f>IF(AND(ISNUMBER(System!$C42),ABS(B217)+ABS(C217)&lt;&gt;0),System!$BD160-$J$1*MIN($E$1,D217)*F217 -  IF(AND(C217=0,B217&lt;&gt;0),ABS(B217)*$H$1*$E$1*E217,ABS(C217)*$H$1*$E$1*E217),PlotData!$CB$3)</f>
        <v>0</v>
      </c>
      <c r="J217" s="884">
        <f>IF(AND(ISNUMBER(System!$C42),ABS(B217)+ABS(C217)&lt;&gt;0),I217 - $C217*$E$1*E217*G217*V217,PlotData!$CB$3)</f>
        <v>0</v>
      </c>
      <c r="K217" s="885">
        <f>IF(AND(ISNUMBER(System!$C42),ABS(B217)+ABS(C217)&lt;&gt;0),H217 - $B217*$E$1*E217*U217*G217,PlotData!$CB$3)</f>
        <v>0</v>
      </c>
      <c r="L217" s="884">
        <f>IF(AND(ISNUMBER(System!$C42),ABS(B217)+ABS(C217)&lt;&gt;0),H217 - B217*$N$1*$E$1*E217*G217,PlotData!$CB$3)</f>
        <v>0</v>
      </c>
      <c r="M217" s="885">
        <f>IF(AND(ISNUMBER(System!$C42),ABS(B217)+ABS(C217)&lt;&gt;0),I217 - C217*$N$1*$E$1*E217*G217,PlotData!$CB$3)</f>
        <v>0</v>
      </c>
      <c r="N217" s="887">
        <f>IF(AND(ISNUMBER(System!$C42),ABS(B217)+ABS(C217)&lt;&gt;0),System!$BE160-$J$1*MIN($E$1,D217)*E217-SIGN(ABS(B217)+0.2)*$H$1*$E$1*F217,PlotData!$CB$4)</f>
        <v>0</v>
      </c>
      <c r="O217" s="885">
        <f>IF(AND(ISNUMBER(System!$C42),ABS(B217)+ABS(C217)&lt;&gt;0),System!$BF160+$J$1*MIN($E$1,D217)*E217 - SIGN(ABS(B217)+0.2)*$H$1*$E$1*F217,PlotData!$CB$4)</f>
        <v>0</v>
      </c>
      <c r="P217" s="884">
        <f>IF(AND(ISNUMBER(System!$C42),ABS(B217)+ABS(C217)&lt;&gt;0),O217 - $C217*$E$1*F217*V217,PlotData!$CB$4)</f>
        <v>0</v>
      </c>
      <c r="Q217" s="885">
        <f>IF(AND(ISNUMBER(System!$C42),(ABS(B217)+ABS(C217))&lt;&gt;0),N217 - $B217*$E$1*F217*U217,PlotData!$CB$4)</f>
        <v>0</v>
      </c>
      <c r="R217" s="884">
        <f>IF(AND(ISNUMBER(System!$C42),ABS(B217)+ABS(C217)&lt;&gt;0),N217 - SIGN(B217)*$N$1*$E$1*F217,PlotData!$CB$4)</f>
        <v>0</v>
      </c>
      <c r="S217" s="886">
        <f>IF(AND(ISNUMBER(System!$C42),ABS(B217)+ABS(C217)&lt;&gt;0),O217 - SIGN(C217)*$N$1*$E$1*F217,PlotData!$CB$4)</f>
        <v>0</v>
      </c>
      <c r="T217" s="887">
        <f>IF(ISNUMBER(System!$C42),SIGN(System!$AG42),0)</f>
        <v>0</v>
      </c>
      <c r="U217" s="881">
        <f>IF(ISNUMBER(System!BP160),ABS(System!BP160)/W217,0)</f>
        <v>0</v>
      </c>
      <c r="V217" s="881">
        <f>IF(ISNUMBER(System!BQ160),ABS(System!BQ160)/W217,0)</f>
        <v>0</v>
      </c>
      <c r="W217" s="881">
        <f>IF(AND(ABS(System!T42)+ABS(System!U42)&lt;&gt;0,F129=0),MAX(ABS(System!BO160),ABS(System!BN160)),IF(ABS(System!V42)+ABS(System!W42)+ABS(System!R42)+ABS(System!S42)&lt;&gt;0,MAX(ABS(System!BP160),ABS(System!BQ160)),1))</f>
        <v>1</v>
      </c>
    </row>
    <row r="218" spans="1:35" ht="13.8" thickBot="1" x14ac:dyDescent="0.3">
      <c r="A218" s="838">
        <v>40</v>
      </c>
      <c r="B218" s="890">
        <f>IF(ISNUMBER(System!$C43),SIGN(System!BP161),0)</f>
        <v>0</v>
      </c>
      <c r="C218" s="894">
        <f>IF(ISNUMBER(System!$C43),SIGN(System!$BQ161),0)</f>
        <v>0</v>
      </c>
      <c r="D218" s="894">
        <f>IF(ISNUMBER(System!$C43),System!BG161,0)</f>
        <v>0</v>
      </c>
      <c r="E218" s="894">
        <f>IF(ISNUMBER(System!$C43),System!BJ161,0)</f>
        <v>0</v>
      </c>
      <c r="F218" s="894">
        <f>IF(ISNUMBER(System!$C43),System!BK161,0)</f>
        <v>0</v>
      </c>
      <c r="G218" s="892">
        <f>IF(F218=0,1,IF(OR(System!V43&lt;&gt;0,System!W43 &lt;&gt;0),0,1))</f>
        <v>1</v>
      </c>
      <c r="H218" s="893">
        <f>IF(AND(ISNUMBER(System!$C43),ABS(B218)+ABS(C218)&lt;&gt;0),System!$BC161+$J$1*MIN($E$1,D218)*F218 - IF(AND(B218=0,C218&lt;&gt;0),ABS(C218)*$H$1*$E$1*E218,ABS(B218)*$H$1*$E$1*E218),PlotData!$CB$3)</f>
        <v>0</v>
      </c>
      <c r="I218" s="894">
        <f>IF(AND(ISNUMBER(System!$C43),ABS(B218)+ABS(C218)&lt;&gt;0),System!$BD161-$J$1*MIN($E$1,D218)*F218 -  IF(AND(C218=0,B218&lt;&gt;0),ABS(B218)*$H$1*$E$1*E218,ABS(C218)*$H$1*$E$1*E218),PlotData!$CB$3)</f>
        <v>0</v>
      </c>
      <c r="J218" s="893">
        <f>IF(AND(ISNUMBER(System!$C43),ABS(B218)+ABS(C218)&lt;&gt;0),I218 - $C218*$E$1*E218*G218*V218,PlotData!$CB$3)</f>
        <v>0</v>
      </c>
      <c r="K218" s="894">
        <f>IF(AND(ISNUMBER(System!$C43),ABS(B218)+ABS(C218)&lt;&gt;0),H218 - $B218*$E$1*E218*U218*G218,PlotData!$CB$3)</f>
        <v>0</v>
      </c>
      <c r="L218" s="893">
        <f>IF(AND(ISNUMBER(System!$C43),ABS(B218)+ABS(C218)&lt;&gt;0),H218 - B218*$N$1*$E$1*E218*G218,PlotData!$CB$3)</f>
        <v>0</v>
      </c>
      <c r="M218" s="894">
        <f>IF(AND(ISNUMBER(System!$C43),ABS(B218)+ABS(C218)&lt;&gt;0),I218 - C218*$N$1*$E$1*E218*G218,PlotData!$CB$3)</f>
        <v>0</v>
      </c>
      <c r="N218" s="896">
        <f>IF(AND(ISNUMBER(System!$C43),ABS(B218)+ABS(C218)&lt;&gt;0),System!$BE161-$J$1*MIN($E$1,D218)*E218-SIGN(ABS(B218)+0.2)*$H$1*$E$1*F218,PlotData!$CB$4)</f>
        <v>0</v>
      </c>
      <c r="O218" s="894">
        <f>IF(AND(ISNUMBER(System!$C43),ABS(B218)+ABS(C218)&lt;&gt;0),System!$BF161+$J$1*MIN($E$1,D218)*E218 - SIGN(ABS(B218)+0.2)*$H$1*$E$1*F218,PlotData!$CB$4)</f>
        <v>0</v>
      </c>
      <c r="P218" s="893">
        <f>IF(AND(ISNUMBER(System!$C43),ABS(B218)+ABS(C218)&lt;&gt;0),O218 - $C218*$E$1*F218*V218,PlotData!$CB$4)</f>
        <v>0</v>
      </c>
      <c r="Q218" s="894">
        <f>IF(AND(ISNUMBER(System!$C43),(ABS(B218)+ABS(C218))&lt;&gt;0),N218 - $B218*$E$1*F218*U218,PlotData!$CB$4)</f>
        <v>0</v>
      </c>
      <c r="R218" s="893">
        <f>IF(AND(ISNUMBER(System!$C43),ABS(B218)+ABS(C218)&lt;&gt;0),N218 - SIGN(B218)*$N$1*$E$1*F218,PlotData!$CB$4)</f>
        <v>0</v>
      </c>
      <c r="S218" s="895">
        <f>IF(AND(ISNUMBER(System!$C43),ABS(B218)+ABS(C218)&lt;&gt;0),O218 - SIGN(C218)*$N$1*$E$1*F218,PlotData!$CB$4)</f>
        <v>0</v>
      </c>
      <c r="T218" s="896">
        <f>IF(ISNUMBER(System!$C43),SIGN(System!$AG43),0)</f>
        <v>0</v>
      </c>
      <c r="U218" s="898">
        <f>IF(ISNUMBER(System!BP161),ABS(System!BP161)/W218,0)</f>
        <v>0</v>
      </c>
      <c r="V218" s="898">
        <f>IF(ISNUMBER(System!BQ161),ABS(System!BQ161)/W218,0)</f>
        <v>0</v>
      </c>
      <c r="W218" s="898">
        <f>IF(AND(ABS(System!T43)+ABS(System!U43)&lt;&gt;0,F130=0),MAX(ABS(System!BO161),ABS(System!BN161)),IF(ABS(System!V43)+ABS(System!W43)+ABS(System!R43)+ABS(System!S43)&lt;&gt;0,MAX(ABS(System!BP161),ABS(System!BQ161)),1))</f>
        <v>1</v>
      </c>
    </row>
    <row r="219" spans="1:35" x14ac:dyDescent="0.25">
      <c r="A219" s="656"/>
    </row>
    <row r="220" spans="1:35" x14ac:dyDescent="0.25">
      <c r="A220" s="656"/>
    </row>
    <row r="221" spans="1:35" x14ac:dyDescent="0.25">
      <c r="A221" s="656"/>
    </row>
    <row r="222" spans="1:35" x14ac:dyDescent="0.25">
      <c r="A222" s="656"/>
    </row>
    <row r="223" spans="1:35" ht="13.8" thickBot="1" x14ac:dyDescent="0.3">
      <c r="A223" s="656"/>
    </row>
    <row r="224" spans="1:35" s="9" customFormat="1" ht="18.75" customHeight="1" thickBot="1" x14ac:dyDescent="0.35">
      <c r="A224" s="904" t="s">
        <v>43</v>
      </c>
      <c r="B224" s="869" t="s">
        <v>291</v>
      </c>
      <c r="C224" s="868" t="s">
        <v>292</v>
      </c>
      <c r="D224" s="865" t="s">
        <v>293</v>
      </c>
      <c r="E224" s="868" t="s">
        <v>294</v>
      </c>
      <c r="F224" s="865" t="s">
        <v>295</v>
      </c>
      <c r="G224" s="191" t="s">
        <v>296</v>
      </c>
      <c r="H224" s="865" t="s">
        <v>297</v>
      </c>
      <c r="I224" s="868" t="s">
        <v>298</v>
      </c>
      <c r="J224" s="865" t="s">
        <v>299</v>
      </c>
      <c r="K224" s="868" t="s">
        <v>300</v>
      </c>
      <c r="L224" s="865" t="s">
        <v>301</v>
      </c>
      <c r="M224" s="868" t="s">
        <v>302</v>
      </c>
      <c r="N224" s="865" t="s">
        <v>303</v>
      </c>
      <c r="O224" s="868" t="s">
        <v>304</v>
      </c>
      <c r="P224" s="865" t="s">
        <v>305</v>
      </c>
      <c r="Q224" s="868" t="s">
        <v>306</v>
      </c>
      <c r="R224" s="908" t="s">
        <v>307</v>
      </c>
      <c r="S224" s="863" t="s">
        <v>308</v>
      </c>
      <c r="T224" s="865" t="s">
        <v>309</v>
      </c>
      <c r="U224" s="868" t="s">
        <v>310</v>
      </c>
      <c r="V224" s="865" t="s">
        <v>311</v>
      </c>
      <c r="W224" s="868" t="s">
        <v>312</v>
      </c>
      <c r="X224" s="865" t="s">
        <v>313</v>
      </c>
      <c r="Y224" s="868" t="s">
        <v>314</v>
      </c>
      <c r="Z224" s="865" t="s">
        <v>315</v>
      </c>
      <c r="AA224" s="868" t="s">
        <v>316</v>
      </c>
      <c r="AB224" s="865" t="s">
        <v>317</v>
      </c>
      <c r="AC224" s="868" t="s">
        <v>318</v>
      </c>
      <c r="AD224" s="865" t="s">
        <v>319</v>
      </c>
      <c r="AE224" s="868" t="s">
        <v>320</v>
      </c>
      <c r="AF224" s="865" t="s">
        <v>321</v>
      </c>
      <c r="AG224" s="868" t="s">
        <v>322</v>
      </c>
      <c r="AH224" s="865" t="s">
        <v>323</v>
      </c>
      <c r="AI224" s="867" t="s">
        <v>324</v>
      </c>
    </row>
    <row r="225" spans="1:35" x14ac:dyDescent="0.25">
      <c r="A225" s="909">
        <v>1</v>
      </c>
      <c r="B225" s="878">
        <f t="shared" ref="B225:B264" ca="1" si="59">K179</f>
        <v>0</v>
      </c>
      <c r="C225" s="876">
        <f t="shared" ref="C225:C264" ca="1" si="60">H179</f>
        <v>0</v>
      </c>
      <c r="D225" s="875">
        <f t="shared" ref="D225:D264" ca="1" si="61">L179+ B179* $T$1*F179</f>
        <v>0</v>
      </c>
      <c r="E225" s="876">
        <f t="shared" ref="E225:E264" ca="1" si="62">L179 - B179* $T$1*F179</f>
        <v>0</v>
      </c>
      <c r="F225" s="875">
        <f ca="1">C225</f>
        <v>0</v>
      </c>
      <c r="G225" s="876">
        <f t="shared" ref="G225:G264" ca="1" si="63">I179</f>
        <v>0</v>
      </c>
      <c r="H225" s="875">
        <f ca="1">G225</f>
        <v>0</v>
      </c>
      <c r="I225" s="876">
        <f ca="1">G225</f>
        <v>0</v>
      </c>
      <c r="J225" s="875">
        <f ca="1">G225</f>
        <v>0</v>
      </c>
      <c r="K225" s="876">
        <f t="shared" ref="K225:K264" ca="1" si="64">M179 + C179* F179 * $T$1</f>
        <v>0</v>
      </c>
      <c r="L225" s="875">
        <f t="shared" ref="L225:L264" ca="1" si="65">M179 - C179* F179 * $T$1</f>
        <v>0</v>
      </c>
      <c r="M225" s="876">
        <f ca="1">J225</f>
        <v>0</v>
      </c>
      <c r="N225" s="875">
        <f t="shared" ref="N225:N264" ca="1" si="66">J179</f>
        <v>0</v>
      </c>
      <c r="O225" s="876">
        <f ca="1">N225</f>
        <v>0</v>
      </c>
      <c r="P225" s="875">
        <f ca="1">N225</f>
        <v>0</v>
      </c>
      <c r="Q225" s="876">
        <f ca="1">N225</f>
        <v>0</v>
      </c>
      <c r="R225" s="907">
        <f ca="1">B225</f>
        <v>0</v>
      </c>
      <c r="S225" s="872">
        <f t="shared" ref="S225:S264" ca="1" si="67">Q179</f>
        <v>0</v>
      </c>
      <c r="T225" s="875">
        <f t="shared" ref="T225:T264" ca="1" si="68">N179</f>
        <v>0</v>
      </c>
      <c r="U225" s="876">
        <f t="shared" ref="U225:U264" ca="1" si="69">R179 - B179*E179*$T$1</f>
        <v>0</v>
      </c>
      <c r="V225" s="875">
        <f t="shared" ref="V225:V264" ca="1" si="70">R179 + B179*E179*$T$1</f>
        <v>0</v>
      </c>
      <c r="W225" s="876">
        <f ca="1">T225</f>
        <v>0</v>
      </c>
      <c r="X225" s="875">
        <f t="shared" ref="X225:X264" ca="1" si="71">O179</f>
        <v>0</v>
      </c>
      <c r="Y225" s="876">
        <f ca="1">X225</f>
        <v>0</v>
      </c>
      <c r="Z225" s="875">
        <f ca="1">X225</f>
        <v>0</v>
      </c>
      <c r="AA225" s="876">
        <f ca="1">X225</f>
        <v>0</v>
      </c>
      <c r="AB225" s="875">
        <f t="shared" ref="AB225:AB264" ca="1" si="72">S179 - C179*E179*$T$1</f>
        <v>0</v>
      </c>
      <c r="AC225" s="876">
        <f t="shared" ref="AC225:AC264" ca="1" si="73">S179 + C179*E179*$T$1</f>
        <v>0</v>
      </c>
      <c r="AD225" s="875">
        <f ca="1">AA225</f>
        <v>0</v>
      </c>
      <c r="AE225" s="876">
        <f t="shared" ref="AE225:AE264" ca="1" si="74">P179</f>
        <v>0</v>
      </c>
      <c r="AF225" s="875">
        <f ca="1">AE225</f>
        <v>0</v>
      </c>
      <c r="AG225" s="876">
        <f ca="1">AE225</f>
        <v>0</v>
      </c>
      <c r="AH225" s="875">
        <f ca="1">AE225</f>
        <v>0</v>
      </c>
      <c r="AI225" s="879">
        <f ca="1">S225</f>
        <v>0</v>
      </c>
    </row>
    <row r="226" spans="1:35" x14ac:dyDescent="0.25">
      <c r="A226" s="910">
        <v>2</v>
      </c>
      <c r="B226" s="887">
        <f t="shared" ca="1" si="59"/>
        <v>0</v>
      </c>
      <c r="C226" s="885">
        <f t="shared" ca="1" si="60"/>
        <v>0</v>
      </c>
      <c r="D226" s="884">
        <f t="shared" ca="1" si="61"/>
        <v>0</v>
      </c>
      <c r="E226" s="885">
        <f t="shared" ca="1" si="62"/>
        <v>0</v>
      </c>
      <c r="F226" s="884">
        <f t="shared" ref="F226:F264" ca="1" si="75">C226</f>
        <v>0</v>
      </c>
      <c r="G226" s="885">
        <f t="shared" ca="1" si="63"/>
        <v>0</v>
      </c>
      <c r="H226" s="884">
        <f t="shared" ref="H226:H264" ca="1" si="76">G226</f>
        <v>0</v>
      </c>
      <c r="I226" s="885">
        <f t="shared" ref="I226:I264" ca="1" si="77">G226</f>
        <v>0</v>
      </c>
      <c r="J226" s="884">
        <f t="shared" ref="J226:J264" ca="1" si="78">G226</f>
        <v>0</v>
      </c>
      <c r="K226" s="885">
        <f t="shared" ca="1" si="64"/>
        <v>0</v>
      </c>
      <c r="L226" s="884">
        <f t="shared" ca="1" si="65"/>
        <v>0</v>
      </c>
      <c r="M226" s="885">
        <f t="shared" ref="M226:M264" ca="1" si="79">J226</f>
        <v>0</v>
      </c>
      <c r="N226" s="884">
        <f t="shared" ca="1" si="66"/>
        <v>0</v>
      </c>
      <c r="O226" s="885">
        <f t="shared" ref="O226:O264" ca="1" si="80">N226</f>
        <v>0</v>
      </c>
      <c r="P226" s="884">
        <f t="shared" ref="P226:P264" ca="1" si="81">N226</f>
        <v>0</v>
      </c>
      <c r="Q226" s="885">
        <f t="shared" ref="Q226:Q264" ca="1" si="82">N226</f>
        <v>0</v>
      </c>
      <c r="R226" s="874">
        <f t="shared" ref="R226:R264" ca="1" si="83">B226</f>
        <v>0</v>
      </c>
      <c r="S226" s="882">
        <f t="shared" ca="1" si="67"/>
        <v>0</v>
      </c>
      <c r="T226" s="884">
        <f t="shared" ca="1" si="68"/>
        <v>0</v>
      </c>
      <c r="U226" s="885">
        <f t="shared" ca="1" si="69"/>
        <v>0</v>
      </c>
      <c r="V226" s="884">
        <f t="shared" ca="1" si="70"/>
        <v>0</v>
      </c>
      <c r="W226" s="885">
        <f t="shared" ref="W226:W264" ca="1" si="84">T226</f>
        <v>0</v>
      </c>
      <c r="X226" s="884">
        <f t="shared" ca="1" si="71"/>
        <v>0</v>
      </c>
      <c r="Y226" s="885">
        <f t="shared" ref="Y226:Y264" ca="1" si="85">X226</f>
        <v>0</v>
      </c>
      <c r="Z226" s="884">
        <f t="shared" ref="Z226:Z264" ca="1" si="86">X226</f>
        <v>0</v>
      </c>
      <c r="AA226" s="885">
        <f t="shared" ref="AA226:AA264" ca="1" si="87">X226</f>
        <v>0</v>
      </c>
      <c r="AB226" s="884">
        <f t="shared" ca="1" si="72"/>
        <v>0</v>
      </c>
      <c r="AC226" s="885">
        <f t="shared" ca="1" si="73"/>
        <v>0</v>
      </c>
      <c r="AD226" s="884">
        <f t="shared" ref="AD226:AD264" ca="1" si="88">AA226</f>
        <v>0</v>
      </c>
      <c r="AE226" s="885">
        <f t="shared" ca="1" si="74"/>
        <v>0</v>
      </c>
      <c r="AF226" s="884">
        <f t="shared" ref="AF226:AF264" ca="1" si="89">AE226</f>
        <v>0</v>
      </c>
      <c r="AG226" s="885">
        <f t="shared" ref="AG226:AG264" ca="1" si="90">AE226</f>
        <v>0</v>
      </c>
      <c r="AH226" s="884">
        <f t="shared" ref="AH226:AH264" ca="1" si="91">AE226</f>
        <v>0</v>
      </c>
      <c r="AI226" s="888">
        <f t="shared" ref="AI226:AI264" ca="1" si="92">S226</f>
        <v>0</v>
      </c>
    </row>
    <row r="227" spans="1:35" x14ac:dyDescent="0.25">
      <c r="A227" s="910">
        <v>3</v>
      </c>
      <c r="B227" s="887">
        <f t="shared" ca="1" si="59"/>
        <v>0</v>
      </c>
      <c r="C227" s="885">
        <f t="shared" ca="1" si="60"/>
        <v>0</v>
      </c>
      <c r="D227" s="884">
        <f t="shared" ca="1" si="61"/>
        <v>0</v>
      </c>
      <c r="E227" s="885">
        <f t="shared" ca="1" si="62"/>
        <v>0</v>
      </c>
      <c r="F227" s="884">
        <f t="shared" ca="1" si="75"/>
        <v>0</v>
      </c>
      <c r="G227" s="885">
        <f t="shared" ca="1" si="63"/>
        <v>0</v>
      </c>
      <c r="H227" s="884">
        <f t="shared" ca="1" si="76"/>
        <v>0</v>
      </c>
      <c r="I227" s="885">
        <f t="shared" ca="1" si="77"/>
        <v>0</v>
      </c>
      <c r="J227" s="884">
        <f t="shared" ca="1" si="78"/>
        <v>0</v>
      </c>
      <c r="K227" s="885">
        <f t="shared" ca="1" si="64"/>
        <v>0</v>
      </c>
      <c r="L227" s="884">
        <f t="shared" ca="1" si="65"/>
        <v>0</v>
      </c>
      <c r="M227" s="885">
        <f t="shared" ca="1" si="79"/>
        <v>0</v>
      </c>
      <c r="N227" s="884">
        <f t="shared" ca="1" si="66"/>
        <v>0</v>
      </c>
      <c r="O227" s="885">
        <f t="shared" ca="1" si="80"/>
        <v>0</v>
      </c>
      <c r="P227" s="884">
        <f t="shared" ca="1" si="81"/>
        <v>0</v>
      </c>
      <c r="Q227" s="885">
        <f t="shared" ca="1" si="82"/>
        <v>0</v>
      </c>
      <c r="R227" s="874">
        <f t="shared" ca="1" si="83"/>
        <v>0</v>
      </c>
      <c r="S227" s="882">
        <f t="shared" ca="1" si="67"/>
        <v>0</v>
      </c>
      <c r="T227" s="884">
        <f t="shared" ca="1" si="68"/>
        <v>0</v>
      </c>
      <c r="U227" s="885">
        <f t="shared" ca="1" si="69"/>
        <v>0</v>
      </c>
      <c r="V227" s="884">
        <f t="shared" ca="1" si="70"/>
        <v>0</v>
      </c>
      <c r="W227" s="885">
        <f t="shared" ca="1" si="84"/>
        <v>0</v>
      </c>
      <c r="X227" s="884">
        <f t="shared" ca="1" si="71"/>
        <v>0</v>
      </c>
      <c r="Y227" s="885">
        <f t="shared" ca="1" si="85"/>
        <v>0</v>
      </c>
      <c r="Z227" s="884">
        <f t="shared" ca="1" si="86"/>
        <v>0</v>
      </c>
      <c r="AA227" s="885">
        <f t="shared" ca="1" si="87"/>
        <v>0</v>
      </c>
      <c r="AB227" s="884">
        <f t="shared" ca="1" si="72"/>
        <v>0</v>
      </c>
      <c r="AC227" s="885">
        <f t="shared" ca="1" si="73"/>
        <v>0</v>
      </c>
      <c r="AD227" s="884">
        <f t="shared" ca="1" si="88"/>
        <v>0</v>
      </c>
      <c r="AE227" s="885">
        <f t="shared" ca="1" si="74"/>
        <v>0</v>
      </c>
      <c r="AF227" s="884">
        <f t="shared" ca="1" si="89"/>
        <v>0</v>
      </c>
      <c r="AG227" s="885">
        <f t="shared" ca="1" si="90"/>
        <v>0</v>
      </c>
      <c r="AH227" s="884">
        <f t="shared" ca="1" si="91"/>
        <v>0</v>
      </c>
      <c r="AI227" s="888">
        <f t="shared" ca="1" si="92"/>
        <v>0</v>
      </c>
    </row>
    <row r="228" spans="1:35" x14ac:dyDescent="0.25">
      <c r="A228" s="910">
        <v>4</v>
      </c>
      <c r="B228" s="887">
        <f t="shared" ca="1" si="59"/>
        <v>0</v>
      </c>
      <c r="C228" s="885">
        <f t="shared" ca="1" si="60"/>
        <v>0</v>
      </c>
      <c r="D228" s="884">
        <f t="shared" ca="1" si="61"/>
        <v>0</v>
      </c>
      <c r="E228" s="885">
        <f t="shared" ca="1" si="62"/>
        <v>0</v>
      </c>
      <c r="F228" s="884">
        <f t="shared" ca="1" si="75"/>
        <v>0</v>
      </c>
      <c r="G228" s="885">
        <f t="shared" ca="1" si="63"/>
        <v>0</v>
      </c>
      <c r="H228" s="884">
        <f t="shared" ca="1" si="76"/>
        <v>0</v>
      </c>
      <c r="I228" s="885">
        <f t="shared" ca="1" si="77"/>
        <v>0</v>
      </c>
      <c r="J228" s="884">
        <f t="shared" ca="1" si="78"/>
        <v>0</v>
      </c>
      <c r="K228" s="885">
        <f t="shared" ca="1" si="64"/>
        <v>0</v>
      </c>
      <c r="L228" s="884">
        <f t="shared" ca="1" si="65"/>
        <v>0</v>
      </c>
      <c r="M228" s="885">
        <f t="shared" ca="1" si="79"/>
        <v>0</v>
      </c>
      <c r="N228" s="884">
        <f t="shared" ca="1" si="66"/>
        <v>0</v>
      </c>
      <c r="O228" s="885">
        <f t="shared" ca="1" si="80"/>
        <v>0</v>
      </c>
      <c r="P228" s="884">
        <f t="shared" ca="1" si="81"/>
        <v>0</v>
      </c>
      <c r="Q228" s="885">
        <f t="shared" ca="1" si="82"/>
        <v>0</v>
      </c>
      <c r="R228" s="874">
        <f t="shared" ca="1" si="83"/>
        <v>0</v>
      </c>
      <c r="S228" s="882">
        <f t="shared" ca="1" si="67"/>
        <v>0</v>
      </c>
      <c r="T228" s="884">
        <f t="shared" ca="1" si="68"/>
        <v>0</v>
      </c>
      <c r="U228" s="885">
        <f t="shared" ca="1" si="69"/>
        <v>0</v>
      </c>
      <c r="V228" s="884">
        <f t="shared" ca="1" si="70"/>
        <v>0</v>
      </c>
      <c r="W228" s="885">
        <f t="shared" ca="1" si="84"/>
        <v>0</v>
      </c>
      <c r="X228" s="884">
        <f t="shared" ca="1" si="71"/>
        <v>0</v>
      </c>
      <c r="Y228" s="885">
        <f t="shared" ca="1" si="85"/>
        <v>0</v>
      </c>
      <c r="Z228" s="884">
        <f t="shared" ca="1" si="86"/>
        <v>0</v>
      </c>
      <c r="AA228" s="885">
        <f t="shared" ca="1" si="87"/>
        <v>0</v>
      </c>
      <c r="AB228" s="884">
        <f t="shared" ca="1" si="72"/>
        <v>0</v>
      </c>
      <c r="AC228" s="885">
        <f t="shared" ca="1" si="73"/>
        <v>0</v>
      </c>
      <c r="AD228" s="884">
        <f t="shared" ca="1" si="88"/>
        <v>0</v>
      </c>
      <c r="AE228" s="885">
        <f t="shared" ca="1" si="74"/>
        <v>0</v>
      </c>
      <c r="AF228" s="884">
        <f t="shared" ca="1" si="89"/>
        <v>0</v>
      </c>
      <c r="AG228" s="885">
        <f t="shared" ca="1" si="90"/>
        <v>0</v>
      </c>
      <c r="AH228" s="884">
        <f t="shared" ca="1" si="91"/>
        <v>0</v>
      </c>
      <c r="AI228" s="888">
        <f t="shared" ca="1" si="92"/>
        <v>0</v>
      </c>
    </row>
    <row r="229" spans="1:35" x14ac:dyDescent="0.25">
      <c r="A229" s="910">
        <v>5</v>
      </c>
      <c r="B229" s="887">
        <f t="shared" ca="1" si="59"/>
        <v>0</v>
      </c>
      <c r="C229" s="885">
        <f t="shared" ca="1" si="60"/>
        <v>0</v>
      </c>
      <c r="D229" s="884">
        <f t="shared" ca="1" si="61"/>
        <v>0</v>
      </c>
      <c r="E229" s="885">
        <f t="shared" ca="1" si="62"/>
        <v>0</v>
      </c>
      <c r="F229" s="884">
        <f t="shared" ca="1" si="75"/>
        <v>0</v>
      </c>
      <c r="G229" s="885">
        <f t="shared" ca="1" si="63"/>
        <v>0</v>
      </c>
      <c r="H229" s="884">
        <f t="shared" ca="1" si="76"/>
        <v>0</v>
      </c>
      <c r="I229" s="885">
        <f t="shared" ca="1" si="77"/>
        <v>0</v>
      </c>
      <c r="J229" s="884">
        <f t="shared" ca="1" si="78"/>
        <v>0</v>
      </c>
      <c r="K229" s="885">
        <f t="shared" ca="1" si="64"/>
        <v>0</v>
      </c>
      <c r="L229" s="884">
        <f t="shared" ca="1" si="65"/>
        <v>0</v>
      </c>
      <c r="M229" s="885">
        <f t="shared" ca="1" si="79"/>
        <v>0</v>
      </c>
      <c r="N229" s="884">
        <f t="shared" ca="1" si="66"/>
        <v>0</v>
      </c>
      <c r="O229" s="885">
        <f t="shared" ca="1" si="80"/>
        <v>0</v>
      </c>
      <c r="P229" s="884">
        <f t="shared" ca="1" si="81"/>
        <v>0</v>
      </c>
      <c r="Q229" s="885">
        <f t="shared" ca="1" si="82"/>
        <v>0</v>
      </c>
      <c r="R229" s="874">
        <f t="shared" ca="1" si="83"/>
        <v>0</v>
      </c>
      <c r="S229" s="882">
        <f t="shared" ca="1" si="67"/>
        <v>0</v>
      </c>
      <c r="T229" s="884">
        <f t="shared" ca="1" si="68"/>
        <v>0</v>
      </c>
      <c r="U229" s="885">
        <f t="shared" ca="1" si="69"/>
        <v>0</v>
      </c>
      <c r="V229" s="884">
        <f t="shared" ca="1" si="70"/>
        <v>0</v>
      </c>
      <c r="W229" s="885">
        <f t="shared" ca="1" si="84"/>
        <v>0</v>
      </c>
      <c r="X229" s="884">
        <f t="shared" ca="1" si="71"/>
        <v>0</v>
      </c>
      <c r="Y229" s="885">
        <f t="shared" ca="1" si="85"/>
        <v>0</v>
      </c>
      <c r="Z229" s="884">
        <f t="shared" ca="1" si="86"/>
        <v>0</v>
      </c>
      <c r="AA229" s="885">
        <f t="shared" ca="1" si="87"/>
        <v>0</v>
      </c>
      <c r="AB229" s="884">
        <f t="shared" ca="1" si="72"/>
        <v>0</v>
      </c>
      <c r="AC229" s="885">
        <f t="shared" ca="1" si="73"/>
        <v>0</v>
      </c>
      <c r="AD229" s="884">
        <f t="shared" ca="1" si="88"/>
        <v>0</v>
      </c>
      <c r="AE229" s="885">
        <f t="shared" ca="1" si="74"/>
        <v>0</v>
      </c>
      <c r="AF229" s="884">
        <f t="shared" ca="1" si="89"/>
        <v>0</v>
      </c>
      <c r="AG229" s="885">
        <f t="shared" ca="1" si="90"/>
        <v>0</v>
      </c>
      <c r="AH229" s="884">
        <f t="shared" ca="1" si="91"/>
        <v>0</v>
      </c>
      <c r="AI229" s="888">
        <f t="shared" ca="1" si="92"/>
        <v>0</v>
      </c>
    </row>
    <row r="230" spans="1:35" x14ac:dyDescent="0.25">
      <c r="A230" s="910">
        <v>6</v>
      </c>
      <c r="B230" s="887">
        <f t="shared" si="59"/>
        <v>0</v>
      </c>
      <c r="C230" s="885">
        <f t="shared" si="60"/>
        <v>0</v>
      </c>
      <c r="D230" s="884">
        <f t="shared" si="61"/>
        <v>0</v>
      </c>
      <c r="E230" s="885">
        <f t="shared" si="62"/>
        <v>0</v>
      </c>
      <c r="F230" s="884">
        <f t="shared" si="75"/>
        <v>0</v>
      </c>
      <c r="G230" s="885">
        <f t="shared" si="63"/>
        <v>0</v>
      </c>
      <c r="H230" s="884">
        <f t="shared" si="76"/>
        <v>0</v>
      </c>
      <c r="I230" s="885">
        <f t="shared" si="77"/>
        <v>0</v>
      </c>
      <c r="J230" s="884">
        <f t="shared" si="78"/>
        <v>0</v>
      </c>
      <c r="K230" s="885">
        <f t="shared" si="64"/>
        <v>0</v>
      </c>
      <c r="L230" s="884">
        <f t="shared" si="65"/>
        <v>0</v>
      </c>
      <c r="M230" s="885">
        <f t="shared" si="79"/>
        <v>0</v>
      </c>
      <c r="N230" s="884">
        <f t="shared" si="66"/>
        <v>0</v>
      </c>
      <c r="O230" s="885">
        <f t="shared" si="80"/>
        <v>0</v>
      </c>
      <c r="P230" s="884">
        <f t="shared" si="81"/>
        <v>0</v>
      </c>
      <c r="Q230" s="885">
        <f t="shared" si="82"/>
        <v>0</v>
      </c>
      <c r="R230" s="874">
        <f t="shared" si="83"/>
        <v>0</v>
      </c>
      <c r="S230" s="882">
        <f t="shared" si="67"/>
        <v>0</v>
      </c>
      <c r="T230" s="884">
        <f t="shared" si="68"/>
        <v>0</v>
      </c>
      <c r="U230" s="885">
        <f t="shared" si="69"/>
        <v>0</v>
      </c>
      <c r="V230" s="884">
        <f t="shared" si="70"/>
        <v>0</v>
      </c>
      <c r="W230" s="885">
        <f t="shared" si="84"/>
        <v>0</v>
      </c>
      <c r="X230" s="884">
        <f t="shared" si="71"/>
        <v>0</v>
      </c>
      <c r="Y230" s="885">
        <f t="shared" si="85"/>
        <v>0</v>
      </c>
      <c r="Z230" s="884">
        <f t="shared" si="86"/>
        <v>0</v>
      </c>
      <c r="AA230" s="885">
        <f t="shared" si="87"/>
        <v>0</v>
      </c>
      <c r="AB230" s="884">
        <f t="shared" si="72"/>
        <v>0</v>
      </c>
      <c r="AC230" s="885">
        <f t="shared" si="73"/>
        <v>0</v>
      </c>
      <c r="AD230" s="884">
        <f t="shared" si="88"/>
        <v>0</v>
      </c>
      <c r="AE230" s="885">
        <f t="shared" si="74"/>
        <v>0</v>
      </c>
      <c r="AF230" s="884">
        <f t="shared" si="89"/>
        <v>0</v>
      </c>
      <c r="AG230" s="885">
        <f t="shared" si="90"/>
        <v>0</v>
      </c>
      <c r="AH230" s="884">
        <f t="shared" si="91"/>
        <v>0</v>
      </c>
      <c r="AI230" s="888">
        <f t="shared" si="92"/>
        <v>0</v>
      </c>
    </row>
    <row r="231" spans="1:35" x14ac:dyDescent="0.25">
      <c r="A231" s="910">
        <v>7</v>
      </c>
      <c r="B231" s="887">
        <f t="shared" si="59"/>
        <v>0</v>
      </c>
      <c r="C231" s="885">
        <f t="shared" si="60"/>
        <v>0</v>
      </c>
      <c r="D231" s="884">
        <f t="shared" si="61"/>
        <v>0</v>
      </c>
      <c r="E231" s="885">
        <f t="shared" si="62"/>
        <v>0</v>
      </c>
      <c r="F231" s="884">
        <f t="shared" si="75"/>
        <v>0</v>
      </c>
      <c r="G231" s="885">
        <f t="shared" si="63"/>
        <v>0</v>
      </c>
      <c r="H231" s="884">
        <f t="shared" si="76"/>
        <v>0</v>
      </c>
      <c r="I231" s="885">
        <f t="shared" si="77"/>
        <v>0</v>
      </c>
      <c r="J231" s="884">
        <f t="shared" si="78"/>
        <v>0</v>
      </c>
      <c r="K231" s="885">
        <f t="shared" si="64"/>
        <v>0</v>
      </c>
      <c r="L231" s="884">
        <f t="shared" si="65"/>
        <v>0</v>
      </c>
      <c r="M231" s="885">
        <f t="shared" si="79"/>
        <v>0</v>
      </c>
      <c r="N231" s="884">
        <f t="shared" si="66"/>
        <v>0</v>
      </c>
      <c r="O231" s="885">
        <f t="shared" si="80"/>
        <v>0</v>
      </c>
      <c r="P231" s="884">
        <f t="shared" si="81"/>
        <v>0</v>
      </c>
      <c r="Q231" s="885">
        <f t="shared" si="82"/>
        <v>0</v>
      </c>
      <c r="R231" s="874">
        <f t="shared" si="83"/>
        <v>0</v>
      </c>
      <c r="S231" s="882">
        <f t="shared" si="67"/>
        <v>0</v>
      </c>
      <c r="T231" s="884">
        <f t="shared" si="68"/>
        <v>0</v>
      </c>
      <c r="U231" s="885">
        <f t="shared" si="69"/>
        <v>0</v>
      </c>
      <c r="V231" s="884">
        <f t="shared" si="70"/>
        <v>0</v>
      </c>
      <c r="W231" s="885">
        <f t="shared" si="84"/>
        <v>0</v>
      </c>
      <c r="X231" s="884">
        <f t="shared" si="71"/>
        <v>0</v>
      </c>
      <c r="Y231" s="885">
        <f t="shared" si="85"/>
        <v>0</v>
      </c>
      <c r="Z231" s="884">
        <f t="shared" si="86"/>
        <v>0</v>
      </c>
      <c r="AA231" s="885">
        <f t="shared" si="87"/>
        <v>0</v>
      </c>
      <c r="AB231" s="884">
        <f t="shared" si="72"/>
        <v>0</v>
      </c>
      <c r="AC231" s="885">
        <f t="shared" si="73"/>
        <v>0</v>
      </c>
      <c r="AD231" s="884">
        <f t="shared" si="88"/>
        <v>0</v>
      </c>
      <c r="AE231" s="885">
        <f t="shared" si="74"/>
        <v>0</v>
      </c>
      <c r="AF231" s="884">
        <f t="shared" si="89"/>
        <v>0</v>
      </c>
      <c r="AG231" s="885">
        <f t="shared" si="90"/>
        <v>0</v>
      </c>
      <c r="AH231" s="884">
        <f t="shared" si="91"/>
        <v>0</v>
      </c>
      <c r="AI231" s="888">
        <f t="shared" si="92"/>
        <v>0</v>
      </c>
    </row>
    <row r="232" spans="1:35" x14ac:dyDescent="0.25">
      <c r="A232" s="910">
        <v>8</v>
      </c>
      <c r="B232" s="887">
        <f t="shared" si="59"/>
        <v>0</v>
      </c>
      <c r="C232" s="885">
        <f t="shared" si="60"/>
        <v>0</v>
      </c>
      <c r="D232" s="884">
        <f t="shared" si="61"/>
        <v>0</v>
      </c>
      <c r="E232" s="885">
        <f t="shared" si="62"/>
        <v>0</v>
      </c>
      <c r="F232" s="884">
        <f t="shared" si="75"/>
        <v>0</v>
      </c>
      <c r="G232" s="885">
        <f t="shared" si="63"/>
        <v>0</v>
      </c>
      <c r="H232" s="884">
        <f t="shared" si="76"/>
        <v>0</v>
      </c>
      <c r="I232" s="885">
        <f t="shared" si="77"/>
        <v>0</v>
      </c>
      <c r="J232" s="884">
        <f t="shared" si="78"/>
        <v>0</v>
      </c>
      <c r="K232" s="885">
        <f t="shared" si="64"/>
        <v>0</v>
      </c>
      <c r="L232" s="884">
        <f t="shared" si="65"/>
        <v>0</v>
      </c>
      <c r="M232" s="885">
        <f t="shared" si="79"/>
        <v>0</v>
      </c>
      <c r="N232" s="884">
        <f t="shared" si="66"/>
        <v>0</v>
      </c>
      <c r="O232" s="885">
        <f t="shared" si="80"/>
        <v>0</v>
      </c>
      <c r="P232" s="884">
        <f t="shared" si="81"/>
        <v>0</v>
      </c>
      <c r="Q232" s="885">
        <f t="shared" si="82"/>
        <v>0</v>
      </c>
      <c r="R232" s="874">
        <f t="shared" si="83"/>
        <v>0</v>
      </c>
      <c r="S232" s="882">
        <f t="shared" si="67"/>
        <v>0</v>
      </c>
      <c r="T232" s="884">
        <f t="shared" si="68"/>
        <v>0</v>
      </c>
      <c r="U232" s="885">
        <f t="shared" si="69"/>
        <v>0</v>
      </c>
      <c r="V232" s="884">
        <f t="shared" si="70"/>
        <v>0</v>
      </c>
      <c r="W232" s="885">
        <f t="shared" si="84"/>
        <v>0</v>
      </c>
      <c r="X232" s="884">
        <f t="shared" si="71"/>
        <v>0</v>
      </c>
      <c r="Y232" s="885">
        <f t="shared" si="85"/>
        <v>0</v>
      </c>
      <c r="Z232" s="884">
        <f t="shared" si="86"/>
        <v>0</v>
      </c>
      <c r="AA232" s="885">
        <f t="shared" si="87"/>
        <v>0</v>
      </c>
      <c r="AB232" s="884">
        <f t="shared" si="72"/>
        <v>0</v>
      </c>
      <c r="AC232" s="885">
        <f t="shared" si="73"/>
        <v>0</v>
      </c>
      <c r="AD232" s="884">
        <f t="shared" si="88"/>
        <v>0</v>
      </c>
      <c r="AE232" s="885">
        <f t="shared" si="74"/>
        <v>0</v>
      </c>
      <c r="AF232" s="884">
        <f t="shared" si="89"/>
        <v>0</v>
      </c>
      <c r="AG232" s="885">
        <f t="shared" si="90"/>
        <v>0</v>
      </c>
      <c r="AH232" s="884">
        <f t="shared" si="91"/>
        <v>0</v>
      </c>
      <c r="AI232" s="888">
        <f t="shared" si="92"/>
        <v>0</v>
      </c>
    </row>
    <row r="233" spans="1:35" x14ac:dyDescent="0.25">
      <c r="A233" s="910">
        <v>9</v>
      </c>
      <c r="B233" s="887">
        <f t="shared" si="59"/>
        <v>0</v>
      </c>
      <c r="C233" s="885">
        <f t="shared" si="60"/>
        <v>0</v>
      </c>
      <c r="D233" s="884">
        <f t="shared" si="61"/>
        <v>0</v>
      </c>
      <c r="E233" s="885">
        <f t="shared" si="62"/>
        <v>0</v>
      </c>
      <c r="F233" s="884">
        <f t="shared" si="75"/>
        <v>0</v>
      </c>
      <c r="G233" s="885">
        <f t="shared" si="63"/>
        <v>0</v>
      </c>
      <c r="H233" s="884">
        <f t="shared" si="76"/>
        <v>0</v>
      </c>
      <c r="I233" s="885">
        <f t="shared" si="77"/>
        <v>0</v>
      </c>
      <c r="J233" s="884">
        <f t="shared" si="78"/>
        <v>0</v>
      </c>
      <c r="K233" s="885">
        <f t="shared" si="64"/>
        <v>0</v>
      </c>
      <c r="L233" s="884">
        <f t="shared" si="65"/>
        <v>0</v>
      </c>
      <c r="M233" s="885">
        <f t="shared" si="79"/>
        <v>0</v>
      </c>
      <c r="N233" s="884">
        <f t="shared" si="66"/>
        <v>0</v>
      </c>
      <c r="O233" s="885">
        <f t="shared" si="80"/>
        <v>0</v>
      </c>
      <c r="P233" s="884">
        <f t="shared" si="81"/>
        <v>0</v>
      </c>
      <c r="Q233" s="885">
        <f t="shared" si="82"/>
        <v>0</v>
      </c>
      <c r="R233" s="874">
        <f t="shared" si="83"/>
        <v>0</v>
      </c>
      <c r="S233" s="882">
        <f t="shared" si="67"/>
        <v>0</v>
      </c>
      <c r="T233" s="884">
        <f t="shared" si="68"/>
        <v>0</v>
      </c>
      <c r="U233" s="885">
        <f t="shared" si="69"/>
        <v>0</v>
      </c>
      <c r="V233" s="884">
        <f t="shared" si="70"/>
        <v>0</v>
      </c>
      <c r="W233" s="885">
        <f t="shared" si="84"/>
        <v>0</v>
      </c>
      <c r="X233" s="884">
        <f t="shared" si="71"/>
        <v>0</v>
      </c>
      <c r="Y233" s="885">
        <f t="shared" si="85"/>
        <v>0</v>
      </c>
      <c r="Z233" s="884">
        <f t="shared" si="86"/>
        <v>0</v>
      </c>
      <c r="AA233" s="885">
        <f t="shared" si="87"/>
        <v>0</v>
      </c>
      <c r="AB233" s="884">
        <f t="shared" si="72"/>
        <v>0</v>
      </c>
      <c r="AC233" s="885">
        <f t="shared" si="73"/>
        <v>0</v>
      </c>
      <c r="AD233" s="884">
        <f t="shared" si="88"/>
        <v>0</v>
      </c>
      <c r="AE233" s="885">
        <f t="shared" si="74"/>
        <v>0</v>
      </c>
      <c r="AF233" s="884">
        <f t="shared" si="89"/>
        <v>0</v>
      </c>
      <c r="AG233" s="885">
        <f t="shared" si="90"/>
        <v>0</v>
      </c>
      <c r="AH233" s="884">
        <f t="shared" si="91"/>
        <v>0</v>
      </c>
      <c r="AI233" s="888">
        <f t="shared" si="92"/>
        <v>0</v>
      </c>
    </row>
    <row r="234" spans="1:35" x14ac:dyDescent="0.25">
      <c r="A234" s="910">
        <v>10</v>
      </c>
      <c r="B234" s="887">
        <f t="shared" si="59"/>
        <v>0</v>
      </c>
      <c r="C234" s="885">
        <f t="shared" si="60"/>
        <v>0</v>
      </c>
      <c r="D234" s="884">
        <f t="shared" si="61"/>
        <v>0</v>
      </c>
      <c r="E234" s="885">
        <f t="shared" si="62"/>
        <v>0</v>
      </c>
      <c r="F234" s="884">
        <f t="shared" si="75"/>
        <v>0</v>
      </c>
      <c r="G234" s="885">
        <f t="shared" si="63"/>
        <v>0</v>
      </c>
      <c r="H234" s="884">
        <f t="shared" si="76"/>
        <v>0</v>
      </c>
      <c r="I234" s="885">
        <f t="shared" si="77"/>
        <v>0</v>
      </c>
      <c r="J234" s="884">
        <f t="shared" si="78"/>
        <v>0</v>
      </c>
      <c r="K234" s="885">
        <f t="shared" si="64"/>
        <v>0</v>
      </c>
      <c r="L234" s="884">
        <f t="shared" si="65"/>
        <v>0</v>
      </c>
      <c r="M234" s="885">
        <f t="shared" si="79"/>
        <v>0</v>
      </c>
      <c r="N234" s="884">
        <f t="shared" si="66"/>
        <v>0</v>
      </c>
      <c r="O234" s="885">
        <f t="shared" si="80"/>
        <v>0</v>
      </c>
      <c r="P234" s="884">
        <f t="shared" si="81"/>
        <v>0</v>
      </c>
      <c r="Q234" s="885">
        <f t="shared" si="82"/>
        <v>0</v>
      </c>
      <c r="R234" s="874">
        <f t="shared" si="83"/>
        <v>0</v>
      </c>
      <c r="S234" s="882">
        <f t="shared" si="67"/>
        <v>0</v>
      </c>
      <c r="T234" s="884">
        <f t="shared" si="68"/>
        <v>0</v>
      </c>
      <c r="U234" s="885">
        <f t="shared" si="69"/>
        <v>0</v>
      </c>
      <c r="V234" s="884">
        <f t="shared" si="70"/>
        <v>0</v>
      </c>
      <c r="W234" s="885">
        <f t="shared" si="84"/>
        <v>0</v>
      </c>
      <c r="X234" s="884">
        <f t="shared" si="71"/>
        <v>0</v>
      </c>
      <c r="Y234" s="885">
        <f t="shared" si="85"/>
        <v>0</v>
      </c>
      <c r="Z234" s="884">
        <f t="shared" si="86"/>
        <v>0</v>
      </c>
      <c r="AA234" s="885">
        <f t="shared" si="87"/>
        <v>0</v>
      </c>
      <c r="AB234" s="884">
        <f t="shared" si="72"/>
        <v>0</v>
      </c>
      <c r="AC234" s="885">
        <f t="shared" si="73"/>
        <v>0</v>
      </c>
      <c r="AD234" s="884">
        <f t="shared" si="88"/>
        <v>0</v>
      </c>
      <c r="AE234" s="885">
        <f t="shared" si="74"/>
        <v>0</v>
      </c>
      <c r="AF234" s="884">
        <f t="shared" si="89"/>
        <v>0</v>
      </c>
      <c r="AG234" s="885">
        <f t="shared" si="90"/>
        <v>0</v>
      </c>
      <c r="AH234" s="884">
        <f t="shared" si="91"/>
        <v>0</v>
      </c>
      <c r="AI234" s="888">
        <f t="shared" si="92"/>
        <v>0</v>
      </c>
    </row>
    <row r="235" spans="1:35" x14ac:dyDescent="0.25">
      <c r="A235" s="910">
        <v>11</v>
      </c>
      <c r="B235" s="887">
        <f t="shared" si="59"/>
        <v>0</v>
      </c>
      <c r="C235" s="885">
        <f t="shared" si="60"/>
        <v>0</v>
      </c>
      <c r="D235" s="884">
        <f t="shared" si="61"/>
        <v>0</v>
      </c>
      <c r="E235" s="885">
        <f t="shared" si="62"/>
        <v>0</v>
      </c>
      <c r="F235" s="884">
        <f t="shared" si="75"/>
        <v>0</v>
      </c>
      <c r="G235" s="885">
        <f t="shared" si="63"/>
        <v>0</v>
      </c>
      <c r="H235" s="884">
        <f t="shared" si="76"/>
        <v>0</v>
      </c>
      <c r="I235" s="885">
        <f t="shared" si="77"/>
        <v>0</v>
      </c>
      <c r="J235" s="884">
        <f t="shared" si="78"/>
        <v>0</v>
      </c>
      <c r="K235" s="885">
        <f t="shared" si="64"/>
        <v>0</v>
      </c>
      <c r="L235" s="884">
        <f t="shared" si="65"/>
        <v>0</v>
      </c>
      <c r="M235" s="885">
        <f t="shared" si="79"/>
        <v>0</v>
      </c>
      <c r="N235" s="884">
        <f t="shared" si="66"/>
        <v>0</v>
      </c>
      <c r="O235" s="885">
        <f t="shared" si="80"/>
        <v>0</v>
      </c>
      <c r="P235" s="884">
        <f t="shared" si="81"/>
        <v>0</v>
      </c>
      <c r="Q235" s="885">
        <f t="shared" si="82"/>
        <v>0</v>
      </c>
      <c r="R235" s="874">
        <f t="shared" si="83"/>
        <v>0</v>
      </c>
      <c r="S235" s="882">
        <f t="shared" si="67"/>
        <v>0</v>
      </c>
      <c r="T235" s="884">
        <f t="shared" si="68"/>
        <v>0</v>
      </c>
      <c r="U235" s="885">
        <f t="shared" si="69"/>
        <v>0</v>
      </c>
      <c r="V235" s="884">
        <f t="shared" si="70"/>
        <v>0</v>
      </c>
      <c r="W235" s="885">
        <f t="shared" si="84"/>
        <v>0</v>
      </c>
      <c r="X235" s="884">
        <f t="shared" si="71"/>
        <v>0</v>
      </c>
      <c r="Y235" s="885">
        <f t="shared" si="85"/>
        <v>0</v>
      </c>
      <c r="Z235" s="884">
        <f t="shared" si="86"/>
        <v>0</v>
      </c>
      <c r="AA235" s="885">
        <f t="shared" si="87"/>
        <v>0</v>
      </c>
      <c r="AB235" s="884">
        <f t="shared" si="72"/>
        <v>0</v>
      </c>
      <c r="AC235" s="885">
        <f t="shared" si="73"/>
        <v>0</v>
      </c>
      <c r="AD235" s="884">
        <f t="shared" si="88"/>
        <v>0</v>
      </c>
      <c r="AE235" s="885">
        <f t="shared" si="74"/>
        <v>0</v>
      </c>
      <c r="AF235" s="884">
        <f t="shared" si="89"/>
        <v>0</v>
      </c>
      <c r="AG235" s="885">
        <f t="shared" si="90"/>
        <v>0</v>
      </c>
      <c r="AH235" s="884">
        <f t="shared" si="91"/>
        <v>0</v>
      </c>
      <c r="AI235" s="888">
        <f t="shared" si="92"/>
        <v>0</v>
      </c>
    </row>
    <row r="236" spans="1:35" x14ac:dyDescent="0.25">
      <c r="A236" s="910">
        <v>12</v>
      </c>
      <c r="B236" s="887">
        <f t="shared" si="59"/>
        <v>0</v>
      </c>
      <c r="C236" s="885">
        <f t="shared" si="60"/>
        <v>0</v>
      </c>
      <c r="D236" s="884">
        <f t="shared" si="61"/>
        <v>0</v>
      </c>
      <c r="E236" s="885">
        <f t="shared" si="62"/>
        <v>0</v>
      </c>
      <c r="F236" s="884">
        <f t="shared" si="75"/>
        <v>0</v>
      </c>
      <c r="G236" s="885">
        <f t="shared" si="63"/>
        <v>0</v>
      </c>
      <c r="H236" s="884">
        <f t="shared" si="76"/>
        <v>0</v>
      </c>
      <c r="I236" s="885">
        <f t="shared" si="77"/>
        <v>0</v>
      </c>
      <c r="J236" s="884">
        <f t="shared" si="78"/>
        <v>0</v>
      </c>
      <c r="K236" s="885">
        <f t="shared" si="64"/>
        <v>0</v>
      </c>
      <c r="L236" s="884">
        <f t="shared" si="65"/>
        <v>0</v>
      </c>
      <c r="M236" s="885">
        <f t="shared" si="79"/>
        <v>0</v>
      </c>
      <c r="N236" s="884">
        <f t="shared" si="66"/>
        <v>0</v>
      </c>
      <c r="O236" s="885">
        <f t="shared" si="80"/>
        <v>0</v>
      </c>
      <c r="P236" s="884">
        <f t="shared" si="81"/>
        <v>0</v>
      </c>
      <c r="Q236" s="885">
        <f t="shared" si="82"/>
        <v>0</v>
      </c>
      <c r="R236" s="874">
        <f t="shared" si="83"/>
        <v>0</v>
      </c>
      <c r="S236" s="882">
        <f t="shared" si="67"/>
        <v>0</v>
      </c>
      <c r="T236" s="884">
        <f t="shared" si="68"/>
        <v>0</v>
      </c>
      <c r="U236" s="885">
        <f t="shared" si="69"/>
        <v>0</v>
      </c>
      <c r="V236" s="884">
        <f t="shared" si="70"/>
        <v>0</v>
      </c>
      <c r="W236" s="885">
        <f t="shared" si="84"/>
        <v>0</v>
      </c>
      <c r="X236" s="884">
        <f t="shared" si="71"/>
        <v>0</v>
      </c>
      <c r="Y236" s="885">
        <f t="shared" si="85"/>
        <v>0</v>
      </c>
      <c r="Z236" s="884">
        <f t="shared" si="86"/>
        <v>0</v>
      </c>
      <c r="AA236" s="885">
        <f t="shared" si="87"/>
        <v>0</v>
      </c>
      <c r="AB236" s="884">
        <f t="shared" si="72"/>
        <v>0</v>
      </c>
      <c r="AC236" s="885">
        <f t="shared" si="73"/>
        <v>0</v>
      </c>
      <c r="AD236" s="884">
        <f t="shared" si="88"/>
        <v>0</v>
      </c>
      <c r="AE236" s="885">
        <f t="shared" si="74"/>
        <v>0</v>
      </c>
      <c r="AF236" s="884">
        <f t="shared" si="89"/>
        <v>0</v>
      </c>
      <c r="AG236" s="885">
        <f t="shared" si="90"/>
        <v>0</v>
      </c>
      <c r="AH236" s="884">
        <f t="shared" si="91"/>
        <v>0</v>
      </c>
      <c r="AI236" s="888">
        <f t="shared" si="92"/>
        <v>0</v>
      </c>
    </row>
    <row r="237" spans="1:35" x14ac:dyDescent="0.25">
      <c r="A237" s="910">
        <v>13</v>
      </c>
      <c r="B237" s="887">
        <f t="shared" si="59"/>
        <v>0</v>
      </c>
      <c r="C237" s="885">
        <f t="shared" si="60"/>
        <v>0</v>
      </c>
      <c r="D237" s="884">
        <f t="shared" si="61"/>
        <v>0</v>
      </c>
      <c r="E237" s="885">
        <f t="shared" si="62"/>
        <v>0</v>
      </c>
      <c r="F237" s="884">
        <f t="shared" si="75"/>
        <v>0</v>
      </c>
      <c r="G237" s="885">
        <f t="shared" si="63"/>
        <v>0</v>
      </c>
      <c r="H237" s="884">
        <f t="shared" si="76"/>
        <v>0</v>
      </c>
      <c r="I237" s="885">
        <f t="shared" si="77"/>
        <v>0</v>
      </c>
      <c r="J237" s="884">
        <f t="shared" si="78"/>
        <v>0</v>
      </c>
      <c r="K237" s="885">
        <f t="shared" si="64"/>
        <v>0</v>
      </c>
      <c r="L237" s="884">
        <f t="shared" si="65"/>
        <v>0</v>
      </c>
      <c r="M237" s="885">
        <f t="shared" si="79"/>
        <v>0</v>
      </c>
      <c r="N237" s="884">
        <f t="shared" si="66"/>
        <v>0</v>
      </c>
      <c r="O237" s="885">
        <f t="shared" si="80"/>
        <v>0</v>
      </c>
      <c r="P237" s="884">
        <f t="shared" si="81"/>
        <v>0</v>
      </c>
      <c r="Q237" s="885">
        <f t="shared" si="82"/>
        <v>0</v>
      </c>
      <c r="R237" s="874">
        <f t="shared" si="83"/>
        <v>0</v>
      </c>
      <c r="S237" s="882">
        <f t="shared" si="67"/>
        <v>0</v>
      </c>
      <c r="T237" s="884">
        <f t="shared" si="68"/>
        <v>0</v>
      </c>
      <c r="U237" s="885">
        <f t="shared" si="69"/>
        <v>0</v>
      </c>
      <c r="V237" s="884">
        <f t="shared" si="70"/>
        <v>0</v>
      </c>
      <c r="W237" s="885">
        <f t="shared" si="84"/>
        <v>0</v>
      </c>
      <c r="X237" s="884">
        <f t="shared" si="71"/>
        <v>0</v>
      </c>
      <c r="Y237" s="885">
        <f t="shared" si="85"/>
        <v>0</v>
      </c>
      <c r="Z237" s="884">
        <f t="shared" si="86"/>
        <v>0</v>
      </c>
      <c r="AA237" s="885">
        <f t="shared" si="87"/>
        <v>0</v>
      </c>
      <c r="AB237" s="884">
        <f t="shared" si="72"/>
        <v>0</v>
      </c>
      <c r="AC237" s="885">
        <f t="shared" si="73"/>
        <v>0</v>
      </c>
      <c r="AD237" s="884">
        <f t="shared" si="88"/>
        <v>0</v>
      </c>
      <c r="AE237" s="885">
        <f t="shared" si="74"/>
        <v>0</v>
      </c>
      <c r="AF237" s="884">
        <f t="shared" si="89"/>
        <v>0</v>
      </c>
      <c r="AG237" s="885">
        <f t="shared" si="90"/>
        <v>0</v>
      </c>
      <c r="AH237" s="884">
        <f t="shared" si="91"/>
        <v>0</v>
      </c>
      <c r="AI237" s="888">
        <f t="shared" si="92"/>
        <v>0</v>
      </c>
    </row>
    <row r="238" spans="1:35" x14ac:dyDescent="0.25">
      <c r="A238" s="910">
        <v>14</v>
      </c>
      <c r="B238" s="887">
        <f t="shared" si="59"/>
        <v>0</v>
      </c>
      <c r="C238" s="885">
        <f t="shared" si="60"/>
        <v>0</v>
      </c>
      <c r="D238" s="884">
        <f t="shared" si="61"/>
        <v>0</v>
      </c>
      <c r="E238" s="885">
        <f t="shared" si="62"/>
        <v>0</v>
      </c>
      <c r="F238" s="884">
        <f t="shared" si="75"/>
        <v>0</v>
      </c>
      <c r="G238" s="885">
        <f t="shared" si="63"/>
        <v>0</v>
      </c>
      <c r="H238" s="884">
        <f t="shared" si="76"/>
        <v>0</v>
      </c>
      <c r="I238" s="885">
        <f t="shared" si="77"/>
        <v>0</v>
      </c>
      <c r="J238" s="884">
        <f t="shared" si="78"/>
        <v>0</v>
      </c>
      <c r="K238" s="885">
        <f t="shared" si="64"/>
        <v>0</v>
      </c>
      <c r="L238" s="884">
        <f t="shared" si="65"/>
        <v>0</v>
      </c>
      <c r="M238" s="885">
        <f t="shared" si="79"/>
        <v>0</v>
      </c>
      <c r="N238" s="884">
        <f t="shared" si="66"/>
        <v>0</v>
      </c>
      <c r="O238" s="885">
        <f t="shared" si="80"/>
        <v>0</v>
      </c>
      <c r="P238" s="884">
        <f t="shared" si="81"/>
        <v>0</v>
      </c>
      <c r="Q238" s="885">
        <f t="shared" si="82"/>
        <v>0</v>
      </c>
      <c r="R238" s="874">
        <f t="shared" si="83"/>
        <v>0</v>
      </c>
      <c r="S238" s="882">
        <f t="shared" si="67"/>
        <v>0</v>
      </c>
      <c r="T238" s="884">
        <f t="shared" si="68"/>
        <v>0</v>
      </c>
      <c r="U238" s="885">
        <f t="shared" si="69"/>
        <v>0</v>
      </c>
      <c r="V238" s="884">
        <f t="shared" si="70"/>
        <v>0</v>
      </c>
      <c r="W238" s="885">
        <f t="shared" si="84"/>
        <v>0</v>
      </c>
      <c r="X238" s="884">
        <f t="shared" si="71"/>
        <v>0</v>
      </c>
      <c r="Y238" s="885">
        <f t="shared" si="85"/>
        <v>0</v>
      </c>
      <c r="Z238" s="884">
        <f t="shared" si="86"/>
        <v>0</v>
      </c>
      <c r="AA238" s="885">
        <f t="shared" si="87"/>
        <v>0</v>
      </c>
      <c r="AB238" s="884">
        <f t="shared" si="72"/>
        <v>0</v>
      </c>
      <c r="AC238" s="885">
        <f t="shared" si="73"/>
        <v>0</v>
      </c>
      <c r="AD238" s="884">
        <f t="shared" si="88"/>
        <v>0</v>
      </c>
      <c r="AE238" s="885">
        <f t="shared" si="74"/>
        <v>0</v>
      </c>
      <c r="AF238" s="884">
        <f t="shared" si="89"/>
        <v>0</v>
      </c>
      <c r="AG238" s="885">
        <f t="shared" si="90"/>
        <v>0</v>
      </c>
      <c r="AH238" s="884">
        <f t="shared" si="91"/>
        <v>0</v>
      </c>
      <c r="AI238" s="888">
        <f t="shared" si="92"/>
        <v>0</v>
      </c>
    </row>
    <row r="239" spans="1:35" x14ac:dyDescent="0.25">
      <c r="A239" s="910">
        <v>15</v>
      </c>
      <c r="B239" s="887">
        <f t="shared" si="59"/>
        <v>0</v>
      </c>
      <c r="C239" s="885">
        <f t="shared" si="60"/>
        <v>0</v>
      </c>
      <c r="D239" s="884">
        <f t="shared" si="61"/>
        <v>0</v>
      </c>
      <c r="E239" s="885">
        <f t="shared" si="62"/>
        <v>0</v>
      </c>
      <c r="F239" s="884">
        <f t="shared" si="75"/>
        <v>0</v>
      </c>
      <c r="G239" s="885">
        <f t="shared" si="63"/>
        <v>0</v>
      </c>
      <c r="H239" s="884">
        <f t="shared" si="76"/>
        <v>0</v>
      </c>
      <c r="I239" s="885">
        <f t="shared" si="77"/>
        <v>0</v>
      </c>
      <c r="J239" s="884">
        <f t="shared" si="78"/>
        <v>0</v>
      </c>
      <c r="K239" s="885">
        <f t="shared" si="64"/>
        <v>0</v>
      </c>
      <c r="L239" s="884">
        <f t="shared" si="65"/>
        <v>0</v>
      </c>
      <c r="M239" s="885">
        <f t="shared" si="79"/>
        <v>0</v>
      </c>
      <c r="N239" s="884">
        <f t="shared" si="66"/>
        <v>0</v>
      </c>
      <c r="O239" s="885">
        <f t="shared" si="80"/>
        <v>0</v>
      </c>
      <c r="P239" s="884">
        <f t="shared" si="81"/>
        <v>0</v>
      </c>
      <c r="Q239" s="885">
        <f t="shared" si="82"/>
        <v>0</v>
      </c>
      <c r="R239" s="874">
        <f t="shared" si="83"/>
        <v>0</v>
      </c>
      <c r="S239" s="882">
        <f t="shared" si="67"/>
        <v>0</v>
      </c>
      <c r="T239" s="884">
        <f t="shared" si="68"/>
        <v>0</v>
      </c>
      <c r="U239" s="885">
        <f t="shared" si="69"/>
        <v>0</v>
      </c>
      <c r="V239" s="884">
        <f t="shared" si="70"/>
        <v>0</v>
      </c>
      <c r="W239" s="885">
        <f t="shared" si="84"/>
        <v>0</v>
      </c>
      <c r="X239" s="884">
        <f t="shared" si="71"/>
        <v>0</v>
      </c>
      <c r="Y239" s="885">
        <f t="shared" si="85"/>
        <v>0</v>
      </c>
      <c r="Z239" s="884">
        <f t="shared" si="86"/>
        <v>0</v>
      </c>
      <c r="AA239" s="885">
        <f t="shared" si="87"/>
        <v>0</v>
      </c>
      <c r="AB239" s="884">
        <f t="shared" si="72"/>
        <v>0</v>
      </c>
      <c r="AC239" s="885">
        <f t="shared" si="73"/>
        <v>0</v>
      </c>
      <c r="AD239" s="884">
        <f t="shared" si="88"/>
        <v>0</v>
      </c>
      <c r="AE239" s="885">
        <f t="shared" si="74"/>
        <v>0</v>
      </c>
      <c r="AF239" s="884">
        <f t="shared" si="89"/>
        <v>0</v>
      </c>
      <c r="AG239" s="885">
        <f t="shared" si="90"/>
        <v>0</v>
      </c>
      <c r="AH239" s="884">
        <f t="shared" si="91"/>
        <v>0</v>
      </c>
      <c r="AI239" s="888">
        <f t="shared" si="92"/>
        <v>0</v>
      </c>
    </row>
    <row r="240" spans="1:35" x14ac:dyDescent="0.25">
      <c r="A240" s="910">
        <v>16</v>
      </c>
      <c r="B240" s="887">
        <f t="shared" si="59"/>
        <v>0</v>
      </c>
      <c r="C240" s="885">
        <f t="shared" si="60"/>
        <v>0</v>
      </c>
      <c r="D240" s="884">
        <f t="shared" si="61"/>
        <v>0</v>
      </c>
      <c r="E240" s="885">
        <f t="shared" si="62"/>
        <v>0</v>
      </c>
      <c r="F240" s="884">
        <f t="shared" si="75"/>
        <v>0</v>
      </c>
      <c r="G240" s="885">
        <f t="shared" si="63"/>
        <v>0</v>
      </c>
      <c r="H240" s="884">
        <f t="shared" si="76"/>
        <v>0</v>
      </c>
      <c r="I240" s="885">
        <f t="shared" si="77"/>
        <v>0</v>
      </c>
      <c r="J240" s="884">
        <f t="shared" si="78"/>
        <v>0</v>
      </c>
      <c r="K240" s="885">
        <f t="shared" si="64"/>
        <v>0</v>
      </c>
      <c r="L240" s="884">
        <f t="shared" si="65"/>
        <v>0</v>
      </c>
      <c r="M240" s="885">
        <f t="shared" si="79"/>
        <v>0</v>
      </c>
      <c r="N240" s="884">
        <f t="shared" si="66"/>
        <v>0</v>
      </c>
      <c r="O240" s="885">
        <f t="shared" si="80"/>
        <v>0</v>
      </c>
      <c r="P240" s="884">
        <f t="shared" si="81"/>
        <v>0</v>
      </c>
      <c r="Q240" s="885">
        <f t="shared" si="82"/>
        <v>0</v>
      </c>
      <c r="R240" s="874">
        <f t="shared" si="83"/>
        <v>0</v>
      </c>
      <c r="S240" s="882">
        <f t="shared" si="67"/>
        <v>0</v>
      </c>
      <c r="T240" s="884">
        <f t="shared" si="68"/>
        <v>0</v>
      </c>
      <c r="U240" s="885">
        <f t="shared" si="69"/>
        <v>0</v>
      </c>
      <c r="V240" s="884">
        <f t="shared" si="70"/>
        <v>0</v>
      </c>
      <c r="W240" s="885">
        <f t="shared" si="84"/>
        <v>0</v>
      </c>
      <c r="X240" s="884">
        <f t="shared" si="71"/>
        <v>0</v>
      </c>
      <c r="Y240" s="885">
        <f t="shared" si="85"/>
        <v>0</v>
      </c>
      <c r="Z240" s="884">
        <f t="shared" si="86"/>
        <v>0</v>
      </c>
      <c r="AA240" s="885">
        <f t="shared" si="87"/>
        <v>0</v>
      </c>
      <c r="AB240" s="884">
        <f t="shared" si="72"/>
        <v>0</v>
      </c>
      <c r="AC240" s="885">
        <f t="shared" si="73"/>
        <v>0</v>
      </c>
      <c r="AD240" s="884">
        <f t="shared" si="88"/>
        <v>0</v>
      </c>
      <c r="AE240" s="885">
        <f t="shared" si="74"/>
        <v>0</v>
      </c>
      <c r="AF240" s="884">
        <f t="shared" si="89"/>
        <v>0</v>
      </c>
      <c r="AG240" s="885">
        <f t="shared" si="90"/>
        <v>0</v>
      </c>
      <c r="AH240" s="884">
        <f t="shared" si="91"/>
        <v>0</v>
      </c>
      <c r="AI240" s="888">
        <f t="shared" si="92"/>
        <v>0</v>
      </c>
    </row>
    <row r="241" spans="1:35" x14ac:dyDescent="0.25">
      <c r="A241" s="910">
        <v>17</v>
      </c>
      <c r="B241" s="887">
        <f t="shared" si="59"/>
        <v>0</v>
      </c>
      <c r="C241" s="885">
        <f t="shared" si="60"/>
        <v>0</v>
      </c>
      <c r="D241" s="884">
        <f t="shared" si="61"/>
        <v>0</v>
      </c>
      <c r="E241" s="885">
        <f t="shared" si="62"/>
        <v>0</v>
      </c>
      <c r="F241" s="884">
        <f t="shared" si="75"/>
        <v>0</v>
      </c>
      <c r="G241" s="885">
        <f t="shared" si="63"/>
        <v>0</v>
      </c>
      <c r="H241" s="884">
        <f t="shared" si="76"/>
        <v>0</v>
      </c>
      <c r="I241" s="885">
        <f t="shared" si="77"/>
        <v>0</v>
      </c>
      <c r="J241" s="884">
        <f t="shared" si="78"/>
        <v>0</v>
      </c>
      <c r="K241" s="885">
        <f t="shared" si="64"/>
        <v>0</v>
      </c>
      <c r="L241" s="884">
        <f t="shared" si="65"/>
        <v>0</v>
      </c>
      <c r="M241" s="885">
        <f t="shared" si="79"/>
        <v>0</v>
      </c>
      <c r="N241" s="884">
        <f t="shared" si="66"/>
        <v>0</v>
      </c>
      <c r="O241" s="885">
        <f t="shared" si="80"/>
        <v>0</v>
      </c>
      <c r="P241" s="884">
        <f t="shared" si="81"/>
        <v>0</v>
      </c>
      <c r="Q241" s="885">
        <f t="shared" si="82"/>
        <v>0</v>
      </c>
      <c r="R241" s="874">
        <f t="shared" si="83"/>
        <v>0</v>
      </c>
      <c r="S241" s="882">
        <f t="shared" si="67"/>
        <v>0</v>
      </c>
      <c r="T241" s="884">
        <f t="shared" si="68"/>
        <v>0</v>
      </c>
      <c r="U241" s="885">
        <f t="shared" si="69"/>
        <v>0</v>
      </c>
      <c r="V241" s="884">
        <f t="shared" si="70"/>
        <v>0</v>
      </c>
      <c r="W241" s="885">
        <f t="shared" si="84"/>
        <v>0</v>
      </c>
      <c r="X241" s="884">
        <f t="shared" si="71"/>
        <v>0</v>
      </c>
      <c r="Y241" s="885">
        <f t="shared" si="85"/>
        <v>0</v>
      </c>
      <c r="Z241" s="884">
        <f t="shared" si="86"/>
        <v>0</v>
      </c>
      <c r="AA241" s="885">
        <f t="shared" si="87"/>
        <v>0</v>
      </c>
      <c r="AB241" s="884">
        <f t="shared" si="72"/>
        <v>0</v>
      </c>
      <c r="AC241" s="885">
        <f t="shared" si="73"/>
        <v>0</v>
      </c>
      <c r="AD241" s="884">
        <f t="shared" si="88"/>
        <v>0</v>
      </c>
      <c r="AE241" s="885">
        <f t="shared" si="74"/>
        <v>0</v>
      </c>
      <c r="AF241" s="884">
        <f t="shared" si="89"/>
        <v>0</v>
      </c>
      <c r="AG241" s="885">
        <f t="shared" si="90"/>
        <v>0</v>
      </c>
      <c r="AH241" s="884">
        <f t="shared" si="91"/>
        <v>0</v>
      </c>
      <c r="AI241" s="888">
        <f t="shared" si="92"/>
        <v>0</v>
      </c>
    </row>
    <row r="242" spans="1:35" x14ac:dyDescent="0.25">
      <c r="A242" s="910">
        <v>18</v>
      </c>
      <c r="B242" s="887">
        <f t="shared" si="59"/>
        <v>0</v>
      </c>
      <c r="C242" s="885">
        <f t="shared" si="60"/>
        <v>0</v>
      </c>
      <c r="D242" s="884">
        <f t="shared" si="61"/>
        <v>0</v>
      </c>
      <c r="E242" s="885">
        <f t="shared" si="62"/>
        <v>0</v>
      </c>
      <c r="F242" s="884">
        <f t="shared" si="75"/>
        <v>0</v>
      </c>
      <c r="G242" s="885">
        <f t="shared" si="63"/>
        <v>0</v>
      </c>
      <c r="H242" s="884">
        <f t="shared" si="76"/>
        <v>0</v>
      </c>
      <c r="I242" s="885">
        <f t="shared" si="77"/>
        <v>0</v>
      </c>
      <c r="J242" s="884">
        <f t="shared" si="78"/>
        <v>0</v>
      </c>
      <c r="K242" s="885">
        <f t="shared" si="64"/>
        <v>0</v>
      </c>
      <c r="L242" s="884">
        <f t="shared" si="65"/>
        <v>0</v>
      </c>
      <c r="M242" s="885">
        <f t="shared" si="79"/>
        <v>0</v>
      </c>
      <c r="N242" s="884">
        <f t="shared" si="66"/>
        <v>0</v>
      </c>
      <c r="O242" s="885">
        <f t="shared" si="80"/>
        <v>0</v>
      </c>
      <c r="P242" s="884">
        <f t="shared" si="81"/>
        <v>0</v>
      </c>
      <c r="Q242" s="885">
        <f t="shared" si="82"/>
        <v>0</v>
      </c>
      <c r="R242" s="874">
        <f t="shared" si="83"/>
        <v>0</v>
      </c>
      <c r="S242" s="882">
        <f t="shared" si="67"/>
        <v>0</v>
      </c>
      <c r="T242" s="884">
        <f t="shared" si="68"/>
        <v>0</v>
      </c>
      <c r="U242" s="885">
        <f t="shared" si="69"/>
        <v>0</v>
      </c>
      <c r="V242" s="884">
        <f t="shared" si="70"/>
        <v>0</v>
      </c>
      <c r="W242" s="885">
        <f t="shared" si="84"/>
        <v>0</v>
      </c>
      <c r="X242" s="884">
        <f t="shared" si="71"/>
        <v>0</v>
      </c>
      <c r="Y242" s="885">
        <f t="shared" si="85"/>
        <v>0</v>
      </c>
      <c r="Z242" s="884">
        <f t="shared" si="86"/>
        <v>0</v>
      </c>
      <c r="AA242" s="885">
        <f t="shared" si="87"/>
        <v>0</v>
      </c>
      <c r="AB242" s="884">
        <f t="shared" si="72"/>
        <v>0</v>
      </c>
      <c r="AC242" s="885">
        <f t="shared" si="73"/>
        <v>0</v>
      </c>
      <c r="AD242" s="884">
        <f t="shared" si="88"/>
        <v>0</v>
      </c>
      <c r="AE242" s="885">
        <f t="shared" si="74"/>
        <v>0</v>
      </c>
      <c r="AF242" s="884">
        <f t="shared" si="89"/>
        <v>0</v>
      </c>
      <c r="AG242" s="885">
        <f t="shared" si="90"/>
        <v>0</v>
      </c>
      <c r="AH242" s="884">
        <f t="shared" si="91"/>
        <v>0</v>
      </c>
      <c r="AI242" s="888">
        <f t="shared" si="92"/>
        <v>0</v>
      </c>
    </row>
    <row r="243" spans="1:35" x14ac:dyDescent="0.25">
      <c r="A243" s="910">
        <v>19</v>
      </c>
      <c r="B243" s="887">
        <f t="shared" si="59"/>
        <v>0</v>
      </c>
      <c r="C243" s="885">
        <f t="shared" si="60"/>
        <v>0</v>
      </c>
      <c r="D243" s="884">
        <f t="shared" si="61"/>
        <v>0</v>
      </c>
      <c r="E243" s="885">
        <f t="shared" si="62"/>
        <v>0</v>
      </c>
      <c r="F243" s="884">
        <f t="shared" si="75"/>
        <v>0</v>
      </c>
      <c r="G243" s="885">
        <f t="shared" si="63"/>
        <v>0</v>
      </c>
      <c r="H243" s="884">
        <f t="shared" si="76"/>
        <v>0</v>
      </c>
      <c r="I243" s="885">
        <f t="shared" si="77"/>
        <v>0</v>
      </c>
      <c r="J243" s="884">
        <f t="shared" si="78"/>
        <v>0</v>
      </c>
      <c r="K243" s="885">
        <f t="shared" si="64"/>
        <v>0</v>
      </c>
      <c r="L243" s="884">
        <f t="shared" si="65"/>
        <v>0</v>
      </c>
      <c r="M243" s="885">
        <f t="shared" si="79"/>
        <v>0</v>
      </c>
      <c r="N243" s="884">
        <f t="shared" si="66"/>
        <v>0</v>
      </c>
      <c r="O243" s="885">
        <f t="shared" si="80"/>
        <v>0</v>
      </c>
      <c r="P243" s="884">
        <f t="shared" si="81"/>
        <v>0</v>
      </c>
      <c r="Q243" s="885">
        <f t="shared" si="82"/>
        <v>0</v>
      </c>
      <c r="R243" s="874">
        <f t="shared" si="83"/>
        <v>0</v>
      </c>
      <c r="S243" s="882">
        <f t="shared" si="67"/>
        <v>0</v>
      </c>
      <c r="T243" s="884">
        <f t="shared" si="68"/>
        <v>0</v>
      </c>
      <c r="U243" s="885">
        <f t="shared" si="69"/>
        <v>0</v>
      </c>
      <c r="V243" s="884">
        <f t="shared" si="70"/>
        <v>0</v>
      </c>
      <c r="W243" s="885">
        <f t="shared" si="84"/>
        <v>0</v>
      </c>
      <c r="X243" s="884">
        <f t="shared" si="71"/>
        <v>0</v>
      </c>
      <c r="Y243" s="885">
        <f t="shared" si="85"/>
        <v>0</v>
      </c>
      <c r="Z243" s="884">
        <f t="shared" si="86"/>
        <v>0</v>
      </c>
      <c r="AA243" s="885">
        <f t="shared" si="87"/>
        <v>0</v>
      </c>
      <c r="AB243" s="884">
        <f t="shared" si="72"/>
        <v>0</v>
      </c>
      <c r="AC243" s="885">
        <f t="shared" si="73"/>
        <v>0</v>
      </c>
      <c r="AD243" s="884">
        <f t="shared" si="88"/>
        <v>0</v>
      </c>
      <c r="AE243" s="885">
        <f t="shared" si="74"/>
        <v>0</v>
      </c>
      <c r="AF243" s="884">
        <f t="shared" si="89"/>
        <v>0</v>
      </c>
      <c r="AG243" s="885">
        <f t="shared" si="90"/>
        <v>0</v>
      </c>
      <c r="AH243" s="884">
        <f t="shared" si="91"/>
        <v>0</v>
      </c>
      <c r="AI243" s="888">
        <f t="shared" si="92"/>
        <v>0</v>
      </c>
    </row>
    <row r="244" spans="1:35" x14ac:dyDescent="0.25">
      <c r="A244" s="910">
        <v>20</v>
      </c>
      <c r="B244" s="887">
        <f t="shared" si="59"/>
        <v>0</v>
      </c>
      <c r="C244" s="885">
        <f t="shared" si="60"/>
        <v>0</v>
      </c>
      <c r="D244" s="884">
        <f t="shared" si="61"/>
        <v>0</v>
      </c>
      <c r="E244" s="885">
        <f t="shared" si="62"/>
        <v>0</v>
      </c>
      <c r="F244" s="884">
        <f t="shared" si="75"/>
        <v>0</v>
      </c>
      <c r="G244" s="885">
        <f t="shared" si="63"/>
        <v>0</v>
      </c>
      <c r="H244" s="884">
        <f t="shared" si="76"/>
        <v>0</v>
      </c>
      <c r="I244" s="885">
        <f t="shared" si="77"/>
        <v>0</v>
      </c>
      <c r="J244" s="884">
        <f t="shared" si="78"/>
        <v>0</v>
      </c>
      <c r="K244" s="885">
        <f t="shared" si="64"/>
        <v>0</v>
      </c>
      <c r="L244" s="884">
        <f t="shared" si="65"/>
        <v>0</v>
      </c>
      <c r="M244" s="885">
        <f t="shared" si="79"/>
        <v>0</v>
      </c>
      <c r="N244" s="884">
        <f t="shared" si="66"/>
        <v>0</v>
      </c>
      <c r="O244" s="885">
        <f t="shared" si="80"/>
        <v>0</v>
      </c>
      <c r="P244" s="884">
        <f t="shared" si="81"/>
        <v>0</v>
      </c>
      <c r="Q244" s="885">
        <f t="shared" si="82"/>
        <v>0</v>
      </c>
      <c r="R244" s="874">
        <f t="shared" si="83"/>
        <v>0</v>
      </c>
      <c r="S244" s="882">
        <f t="shared" si="67"/>
        <v>0</v>
      </c>
      <c r="T244" s="884">
        <f t="shared" si="68"/>
        <v>0</v>
      </c>
      <c r="U244" s="885">
        <f t="shared" si="69"/>
        <v>0</v>
      </c>
      <c r="V244" s="884">
        <f t="shared" si="70"/>
        <v>0</v>
      </c>
      <c r="W244" s="885">
        <f t="shared" si="84"/>
        <v>0</v>
      </c>
      <c r="X244" s="884">
        <f t="shared" si="71"/>
        <v>0</v>
      </c>
      <c r="Y244" s="885">
        <f t="shared" si="85"/>
        <v>0</v>
      </c>
      <c r="Z244" s="884">
        <f t="shared" si="86"/>
        <v>0</v>
      </c>
      <c r="AA244" s="885">
        <f t="shared" si="87"/>
        <v>0</v>
      </c>
      <c r="AB244" s="884">
        <f t="shared" si="72"/>
        <v>0</v>
      </c>
      <c r="AC244" s="885">
        <f t="shared" si="73"/>
        <v>0</v>
      </c>
      <c r="AD244" s="884">
        <f t="shared" si="88"/>
        <v>0</v>
      </c>
      <c r="AE244" s="885">
        <f t="shared" si="74"/>
        <v>0</v>
      </c>
      <c r="AF244" s="884">
        <f t="shared" si="89"/>
        <v>0</v>
      </c>
      <c r="AG244" s="885">
        <f t="shared" si="90"/>
        <v>0</v>
      </c>
      <c r="AH244" s="884">
        <f t="shared" si="91"/>
        <v>0</v>
      </c>
      <c r="AI244" s="888">
        <f t="shared" si="92"/>
        <v>0</v>
      </c>
    </row>
    <row r="245" spans="1:35" x14ac:dyDescent="0.25">
      <c r="A245" s="910">
        <v>21</v>
      </c>
      <c r="B245" s="887">
        <f t="shared" si="59"/>
        <v>0</v>
      </c>
      <c r="C245" s="885">
        <f t="shared" si="60"/>
        <v>0</v>
      </c>
      <c r="D245" s="884">
        <f t="shared" si="61"/>
        <v>0</v>
      </c>
      <c r="E245" s="885">
        <f t="shared" si="62"/>
        <v>0</v>
      </c>
      <c r="F245" s="884">
        <f t="shared" si="75"/>
        <v>0</v>
      </c>
      <c r="G245" s="885">
        <f t="shared" si="63"/>
        <v>0</v>
      </c>
      <c r="H245" s="884">
        <f t="shared" si="76"/>
        <v>0</v>
      </c>
      <c r="I245" s="885">
        <f t="shared" si="77"/>
        <v>0</v>
      </c>
      <c r="J245" s="884">
        <f t="shared" si="78"/>
        <v>0</v>
      </c>
      <c r="K245" s="885">
        <f t="shared" si="64"/>
        <v>0</v>
      </c>
      <c r="L245" s="884">
        <f t="shared" si="65"/>
        <v>0</v>
      </c>
      <c r="M245" s="885">
        <f t="shared" si="79"/>
        <v>0</v>
      </c>
      <c r="N245" s="884">
        <f t="shared" si="66"/>
        <v>0</v>
      </c>
      <c r="O245" s="885">
        <f t="shared" si="80"/>
        <v>0</v>
      </c>
      <c r="P245" s="884">
        <f t="shared" si="81"/>
        <v>0</v>
      </c>
      <c r="Q245" s="885">
        <f t="shared" si="82"/>
        <v>0</v>
      </c>
      <c r="R245" s="874">
        <f t="shared" si="83"/>
        <v>0</v>
      </c>
      <c r="S245" s="882">
        <f t="shared" si="67"/>
        <v>0</v>
      </c>
      <c r="T245" s="884">
        <f t="shared" si="68"/>
        <v>0</v>
      </c>
      <c r="U245" s="885">
        <f t="shared" si="69"/>
        <v>0</v>
      </c>
      <c r="V245" s="884">
        <f t="shared" si="70"/>
        <v>0</v>
      </c>
      <c r="W245" s="885">
        <f t="shared" si="84"/>
        <v>0</v>
      </c>
      <c r="X245" s="884">
        <f t="shared" si="71"/>
        <v>0</v>
      </c>
      <c r="Y245" s="885">
        <f t="shared" si="85"/>
        <v>0</v>
      </c>
      <c r="Z245" s="884">
        <f t="shared" si="86"/>
        <v>0</v>
      </c>
      <c r="AA245" s="885">
        <f t="shared" si="87"/>
        <v>0</v>
      </c>
      <c r="AB245" s="884">
        <f t="shared" si="72"/>
        <v>0</v>
      </c>
      <c r="AC245" s="885">
        <f t="shared" si="73"/>
        <v>0</v>
      </c>
      <c r="AD245" s="884">
        <f t="shared" si="88"/>
        <v>0</v>
      </c>
      <c r="AE245" s="885">
        <f t="shared" si="74"/>
        <v>0</v>
      </c>
      <c r="AF245" s="884">
        <f t="shared" si="89"/>
        <v>0</v>
      </c>
      <c r="AG245" s="885">
        <f t="shared" si="90"/>
        <v>0</v>
      </c>
      <c r="AH245" s="884">
        <f t="shared" si="91"/>
        <v>0</v>
      </c>
      <c r="AI245" s="888">
        <f t="shared" si="92"/>
        <v>0</v>
      </c>
    </row>
    <row r="246" spans="1:35" x14ac:dyDescent="0.25">
      <c r="A246" s="910">
        <v>22</v>
      </c>
      <c r="B246" s="887">
        <f t="shared" si="59"/>
        <v>0</v>
      </c>
      <c r="C246" s="885">
        <f t="shared" si="60"/>
        <v>0</v>
      </c>
      <c r="D246" s="884">
        <f t="shared" si="61"/>
        <v>0</v>
      </c>
      <c r="E246" s="885">
        <f t="shared" si="62"/>
        <v>0</v>
      </c>
      <c r="F246" s="884">
        <f t="shared" si="75"/>
        <v>0</v>
      </c>
      <c r="G246" s="885">
        <f t="shared" si="63"/>
        <v>0</v>
      </c>
      <c r="H246" s="884">
        <f t="shared" si="76"/>
        <v>0</v>
      </c>
      <c r="I246" s="885">
        <f t="shared" si="77"/>
        <v>0</v>
      </c>
      <c r="J246" s="884">
        <f t="shared" si="78"/>
        <v>0</v>
      </c>
      <c r="K246" s="885">
        <f t="shared" si="64"/>
        <v>0</v>
      </c>
      <c r="L246" s="884">
        <f t="shared" si="65"/>
        <v>0</v>
      </c>
      <c r="M246" s="885">
        <f t="shared" si="79"/>
        <v>0</v>
      </c>
      <c r="N246" s="884">
        <f t="shared" si="66"/>
        <v>0</v>
      </c>
      <c r="O246" s="885">
        <f t="shared" si="80"/>
        <v>0</v>
      </c>
      <c r="P246" s="884">
        <f t="shared" si="81"/>
        <v>0</v>
      </c>
      <c r="Q246" s="885">
        <f t="shared" si="82"/>
        <v>0</v>
      </c>
      <c r="R246" s="874">
        <f t="shared" si="83"/>
        <v>0</v>
      </c>
      <c r="S246" s="882">
        <f t="shared" si="67"/>
        <v>0</v>
      </c>
      <c r="T246" s="884">
        <f t="shared" si="68"/>
        <v>0</v>
      </c>
      <c r="U246" s="885">
        <f t="shared" si="69"/>
        <v>0</v>
      </c>
      <c r="V246" s="884">
        <f t="shared" si="70"/>
        <v>0</v>
      </c>
      <c r="W246" s="885">
        <f t="shared" si="84"/>
        <v>0</v>
      </c>
      <c r="X246" s="884">
        <f t="shared" si="71"/>
        <v>0</v>
      </c>
      <c r="Y246" s="885">
        <f t="shared" si="85"/>
        <v>0</v>
      </c>
      <c r="Z246" s="884">
        <f t="shared" si="86"/>
        <v>0</v>
      </c>
      <c r="AA246" s="885">
        <f t="shared" si="87"/>
        <v>0</v>
      </c>
      <c r="AB246" s="884">
        <f t="shared" si="72"/>
        <v>0</v>
      </c>
      <c r="AC246" s="885">
        <f t="shared" si="73"/>
        <v>0</v>
      </c>
      <c r="AD246" s="884">
        <f t="shared" si="88"/>
        <v>0</v>
      </c>
      <c r="AE246" s="885">
        <f t="shared" si="74"/>
        <v>0</v>
      </c>
      <c r="AF246" s="884">
        <f t="shared" si="89"/>
        <v>0</v>
      </c>
      <c r="AG246" s="885">
        <f t="shared" si="90"/>
        <v>0</v>
      </c>
      <c r="AH246" s="884">
        <f t="shared" si="91"/>
        <v>0</v>
      </c>
      <c r="AI246" s="888">
        <f t="shared" si="92"/>
        <v>0</v>
      </c>
    </row>
    <row r="247" spans="1:35" x14ac:dyDescent="0.25">
      <c r="A247" s="910">
        <v>23</v>
      </c>
      <c r="B247" s="887">
        <f t="shared" si="59"/>
        <v>0</v>
      </c>
      <c r="C247" s="885">
        <f t="shared" si="60"/>
        <v>0</v>
      </c>
      <c r="D247" s="884">
        <f t="shared" si="61"/>
        <v>0</v>
      </c>
      <c r="E247" s="885">
        <f t="shared" si="62"/>
        <v>0</v>
      </c>
      <c r="F247" s="884">
        <f t="shared" si="75"/>
        <v>0</v>
      </c>
      <c r="G247" s="885">
        <f t="shared" si="63"/>
        <v>0</v>
      </c>
      <c r="H247" s="884">
        <f t="shared" si="76"/>
        <v>0</v>
      </c>
      <c r="I247" s="885">
        <f t="shared" si="77"/>
        <v>0</v>
      </c>
      <c r="J247" s="884">
        <f t="shared" si="78"/>
        <v>0</v>
      </c>
      <c r="K247" s="885">
        <f t="shared" si="64"/>
        <v>0</v>
      </c>
      <c r="L247" s="884">
        <f t="shared" si="65"/>
        <v>0</v>
      </c>
      <c r="M247" s="885">
        <f t="shared" si="79"/>
        <v>0</v>
      </c>
      <c r="N247" s="884">
        <f t="shared" si="66"/>
        <v>0</v>
      </c>
      <c r="O247" s="885">
        <f t="shared" si="80"/>
        <v>0</v>
      </c>
      <c r="P247" s="884">
        <f t="shared" si="81"/>
        <v>0</v>
      </c>
      <c r="Q247" s="885">
        <f t="shared" si="82"/>
        <v>0</v>
      </c>
      <c r="R247" s="874">
        <f t="shared" si="83"/>
        <v>0</v>
      </c>
      <c r="S247" s="882">
        <f t="shared" si="67"/>
        <v>0</v>
      </c>
      <c r="T247" s="884">
        <f t="shared" si="68"/>
        <v>0</v>
      </c>
      <c r="U247" s="885">
        <f t="shared" si="69"/>
        <v>0</v>
      </c>
      <c r="V247" s="884">
        <f t="shared" si="70"/>
        <v>0</v>
      </c>
      <c r="W247" s="885">
        <f t="shared" si="84"/>
        <v>0</v>
      </c>
      <c r="X247" s="884">
        <f t="shared" si="71"/>
        <v>0</v>
      </c>
      <c r="Y247" s="885">
        <f t="shared" si="85"/>
        <v>0</v>
      </c>
      <c r="Z247" s="884">
        <f t="shared" si="86"/>
        <v>0</v>
      </c>
      <c r="AA247" s="885">
        <f t="shared" si="87"/>
        <v>0</v>
      </c>
      <c r="AB247" s="884">
        <f t="shared" si="72"/>
        <v>0</v>
      </c>
      <c r="AC247" s="885">
        <f t="shared" si="73"/>
        <v>0</v>
      </c>
      <c r="AD247" s="884">
        <f t="shared" si="88"/>
        <v>0</v>
      </c>
      <c r="AE247" s="885">
        <f t="shared" si="74"/>
        <v>0</v>
      </c>
      <c r="AF247" s="884">
        <f t="shared" si="89"/>
        <v>0</v>
      </c>
      <c r="AG247" s="885">
        <f t="shared" si="90"/>
        <v>0</v>
      </c>
      <c r="AH247" s="884">
        <f t="shared" si="91"/>
        <v>0</v>
      </c>
      <c r="AI247" s="888">
        <f t="shared" si="92"/>
        <v>0</v>
      </c>
    </row>
    <row r="248" spans="1:35" x14ac:dyDescent="0.25">
      <c r="A248" s="910">
        <v>24</v>
      </c>
      <c r="B248" s="887">
        <f t="shared" si="59"/>
        <v>0</v>
      </c>
      <c r="C248" s="885">
        <f t="shared" si="60"/>
        <v>0</v>
      </c>
      <c r="D248" s="884">
        <f t="shared" si="61"/>
        <v>0</v>
      </c>
      <c r="E248" s="885">
        <f t="shared" si="62"/>
        <v>0</v>
      </c>
      <c r="F248" s="884">
        <f t="shared" si="75"/>
        <v>0</v>
      </c>
      <c r="G248" s="885">
        <f t="shared" si="63"/>
        <v>0</v>
      </c>
      <c r="H248" s="884">
        <f t="shared" si="76"/>
        <v>0</v>
      </c>
      <c r="I248" s="885">
        <f t="shared" si="77"/>
        <v>0</v>
      </c>
      <c r="J248" s="884">
        <f t="shared" si="78"/>
        <v>0</v>
      </c>
      <c r="K248" s="885">
        <f t="shared" si="64"/>
        <v>0</v>
      </c>
      <c r="L248" s="884">
        <f t="shared" si="65"/>
        <v>0</v>
      </c>
      <c r="M248" s="885">
        <f t="shared" si="79"/>
        <v>0</v>
      </c>
      <c r="N248" s="884">
        <f t="shared" si="66"/>
        <v>0</v>
      </c>
      <c r="O248" s="885">
        <f t="shared" si="80"/>
        <v>0</v>
      </c>
      <c r="P248" s="884">
        <f t="shared" si="81"/>
        <v>0</v>
      </c>
      <c r="Q248" s="885">
        <f t="shared" si="82"/>
        <v>0</v>
      </c>
      <c r="R248" s="874">
        <f t="shared" si="83"/>
        <v>0</v>
      </c>
      <c r="S248" s="882">
        <f t="shared" si="67"/>
        <v>0</v>
      </c>
      <c r="T248" s="884">
        <f t="shared" si="68"/>
        <v>0</v>
      </c>
      <c r="U248" s="885">
        <f t="shared" si="69"/>
        <v>0</v>
      </c>
      <c r="V248" s="884">
        <f t="shared" si="70"/>
        <v>0</v>
      </c>
      <c r="W248" s="885">
        <f t="shared" si="84"/>
        <v>0</v>
      </c>
      <c r="X248" s="884">
        <f t="shared" si="71"/>
        <v>0</v>
      </c>
      <c r="Y248" s="885">
        <f t="shared" si="85"/>
        <v>0</v>
      </c>
      <c r="Z248" s="884">
        <f t="shared" si="86"/>
        <v>0</v>
      </c>
      <c r="AA248" s="885">
        <f t="shared" si="87"/>
        <v>0</v>
      </c>
      <c r="AB248" s="884">
        <f t="shared" si="72"/>
        <v>0</v>
      </c>
      <c r="AC248" s="885">
        <f t="shared" si="73"/>
        <v>0</v>
      </c>
      <c r="AD248" s="884">
        <f t="shared" si="88"/>
        <v>0</v>
      </c>
      <c r="AE248" s="885">
        <f t="shared" si="74"/>
        <v>0</v>
      </c>
      <c r="AF248" s="884">
        <f t="shared" si="89"/>
        <v>0</v>
      </c>
      <c r="AG248" s="885">
        <f t="shared" si="90"/>
        <v>0</v>
      </c>
      <c r="AH248" s="884">
        <f t="shared" si="91"/>
        <v>0</v>
      </c>
      <c r="AI248" s="888">
        <f t="shared" si="92"/>
        <v>0</v>
      </c>
    </row>
    <row r="249" spans="1:35" x14ac:dyDescent="0.25">
      <c r="A249" s="910">
        <v>25</v>
      </c>
      <c r="B249" s="887">
        <f t="shared" si="59"/>
        <v>0</v>
      </c>
      <c r="C249" s="885">
        <f t="shared" si="60"/>
        <v>0</v>
      </c>
      <c r="D249" s="884">
        <f t="shared" si="61"/>
        <v>0</v>
      </c>
      <c r="E249" s="885">
        <f t="shared" si="62"/>
        <v>0</v>
      </c>
      <c r="F249" s="884">
        <f t="shared" si="75"/>
        <v>0</v>
      </c>
      <c r="G249" s="885">
        <f t="shared" si="63"/>
        <v>0</v>
      </c>
      <c r="H249" s="884">
        <f t="shared" si="76"/>
        <v>0</v>
      </c>
      <c r="I249" s="885">
        <f t="shared" si="77"/>
        <v>0</v>
      </c>
      <c r="J249" s="884">
        <f t="shared" si="78"/>
        <v>0</v>
      </c>
      <c r="K249" s="885">
        <f t="shared" si="64"/>
        <v>0</v>
      </c>
      <c r="L249" s="884">
        <f t="shared" si="65"/>
        <v>0</v>
      </c>
      <c r="M249" s="885">
        <f t="shared" si="79"/>
        <v>0</v>
      </c>
      <c r="N249" s="884">
        <f t="shared" si="66"/>
        <v>0</v>
      </c>
      <c r="O249" s="885">
        <f t="shared" si="80"/>
        <v>0</v>
      </c>
      <c r="P249" s="884">
        <f t="shared" si="81"/>
        <v>0</v>
      </c>
      <c r="Q249" s="885">
        <f t="shared" si="82"/>
        <v>0</v>
      </c>
      <c r="R249" s="874">
        <f t="shared" si="83"/>
        <v>0</v>
      </c>
      <c r="S249" s="882">
        <f t="shared" si="67"/>
        <v>0</v>
      </c>
      <c r="T249" s="884">
        <f t="shared" si="68"/>
        <v>0</v>
      </c>
      <c r="U249" s="885">
        <f t="shared" si="69"/>
        <v>0</v>
      </c>
      <c r="V249" s="884">
        <f t="shared" si="70"/>
        <v>0</v>
      </c>
      <c r="W249" s="885">
        <f t="shared" si="84"/>
        <v>0</v>
      </c>
      <c r="X249" s="884">
        <f t="shared" si="71"/>
        <v>0</v>
      </c>
      <c r="Y249" s="885">
        <f t="shared" si="85"/>
        <v>0</v>
      </c>
      <c r="Z249" s="884">
        <f t="shared" si="86"/>
        <v>0</v>
      </c>
      <c r="AA249" s="885">
        <f t="shared" si="87"/>
        <v>0</v>
      </c>
      <c r="AB249" s="884">
        <f t="shared" si="72"/>
        <v>0</v>
      </c>
      <c r="AC249" s="885">
        <f t="shared" si="73"/>
        <v>0</v>
      </c>
      <c r="AD249" s="884">
        <f t="shared" si="88"/>
        <v>0</v>
      </c>
      <c r="AE249" s="885">
        <f t="shared" si="74"/>
        <v>0</v>
      </c>
      <c r="AF249" s="884">
        <f t="shared" si="89"/>
        <v>0</v>
      </c>
      <c r="AG249" s="885">
        <f t="shared" si="90"/>
        <v>0</v>
      </c>
      <c r="AH249" s="884">
        <f t="shared" si="91"/>
        <v>0</v>
      </c>
      <c r="AI249" s="888">
        <f t="shared" si="92"/>
        <v>0</v>
      </c>
    </row>
    <row r="250" spans="1:35" x14ac:dyDescent="0.25">
      <c r="A250" s="910">
        <v>26</v>
      </c>
      <c r="B250" s="887">
        <f t="shared" si="59"/>
        <v>0</v>
      </c>
      <c r="C250" s="885">
        <f t="shared" si="60"/>
        <v>0</v>
      </c>
      <c r="D250" s="884">
        <f t="shared" si="61"/>
        <v>0</v>
      </c>
      <c r="E250" s="885">
        <f t="shared" si="62"/>
        <v>0</v>
      </c>
      <c r="F250" s="884">
        <f t="shared" si="75"/>
        <v>0</v>
      </c>
      <c r="G250" s="885">
        <f t="shared" si="63"/>
        <v>0</v>
      </c>
      <c r="H250" s="884">
        <f t="shared" si="76"/>
        <v>0</v>
      </c>
      <c r="I250" s="885">
        <f t="shared" si="77"/>
        <v>0</v>
      </c>
      <c r="J250" s="884">
        <f t="shared" si="78"/>
        <v>0</v>
      </c>
      <c r="K250" s="885">
        <f t="shared" si="64"/>
        <v>0</v>
      </c>
      <c r="L250" s="884">
        <f t="shared" si="65"/>
        <v>0</v>
      </c>
      <c r="M250" s="885">
        <f t="shared" si="79"/>
        <v>0</v>
      </c>
      <c r="N250" s="884">
        <f t="shared" si="66"/>
        <v>0</v>
      </c>
      <c r="O250" s="885">
        <f t="shared" si="80"/>
        <v>0</v>
      </c>
      <c r="P250" s="884">
        <f t="shared" si="81"/>
        <v>0</v>
      </c>
      <c r="Q250" s="885">
        <f t="shared" si="82"/>
        <v>0</v>
      </c>
      <c r="R250" s="874">
        <f t="shared" si="83"/>
        <v>0</v>
      </c>
      <c r="S250" s="882">
        <f t="shared" si="67"/>
        <v>0</v>
      </c>
      <c r="T250" s="884">
        <f t="shared" si="68"/>
        <v>0</v>
      </c>
      <c r="U250" s="885">
        <f t="shared" si="69"/>
        <v>0</v>
      </c>
      <c r="V250" s="884">
        <f t="shared" si="70"/>
        <v>0</v>
      </c>
      <c r="W250" s="885">
        <f t="shared" si="84"/>
        <v>0</v>
      </c>
      <c r="X250" s="884">
        <f t="shared" si="71"/>
        <v>0</v>
      </c>
      <c r="Y250" s="885">
        <f t="shared" si="85"/>
        <v>0</v>
      </c>
      <c r="Z250" s="884">
        <f t="shared" si="86"/>
        <v>0</v>
      </c>
      <c r="AA250" s="885">
        <f t="shared" si="87"/>
        <v>0</v>
      </c>
      <c r="AB250" s="884">
        <f t="shared" si="72"/>
        <v>0</v>
      </c>
      <c r="AC250" s="885">
        <f t="shared" si="73"/>
        <v>0</v>
      </c>
      <c r="AD250" s="884">
        <f t="shared" si="88"/>
        <v>0</v>
      </c>
      <c r="AE250" s="885">
        <f t="shared" si="74"/>
        <v>0</v>
      </c>
      <c r="AF250" s="884">
        <f t="shared" si="89"/>
        <v>0</v>
      </c>
      <c r="AG250" s="885">
        <f t="shared" si="90"/>
        <v>0</v>
      </c>
      <c r="AH250" s="884">
        <f t="shared" si="91"/>
        <v>0</v>
      </c>
      <c r="AI250" s="888">
        <f t="shared" si="92"/>
        <v>0</v>
      </c>
    </row>
    <row r="251" spans="1:35" x14ac:dyDescent="0.25">
      <c r="A251" s="910">
        <v>27</v>
      </c>
      <c r="B251" s="887">
        <f t="shared" si="59"/>
        <v>0</v>
      </c>
      <c r="C251" s="885">
        <f t="shared" si="60"/>
        <v>0</v>
      </c>
      <c r="D251" s="884">
        <f t="shared" si="61"/>
        <v>0</v>
      </c>
      <c r="E251" s="885">
        <f t="shared" si="62"/>
        <v>0</v>
      </c>
      <c r="F251" s="884">
        <f t="shared" si="75"/>
        <v>0</v>
      </c>
      <c r="G251" s="885">
        <f t="shared" si="63"/>
        <v>0</v>
      </c>
      <c r="H251" s="884">
        <f t="shared" si="76"/>
        <v>0</v>
      </c>
      <c r="I251" s="885">
        <f t="shared" si="77"/>
        <v>0</v>
      </c>
      <c r="J251" s="884">
        <f t="shared" si="78"/>
        <v>0</v>
      </c>
      <c r="K251" s="885">
        <f t="shared" si="64"/>
        <v>0</v>
      </c>
      <c r="L251" s="884">
        <f t="shared" si="65"/>
        <v>0</v>
      </c>
      <c r="M251" s="885">
        <f t="shared" si="79"/>
        <v>0</v>
      </c>
      <c r="N251" s="884">
        <f t="shared" si="66"/>
        <v>0</v>
      </c>
      <c r="O251" s="885">
        <f t="shared" si="80"/>
        <v>0</v>
      </c>
      <c r="P251" s="884">
        <f t="shared" si="81"/>
        <v>0</v>
      </c>
      <c r="Q251" s="885">
        <f t="shared" si="82"/>
        <v>0</v>
      </c>
      <c r="R251" s="874">
        <f t="shared" si="83"/>
        <v>0</v>
      </c>
      <c r="S251" s="882">
        <f t="shared" si="67"/>
        <v>0</v>
      </c>
      <c r="T251" s="884">
        <f t="shared" si="68"/>
        <v>0</v>
      </c>
      <c r="U251" s="885">
        <f t="shared" si="69"/>
        <v>0</v>
      </c>
      <c r="V251" s="884">
        <f t="shared" si="70"/>
        <v>0</v>
      </c>
      <c r="W251" s="885">
        <f t="shared" si="84"/>
        <v>0</v>
      </c>
      <c r="X251" s="884">
        <f t="shared" si="71"/>
        <v>0</v>
      </c>
      <c r="Y251" s="885">
        <f t="shared" si="85"/>
        <v>0</v>
      </c>
      <c r="Z251" s="884">
        <f t="shared" si="86"/>
        <v>0</v>
      </c>
      <c r="AA251" s="885">
        <f t="shared" si="87"/>
        <v>0</v>
      </c>
      <c r="AB251" s="884">
        <f t="shared" si="72"/>
        <v>0</v>
      </c>
      <c r="AC251" s="885">
        <f t="shared" si="73"/>
        <v>0</v>
      </c>
      <c r="AD251" s="884">
        <f t="shared" si="88"/>
        <v>0</v>
      </c>
      <c r="AE251" s="885">
        <f t="shared" si="74"/>
        <v>0</v>
      </c>
      <c r="AF251" s="884">
        <f t="shared" si="89"/>
        <v>0</v>
      </c>
      <c r="AG251" s="885">
        <f t="shared" si="90"/>
        <v>0</v>
      </c>
      <c r="AH251" s="884">
        <f t="shared" si="91"/>
        <v>0</v>
      </c>
      <c r="AI251" s="888">
        <f t="shared" si="92"/>
        <v>0</v>
      </c>
    </row>
    <row r="252" spans="1:35" x14ac:dyDescent="0.25">
      <c r="A252" s="910">
        <v>28</v>
      </c>
      <c r="B252" s="887">
        <f t="shared" si="59"/>
        <v>0</v>
      </c>
      <c r="C252" s="885">
        <f t="shared" si="60"/>
        <v>0</v>
      </c>
      <c r="D252" s="884">
        <f t="shared" si="61"/>
        <v>0</v>
      </c>
      <c r="E252" s="885">
        <f t="shared" si="62"/>
        <v>0</v>
      </c>
      <c r="F252" s="884">
        <f t="shared" si="75"/>
        <v>0</v>
      </c>
      <c r="G252" s="885">
        <f t="shared" si="63"/>
        <v>0</v>
      </c>
      <c r="H252" s="884">
        <f t="shared" si="76"/>
        <v>0</v>
      </c>
      <c r="I252" s="885">
        <f t="shared" si="77"/>
        <v>0</v>
      </c>
      <c r="J252" s="884">
        <f t="shared" si="78"/>
        <v>0</v>
      </c>
      <c r="K252" s="885">
        <f t="shared" si="64"/>
        <v>0</v>
      </c>
      <c r="L252" s="884">
        <f t="shared" si="65"/>
        <v>0</v>
      </c>
      <c r="M252" s="885">
        <f t="shared" si="79"/>
        <v>0</v>
      </c>
      <c r="N252" s="884">
        <f t="shared" si="66"/>
        <v>0</v>
      </c>
      <c r="O252" s="885">
        <f t="shared" si="80"/>
        <v>0</v>
      </c>
      <c r="P252" s="884">
        <f t="shared" si="81"/>
        <v>0</v>
      </c>
      <c r="Q252" s="885">
        <f t="shared" si="82"/>
        <v>0</v>
      </c>
      <c r="R252" s="874">
        <f t="shared" si="83"/>
        <v>0</v>
      </c>
      <c r="S252" s="882">
        <f t="shared" si="67"/>
        <v>0</v>
      </c>
      <c r="T252" s="884">
        <f t="shared" si="68"/>
        <v>0</v>
      </c>
      <c r="U252" s="885">
        <f t="shared" si="69"/>
        <v>0</v>
      </c>
      <c r="V252" s="884">
        <f t="shared" si="70"/>
        <v>0</v>
      </c>
      <c r="W252" s="885">
        <f t="shared" si="84"/>
        <v>0</v>
      </c>
      <c r="X252" s="884">
        <f t="shared" si="71"/>
        <v>0</v>
      </c>
      <c r="Y252" s="885">
        <f t="shared" si="85"/>
        <v>0</v>
      </c>
      <c r="Z252" s="884">
        <f t="shared" si="86"/>
        <v>0</v>
      </c>
      <c r="AA252" s="885">
        <f t="shared" si="87"/>
        <v>0</v>
      </c>
      <c r="AB252" s="884">
        <f t="shared" si="72"/>
        <v>0</v>
      </c>
      <c r="AC252" s="885">
        <f t="shared" si="73"/>
        <v>0</v>
      </c>
      <c r="AD252" s="884">
        <f t="shared" si="88"/>
        <v>0</v>
      </c>
      <c r="AE252" s="885">
        <f t="shared" si="74"/>
        <v>0</v>
      </c>
      <c r="AF252" s="884">
        <f t="shared" si="89"/>
        <v>0</v>
      </c>
      <c r="AG252" s="885">
        <f t="shared" si="90"/>
        <v>0</v>
      </c>
      <c r="AH252" s="884">
        <f t="shared" si="91"/>
        <v>0</v>
      </c>
      <c r="AI252" s="888">
        <f t="shared" si="92"/>
        <v>0</v>
      </c>
    </row>
    <row r="253" spans="1:35" x14ac:dyDescent="0.25">
      <c r="A253" s="910">
        <v>29</v>
      </c>
      <c r="B253" s="887">
        <f t="shared" si="59"/>
        <v>0</v>
      </c>
      <c r="C253" s="885">
        <f t="shared" si="60"/>
        <v>0</v>
      </c>
      <c r="D253" s="884">
        <f t="shared" si="61"/>
        <v>0</v>
      </c>
      <c r="E253" s="885">
        <f t="shared" si="62"/>
        <v>0</v>
      </c>
      <c r="F253" s="884">
        <f t="shared" si="75"/>
        <v>0</v>
      </c>
      <c r="G253" s="885">
        <f t="shared" si="63"/>
        <v>0</v>
      </c>
      <c r="H253" s="884">
        <f t="shared" si="76"/>
        <v>0</v>
      </c>
      <c r="I253" s="885">
        <f t="shared" si="77"/>
        <v>0</v>
      </c>
      <c r="J253" s="884">
        <f t="shared" si="78"/>
        <v>0</v>
      </c>
      <c r="K253" s="885">
        <f t="shared" si="64"/>
        <v>0</v>
      </c>
      <c r="L253" s="884">
        <f t="shared" si="65"/>
        <v>0</v>
      </c>
      <c r="M253" s="885">
        <f t="shared" si="79"/>
        <v>0</v>
      </c>
      <c r="N253" s="884">
        <f t="shared" si="66"/>
        <v>0</v>
      </c>
      <c r="O253" s="885">
        <f t="shared" si="80"/>
        <v>0</v>
      </c>
      <c r="P253" s="884">
        <f t="shared" si="81"/>
        <v>0</v>
      </c>
      <c r="Q253" s="885">
        <f t="shared" si="82"/>
        <v>0</v>
      </c>
      <c r="R253" s="874">
        <f t="shared" si="83"/>
        <v>0</v>
      </c>
      <c r="S253" s="882">
        <f t="shared" si="67"/>
        <v>0</v>
      </c>
      <c r="T253" s="884">
        <f t="shared" si="68"/>
        <v>0</v>
      </c>
      <c r="U253" s="885">
        <f t="shared" si="69"/>
        <v>0</v>
      </c>
      <c r="V253" s="884">
        <f t="shared" si="70"/>
        <v>0</v>
      </c>
      <c r="W253" s="885">
        <f t="shared" si="84"/>
        <v>0</v>
      </c>
      <c r="X253" s="884">
        <f t="shared" si="71"/>
        <v>0</v>
      </c>
      <c r="Y253" s="885">
        <f t="shared" si="85"/>
        <v>0</v>
      </c>
      <c r="Z253" s="884">
        <f t="shared" si="86"/>
        <v>0</v>
      </c>
      <c r="AA253" s="885">
        <f t="shared" si="87"/>
        <v>0</v>
      </c>
      <c r="AB253" s="884">
        <f t="shared" si="72"/>
        <v>0</v>
      </c>
      <c r="AC253" s="885">
        <f t="shared" si="73"/>
        <v>0</v>
      </c>
      <c r="AD253" s="884">
        <f t="shared" si="88"/>
        <v>0</v>
      </c>
      <c r="AE253" s="885">
        <f t="shared" si="74"/>
        <v>0</v>
      </c>
      <c r="AF253" s="884">
        <f t="shared" si="89"/>
        <v>0</v>
      </c>
      <c r="AG253" s="885">
        <f t="shared" si="90"/>
        <v>0</v>
      </c>
      <c r="AH253" s="884">
        <f t="shared" si="91"/>
        <v>0</v>
      </c>
      <c r="AI253" s="888">
        <f t="shared" si="92"/>
        <v>0</v>
      </c>
    </row>
    <row r="254" spans="1:35" x14ac:dyDescent="0.25">
      <c r="A254" s="910">
        <v>30</v>
      </c>
      <c r="B254" s="887">
        <f t="shared" si="59"/>
        <v>0</v>
      </c>
      <c r="C254" s="885">
        <f t="shared" si="60"/>
        <v>0</v>
      </c>
      <c r="D254" s="884">
        <f t="shared" si="61"/>
        <v>0</v>
      </c>
      <c r="E254" s="885">
        <f t="shared" si="62"/>
        <v>0</v>
      </c>
      <c r="F254" s="884">
        <f t="shared" si="75"/>
        <v>0</v>
      </c>
      <c r="G254" s="885">
        <f t="shared" si="63"/>
        <v>0</v>
      </c>
      <c r="H254" s="884">
        <f t="shared" si="76"/>
        <v>0</v>
      </c>
      <c r="I254" s="885">
        <f t="shared" si="77"/>
        <v>0</v>
      </c>
      <c r="J254" s="884">
        <f t="shared" si="78"/>
        <v>0</v>
      </c>
      <c r="K254" s="885">
        <f t="shared" si="64"/>
        <v>0</v>
      </c>
      <c r="L254" s="884">
        <f t="shared" si="65"/>
        <v>0</v>
      </c>
      <c r="M254" s="885">
        <f t="shared" si="79"/>
        <v>0</v>
      </c>
      <c r="N254" s="884">
        <f t="shared" si="66"/>
        <v>0</v>
      </c>
      <c r="O254" s="885">
        <f t="shared" si="80"/>
        <v>0</v>
      </c>
      <c r="P254" s="884">
        <f t="shared" si="81"/>
        <v>0</v>
      </c>
      <c r="Q254" s="885">
        <f t="shared" si="82"/>
        <v>0</v>
      </c>
      <c r="R254" s="874">
        <f t="shared" si="83"/>
        <v>0</v>
      </c>
      <c r="S254" s="882">
        <f t="shared" si="67"/>
        <v>0</v>
      </c>
      <c r="T254" s="884">
        <f t="shared" si="68"/>
        <v>0</v>
      </c>
      <c r="U254" s="885">
        <f t="shared" si="69"/>
        <v>0</v>
      </c>
      <c r="V254" s="884">
        <f t="shared" si="70"/>
        <v>0</v>
      </c>
      <c r="W254" s="885">
        <f t="shared" si="84"/>
        <v>0</v>
      </c>
      <c r="X254" s="884">
        <f t="shared" si="71"/>
        <v>0</v>
      </c>
      <c r="Y254" s="885">
        <f t="shared" si="85"/>
        <v>0</v>
      </c>
      <c r="Z254" s="884">
        <f t="shared" si="86"/>
        <v>0</v>
      </c>
      <c r="AA254" s="885">
        <f t="shared" si="87"/>
        <v>0</v>
      </c>
      <c r="AB254" s="884">
        <f t="shared" si="72"/>
        <v>0</v>
      </c>
      <c r="AC254" s="885">
        <f t="shared" si="73"/>
        <v>0</v>
      </c>
      <c r="AD254" s="884">
        <f t="shared" si="88"/>
        <v>0</v>
      </c>
      <c r="AE254" s="885">
        <f t="shared" si="74"/>
        <v>0</v>
      </c>
      <c r="AF254" s="884">
        <f t="shared" si="89"/>
        <v>0</v>
      </c>
      <c r="AG254" s="885">
        <f t="shared" si="90"/>
        <v>0</v>
      </c>
      <c r="AH254" s="884">
        <f t="shared" si="91"/>
        <v>0</v>
      </c>
      <c r="AI254" s="888">
        <f t="shared" si="92"/>
        <v>0</v>
      </c>
    </row>
    <row r="255" spans="1:35" x14ac:dyDescent="0.25">
      <c r="A255" s="910">
        <v>31</v>
      </c>
      <c r="B255" s="887">
        <f t="shared" si="59"/>
        <v>0</v>
      </c>
      <c r="C255" s="885">
        <f t="shared" si="60"/>
        <v>0</v>
      </c>
      <c r="D255" s="884">
        <f t="shared" si="61"/>
        <v>0</v>
      </c>
      <c r="E255" s="885">
        <f t="shared" si="62"/>
        <v>0</v>
      </c>
      <c r="F255" s="884">
        <f t="shared" si="75"/>
        <v>0</v>
      </c>
      <c r="G255" s="885">
        <f t="shared" si="63"/>
        <v>0</v>
      </c>
      <c r="H255" s="884">
        <f t="shared" si="76"/>
        <v>0</v>
      </c>
      <c r="I255" s="885">
        <f t="shared" si="77"/>
        <v>0</v>
      </c>
      <c r="J255" s="884">
        <f t="shared" si="78"/>
        <v>0</v>
      </c>
      <c r="K255" s="885">
        <f t="shared" si="64"/>
        <v>0</v>
      </c>
      <c r="L255" s="884">
        <f t="shared" si="65"/>
        <v>0</v>
      </c>
      <c r="M255" s="885">
        <f t="shared" si="79"/>
        <v>0</v>
      </c>
      <c r="N255" s="884">
        <f t="shared" si="66"/>
        <v>0</v>
      </c>
      <c r="O255" s="885">
        <f t="shared" si="80"/>
        <v>0</v>
      </c>
      <c r="P255" s="884">
        <f t="shared" si="81"/>
        <v>0</v>
      </c>
      <c r="Q255" s="885">
        <f t="shared" si="82"/>
        <v>0</v>
      </c>
      <c r="R255" s="874">
        <f t="shared" si="83"/>
        <v>0</v>
      </c>
      <c r="S255" s="882">
        <f t="shared" si="67"/>
        <v>0</v>
      </c>
      <c r="T255" s="884">
        <f t="shared" si="68"/>
        <v>0</v>
      </c>
      <c r="U255" s="885">
        <f t="shared" si="69"/>
        <v>0</v>
      </c>
      <c r="V255" s="884">
        <f t="shared" si="70"/>
        <v>0</v>
      </c>
      <c r="W255" s="885">
        <f t="shared" si="84"/>
        <v>0</v>
      </c>
      <c r="X255" s="884">
        <f t="shared" si="71"/>
        <v>0</v>
      </c>
      <c r="Y255" s="885">
        <f t="shared" si="85"/>
        <v>0</v>
      </c>
      <c r="Z255" s="884">
        <f t="shared" si="86"/>
        <v>0</v>
      </c>
      <c r="AA255" s="885">
        <f t="shared" si="87"/>
        <v>0</v>
      </c>
      <c r="AB255" s="884">
        <f t="shared" si="72"/>
        <v>0</v>
      </c>
      <c r="AC255" s="885">
        <f t="shared" si="73"/>
        <v>0</v>
      </c>
      <c r="AD255" s="884">
        <f t="shared" si="88"/>
        <v>0</v>
      </c>
      <c r="AE255" s="885">
        <f t="shared" si="74"/>
        <v>0</v>
      </c>
      <c r="AF255" s="884">
        <f t="shared" si="89"/>
        <v>0</v>
      </c>
      <c r="AG255" s="885">
        <f t="shared" si="90"/>
        <v>0</v>
      </c>
      <c r="AH255" s="884">
        <f t="shared" si="91"/>
        <v>0</v>
      </c>
      <c r="AI255" s="888">
        <f t="shared" si="92"/>
        <v>0</v>
      </c>
    </row>
    <row r="256" spans="1:35" x14ac:dyDescent="0.25">
      <c r="A256" s="910">
        <v>32</v>
      </c>
      <c r="B256" s="887">
        <f t="shared" si="59"/>
        <v>0</v>
      </c>
      <c r="C256" s="885">
        <f t="shared" si="60"/>
        <v>0</v>
      </c>
      <c r="D256" s="884">
        <f t="shared" si="61"/>
        <v>0</v>
      </c>
      <c r="E256" s="885">
        <f t="shared" si="62"/>
        <v>0</v>
      </c>
      <c r="F256" s="884">
        <f t="shared" si="75"/>
        <v>0</v>
      </c>
      <c r="G256" s="885">
        <f t="shared" si="63"/>
        <v>0</v>
      </c>
      <c r="H256" s="884">
        <f t="shared" si="76"/>
        <v>0</v>
      </c>
      <c r="I256" s="885">
        <f t="shared" si="77"/>
        <v>0</v>
      </c>
      <c r="J256" s="884">
        <f t="shared" si="78"/>
        <v>0</v>
      </c>
      <c r="K256" s="885">
        <f t="shared" si="64"/>
        <v>0</v>
      </c>
      <c r="L256" s="884">
        <f t="shared" si="65"/>
        <v>0</v>
      </c>
      <c r="M256" s="885">
        <f t="shared" si="79"/>
        <v>0</v>
      </c>
      <c r="N256" s="884">
        <f t="shared" si="66"/>
        <v>0</v>
      </c>
      <c r="O256" s="885">
        <f t="shared" si="80"/>
        <v>0</v>
      </c>
      <c r="P256" s="884">
        <f t="shared" si="81"/>
        <v>0</v>
      </c>
      <c r="Q256" s="885">
        <f t="shared" si="82"/>
        <v>0</v>
      </c>
      <c r="R256" s="874">
        <f t="shared" si="83"/>
        <v>0</v>
      </c>
      <c r="S256" s="882">
        <f t="shared" si="67"/>
        <v>0</v>
      </c>
      <c r="T256" s="884">
        <f t="shared" si="68"/>
        <v>0</v>
      </c>
      <c r="U256" s="885">
        <f t="shared" si="69"/>
        <v>0</v>
      </c>
      <c r="V256" s="884">
        <f t="shared" si="70"/>
        <v>0</v>
      </c>
      <c r="W256" s="885">
        <f t="shared" si="84"/>
        <v>0</v>
      </c>
      <c r="X256" s="884">
        <f t="shared" si="71"/>
        <v>0</v>
      </c>
      <c r="Y256" s="885">
        <f t="shared" si="85"/>
        <v>0</v>
      </c>
      <c r="Z256" s="884">
        <f t="shared" si="86"/>
        <v>0</v>
      </c>
      <c r="AA256" s="885">
        <f t="shared" si="87"/>
        <v>0</v>
      </c>
      <c r="AB256" s="884">
        <f t="shared" si="72"/>
        <v>0</v>
      </c>
      <c r="AC256" s="885">
        <f t="shared" si="73"/>
        <v>0</v>
      </c>
      <c r="AD256" s="884">
        <f t="shared" si="88"/>
        <v>0</v>
      </c>
      <c r="AE256" s="885">
        <f t="shared" si="74"/>
        <v>0</v>
      </c>
      <c r="AF256" s="884">
        <f t="shared" si="89"/>
        <v>0</v>
      </c>
      <c r="AG256" s="885">
        <f t="shared" si="90"/>
        <v>0</v>
      </c>
      <c r="AH256" s="884">
        <f t="shared" si="91"/>
        <v>0</v>
      </c>
      <c r="AI256" s="888">
        <f t="shared" si="92"/>
        <v>0</v>
      </c>
    </row>
    <row r="257" spans="1:96" x14ac:dyDescent="0.25">
      <c r="A257" s="910">
        <v>33</v>
      </c>
      <c r="B257" s="887">
        <f t="shared" si="59"/>
        <v>0</v>
      </c>
      <c r="C257" s="885">
        <f t="shared" si="60"/>
        <v>0</v>
      </c>
      <c r="D257" s="884">
        <f t="shared" si="61"/>
        <v>0</v>
      </c>
      <c r="E257" s="885">
        <f t="shared" si="62"/>
        <v>0</v>
      </c>
      <c r="F257" s="884">
        <f t="shared" si="75"/>
        <v>0</v>
      </c>
      <c r="G257" s="885">
        <f t="shared" si="63"/>
        <v>0</v>
      </c>
      <c r="H257" s="884">
        <f t="shared" si="76"/>
        <v>0</v>
      </c>
      <c r="I257" s="885">
        <f t="shared" si="77"/>
        <v>0</v>
      </c>
      <c r="J257" s="884">
        <f t="shared" si="78"/>
        <v>0</v>
      </c>
      <c r="K257" s="885">
        <f t="shared" si="64"/>
        <v>0</v>
      </c>
      <c r="L257" s="884">
        <f t="shared" si="65"/>
        <v>0</v>
      </c>
      <c r="M257" s="885">
        <f t="shared" si="79"/>
        <v>0</v>
      </c>
      <c r="N257" s="884">
        <f t="shared" si="66"/>
        <v>0</v>
      </c>
      <c r="O257" s="885">
        <f t="shared" si="80"/>
        <v>0</v>
      </c>
      <c r="P257" s="884">
        <f t="shared" si="81"/>
        <v>0</v>
      </c>
      <c r="Q257" s="885">
        <f t="shared" si="82"/>
        <v>0</v>
      </c>
      <c r="R257" s="874">
        <f t="shared" si="83"/>
        <v>0</v>
      </c>
      <c r="S257" s="882">
        <f t="shared" si="67"/>
        <v>0</v>
      </c>
      <c r="T257" s="884">
        <f t="shared" si="68"/>
        <v>0</v>
      </c>
      <c r="U257" s="885">
        <f t="shared" si="69"/>
        <v>0</v>
      </c>
      <c r="V257" s="884">
        <f t="shared" si="70"/>
        <v>0</v>
      </c>
      <c r="W257" s="885">
        <f t="shared" si="84"/>
        <v>0</v>
      </c>
      <c r="X257" s="884">
        <f t="shared" si="71"/>
        <v>0</v>
      </c>
      <c r="Y257" s="885">
        <f t="shared" si="85"/>
        <v>0</v>
      </c>
      <c r="Z257" s="884">
        <f t="shared" si="86"/>
        <v>0</v>
      </c>
      <c r="AA257" s="885">
        <f t="shared" si="87"/>
        <v>0</v>
      </c>
      <c r="AB257" s="884">
        <f t="shared" si="72"/>
        <v>0</v>
      </c>
      <c r="AC257" s="885">
        <f t="shared" si="73"/>
        <v>0</v>
      </c>
      <c r="AD257" s="884">
        <f t="shared" si="88"/>
        <v>0</v>
      </c>
      <c r="AE257" s="885">
        <f t="shared" si="74"/>
        <v>0</v>
      </c>
      <c r="AF257" s="884">
        <f t="shared" si="89"/>
        <v>0</v>
      </c>
      <c r="AG257" s="885">
        <f t="shared" si="90"/>
        <v>0</v>
      </c>
      <c r="AH257" s="884">
        <f t="shared" si="91"/>
        <v>0</v>
      </c>
      <c r="AI257" s="888">
        <f t="shared" si="92"/>
        <v>0</v>
      </c>
    </row>
    <row r="258" spans="1:96" x14ac:dyDescent="0.25">
      <c r="A258" s="910">
        <v>34</v>
      </c>
      <c r="B258" s="887">
        <f t="shared" si="59"/>
        <v>0</v>
      </c>
      <c r="C258" s="885">
        <f t="shared" si="60"/>
        <v>0</v>
      </c>
      <c r="D258" s="884">
        <f t="shared" si="61"/>
        <v>0</v>
      </c>
      <c r="E258" s="885">
        <f t="shared" si="62"/>
        <v>0</v>
      </c>
      <c r="F258" s="884">
        <f t="shared" si="75"/>
        <v>0</v>
      </c>
      <c r="G258" s="885">
        <f t="shared" si="63"/>
        <v>0</v>
      </c>
      <c r="H258" s="884">
        <f t="shared" si="76"/>
        <v>0</v>
      </c>
      <c r="I258" s="885">
        <f t="shared" si="77"/>
        <v>0</v>
      </c>
      <c r="J258" s="884">
        <f t="shared" si="78"/>
        <v>0</v>
      </c>
      <c r="K258" s="885">
        <f t="shared" si="64"/>
        <v>0</v>
      </c>
      <c r="L258" s="884">
        <f t="shared" si="65"/>
        <v>0</v>
      </c>
      <c r="M258" s="885">
        <f t="shared" si="79"/>
        <v>0</v>
      </c>
      <c r="N258" s="884">
        <f t="shared" si="66"/>
        <v>0</v>
      </c>
      <c r="O258" s="885">
        <f t="shared" si="80"/>
        <v>0</v>
      </c>
      <c r="P258" s="884">
        <f t="shared" si="81"/>
        <v>0</v>
      </c>
      <c r="Q258" s="885">
        <f t="shared" si="82"/>
        <v>0</v>
      </c>
      <c r="R258" s="874">
        <f t="shared" si="83"/>
        <v>0</v>
      </c>
      <c r="S258" s="882">
        <f t="shared" si="67"/>
        <v>0</v>
      </c>
      <c r="T258" s="884">
        <f t="shared" si="68"/>
        <v>0</v>
      </c>
      <c r="U258" s="885">
        <f t="shared" si="69"/>
        <v>0</v>
      </c>
      <c r="V258" s="884">
        <f t="shared" si="70"/>
        <v>0</v>
      </c>
      <c r="W258" s="885">
        <f t="shared" si="84"/>
        <v>0</v>
      </c>
      <c r="X258" s="884">
        <f t="shared" si="71"/>
        <v>0</v>
      </c>
      <c r="Y258" s="885">
        <f t="shared" si="85"/>
        <v>0</v>
      </c>
      <c r="Z258" s="884">
        <f t="shared" si="86"/>
        <v>0</v>
      </c>
      <c r="AA258" s="885">
        <f t="shared" si="87"/>
        <v>0</v>
      </c>
      <c r="AB258" s="884">
        <f t="shared" si="72"/>
        <v>0</v>
      </c>
      <c r="AC258" s="885">
        <f t="shared" si="73"/>
        <v>0</v>
      </c>
      <c r="AD258" s="884">
        <f t="shared" si="88"/>
        <v>0</v>
      </c>
      <c r="AE258" s="885">
        <f t="shared" si="74"/>
        <v>0</v>
      </c>
      <c r="AF258" s="884">
        <f t="shared" si="89"/>
        <v>0</v>
      </c>
      <c r="AG258" s="885">
        <f t="shared" si="90"/>
        <v>0</v>
      </c>
      <c r="AH258" s="884">
        <f t="shared" si="91"/>
        <v>0</v>
      </c>
      <c r="AI258" s="888">
        <f t="shared" si="92"/>
        <v>0</v>
      </c>
    </row>
    <row r="259" spans="1:96" x14ac:dyDescent="0.25">
      <c r="A259" s="910">
        <v>35</v>
      </c>
      <c r="B259" s="887">
        <f t="shared" si="59"/>
        <v>0</v>
      </c>
      <c r="C259" s="885">
        <f t="shared" si="60"/>
        <v>0</v>
      </c>
      <c r="D259" s="884">
        <f t="shared" si="61"/>
        <v>0</v>
      </c>
      <c r="E259" s="885">
        <f t="shared" si="62"/>
        <v>0</v>
      </c>
      <c r="F259" s="884">
        <f t="shared" si="75"/>
        <v>0</v>
      </c>
      <c r="G259" s="885">
        <f t="shared" si="63"/>
        <v>0</v>
      </c>
      <c r="H259" s="884">
        <f t="shared" si="76"/>
        <v>0</v>
      </c>
      <c r="I259" s="885">
        <f t="shared" si="77"/>
        <v>0</v>
      </c>
      <c r="J259" s="884">
        <f t="shared" si="78"/>
        <v>0</v>
      </c>
      <c r="K259" s="885">
        <f t="shared" si="64"/>
        <v>0</v>
      </c>
      <c r="L259" s="884">
        <f t="shared" si="65"/>
        <v>0</v>
      </c>
      <c r="M259" s="885">
        <f t="shared" si="79"/>
        <v>0</v>
      </c>
      <c r="N259" s="884">
        <f t="shared" si="66"/>
        <v>0</v>
      </c>
      <c r="O259" s="885">
        <f t="shared" si="80"/>
        <v>0</v>
      </c>
      <c r="P259" s="884">
        <f t="shared" si="81"/>
        <v>0</v>
      </c>
      <c r="Q259" s="885">
        <f t="shared" si="82"/>
        <v>0</v>
      </c>
      <c r="R259" s="874">
        <f t="shared" si="83"/>
        <v>0</v>
      </c>
      <c r="S259" s="882">
        <f t="shared" si="67"/>
        <v>0</v>
      </c>
      <c r="T259" s="884">
        <f t="shared" si="68"/>
        <v>0</v>
      </c>
      <c r="U259" s="885">
        <f t="shared" si="69"/>
        <v>0</v>
      </c>
      <c r="V259" s="884">
        <f t="shared" si="70"/>
        <v>0</v>
      </c>
      <c r="W259" s="885">
        <f t="shared" si="84"/>
        <v>0</v>
      </c>
      <c r="X259" s="884">
        <f t="shared" si="71"/>
        <v>0</v>
      </c>
      <c r="Y259" s="885">
        <f t="shared" si="85"/>
        <v>0</v>
      </c>
      <c r="Z259" s="884">
        <f t="shared" si="86"/>
        <v>0</v>
      </c>
      <c r="AA259" s="885">
        <f t="shared" si="87"/>
        <v>0</v>
      </c>
      <c r="AB259" s="884">
        <f t="shared" si="72"/>
        <v>0</v>
      </c>
      <c r="AC259" s="885">
        <f t="shared" si="73"/>
        <v>0</v>
      </c>
      <c r="AD259" s="884">
        <f t="shared" si="88"/>
        <v>0</v>
      </c>
      <c r="AE259" s="885">
        <f t="shared" si="74"/>
        <v>0</v>
      </c>
      <c r="AF259" s="884">
        <f t="shared" si="89"/>
        <v>0</v>
      </c>
      <c r="AG259" s="885">
        <f t="shared" si="90"/>
        <v>0</v>
      </c>
      <c r="AH259" s="884">
        <f t="shared" si="91"/>
        <v>0</v>
      </c>
      <c r="AI259" s="888">
        <f t="shared" si="92"/>
        <v>0</v>
      </c>
    </row>
    <row r="260" spans="1:96" x14ac:dyDescent="0.25">
      <c r="A260" s="910">
        <v>36</v>
      </c>
      <c r="B260" s="887">
        <f t="shared" si="59"/>
        <v>0</v>
      </c>
      <c r="C260" s="885">
        <f t="shared" si="60"/>
        <v>0</v>
      </c>
      <c r="D260" s="884">
        <f t="shared" si="61"/>
        <v>0</v>
      </c>
      <c r="E260" s="885">
        <f t="shared" si="62"/>
        <v>0</v>
      </c>
      <c r="F260" s="884">
        <f t="shared" si="75"/>
        <v>0</v>
      </c>
      <c r="G260" s="885">
        <f t="shared" si="63"/>
        <v>0</v>
      </c>
      <c r="H260" s="884">
        <f t="shared" si="76"/>
        <v>0</v>
      </c>
      <c r="I260" s="885">
        <f t="shared" si="77"/>
        <v>0</v>
      </c>
      <c r="J260" s="884">
        <f t="shared" si="78"/>
        <v>0</v>
      </c>
      <c r="K260" s="885">
        <f t="shared" si="64"/>
        <v>0</v>
      </c>
      <c r="L260" s="884">
        <f t="shared" si="65"/>
        <v>0</v>
      </c>
      <c r="M260" s="885">
        <f t="shared" si="79"/>
        <v>0</v>
      </c>
      <c r="N260" s="884">
        <f t="shared" si="66"/>
        <v>0</v>
      </c>
      <c r="O260" s="885">
        <f t="shared" si="80"/>
        <v>0</v>
      </c>
      <c r="P260" s="884">
        <f t="shared" si="81"/>
        <v>0</v>
      </c>
      <c r="Q260" s="885">
        <f t="shared" si="82"/>
        <v>0</v>
      </c>
      <c r="R260" s="874">
        <f t="shared" si="83"/>
        <v>0</v>
      </c>
      <c r="S260" s="882">
        <f t="shared" si="67"/>
        <v>0</v>
      </c>
      <c r="T260" s="884">
        <f t="shared" si="68"/>
        <v>0</v>
      </c>
      <c r="U260" s="885">
        <f t="shared" si="69"/>
        <v>0</v>
      </c>
      <c r="V260" s="884">
        <f t="shared" si="70"/>
        <v>0</v>
      </c>
      <c r="W260" s="885">
        <f t="shared" si="84"/>
        <v>0</v>
      </c>
      <c r="X260" s="884">
        <f t="shared" si="71"/>
        <v>0</v>
      </c>
      <c r="Y260" s="885">
        <f t="shared" si="85"/>
        <v>0</v>
      </c>
      <c r="Z260" s="884">
        <f t="shared" si="86"/>
        <v>0</v>
      </c>
      <c r="AA260" s="885">
        <f t="shared" si="87"/>
        <v>0</v>
      </c>
      <c r="AB260" s="884">
        <f t="shared" si="72"/>
        <v>0</v>
      </c>
      <c r="AC260" s="885">
        <f t="shared" si="73"/>
        <v>0</v>
      </c>
      <c r="AD260" s="884">
        <f t="shared" si="88"/>
        <v>0</v>
      </c>
      <c r="AE260" s="885">
        <f t="shared" si="74"/>
        <v>0</v>
      </c>
      <c r="AF260" s="884">
        <f t="shared" si="89"/>
        <v>0</v>
      </c>
      <c r="AG260" s="885">
        <f t="shared" si="90"/>
        <v>0</v>
      </c>
      <c r="AH260" s="884">
        <f t="shared" si="91"/>
        <v>0</v>
      </c>
      <c r="AI260" s="888">
        <f t="shared" si="92"/>
        <v>0</v>
      </c>
    </row>
    <row r="261" spans="1:96" x14ac:dyDescent="0.25">
      <c r="A261" s="910">
        <v>37</v>
      </c>
      <c r="B261" s="887">
        <f t="shared" si="59"/>
        <v>0</v>
      </c>
      <c r="C261" s="885">
        <f t="shared" si="60"/>
        <v>0</v>
      </c>
      <c r="D261" s="884">
        <f t="shared" si="61"/>
        <v>0</v>
      </c>
      <c r="E261" s="885">
        <f t="shared" si="62"/>
        <v>0</v>
      </c>
      <c r="F261" s="884">
        <f t="shared" si="75"/>
        <v>0</v>
      </c>
      <c r="G261" s="885">
        <f t="shared" si="63"/>
        <v>0</v>
      </c>
      <c r="H261" s="884">
        <f t="shared" si="76"/>
        <v>0</v>
      </c>
      <c r="I261" s="885">
        <f t="shared" si="77"/>
        <v>0</v>
      </c>
      <c r="J261" s="884">
        <f t="shared" si="78"/>
        <v>0</v>
      </c>
      <c r="K261" s="885">
        <f t="shared" si="64"/>
        <v>0</v>
      </c>
      <c r="L261" s="884">
        <f t="shared" si="65"/>
        <v>0</v>
      </c>
      <c r="M261" s="885">
        <f t="shared" si="79"/>
        <v>0</v>
      </c>
      <c r="N261" s="884">
        <f t="shared" si="66"/>
        <v>0</v>
      </c>
      <c r="O261" s="885">
        <f t="shared" si="80"/>
        <v>0</v>
      </c>
      <c r="P261" s="884">
        <f t="shared" si="81"/>
        <v>0</v>
      </c>
      <c r="Q261" s="885">
        <f t="shared" si="82"/>
        <v>0</v>
      </c>
      <c r="R261" s="874">
        <f t="shared" si="83"/>
        <v>0</v>
      </c>
      <c r="S261" s="882">
        <f t="shared" si="67"/>
        <v>0</v>
      </c>
      <c r="T261" s="884">
        <f t="shared" si="68"/>
        <v>0</v>
      </c>
      <c r="U261" s="885">
        <f t="shared" si="69"/>
        <v>0</v>
      </c>
      <c r="V261" s="884">
        <f t="shared" si="70"/>
        <v>0</v>
      </c>
      <c r="W261" s="885">
        <f t="shared" si="84"/>
        <v>0</v>
      </c>
      <c r="X261" s="884">
        <f t="shared" si="71"/>
        <v>0</v>
      </c>
      <c r="Y261" s="885">
        <f t="shared" si="85"/>
        <v>0</v>
      </c>
      <c r="Z261" s="884">
        <f t="shared" si="86"/>
        <v>0</v>
      </c>
      <c r="AA261" s="885">
        <f t="shared" si="87"/>
        <v>0</v>
      </c>
      <c r="AB261" s="884">
        <f t="shared" si="72"/>
        <v>0</v>
      </c>
      <c r="AC261" s="885">
        <f t="shared" si="73"/>
        <v>0</v>
      </c>
      <c r="AD261" s="884">
        <f t="shared" si="88"/>
        <v>0</v>
      </c>
      <c r="AE261" s="885">
        <f t="shared" si="74"/>
        <v>0</v>
      </c>
      <c r="AF261" s="884">
        <f t="shared" si="89"/>
        <v>0</v>
      </c>
      <c r="AG261" s="885">
        <f t="shared" si="90"/>
        <v>0</v>
      </c>
      <c r="AH261" s="884">
        <f t="shared" si="91"/>
        <v>0</v>
      </c>
      <c r="AI261" s="888">
        <f t="shared" si="92"/>
        <v>0</v>
      </c>
    </row>
    <row r="262" spans="1:96" x14ac:dyDescent="0.25">
      <c r="A262" s="910">
        <v>38</v>
      </c>
      <c r="B262" s="887">
        <f t="shared" si="59"/>
        <v>0</v>
      </c>
      <c r="C262" s="885">
        <f t="shared" si="60"/>
        <v>0</v>
      </c>
      <c r="D262" s="884">
        <f t="shared" si="61"/>
        <v>0</v>
      </c>
      <c r="E262" s="885">
        <f t="shared" si="62"/>
        <v>0</v>
      </c>
      <c r="F262" s="884">
        <f t="shared" si="75"/>
        <v>0</v>
      </c>
      <c r="G262" s="885">
        <f t="shared" si="63"/>
        <v>0</v>
      </c>
      <c r="H262" s="884">
        <f t="shared" si="76"/>
        <v>0</v>
      </c>
      <c r="I262" s="885">
        <f t="shared" si="77"/>
        <v>0</v>
      </c>
      <c r="J262" s="884">
        <f t="shared" si="78"/>
        <v>0</v>
      </c>
      <c r="K262" s="885">
        <f t="shared" si="64"/>
        <v>0</v>
      </c>
      <c r="L262" s="884">
        <f t="shared" si="65"/>
        <v>0</v>
      </c>
      <c r="M262" s="885">
        <f t="shared" si="79"/>
        <v>0</v>
      </c>
      <c r="N262" s="884">
        <f t="shared" si="66"/>
        <v>0</v>
      </c>
      <c r="O262" s="885">
        <f t="shared" si="80"/>
        <v>0</v>
      </c>
      <c r="P262" s="884">
        <f t="shared" si="81"/>
        <v>0</v>
      </c>
      <c r="Q262" s="885">
        <f t="shared" si="82"/>
        <v>0</v>
      </c>
      <c r="R262" s="874">
        <f t="shared" si="83"/>
        <v>0</v>
      </c>
      <c r="S262" s="882">
        <f t="shared" si="67"/>
        <v>0</v>
      </c>
      <c r="T262" s="884">
        <f t="shared" si="68"/>
        <v>0</v>
      </c>
      <c r="U262" s="885">
        <f t="shared" si="69"/>
        <v>0</v>
      </c>
      <c r="V262" s="884">
        <f t="shared" si="70"/>
        <v>0</v>
      </c>
      <c r="W262" s="885">
        <f t="shared" si="84"/>
        <v>0</v>
      </c>
      <c r="X262" s="884">
        <f t="shared" si="71"/>
        <v>0</v>
      </c>
      <c r="Y262" s="885">
        <f t="shared" si="85"/>
        <v>0</v>
      </c>
      <c r="Z262" s="884">
        <f t="shared" si="86"/>
        <v>0</v>
      </c>
      <c r="AA262" s="885">
        <f t="shared" si="87"/>
        <v>0</v>
      </c>
      <c r="AB262" s="884">
        <f t="shared" si="72"/>
        <v>0</v>
      </c>
      <c r="AC262" s="885">
        <f t="shared" si="73"/>
        <v>0</v>
      </c>
      <c r="AD262" s="884">
        <f t="shared" si="88"/>
        <v>0</v>
      </c>
      <c r="AE262" s="885">
        <f t="shared" si="74"/>
        <v>0</v>
      </c>
      <c r="AF262" s="884">
        <f t="shared" si="89"/>
        <v>0</v>
      </c>
      <c r="AG262" s="885">
        <f t="shared" si="90"/>
        <v>0</v>
      </c>
      <c r="AH262" s="884">
        <f t="shared" si="91"/>
        <v>0</v>
      </c>
      <c r="AI262" s="888">
        <f t="shared" si="92"/>
        <v>0</v>
      </c>
    </row>
    <row r="263" spans="1:96" x14ac:dyDescent="0.25">
      <c r="A263" s="910">
        <v>39</v>
      </c>
      <c r="B263" s="887">
        <f t="shared" si="59"/>
        <v>0</v>
      </c>
      <c r="C263" s="885">
        <f t="shared" si="60"/>
        <v>0</v>
      </c>
      <c r="D263" s="884">
        <f t="shared" si="61"/>
        <v>0</v>
      </c>
      <c r="E263" s="885">
        <f t="shared" si="62"/>
        <v>0</v>
      </c>
      <c r="F263" s="884">
        <f t="shared" si="75"/>
        <v>0</v>
      </c>
      <c r="G263" s="885">
        <f t="shared" si="63"/>
        <v>0</v>
      </c>
      <c r="H263" s="884">
        <f t="shared" si="76"/>
        <v>0</v>
      </c>
      <c r="I263" s="885">
        <f t="shared" si="77"/>
        <v>0</v>
      </c>
      <c r="J263" s="884">
        <f t="shared" si="78"/>
        <v>0</v>
      </c>
      <c r="K263" s="885">
        <f t="shared" si="64"/>
        <v>0</v>
      </c>
      <c r="L263" s="884">
        <f t="shared" si="65"/>
        <v>0</v>
      </c>
      <c r="M263" s="885">
        <f t="shared" si="79"/>
        <v>0</v>
      </c>
      <c r="N263" s="884">
        <f t="shared" si="66"/>
        <v>0</v>
      </c>
      <c r="O263" s="885">
        <f t="shared" si="80"/>
        <v>0</v>
      </c>
      <c r="P263" s="884">
        <f t="shared" si="81"/>
        <v>0</v>
      </c>
      <c r="Q263" s="885">
        <f t="shared" si="82"/>
        <v>0</v>
      </c>
      <c r="R263" s="874">
        <f t="shared" si="83"/>
        <v>0</v>
      </c>
      <c r="S263" s="882">
        <f t="shared" si="67"/>
        <v>0</v>
      </c>
      <c r="T263" s="884">
        <f t="shared" si="68"/>
        <v>0</v>
      </c>
      <c r="U263" s="885">
        <f t="shared" si="69"/>
        <v>0</v>
      </c>
      <c r="V263" s="884">
        <f t="shared" si="70"/>
        <v>0</v>
      </c>
      <c r="W263" s="885">
        <f t="shared" si="84"/>
        <v>0</v>
      </c>
      <c r="X263" s="884">
        <f t="shared" si="71"/>
        <v>0</v>
      </c>
      <c r="Y263" s="885">
        <f t="shared" si="85"/>
        <v>0</v>
      </c>
      <c r="Z263" s="884">
        <f t="shared" si="86"/>
        <v>0</v>
      </c>
      <c r="AA263" s="885">
        <f t="shared" si="87"/>
        <v>0</v>
      </c>
      <c r="AB263" s="884">
        <f t="shared" si="72"/>
        <v>0</v>
      </c>
      <c r="AC263" s="885">
        <f t="shared" si="73"/>
        <v>0</v>
      </c>
      <c r="AD263" s="884">
        <f t="shared" si="88"/>
        <v>0</v>
      </c>
      <c r="AE263" s="885">
        <f t="shared" si="74"/>
        <v>0</v>
      </c>
      <c r="AF263" s="884">
        <f t="shared" si="89"/>
        <v>0</v>
      </c>
      <c r="AG263" s="885">
        <f t="shared" si="90"/>
        <v>0</v>
      </c>
      <c r="AH263" s="884">
        <f t="shared" si="91"/>
        <v>0</v>
      </c>
      <c r="AI263" s="888">
        <f t="shared" si="92"/>
        <v>0</v>
      </c>
    </row>
    <row r="264" spans="1:96" ht="13.8" thickBot="1" x14ac:dyDescent="0.3">
      <c r="A264" s="911">
        <v>40</v>
      </c>
      <c r="B264" s="896">
        <f t="shared" si="59"/>
        <v>0</v>
      </c>
      <c r="C264" s="894">
        <f t="shared" si="60"/>
        <v>0</v>
      </c>
      <c r="D264" s="893">
        <f t="shared" si="61"/>
        <v>0</v>
      </c>
      <c r="E264" s="894">
        <f t="shared" si="62"/>
        <v>0</v>
      </c>
      <c r="F264" s="893">
        <f t="shared" si="75"/>
        <v>0</v>
      </c>
      <c r="G264" s="894">
        <f t="shared" si="63"/>
        <v>0</v>
      </c>
      <c r="H264" s="893">
        <f t="shared" si="76"/>
        <v>0</v>
      </c>
      <c r="I264" s="894">
        <f t="shared" si="77"/>
        <v>0</v>
      </c>
      <c r="J264" s="893">
        <f t="shared" si="78"/>
        <v>0</v>
      </c>
      <c r="K264" s="894">
        <f t="shared" si="64"/>
        <v>0</v>
      </c>
      <c r="L264" s="893">
        <f t="shared" si="65"/>
        <v>0</v>
      </c>
      <c r="M264" s="894">
        <f t="shared" si="79"/>
        <v>0</v>
      </c>
      <c r="N264" s="893">
        <f t="shared" si="66"/>
        <v>0</v>
      </c>
      <c r="O264" s="894">
        <f t="shared" si="80"/>
        <v>0</v>
      </c>
      <c r="P264" s="893">
        <f t="shared" si="81"/>
        <v>0</v>
      </c>
      <c r="Q264" s="894">
        <f t="shared" si="82"/>
        <v>0</v>
      </c>
      <c r="R264" s="892">
        <f t="shared" si="83"/>
        <v>0</v>
      </c>
      <c r="S264" s="890">
        <f t="shared" si="67"/>
        <v>0</v>
      </c>
      <c r="T264" s="893">
        <f t="shared" si="68"/>
        <v>0</v>
      </c>
      <c r="U264" s="894">
        <f t="shared" si="69"/>
        <v>0</v>
      </c>
      <c r="V264" s="893">
        <f t="shared" si="70"/>
        <v>0</v>
      </c>
      <c r="W264" s="894">
        <f t="shared" si="84"/>
        <v>0</v>
      </c>
      <c r="X264" s="893">
        <f t="shared" si="71"/>
        <v>0</v>
      </c>
      <c r="Y264" s="894">
        <f t="shared" si="85"/>
        <v>0</v>
      </c>
      <c r="Z264" s="893">
        <f t="shared" si="86"/>
        <v>0</v>
      </c>
      <c r="AA264" s="894">
        <f t="shared" si="87"/>
        <v>0</v>
      </c>
      <c r="AB264" s="893">
        <f t="shared" si="72"/>
        <v>0</v>
      </c>
      <c r="AC264" s="894">
        <f t="shared" si="73"/>
        <v>0</v>
      </c>
      <c r="AD264" s="893">
        <f t="shared" si="88"/>
        <v>0</v>
      </c>
      <c r="AE264" s="894">
        <f t="shared" si="74"/>
        <v>0</v>
      </c>
      <c r="AF264" s="893">
        <f t="shared" si="89"/>
        <v>0</v>
      </c>
      <c r="AG264" s="894">
        <f t="shared" si="90"/>
        <v>0</v>
      </c>
      <c r="AH264" s="893">
        <f t="shared" si="91"/>
        <v>0</v>
      </c>
      <c r="AI264" s="897">
        <f t="shared" si="92"/>
        <v>0</v>
      </c>
    </row>
    <row r="265" spans="1:96" x14ac:dyDescent="0.25">
      <c r="A265" s="656"/>
    </row>
    <row r="266" spans="1:96" x14ac:dyDescent="0.25">
      <c r="A266" s="656"/>
    </row>
    <row r="267" spans="1:96" ht="13.8" thickBot="1" x14ac:dyDescent="0.3">
      <c r="A267" s="656"/>
    </row>
    <row r="268" spans="1:96" ht="27" customHeight="1" thickBot="1" x14ac:dyDescent="0.3">
      <c r="A268" s="656"/>
      <c r="B268" s="1382" t="s">
        <v>338</v>
      </c>
      <c r="C268" s="1383"/>
      <c r="D268" s="1384"/>
      <c r="H268" s="1385" t="s">
        <v>339</v>
      </c>
      <c r="I268" s="1386"/>
      <c r="J268" s="1387"/>
      <c r="AG268" s="1391" t="s">
        <v>340</v>
      </c>
      <c r="AH268" s="1392"/>
      <c r="AI268" s="1393"/>
      <c r="AR268" s="1388" t="s">
        <v>341</v>
      </c>
      <c r="AS268" s="1389"/>
      <c r="AT268" s="1390"/>
    </row>
    <row r="269" spans="1:96" s="925" customFormat="1" ht="20.25" customHeight="1" thickBot="1" x14ac:dyDescent="0.35">
      <c r="A269" s="904" t="s">
        <v>43</v>
      </c>
      <c r="B269" s="912" t="s">
        <v>342</v>
      </c>
      <c r="C269" s="913" t="s">
        <v>343</v>
      </c>
      <c r="D269" s="912" t="s">
        <v>180</v>
      </c>
      <c r="E269" s="914" t="s">
        <v>181</v>
      </c>
      <c r="F269" s="915" t="s">
        <v>182</v>
      </c>
      <c r="G269" s="916" t="s">
        <v>183</v>
      </c>
      <c r="H269" s="917" t="s">
        <v>344</v>
      </c>
      <c r="I269" s="918" t="s">
        <v>345</v>
      </c>
      <c r="J269" s="919" t="s">
        <v>346</v>
      </c>
      <c r="K269" s="912" t="s">
        <v>32</v>
      </c>
      <c r="L269" s="914" t="s">
        <v>291</v>
      </c>
      <c r="M269" s="915" t="s">
        <v>292</v>
      </c>
      <c r="N269" s="914" t="s">
        <v>293</v>
      </c>
      <c r="O269" s="915" t="s">
        <v>294</v>
      </c>
      <c r="P269" s="914" t="s">
        <v>295</v>
      </c>
      <c r="Q269" s="915" t="s">
        <v>296</v>
      </c>
      <c r="R269" s="914" t="s">
        <v>297</v>
      </c>
      <c r="S269" s="915" t="s">
        <v>298</v>
      </c>
      <c r="T269" s="914" t="s">
        <v>299</v>
      </c>
      <c r="U269" s="920" t="s">
        <v>300</v>
      </c>
      <c r="V269" s="915" t="s">
        <v>33</v>
      </c>
      <c r="W269" s="914" t="s">
        <v>308</v>
      </c>
      <c r="X269" s="914" t="s">
        <v>309</v>
      </c>
      <c r="Y269" s="915" t="s">
        <v>310</v>
      </c>
      <c r="Z269" s="914" t="s">
        <v>311</v>
      </c>
      <c r="AA269" s="915" t="s">
        <v>312</v>
      </c>
      <c r="AB269" s="914" t="s">
        <v>313</v>
      </c>
      <c r="AC269" s="915" t="s">
        <v>314</v>
      </c>
      <c r="AD269" s="914" t="s">
        <v>315</v>
      </c>
      <c r="AE269" s="915" t="s">
        <v>316</v>
      </c>
      <c r="AF269" s="913" t="s">
        <v>317</v>
      </c>
      <c r="AG269" s="912" t="s">
        <v>347</v>
      </c>
      <c r="AH269" s="914" t="s">
        <v>348</v>
      </c>
      <c r="AI269" s="915" t="s">
        <v>349</v>
      </c>
      <c r="AJ269" s="914" t="s">
        <v>350</v>
      </c>
      <c r="AK269" s="915" t="s">
        <v>351</v>
      </c>
      <c r="AL269" s="914" t="s">
        <v>352</v>
      </c>
      <c r="AM269" s="915" t="s">
        <v>353</v>
      </c>
      <c r="AN269" s="914" t="s">
        <v>354</v>
      </c>
      <c r="AO269" s="915" t="s">
        <v>355</v>
      </c>
      <c r="AP269" s="914" t="s">
        <v>356</v>
      </c>
      <c r="AQ269" s="921" t="s">
        <v>357</v>
      </c>
      <c r="AR269" s="922" t="s">
        <v>358</v>
      </c>
      <c r="AS269" s="918" t="s">
        <v>359</v>
      </c>
      <c r="AT269" s="922" t="s">
        <v>360</v>
      </c>
      <c r="AU269" s="923" t="s">
        <v>361</v>
      </c>
      <c r="AV269" s="924" t="s">
        <v>362</v>
      </c>
      <c r="AW269" s="923" t="s">
        <v>363</v>
      </c>
      <c r="AX269" s="924" t="s">
        <v>364</v>
      </c>
      <c r="AY269" s="923" t="s">
        <v>365</v>
      </c>
      <c r="AZ269" s="924" t="s">
        <v>366</v>
      </c>
      <c r="BA269" s="923" t="s">
        <v>367</v>
      </c>
      <c r="BB269" s="924" t="s">
        <v>368</v>
      </c>
      <c r="BC269" s="656"/>
      <c r="BD269" s="656"/>
      <c r="BE269" s="656"/>
      <c r="BF269" s="656"/>
      <c r="BG269" s="656"/>
      <c r="BH269" s="656"/>
      <c r="BI269" s="656"/>
      <c r="BJ269" s="656"/>
      <c r="BK269" s="656"/>
      <c r="BL269" s="656"/>
      <c r="BM269" s="656"/>
      <c r="BN269" s="656"/>
      <c r="BO269" s="656"/>
      <c r="BP269" s="656"/>
      <c r="BQ269" s="656"/>
      <c r="BR269" s="656"/>
      <c r="BS269" s="656"/>
      <c r="BT269" s="656"/>
      <c r="BU269" s="656"/>
      <c r="BV269" s="656"/>
      <c r="BW269" s="656"/>
      <c r="BX269" s="656"/>
      <c r="BY269" s="656"/>
      <c r="BZ269" s="656"/>
      <c r="CA269" s="656"/>
      <c r="CB269" s="656"/>
      <c r="CC269" s="656"/>
      <c r="CD269" s="656"/>
      <c r="CE269" s="656"/>
      <c r="CF269" s="656"/>
      <c r="CG269" s="656"/>
      <c r="CH269" s="656"/>
      <c r="CI269" s="656"/>
      <c r="CJ269" s="656"/>
      <c r="CK269" s="656"/>
      <c r="CL269" s="656"/>
      <c r="CM269" s="656"/>
      <c r="CN269" s="656"/>
      <c r="CO269" s="656"/>
      <c r="CP269" s="656"/>
      <c r="CQ269" s="656"/>
      <c r="CR269" s="656"/>
    </row>
    <row r="270" spans="1:96" s="148" customFormat="1" x14ac:dyDescent="0.25">
      <c r="A270" s="926">
        <v>1</v>
      </c>
      <c r="B270" s="927">
        <f>IF(ISNUMBER(System!$AB4),SIGN(System!AB4),0)</f>
        <v>0</v>
      </c>
      <c r="C270" s="928">
        <f>IF(System!AC4&lt;&gt;0,1,0)</f>
        <v>0</v>
      </c>
      <c r="D270" s="927">
        <f>IF(OR(B270&lt;&gt;0,C270&lt;&gt;0),System!BC122+IF(ISNUMBER(B270),SIGN(B270),1)*E5*0.5,0)</f>
        <v>0</v>
      </c>
      <c r="E270" s="929">
        <f>IF(OR(B270&lt;&gt;0,C270&lt;&gt;0),System!BD122+IF(ISNUMBER(B270),SIGN(B270),1)*E5*0.5,0)</f>
        <v>0</v>
      </c>
      <c r="F270" s="930">
        <f>IF(OR(B270&lt;&gt;0,C270&lt;&gt;0),System!BE122+IF(ISNUMBER(B270),SIGN(B270),1)*F5,0)</f>
        <v>0</v>
      </c>
      <c r="G270" s="931">
        <f>IF(OR(B270&lt;&gt;0,C270&lt;&gt;0),System!BF122+IF(ISNUMBER(B270),SIGN(B270),1)*F5,0)</f>
        <v>0</v>
      </c>
      <c r="H270" s="927">
        <f>IF(ABS(B270)+ABS(C270)&lt;&gt;0,((E270-D270)/10),0)</f>
        <v>0</v>
      </c>
      <c r="I270" s="929">
        <f>IF(ABS(B270)+ABS(C270)&lt;&gt;0,((G270-F270)/10),0)</f>
        <v>0</v>
      </c>
      <c r="J270" s="932">
        <f>IF(ABS(B270)+ABS(C270)&lt;&gt;0,0.2,0)</f>
        <v>0</v>
      </c>
      <c r="K270" s="927">
        <f>D270</f>
        <v>0</v>
      </c>
      <c r="L270" s="929">
        <f t="shared" ref="L270:U285" si="93">K270+$H270</f>
        <v>0</v>
      </c>
      <c r="M270" s="930">
        <f t="shared" si="93"/>
        <v>0</v>
      </c>
      <c r="N270" s="929">
        <f t="shared" si="93"/>
        <v>0</v>
      </c>
      <c r="O270" s="930">
        <f t="shared" si="93"/>
        <v>0</v>
      </c>
      <c r="P270" s="929">
        <f t="shared" si="93"/>
        <v>0</v>
      </c>
      <c r="Q270" s="930">
        <f t="shared" si="93"/>
        <v>0</v>
      </c>
      <c r="R270" s="929">
        <f t="shared" si="93"/>
        <v>0</v>
      </c>
      <c r="S270" s="930">
        <f t="shared" si="93"/>
        <v>0</v>
      </c>
      <c r="T270" s="929">
        <f t="shared" si="93"/>
        <v>0</v>
      </c>
      <c r="U270" s="933">
        <f t="shared" si="93"/>
        <v>0</v>
      </c>
      <c r="V270" s="930">
        <f>F270</f>
        <v>0</v>
      </c>
      <c r="W270" s="929">
        <f t="shared" ref="W270:AF285" si="94">V270+$I270</f>
        <v>0</v>
      </c>
      <c r="X270" s="929">
        <f t="shared" si="94"/>
        <v>0</v>
      </c>
      <c r="Y270" s="930">
        <f t="shared" si="94"/>
        <v>0</v>
      </c>
      <c r="Z270" s="929">
        <f t="shared" si="94"/>
        <v>0</v>
      </c>
      <c r="AA270" s="930">
        <f t="shared" si="94"/>
        <v>0</v>
      </c>
      <c r="AB270" s="929">
        <f t="shared" si="94"/>
        <v>0</v>
      </c>
      <c r="AC270" s="930">
        <f t="shared" si="94"/>
        <v>0</v>
      </c>
      <c r="AD270" s="929">
        <f t="shared" si="94"/>
        <v>0</v>
      </c>
      <c r="AE270" s="930">
        <f t="shared" si="94"/>
        <v>0</v>
      </c>
      <c r="AF270" s="928">
        <f t="shared" si="94"/>
        <v>0</v>
      </c>
      <c r="AG270" s="927">
        <f ca="1">K270+$E5*$J270</f>
        <v>0</v>
      </c>
      <c r="AH270" s="929">
        <f ca="1">L270-$E5*$J270</f>
        <v>0</v>
      </c>
      <c r="AI270" s="930">
        <f ca="1">M270+$E5*$J270</f>
        <v>0</v>
      </c>
      <c r="AJ270" s="929">
        <f ca="1">N270-$E5*$J270</f>
        <v>0</v>
      </c>
      <c r="AK270" s="930">
        <f ca="1">O270+$E5*$J270</f>
        <v>0</v>
      </c>
      <c r="AL270" s="929">
        <f ca="1">P270-$E5*$J270</f>
        <v>0</v>
      </c>
      <c r="AM270" s="930">
        <f ca="1">Q270+$E5*$J270</f>
        <v>0</v>
      </c>
      <c r="AN270" s="929">
        <f ca="1">R270-$E5*$J270</f>
        <v>0</v>
      </c>
      <c r="AO270" s="930">
        <f ca="1">S270+$E5*$J270</f>
        <v>0</v>
      </c>
      <c r="AP270" s="929">
        <f ca="1">T270-$E5*$J270</f>
        <v>0</v>
      </c>
      <c r="AQ270" s="932">
        <f ca="1">U270+$E5*$J270</f>
        <v>0</v>
      </c>
      <c r="AR270" s="934">
        <f ca="1">V270+$F5*$J270</f>
        <v>0</v>
      </c>
      <c r="AS270" s="935">
        <f ca="1">W270-$F5*$J270</f>
        <v>0</v>
      </c>
      <c r="AT270" s="936">
        <f ca="1">X270+$F5*$J270</f>
        <v>0</v>
      </c>
      <c r="AU270" s="935">
        <f ca="1">Y270-$F5*$J270</f>
        <v>0</v>
      </c>
      <c r="AV270" s="936">
        <f ca="1">Z270+$F5*$J270</f>
        <v>0</v>
      </c>
      <c r="AW270" s="935">
        <f ca="1">AA270-$F5*$J270</f>
        <v>0</v>
      </c>
      <c r="AX270" s="936">
        <f ca="1">AB270+$F5*$J270</f>
        <v>0</v>
      </c>
      <c r="AY270" s="935">
        <f ca="1">AC270-$F5*$J270</f>
        <v>0</v>
      </c>
      <c r="AZ270" s="936">
        <f ca="1">AD270+$F5*$J270</f>
        <v>0</v>
      </c>
      <c r="BA270" s="935">
        <f ca="1">AE270-$F5*$J270</f>
        <v>0</v>
      </c>
      <c r="BB270" s="937">
        <f ca="1">AF270+$F5*$J270</f>
        <v>0</v>
      </c>
    </row>
    <row r="271" spans="1:96" s="148" customFormat="1" x14ac:dyDescent="0.25">
      <c r="A271" s="926">
        <v>2</v>
      </c>
      <c r="B271" s="927">
        <f>IF(ISNUMBER(System!$AB5),SIGN(System!AB5),0)</f>
        <v>0</v>
      </c>
      <c r="C271" s="928">
        <f>IF(System!AC5&lt;&gt;0,1,0)</f>
        <v>0</v>
      </c>
      <c r="D271" s="927">
        <f>IF(OR(B271&lt;&gt;0,C271&lt;&gt;0),System!BC123+IF(ISNUMBER(B271),SIGN(B271),1)*E6*1,0)</f>
        <v>0</v>
      </c>
      <c r="E271" s="929">
        <f>IF(OR(B271&lt;&gt;0,C271&lt;&gt;0),System!BD123+IF(ISNUMBER(B271),SIGN(B271),1)*E6,0)</f>
        <v>0</v>
      </c>
      <c r="F271" s="930">
        <f>IF(OR(B271&lt;&gt;0,C271&lt;&gt;0),System!BE123+IF(ISNUMBER(B271),SIGN(B271),1)*F6,0)</f>
        <v>0</v>
      </c>
      <c r="G271" s="931">
        <f>IF(OR(B271&lt;&gt;0,C271&lt;&gt;0),System!BF123+IF(ISNUMBER(B271),SIGN(B271),1)*F6,0)</f>
        <v>0</v>
      </c>
      <c r="H271" s="927">
        <f t="shared" ref="H271:H307" si="95">IF(ABS(B271)+ABS(C271)&lt;&gt;0,((E271-D271)/10),0)</f>
        <v>0</v>
      </c>
      <c r="I271" s="929">
        <f t="shared" ref="I271:I307" si="96">IF(ABS(B271)+ABS(C271)&lt;&gt;0,((G271-F271)/10),0)</f>
        <v>0</v>
      </c>
      <c r="J271" s="932">
        <f t="shared" ref="J271:J309" si="97">IF(ABS(B271)+ABS(C271)&lt;&gt;0,0.2,0)</f>
        <v>0</v>
      </c>
      <c r="K271" s="927">
        <f>D271</f>
        <v>0</v>
      </c>
      <c r="L271" s="929">
        <f t="shared" si="93"/>
        <v>0</v>
      </c>
      <c r="M271" s="930">
        <f t="shared" si="93"/>
        <v>0</v>
      </c>
      <c r="N271" s="929">
        <f t="shared" si="93"/>
        <v>0</v>
      </c>
      <c r="O271" s="930">
        <f t="shared" si="93"/>
        <v>0</v>
      </c>
      <c r="P271" s="929">
        <f t="shared" si="93"/>
        <v>0</v>
      </c>
      <c r="Q271" s="930">
        <f t="shared" si="93"/>
        <v>0</v>
      </c>
      <c r="R271" s="929">
        <f t="shared" si="93"/>
        <v>0</v>
      </c>
      <c r="S271" s="930">
        <f t="shared" si="93"/>
        <v>0</v>
      </c>
      <c r="T271" s="929">
        <f t="shared" si="93"/>
        <v>0</v>
      </c>
      <c r="U271" s="933">
        <f t="shared" si="93"/>
        <v>0</v>
      </c>
      <c r="V271" s="930">
        <f>F271</f>
        <v>0</v>
      </c>
      <c r="W271" s="929">
        <f t="shared" si="94"/>
        <v>0</v>
      </c>
      <c r="X271" s="929">
        <f t="shared" si="94"/>
        <v>0</v>
      </c>
      <c r="Y271" s="930">
        <f t="shared" si="94"/>
        <v>0</v>
      </c>
      <c r="Z271" s="929">
        <f t="shared" si="94"/>
        <v>0</v>
      </c>
      <c r="AA271" s="930">
        <f t="shared" si="94"/>
        <v>0</v>
      </c>
      <c r="AB271" s="929">
        <f t="shared" si="94"/>
        <v>0</v>
      </c>
      <c r="AC271" s="930">
        <f t="shared" si="94"/>
        <v>0</v>
      </c>
      <c r="AD271" s="929">
        <f t="shared" si="94"/>
        <v>0</v>
      </c>
      <c r="AE271" s="930">
        <f t="shared" si="94"/>
        <v>0</v>
      </c>
      <c r="AF271" s="928">
        <f t="shared" si="94"/>
        <v>0</v>
      </c>
      <c r="AG271" s="927">
        <f t="shared" ref="AG271:AG309" ca="1" si="98">K271+$E6*$J271</f>
        <v>0</v>
      </c>
      <c r="AH271" s="929">
        <f ca="1">L271-$E6*$J271</f>
        <v>0</v>
      </c>
      <c r="AI271" s="930">
        <f t="shared" ref="AI271:AI309" ca="1" si="99">M271+$E6*$J271</f>
        <v>0</v>
      </c>
      <c r="AJ271" s="929">
        <f t="shared" ref="AJ271:AJ309" ca="1" si="100">N271-$E6*$J271</f>
        <v>0</v>
      </c>
      <c r="AK271" s="930">
        <f t="shared" ref="AK271:AK309" ca="1" si="101">O271+$E6*$J271</f>
        <v>0</v>
      </c>
      <c r="AL271" s="929">
        <f t="shared" ref="AL271:AL309" ca="1" si="102">P271-$E6*$J271</f>
        <v>0</v>
      </c>
      <c r="AM271" s="930">
        <f t="shared" ref="AM271:AM309" ca="1" si="103">Q271+$E6*$J271</f>
        <v>0</v>
      </c>
      <c r="AN271" s="929">
        <f t="shared" ref="AN271:AN309" ca="1" si="104">R271-$E6*$J271</f>
        <v>0</v>
      </c>
      <c r="AO271" s="930">
        <f t="shared" ref="AO271:AO309" ca="1" si="105">S271+$E6*$J271</f>
        <v>0</v>
      </c>
      <c r="AP271" s="929">
        <f t="shared" ref="AP271:AP309" ca="1" si="106">T271-$E6*$J271</f>
        <v>0</v>
      </c>
      <c r="AQ271" s="932">
        <f t="shared" ref="AQ271:AQ309" ca="1" si="107">U271+$E6*$J271</f>
        <v>0</v>
      </c>
      <c r="AR271" s="927">
        <f t="shared" ref="AR271:AR309" ca="1" si="108">V271+$F6*$J271</f>
        <v>0</v>
      </c>
      <c r="AS271" s="929">
        <f t="shared" ref="AS271:AS309" ca="1" si="109">W271-$F6*$J271</f>
        <v>0</v>
      </c>
      <c r="AT271" s="930">
        <f t="shared" ref="AT271:AT309" ca="1" si="110">X271+$F6*$J271</f>
        <v>0</v>
      </c>
      <c r="AU271" s="929">
        <f t="shared" ref="AU271:AU309" ca="1" si="111">Y271-$F6*$J271</f>
        <v>0</v>
      </c>
      <c r="AV271" s="930">
        <f t="shared" ref="AV271:AV309" ca="1" si="112">Z271+$F6*$J271</f>
        <v>0</v>
      </c>
      <c r="AW271" s="929">
        <f t="shared" ref="AW271:AW309" ca="1" si="113">AA271-$F6*$J271</f>
        <v>0</v>
      </c>
      <c r="AX271" s="930">
        <f t="shared" ref="AX271:AX309" ca="1" si="114">AB271+$F6*$J271</f>
        <v>0</v>
      </c>
      <c r="AY271" s="929">
        <f t="shared" ref="AY271:AY309" ca="1" si="115">AC271-$F6*$J271</f>
        <v>0</v>
      </c>
      <c r="AZ271" s="930">
        <f t="shared" ref="AZ271:AZ309" ca="1" si="116">AD271+$F6*$J271</f>
        <v>0</v>
      </c>
      <c r="BA271" s="929">
        <f t="shared" ref="BA271:BA309" ca="1" si="117">AE271-$F6*$J271</f>
        <v>0</v>
      </c>
      <c r="BB271" s="932">
        <f t="shared" ref="BB271:BB309" ca="1" si="118">AF271+$F6*$J271</f>
        <v>0</v>
      </c>
    </row>
    <row r="272" spans="1:96" s="148" customFormat="1" x14ac:dyDescent="0.25">
      <c r="A272" s="926">
        <v>3</v>
      </c>
      <c r="B272" s="927">
        <f>IF(ISNUMBER(System!$AB6),SIGN(System!AB6),0)</f>
        <v>0</v>
      </c>
      <c r="C272" s="928">
        <f>IF(System!AC6&lt;&gt;0,1,0)</f>
        <v>0</v>
      </c>
      <c r="D272" s="927">
        <f>IF(OR(B272&lt;&gt;0,C272&lt;&gt;0),System!BC124+IF(ISNUMBER(B272),SIGN(B272),1)*E7*1,0)</f>
        <v>0</v>
      </c>
      <c r="E272" s="929">
        <f>IF(OR(B272&lt;&gt;0,C272&lt;&gt;0),System!BD124+IF(ISNUMBER(B272),SIGN(B272),1)*E7,0)</f>
        <v>0</v>
      </c>
      <c r="F272" s="930">
        <f>IF(OR(B272&lt;&gt;0,C272&lt;&gt;0),System!BE124+IF(ISNUMBER(B272),SIGN(B272),1)*F7,0)</f>
        <v>0</v>
      </c>
      <c r="G272" s="931">
        <f>IF(OR(B272&lt;&gt;0,C272&lt;&gt;0),System!BF124+IF(ISNUMBER(B272),SIGN(B272),1)*F7,0)</f>
        <v>0</v>
      </c>
      <c r="H272" s="927">
        <f t="shared" si="95"/>
        <v>0</v>
      </c>
      <c r="I272" s="929">
        <f t="shared" si="96"/>
        <v>0</v>
      </c>
      <c r="J272" s="932">
        <f t="shared" si="97"/>
        <v>0</v>
      </c>
      <c r="K272" s="927">
        <f t="shared" ref="K272:K309" si="119">D272</f>
        <v>0</v>
      </c>
      <c r="L272" s="929">
        <f t="shared" si="93"/>
        <v>0</v>
      </c>
      <c r="M272" s="930">
        <f t="shared" si="93"/>
        <v>0</v>
      </c>
      <c r="N272" s="929">
        <f t="shared" si="93"/>
        <v>0</v>
      </c>
      <c r="O272" s="930">
        <f t="shared" si="93"/>
        <v>0</v>
      </c>
      <c r="P272" s="929">
        <f t="shared" si="93"/>
        <v>0</v>
      </c>
      <c r="Q272" s="930">
        <f t="shared" si="93"/>
        <v>0</v>
      </c>
      <c r="R272" s="929">
        <f t="shared" si="93"/>
        <v>0</v>
      </c>
      <c r="S272" s="930">
        <f t="shared" si="93"/>
        <v>0</v>
      </c>
      <c r="T272" s="929">
        <f t="shared" si="93"/>
        <v>0</v>
      </c>
      <c r="U272" s="933">
        <f t="shared" si="93"/>
        <v>0</v>
      </c>
      <c r="V272" s="930">
        <f t="shared" ref="V272:V309" si="120">F272</f>
        <v>0</v>
      </c>
      <c r="W272" s="929">
        <f t="shared" si="94"/>
        <v>0</v>
      </c>
      <c r="X272" s="929">
        <f t="shared" si="94"/>
        <v>0</v>
      </c>
      <c r="Y272" s="930">
        <f t="shared" si="94"/>
        <v>0</v>
      </c>
      <c r="Z272" s="929">
        <f t="shared" si="94"/>
        <v>0</v>
      </c>
      <c r="AA272" s="930">
        <f t="shared" si="94"/>
        <v>0</v>
      </c>
      <c r="AB272" s="929">
        <f t="shared" si="94"/>
        <v>0</v>
      </c>
      <c r="AC272" s="930">
        <f t="shared" si="94"/>
        <v>0</v>
      </c>
      <c r="AD272" s="929">
        <f t="shared" si="94"/>
        <v>0</v>
      </c>
      <c r="AE272" s="930">
        <f t="shared" si="94"/>
        <v>0</v>
      </c>
      <c r="AF272" s="928">
        <f t="shared" si="94"/>
        <v>0</v>
      </c>
      <c r="AG272" s="927">
        <f t="shared" ca="1" si="98"/>
        <v>0</v>
      </c>
      <c r="AH272" s="929">
        <f t="shared" ref="AH272:AH309" ca="1" si="121">L272-$E7*$J272</f>
        <v>0</v>
      </c>
      <c r="AI272" s="930">
        <f t="shared" ca="1" si="99"/>
        <v>0</v>
      </c>
      <c r="AJ272" s="929">
        <f t="shared" ca="1" si="100"/>
        <v>0</v>
      </c>
      <c r="AK272" s="930">
        <f t="shared" ca="1" si="101"/>
        <v>0</v>
      </c>
      <c r="AL272" s="929">
        <f t="shared" ca="1" si="102"/>
        <v>0</v>
      </c>
      <c r="AM272" s="930">
        <f t="shared" ca="1" si="103"/>
        <v>0</v>
      </c>
      <c r="AN272" s="929">
        <f t="shared" ca="1" si="104"/>
        <v>0</v>
      </c>
      <c r="AO272" s="930">
        <f t="shared" ca="1" si="105"/>
        <v>0</v>
      </c>
      <c r="AP272" s="929">
        <f t="shared" ca="1" si="106"/>
        <v>0</v>
      </c>
      <c r="AQ272" s="932">
        <f t="shared" ca="1" si="107"/>
        <v>0</v>
      </c>
      <c r="AR272" s="927">
        <f t="shared" ca="1" si="108"/>
        <v>0</v>
      </c>
      <c r="AS272" s="929">
        <f t="shared" ca="1" si="109"/>
        <v>0</v>
      </c>
      <c r="AT272" s="930">
        <f t="shared" ca="1" si="110"/>
        <v>0</v>
      </c>
      <c r="AU272" s="929">
        <f t="shared" ca="1" si="111"/>
        <v>0</v>
      </c>
      <c r="AV272" s="930">
        <f t="shared" ca="1" si="112"/>
        <v>0</v>
      </c>
      <c r="AW272" s="929">
        <f t="shared" ca="1" si="113"/>
        <v>0</v>
      </c>
      <c r="AX272" s="930">
        <f t="shared" ca="1" si="114"/>
        <v>0</v>
      </c>
      <c r="AY272" s="929">
        <f t="shared" ca="1" si="115"/>
        <v>0</v>
      </c>
      <c r="AZ272" s="930">
        <f t="shared" ca="1" si="116"/>
        <v>0</v>
      </c>
      <c r="BA272" s="929">
        <f t="shared" ca="1" si="117"/>
        <v>0</v>
      </c>
      <c r="BB272" s="932">
        <f t="shared" ca="1" si="118"/>
        <v>0</v>
      </c>
    </row>
    <row r="273" spans="1:54" s="148" customFormat="1" x14ac:dyDescent="0.25">
      <c r="A273" s="926">
        <v>4</v>
      </c>
      <c r="B273" s="927">
        <f>IF(ISNUMBER(System!$AB7),SIGN(System!AB7),0)</f>
        <v>0</v>
      </c>
      <c r="C273" s="928">
        <f>IF(System!AC7&lt;&gt;0,1,0)</f>
        <v>0</v>
      </c>
      <c r="D273" s="927">
        <f>IF(OR(B273&lt;&gt;0,C273&lt;&gt;0),System!BC125+IF(ISNUMBER(B273),SIGN(B273),1)*E8*1,0)</f>
        <v>0</v>
      </c>
      <c r="E273" s="929">
        <f>IF(OR(B273&lt;&gt;0,C273&lt;&gt;0),System!BD125+IF(ISNUMBER(B273),SIGN(B273),1)*E8,0)</f>
        <v>0</v>
      </c>
      <c r="F273" s="930">
        <f>IF(OR(B273&lt;&gt;0,C273&lt;&gt;0),System!BE125+IF(ISNUMBER(B273),SIGN(B273),1)*F8,0)</f>
        <v>0</v>
      </c>
      <c r="G273" s="931">
        <f>IF(OR(B273&lt;&gt;0,C273&lt;&gt;0),System!BF125+IF(ISNUMBER(B273),SIGN(B273),1)*F8,0)</f>
        <v>0</v>
      </c>
      <c r="H273" s="927">
        <f t="shared" si="95"/>
        <v>0</v>
      </c>
      <c r="I273" s="929">
        <f t="shared" si="96"/>
        <v>0</v>
      </c>
      <c r="J273" s="932">
        <f t="shared" si="97"/>
        <v>0</v>
      </c>
      <c r="K273" s="927">
        <f t="shared" si="119"/>
        <v>0</v>
      </c>
      <c r="L273" s="929">
        <f t="shared" si="93"/>
        <v>0</v>
      </c>
      <c r="M273" s="930">
        <f t="shared" si="93"/>
        <v>0</v>
      </c>
      <c r="N273" s="929">
        <f t="shared" si="93"/>
        <v>0</v>
      </c>
      <c r="O273" s="930">
        <f t="shared" si="93"/>
        <v>0</v>
      </c>
      <c r="P273" s="929">
        <f t="shared" si="93"/>
        <v>0</v>
      </c>
      <c r="Q273" s="930">
        <f t="shared" si="93"/>
        <v>0</v>
      </c>
      <c r="R273" s="929">
        <f t="shared" si="93"/>
        <v>0</v>
      </c>
      <c r="S273" s="930">
        <f t="shared" si="93"/>
        <v>0</v>
      </c>
      <c r="T273" s="929">
        <f t="shared" si="93"/>
        <v>0</v>
      </c>
      <c r="U273" s="933">
        <f t="shared" si="93"/>
        <v>0</v>
      </c>
      <c r="V273" s="930">
        <f t="shared" si="120"/>
        <v>0</v>
      </c>
      <c r="W273" s="929">
        <f t="shared" si="94"/>
        <v>0</v>
      </c>
      <c r="X273" s="929">
        <f t="shared" si="94"/>
        <v>0</v>
      </c>
      <c r="Y273" s="930">
        <f t="shared" si="94"/>
        <v>0</v>
      </c>
      <c r="Z273" s="929">
        <f t="shared" si="94"/>
        <v>0</v>
      </c>
      <c r="AA273" s="930">
        <f t="shared" si="94"/>
        <v>0</v>
      </c>
      <c r="AB273" s="929">
        <f t="shared" si="94"/>
        <v>0</v>
      </c>
      <c r="AC273" s="930">
        <f t="shared" si="94"/>
        <v>0</v>
      </c>
      <c r="AD273" s="929">
        <f t="shared" si="94"/>
        <v>0</v>
      </c>
      <c r="AE273" s="930">
        <f t="shared" si="94"/>
        <v>0</v>
      </c>
      <c r="AF273" s="928">
        <f t="shared" si="94"/>
        <v>0</v>
      </c>
      <c r="AG273" s="927">
        <f t="shared" ca="1" si="98"/>
        <v>0</v>
      </c>
      <c r="AH273" s="929">
        <f t="shared" ca="1" si="121"/>
        <v>0</v>
      </c>
      <c r="AI273" s="930">
        <f t="shared" ca="1" si="99"/>
        <v>0</v>
      </c>
      <c r="AJ273" s="929">
        <f t="shared" ca="1" si="100"/>
        <v>0</v>
      </c>
      <c r="AK273" s="930">
        <f t="shared" ca="1" si="101"/>
        <v>0</v>
      </c>
      <c r="AL273" s="929">
        <f t="shared" ca="1" si="102"/>
        <v>0</v>
      </c>
      <c r="AM273" s="930">
        <f t="shared" ca="1" si="103"/>
        <v>0</v>
      </c>
      <c r="AN273" s="929">
        <f t="shared" ca="1" si="104"/>
        <v>0</v>
      </c>
      <c r="AO273" s="930">
        <f t="shared" ca="1" si="105"/>
        <v>0</v>
      </c>
      <c r="AP273" s="929">
        <f t="shared" ca="1" si="106"/>
        <v>0</v>
      </c>
      <c r="AQ273" s="932">
        <f t="shared" ca="1" si="107"/>
        <v>0</v>
      </c>
      <c r="AR273" s="927">
        <f t="shared" ca="1" si="108"/>
        <v>0</v>
      </c>
      <c r="AS273" s="929">
        <f t="shared" ca="1" si="109"/>
        <v>0</v>
      </c>
      <c r="AT273" s="930">
        <f t="shared" ca="1" si="110"/>
        <v>0</v>
      </c>
      <c r="AU273" s="929">
        <f t="shared" ca="1" si="111"/>
        <v>0</v>
      </c>
      <c r="AV273" s="930">
        <f t="shared" ca="1" si="112"/>
        <v>0</v>
      </c>
      <c r="AW273" s="929">
        <f t="shared" ca="1" si="113"/>
        <v>0</v>
      </c>
      <c r="AX273" s="930">
        <f t="shared" ca="1" si="114"/>
        <v>0</v>
      </c>
      <c r="AY273" s="929">
        <f t="shared" ca="1" si="115"/>
        <v>0</v>
      </c>
      <c r="AZ273" s="930">
        <f t="shared" ca="1" si="116"/>
        <v>0</v>
      </c>
      <c r="BA273" s="929">
        <f t="shared" ca="1" si="117"/>
        <v>0</v>
      </c>
      <c r="BB273" s="932">
        <f t="shared" ca="1" si="118"/>
        <v>0</v>
      </c>
    </row>
    <row r="274" spans="1:54" s="148" customFormat="1" x14ac:dyDescent="0.25">
      <c r="A274" s="926">
        <v>5</v>
      </c>
      <c r="B274" s="927">
        <f>IF(ISNUMBER(System!$AB8),SIGN(System!AB8),0)</f>
        <v>0</v>
      </c>
      <c r="C274" s="928">
        <f>IF(System!AC8&lt;&gt;0,1,0)</f>
        <v>0</v>
      </c>
      <c r="D274" s="927">
        <f>IF(OR(B274&lt;&gt;0,C274&lt;&gt;0),System!BC126+IF(ISNUMBER(B274),SIGN(B274),1)*E9*1,0)</f>
        <v>0</v>
      </c>
      <c r="E274" s="929">
        <f>IF(OR(B274&lt;&gt;0,C274&lt;&gt;0),System!BD126+IF(ISNUMBER(B274),SIGN(B274),1)*E9,0)</f>
        <v>0</v>
      </c>
      <c r="F274" s="930">
        <f>IF(OR(B274&lt;&gt;0,C274&lt;&gt;0),System!BE126+IF(ISNUMBER(B274),SIGN(B274),1)*F9,0)</f>
        <v>0</v>
      </c>
      <c r="G274" s="931">
        <f>IF(OR(B274&lt;&gt;0,C274&lt;&gt;0),System!BF126+IF(ISNUMBER(B274),SIGN(B274),1)*F9,0)</f>
        <v>0</v>
      </c>
      <c r="H274" s="927">
        <f t="shared" si="95"/>
        <v>0</v>
      </c>
      <c r="I274" s="929">
        <f t="shared" si="96"/>
        <v>0</v>
      </c>
      <c r="J274" s="932">
        <f t="shared" si="97"/>
        <v>0</v>
      </c>
      <c r="K274" s="927">
        <f t="shared" si="119"/>
        <v>0</v>
      </c>
      <c r="L274" s="929">
        <f t="shared" si="93"/>
        <v>0</v>
      </c>
      <c r="M274" s="930">
        <f t="shared" si="93"/>
        <v>0</v>
      </c>
      <c r="N274" s="929">
        <f t="shared" si="93"/>
        <v>0</v>
      </c>
      <c r="O274" s="930">
        <f t="shared" si="93"/>
        <v>0</v>
      </c>
      <c r="P274" s="929">
        <f t="shared" si="93"/>
        <v>0</v>
      </c>
      <c r="Q274" s="930">
        <f t="shared" si="93"/>
        <v>0</v>
      </c>
      <c r="R274" s="929">
        <f t="shared" si="93"/>
        <v>0</v>
      </c>
      <c r="S274" s="930">
        <f t="shared" si="93"/>
        <v>0</v>
      </c>
      <c r="T274" s="929">
        <f t="shared" si="93"/>
        <v>0</v>
      </c>
      <c r="U274" s="933">
        <f t="shared" si="93"/>
        <v>0</v>
      </c>
      <c r="V274" s="930">
        <f t="shared" si="120"/>
        <v>0</v>
      </c>
      <c r="W274" s="929">
        <f t="shared" si="94"/>
        <v>0</v>
      </c>
      <c r="X274" s="929">
        <f t="shared" si="94"/>
        <v>0</v>
      </c>
      <c r="Y274" s="930">
        <f t="shared" si="94"/>
        <v>0</v>
      </c>
      <c r="Z274" s="929">
        <f t="shared" si="94"/>
        <v>0</v>
      </c>
      <c r="AA274" s="930">
        <f t="shared" si="94"/>
        <v>0</v>
      </c>
      <c r="AB274" s="929">
        <f t="shared" si="94"/>
        <v>0</v>
      </c>
      <c r="AC274" s="930">
        <f t="shared" si="94"/>
        <v>0</v>
      </c>
      <c r="AD274" s="929">
        <f t="shared" si="94"/>
        <v>0</v>
      </c>
      <c r="AE274" s="930">
        <f t="shared" si="94"/>
        <v>0</v>
      </c>
      <c r="AF274" s="928">
        <f t="shared" si="94"/>
        <v>0</v>
      </c>
      <c r="AG274" s="927">
        <f t="shared" ca="1" si="98"/>
        <v>0</v>
      </c>
      <c r="AH274" s="929">
        <f t="shared" ca="1" si="121"/>
        <v>0</v>
      </c>
      <c r="AI274" s="930">
        <f t="shared" ca="1" si="99"/>
        <v>0</v>
      </c>
      <c r="AJ274" s="929">
        <f t="shared" ca="1" si="100"/>
        <v>0</v>
      </c>
      <c r="AK274" s="930">
        <f t="shared" ca="1" si="101"/>
        <v>0</v>
      </c>
      <c r="AL274" s="929">
        <f t="shared" ca="1" si="102"/>
        <v>0</v>
      </c>
      <c r="AM274" s="930">
        <f t="shared" ca="1" si="103"/>
        <v>0</v>
      </c>
      <c r="AN274" s="929">
        <f t="shared" ca="1" si="104"/>
        <v>0</v>
      </c>
      <c r="AO274" s="930">
        <f t="shared" ca="1" si="105"/>
        <v>0</v>
      </c>
      <c r="AP274" s="929">
        <f t="shared" ca="1" si="106"/>
        <v>0</v>
      </c>
      <c r="AQ274" s="932">
        <f t="shared" ca="1" si="107"/>
        <v>0</v>
      </c>
      <c r="AR274" s="927">
        <f t="shared" ca="1" si="108"/>
        <v>0</v>
      </c>
      <c r="AS274" s="929">
        <f t="shared" ca="1" si="109"/>
        <v>0</v>
      </c>
      <c r="AT274" s="930">
        <f t="shared" ca="1" si="110"/>
        <v>0</v>
      </c>
      <c r="AU274" s="929">
        <f t="shared" ca="1" si="111"/>
        <v>0</v>
      </c>
      <c r="AV274" s="930">
        <f t="shared" ca="1" si="112"/>
        <v>0</v>
      </c>
      <c r="AW274" s="929">
        <f t="shared" ca="1" si="113"/>
        <v>0</v>
      </c>
      <c r="AX274" s="930">
        <f t="shared" ca="1" si="114"/>
        <v>0</v>
      </c>
      <c r="AY274" s="929">
        <f t="shared" ca="1" si="115"/>
        <v>0</v>
      </c>
      <c r="AZ274" s="930">
        <f t="shared" ca="1" si="116"/>
        <v>0</v>
      </c>
      <c r="BA274" s="929">
        <f t="shared" ca="1" si="117"/>
        <v>0</v>
      </c>
      <c r="BB274" s="932">
        <f t="shared" ca="1" si="118"/>
        <v>0</v>
      </c>
    </row>
    <row r="275" spans="1:54" s="148" customFormat="1" x14ac:dyDescent="0.25">
      <c r="A275" s="926">
        <v>6</v>
      </c>
      <c r="B275" s="927">
        <f>IF(ISNUMBER(System!$AB9),SIGN(System!AB9),0)</f>
        <v>0</v>
      </c>
      <c r="C275" s="928">
        <f>IF(System!AC9&lt;&gt;0,1,0)</f>
        <v>0</v>
      </c>
      <c r="D275" s="927">
        <f>IF(OR(B275&lt;&gt;0,C275&lt;&gt;0),System!BC127+IF(ISNUMBER(B275),SIGN(B275),1)*E10*1,0)</f>
        <v>0</v>
      </c>
      <c r="E275" s="929">
        <f>IF(OR(B275&lt;&gt;0,C275&lt;&gt;0),System!BD127+IF(ISNUMBER(B275),SIGN(B275),1)*E10,0)</f>
        <v>0</v>
      </c>
      <c r="F275" s="930">
        <f>IF(OR(B275&lt;&gt;0,C275&lt;&gt;0),System!BE127+IF(ISNUMBER(B275),SIGN(B275),1)*F10,0)</f>
        <v>0</v>
      </c>
      <c r="G275" s="931">
        <f>IF(OR(B275&lt;&gt;0,C275&lt;&gt;0),System!BF127+IF(ISNUMBER(B275),SIGN(B275),1)*F10,0)</f>
        <v>0</v>
      </c>
      <c r="H275" s="927">
        <f t="shared" si="95"/>
        <v>0</v>
      </c>
      <c r="I275" s="929">
        <f t="shared" si="96"/>
        <v>0</v>
      </c>
      <c r="J275" s="932">
        <f t="shared" si="97"/>
        <v>0</v>
      </c>
      <c r="K275" s="927">
        <f t="shared" si="119"/>
        <v>0</v>
      </c>
      <c r="L275" s="929">
        <f t="shared" si="93"/>
        <v>0</v>
      </c>
      <c r="M275" s="930">
        <f t="shared" si="93"/>
        <v>0</v>
      </c>
      <c r="N275" s="929">
        <f t="shared" si="93"/>
        <v>0</v>
      </c>
      <c r="O275" s="930">
        <f t="shared" si="93"/>
        <v>0</v>
      </c>
      <c r="P275" s="929">
        <f t="shared" si="93"/>
        <v>0</v>
      </c>
      <c r="Q275" s="930">
        <f t="shared" si="93"/>
        <v>0</v>
      </c>
      <c r="R275" s="929">
        <f t="shared" si="93"/>
        <v>0</v>
      </c>
      <c r="S275" s="930">
        <f t="shared" si="93"/>
        <v>0</v>
      </c>
      <c r="T275" s="929">
        <f t="shared" si="93"/>
        <v>0</v>
      </c>
      <c r="U275" s="933">
        <f t="shared" si="93"/>
        <v>0</v>
      </c>
      <c r="V275" s="930">
        <f t="shared" si="120"/>
        <v>0</v>
      </c>
      <c r="W275" s="929">
        <f t="shared" si="94"/>
        <v>0</v>
      </c>
      <c r="X275" s="929">
        <f t="shared" si="94"/>
        <v>0</v>
      </c>
      <c r="Y275" s="930">
        <f t="shared" si="94"/>
        <v>0</v>
      </c>
      <c r="Z275" s="929">
        <f t="shared" si="94"/>
        <v>0</v>
      </c>
      <c r="AA275" s="930">
        <f t="shared" si="94"/>
        <v>0</v>
      </c>
      <c r="AB275" s="929">
        <f t="shared" si="94"/>
        <v>0</v>
      </c>
      <c r="AC275" s="930">
        <f t="shared" si="94"/>
        <v>0</v>
      </c>
      <c r="AD275" s="929">
        <f t="shared" si="94"/>
        <v>0</v>
      </c>
      <c r="AE275" s="930">
        <f t="shared" si="94"/>
        <v>0</v>
      </c>
      <c r="AF275" s="928">
        <f t="shared" si="94"/>
        <v>0</v>
      </c>
      <c r="AG275" s="927">
        <f t="shared" si="98"/>
        <v>0</v>
      </c>
      <c r="AH275" s="929">
        <f t="shared" si="121"/>
        <v>0</v>
      </c>
      <c r="AI275" s="930">
        <f t="shared" si="99"/>
        <v>0</v>
      </c>
      <c r="AJ275" s="929">
        <f t="shared" si="100"/>
        <v>0</v>
      </c>
      <c r="AK275" s="930">
        <f t="shared" si="101"/>
        <v>0</v>
      </c>
      <c r="AL275" s="929">
        <f t="shared" si="102"/>
        <v>0</v>
      </c>
      <c r="AM275" s="930">
        <f t="shared" si="103"/>
        <v>0</v>
      </c>
      <c r="AN275" s="929">
        <f t="shared" si="104"/>
        <v>0</v>
      </c>
      <c r="AO275" s="930">
        <f t="shared" si="105"/>
        <v>0</v>
      </c>
      <c r="AP275" s="929">
        <f t="shared" si="106"/>
        <v>0</v>
      </c>
      <c r="AQ275" s="932">
        <f t="shared" si="107"/>
        <v>0</v>
      </c>
      <c r="AR275" s="927">
        <f t="shared" si="108"/>
        <v>0</v>
      </c>
      <c r="AS275" s="929">
        <f t="shared" si="109"/>
        <v>0</v>
      </c>
      <c r="AT275" s="930">
        <f t="shared" si="110"/>
        <v>0</v>
      </c>
      <c r="AU275" s="929">
        <f t="shared" si="111"/>
        <v>0</v>
      </c>
      <c r="AV275" s="930">
        <f t="shared" si="112"/>
        <v>0</v>
      </c>
      <c r="AW275" s="929">
        <f t="shared" si="113"/>
        <v>0</v>
      </c>
      <c r="AX275" s="930">
        <f t="shared" si="114"/>
        <v>0</v>
      </c>
      <c r="AY275" s="929">
        <f t="shared" si="115"/>
        <v>0</v>
      </c>
      <c r="AZ275" s="930">
        <f t="shared" si="116"/>
        <v>0</v>
      </c>
      <c r="BA275" s="929">
        <f t="shared" si="117"/>
        <v>0</v>
      </c>
      <c r="BB275" s="932">
        <f t="shared" si="118"/>
        <v>0</v>
      </c>
    </row>
    <row r="276" spans="1:54" s="148" customFormat="1" x14ac:dyDescent="0.25">
      <c r="A276" s="926">
        <v>7</v>
      </c>
      <c r="B276" s="927">
        <f>IF(ISNUMBER(System!$AB10),SIGN(System!AB10),0)</f>
        <v>0</v>
      </c>
      <c r="C276" s="928">
        <f>IF(System!AC10&lt;&gt;0,1,0)</f>
        <v>0</v>
      </c>
      <c r="D276" s="927">
        <f>IF(OR(B276&lt;&gt;0,C276&lt;&gt;0),System!BC128+IF(ISNUMBER(B276),SIGN(B276),1)*E11*1,0)</f>
        <v>0</v>
      </c>
      <c r="E276" s="929">
        <f>IF(OR(B276&lt;&gt;0,C276&lt;&gt;0),System!BD128+IF(ISNUMBER(B276),SIGN(B276),1)*E11,0)</f>
        <v>0</v>
      </c>
      <c r="F276" s="930">
        <f>IF(OR(B276&lt;&gt;0,C276&lt;&gt;0),System!BE128+IF(ISNUMBER(B276),SIGN(B276),1)*F11,0)</f>
        <v>0</v>
      </c>
      <c r="G276" s="931">
        <f>IF(OR(B276&lt;&gt;0,C276&lt;&gt;0),System!BF128+IF(ISNUMBER(B276),SIGN(B276),1)*F11,0)</f>
        <v>0</v>
      </c>
      <c r="H276" s="927">
        <f t="shared" si="95"/>
        <v>0</v>
      </c>
      <c r="I276" s="929">
        <f t="shared" si="96"/>
        <v>0</v>
      </c>
      <c r="J276" s="932">
        <f t="shared" si="97"/>
        <v>0</v>
      </c>
      <c r="K276" s="927">
        <f t="shared" si="119"/>
        <v>0</v>
      </c>
      <c r="L276" s="929">
        <f t="shared" si="93"/>
        <v>0</v>
      </c>
      <c r="M276" s="930">
        <f t="shared" si="93"/>
        <v>0</v>
      </c>
      <c r="N276" s="929">
        <f t="shared" si="93"/>
        <v>0</v>
      </c>
      <c r="O276" s="930">
        <f t="shared" si="93"/>
        <v>0</v>
      </c>
      <c r="P276" s="929">
        <f t="shared" si="93"/>
        <v>0</v>
      </c>
      <c r="Q276" s="930">
        <f t="shared" si="93"/>
        <v>0</v>
      </c>
      <c r="R276" s="929">
        <f t="shared" si="93"/>
        <v>0</v>
      </c>
      <c r="S276" s="930">
        <f t="shared" si="93"/>
        <v>0</v>
      </c>
      <c r="T276" s="929">
        <f t="shared" si="93"/>
        <v>0</v>
      </c>
      <c r="U276" s="933">
        <f t="shared" si="93"/>
        <v>0</v>
      </c>
      <c r="V276" s="930">
        <f t="shared" si="120"/>
        <v>0</v>
      </c>
      <c r="W276" s="929">
        <f t="shared" si="94"/>
        <v>0</v>
      </c>
      <c r="X276" s="929">
        <f t="shared" si="94"/>
        <v>0</v>
      </c>
      <c r="Y276" s="930">
        <f t="shared" si="94"/>
        <v>0</v>
      </c>
      <c r="Z276" s="929">
        <f t="shared" si="94"/>
        <v>0</v>
      </c>
      <c r="AA276" s="930">
        <f t="shared" si="94"/>
        <v>0</v>
      </c>
      <c r="AB276" s="929">
        <f t="shared" si="94"/>
        <v>0</v>
      </c>
      <c r="AC276" s="930">
        <f t="shared" si="94"/>
        <v>0</v>
      </c>
      <c r="AD276" s="929">
        <f t="shared" si="94"/>
        <v>0</v>
      </c>
      <c r="AE276" s="930">
        <f t="shared" si="94"/>
        <v>0</v>
      </c>
      <c r="AF276" s="928">
        <f t="shared" si="94"/>
        <v>0</v>
      </c>
      <c r="AG276" s="927">
        <f t="shared" si="98"/>
        <v>0</v>
      </c>
      <c r="AH276" s="929">
        <f t="shared" si="121"/>
        <v>0</v>
      </c>
      <c r="AI276" s="930">
        <f t="shared" si="99"/>
        <v>0</v>
      </c>
      <c r="AJ276" s="929">
        <f t="shared" si="100"/>
        <v>0</v>
      </c>
      <c r="AK276" s="930">
        <f t="shared" si="101"/>
        <v>0</v>
      </c>
      <c r="AL276" s="929">
        <f t="shared" si="102"/>
        <v>0</v>
      </c>
      <c r="AM276" s="930">
        <f t="shared" si="103"/>
        <v>0</v>
      </c>
      <c r="AN276" s="929">
        <f t="shared" si="104"/>
        <v>0</v>
      </c>
      <c r="AO276" s="930">
        <f t="shared" si="105"/>
        <v>0</v>
      </c>
      <c r="AP276" s="929">
        <f t="shared" si="106"/>
        <v>0</v>
      </c>
      <c r="AQ276" s="932">
        <f t="shared" si="107"/>
        <v>0</v>
      </c>
      <c r="AR276" s="927">
        <f t="shared" si="108"/>
        <v>0</v>
      </c>
      <c r="AS276" s="929">
        <f t="shared" si="109"/>
        <v>0</v>
      </c>
      <c r="AT276" s="930">
        <f t="shared" si="110"/>
        <v>0</v>
      </c>
      <c r="AU276" s="929">
        <f t="shared" si="111"/>
        <v>0</v>
      </c>
      <c r="AV276" s="930">
        <f t="shared" si="112"/>
        <v>0</v>
      </c>
      <c r="AW276" s="929">
        <f t="shared" si="113"/>
        <v>0</v>
      </c>
      <c r="AX276" s="930">
        <f t="shared" si="114"/>
        <v>0</v>
      </c>
      <c r="AY276" s="929">
        <f t="shared" si="115"/>
        <v>0</v>
      </c>
      <c r="AZ276" s="930">
        <f t="shared" si="116"/>
        <v>0</v>
      </c>
      <c r="BA276" s="929">
        <f t="shared" si="117"/>
        <v>0</v>
      </c>
      <c r="BB276" s="932">
        <f t="shared" si="118"/>
        <v>0</v>
      </c>
    </row>
    <row r="277" spans="1:54" s="148" customFormat="1" x14ac:dyDescent="0.25">
      <c r="A277" s="926">
        <v>8</v>
      </c>
      <c r="B277" s="927">
        <f>IF(ISNUMBER(System!$AB11),SIGN(System!AB11),0)</f>
        <v>0</v>
      </c>
      <c r="C277" s="928">
        <f>IF(System!AC11&lt;&gt;0,1,0)</f>
        <v>0</v>
      </c>
      <c r="D277" s="927">
        <f>IF(OR(B277&lt;&gt;0,C277&lt;&gt;0),System!BC129+IF(ISNUMBER(B277),SIGN(B277),1)*E12*1,0)</f>
        <v>0</v>
      </c>
      <c r="E277" s="929">
        <f>IF(OR(B277&lt;&gt;0,C277&lt;&gt;0),System!BD129+IF(ISNUMBER(B277),SIGN(B277),1)*E12,0)</f>
        <v>0</v>
      </c>
      <c r="F277" s="930">
        <f>IF(OR(B277&lt;&gt;0,C277&lt;&gt;0),System!BE129+IF(ISNUMBER(B277),SIGN(B277),1)*F12,0)</f>
        <v>0</v>
      </c>
      <c r="G277" s="931">
        <f>IF(OR(B277&lt;&gt;0,C277&lt;&gt;0),System!BF129+IF(ISNUMBER(B277),SIGN(B277),1)*F12,0)</f>
        <v>0</v>
      </c>
      <c r="H277" s="927">
        <f t="shared" si="95"/>
        <v>0</v>
      </c>
      <c r="I277" s="929">
        <f t="shared" si="96"/>
        <v>0</v>
      </c>
      <c r="J277" s="932">
        <f t="shared" si="97"/>
        <v>0</v>
      </c>
      <c r="K277" s="927">
        <f t="shared" si="119"/>
        <v>0</v>
      </c>
      <c r="L277" s="929">
        <f t="shared" si="93"/>
        <v>0</v>
      </c>
      <c r="M277" s="930">
        <f t="shared" si="93"/>
        <v>0</v>
      </c>
      <c r="N277" s="929">
        <f t="shared" si="93"/>
        <v>0</v>
      </c>
      <c r="O277" s="930">
        <f t="shared" si="93"/>
        <v>0</v>
      </c>
      <c r="P277" s="929">
        <f t="shared" si="93"/>
        <v>0</v>
      </c>
      <c r="Q277" s="930">
        <f t="shared" si="93"/>
        <v>0</v>
      </c>
      <c r="R277" s="929">
        <f t="shared" si="93"/>
        <v>0</v>
      </c>
      <c r="S277" s="930">
        <f t="shared" si="93"/>
        <v>0</v>
      </c>
      <c r="T277" s="929">
        <f t="shared" si="93"/>
        <v>0</v>
      </c>
      <c r="U277" s="933">
        <f t="shared" si="93"/>
        <v>0</v>
      </c>
      <c r="V277" s="930">
        <f t="shared" si="120"/>
        <v>0</v>
      </c>
      <c r="W277" s="929">
        <f t="shared" si="94"/>
        <v>0</v>
      </c>
      <c r="X277" s="929">
        <f t="shared" si="94"/>
        <v>0</v>
      </c>
      <c r="Y277" s="930">
        <f t="shared" si="94"/>
        <v>0</v>
      </c>
      <c r="Z277" s="929">
        <f t="shared" si="94"/>
        <v>0</v>
      </c>
      <c r="AA277" s="930">
        <f t="shared" si="94"/>
        <v>0</v>
      </c>
      <c r="AB277" s="929">
        <f t="shared" si="94"/>
        <v>0</v>
      </c>
      <c r="AC277" s="930">
        <f t="shared" si="94"/>
        <v>0</v>
      </c>
      <c r="AD277" s="929">
        <f t="shared" si="94"/>
        <v>0</v>
      </c>
      <c r="AE277" s="930">
        <f t="shared" si="94"/>
        <v>0</v>
      </c>
      <c r="AF277" s="928">
        <f t="shared" si="94"/>
        <v>0</v>
      </c>
      <c r="AG277" s="927">
        <f t="shared" si="98"/>
        <v>0</v>
      </c>
      <c r="AH277" s="929">
        <f t="shared" si="121"/>
        <v>0</v>
      </c>
      <c r="AI277" s="930">
        <f t="shared" si="99"/>
        <v>0</v>
      </c>
      <c r="AJ277" s="929">
        <f t="shared" si="100"/>
        <v>0</v>
      </c>
      <c r="AK277" s="930">
        <f t="shared" si="101"/>
        <v>0</v>
      </c>
      <c r="AL277" s="929">
        <f t="shared" si="102"/>
        <v>0</v>
      </c>
      <c r="AM277" s="930">
        <f t="shared" si="103"/>
        <v>0</v>
      </c>
      <c r="AN277" s="929">
        <f t="shared" si="104"/>
        <v>0</v>
      </c>
      <c r="AO277" s="930">
        <f t="shared" si="105"/>
        <v>0</v>
      </c>
      <c r="AP277" s="929">
        <f t="shared" si="106"/>
        <v>0</v>
      </c>
      <c r="AQ277" s="932">
        <f t="shared" si="107"/>
        <v>0</v>
      </c>
      <c r="AR277" s="927">
        <f t="shared" si="108"/>
        <v>0</v>
      </c>
      <c r="AS277" s="929">
        <f t="shared" si="109"/>
        <v>0</v>
      </c>
      <c r="AT277" s="930">
        <f t="shared" si="110"/>
        <v>0</v>
      </c>
      <c r="AU277" s="929">
        <f t="shared" si="111"/>
        <v>0</v>
      </c>
      <c r="AV277" s="930">
        <f t="shared" si="112"/>
        <v>0</v>
      </c>
      <c r="AW277" s="929">
        <f t="shared" si="113"/>
        <v>0</v>
      </c>
      <c r="AX277" s="930">
        <f t="shared" si="114"/>
        <v>0</v>
      </c>
      <c r="AY277" s="929">
        <f t="shared" si="115"/>
        <v>0</v>
      </c>
      <c r="AZ277" s="930">
        <f t="shared" si="116"/>
        <v>0</v>
      </c>
      <c r="BA277" s="929">
        <f t="shared" si="117"/>
        <v>0</v>
      </c>
      <c r="BB277" s="932">
        <f t="shared" si="118"/>
        <v>0</v>
      </c>
    </row>
    <row r="278" spans="1:54" s="148" customFormat="1" x14ac:dyDescent="0.25">
      <c r="A278" s="926">
        <v>9</v>
      </c>
      <c r="B278" s="927">
        <f>IF(ISNUMBER(System!$AB12),SIGN(System!AB12),0)</f>
        <v>0</v>
      </c>
      <c r="C278" s="928">
        <f>IF(System!AC12&lt;&gt;0,1,0)</f>
        <v>0</v>
      </c>
      <c r="D278" s="927">
        <f>IF(OR(B278&lt;&gt;0,C278&lt;&gt;0),System!BC130+IF(ISNUMBER(B278),SIGN(B278),1)*E13*1,0)</f>
        <v>0</v>
      </c>
      <c r="E278" s="929">
        <f>IF(OR(B278&lt;&gt;0,C278&lt;&gt;0),System!BD130+IF(ISNUMBER(B278),SIGN(B278),1)*E13,0)</f>
        <v>0</v>
      </c>
      <c r="F278" s="930">
        <f>IF(OR(B278&lt;&gt;0,C278&lt;&gt;0),System!BE130+IF(ISNUMBER(B278),SIGN(B278),1)*F13,0)</f>
        <v>0</v>
      </c>
      <c r="G278" s="931">
        <f>IF(OR(B278&lt;&gt;0,C278&lt;&gt;0),System!BF130+IF(ISNUMBER(B278),SIGN(B278),1)*F13,0)</f>
        <v>0</v>
      </c>
      <c r="H278" s="927">
        <f t="shared" si="95"/>
        <v>0</v>
      </c>
      <c r="I278" s="929">
        <f t="shared" si="96"/>
        <v>0</v>
      </c>
      <c r="J278" s="932">
        <f t="shared" si="97"/>
        <v>0</v>
      </c>
      <c r="K278" s="927">
        <f t="shared" si="119"/>
        <v>0</v>
      </c>
      <c r="L278" s="929">
        <f t="shared" si="93"/>
        <v>0</v>
      </c>
      <c r="M278" s="930">
        <f t="shared" si="93"/>
        <v>0</v>
      </c>
      <c r="N278" s="929">
        <f t="shared" si="93"/>
        <v>0</v>
      </c>
      <c r="O278" s="930">
        <f t="shared" si="93"/>
        <v>0</v>
      </c>
      <c r="P278" s="929">
        <f t="shared" si="93"/>
        <v>0</v>
      </c>
      <c r="Q278" s="930">
        <f t="shared" si="93"/>
        <v>0</v>
      </c>
      <c r="R278" s="929">
        <f t="shared" si="93"/>
        <v>0</v>
      </c>
      <c r="S278" s="930">
        <f t="shared" si="93"/>
        <v>0</v>
      </c>
      <c r="T278" s="929">
        <f t="shared" si="93"/>
        <v>0</v>
      </c>
      <c r="U278" s="933">
        <f t="shared" si="93"/>
        <v>0</v>
      </c>
      <c r="V278" s="930">
        <f t="shared" si="120"/>
        <v>0</v>
      </c>
      <c r="W278" s="929">
        <f t="shared" si="94"/>
        <v>0</v>
      </c>
      <c r="X278" s="929">
        <f t="shared" si="94"/>
        <v>0</v>
      </c>
      <c r="Y278" s="930">
        <f t="shared" si="94"/>
        <v>0</v>
      </c>
      <c r="Z278" s="929">
        <f t="shared" si="94"/>
        <v>0</v>
      </c>
      <c r="AA278" s="930">
        <f t="shared" si="94"/>
        <v>0</v>
      </c>
      <c r="AB278" s="929">
        <f t="shared" si="94"/>
        <v>0</v>
      </c>
      <c r="AC278" s="930">
        <f t="shared" si="94"/>
        <v>0</v>
      </c>
      <c r="AD278" s="929">
        <f t="shared" si="94"/>
        <v>0</v>
      </c>
      <c r="AE278" s="930">
        <f t="shared" si="94"/>
        <v>0</v>
      </c>
      <c r="AF278" s="928">
        <f t="shared" si="94"/>
        <v>0</v>
      </c>
      <c r="AG278" s="927">
        <f t="shared" si="98"/>
        <v>0</v>
      </c>
      <c r="AH278" s="929">
        <f t="shared" si="121"/>
        <v>0</v>
      </c>
      <c r="AI278" s="930">
        <f t="shared" si="99"/>
        <v>0</v>
      </c>
      <c r="AJ278" s="929">
        <f t="shared" si="100"/>
        <v>0</v>
      </c>
      <c r="AK278" s="930">
        <f t="shared" si="101"/>
        <v>0</v>
      </c>
      <c r="AL278" s="929">
        <f t="shared" si="102"/>
        <v>0</v>
      </c>
      <c r="AM278" s="930">
        <f t="shared" si="103"/>
        <v>0</v>
      </c>
      <c r="AN278" s="929">
        <f t="shared" si="104"/>
        <v>0</v>
      </c>
      <c r="AO278" s="930">
        <f t="shared" si="105"/>
        <v>0</v>
      </c>
      <c r="AP278" s="929">
        <f t="shared" si="106"/>
        <v>0</v>
      </c>
      <c r="AQ278" s="932">
        <f t="shared" si="107"/>
        <v>0</v>
      </c>
      <c r="AR278" s="927">
        <f t="shared" si="108"/>
        <v>0</v>
      </c>
      <c r="AS278" s="929">
        <f t="shared" si="109"/>
        <v>0</v>
      </c>
      <c r="AT278" s="930">
        <f t="shared" si="110"/>
        <v>0</v>
      </c>
      <c r="AU278" s="929">
        <f t="shared" si="111"/>
        <v>0</v>
      </c>
      <c r="AV278" s="930">
        <f t="shared" si="112"/>
        <v>0</v>
      </c>
      <c r="AW278" s="929">
        <f t="shared" si="113"/>
        <v>0</v>
      </c>
      <c r="AX278" s="930">
        <f t="shared" si="114"/>
        <v>0</v>
      </c>
      <c r="AY278" s="929">
        <f t="shared" si="115"/>
        <v>0</v>
      </c>
      <c r="AZ278" s="930">
        <f t="shared" si="116"/>
        <v>0</v>
      </c>
      <c r="BA278" s="929">
        <f t="shared" si="117"/>
        <v>0</v>
      </c>
      <c r="BB278" s="932">
        <f t="shared" si="118"/>
        <v>0</v>
      </c>
    </row>
    <row r="279" spans="1:54" s="148" customFormat="1" x14ac:dyDescent="0.25">
      <c r="A279" s="926">
        <v>10</v>
      </c>
      <c r="B279" s="927">
        <f>IF(ISNUMBER(System!$AB13),SIGN(System!AB13),0)</f>
        <v>0</v>
      </c>
      <c r="C279" s="928">
        <f>IF(System!AC13&lt;&gt;0,1,0)</f>
        <v>0</v>
      </c>
      <c r="D279" s="927">
        <f>IF(OR(B279&lt;&gt;0,C279&lt;&gt;0),System!BC131+IF(ISNUMBER(B279),SIGN(B279),1)*E14*1,0)</f>
        <v>0</v>
      </c>
      <c r="E279" s="929">
        <f>IF(OR(B279&lt;&gt;0,C279&lt;&gt;0),System!BD131+IF(ISNUMBER(B279),SIGN(B279),1)*E14,0)</f>
        <v>0</v>
      </c>
      <c r="F279" s="930">
        <f>IF(OR(B279&lt;&gt;0,C279&lt;&gt;0),System!BE131+IF(ISNUMBER(B279),SIGN(B279),1)*F14,0)</f>
        <v>0</v>
      </c>
      <c r="G279" s="931">
        <f>IF(OR(B279&lt;&gt;0,C279&lt;&gt;0),System!BF131+IF(ISNUMBER(B279),SIGN(B279),1)*F14,0)</f>
        <v>0</v>
      </c>
      <c r="H279" s="927">
        <f t="shared" si="95"/>
        <v>0</v>
      </c>
      <c r="I279" s="929">
        <f t="shared" si="96"/>
        <v>0</v>
      </c>
      <c r="J279" s="932">
        <f t="shared" si="97"/>
        <v>0</v>
      </c>
      <c r="K279" s="927">
        <f t="shared" si="119"/>
        <v>0</v>
      </c>
      <c r="L279" s="929">
        <f t="shared" si="93"/>
        <v>0</v>
      </c>
      <c r="M279" s="930">
        <f t="shared" si="93"/>
        <v>0</v>
      </c>
      <c r="N279" s="929">
        <f t="shared" si="93"/>
        <v>0</v>
      </c>
      <c r="O279" s="930">
        <f t="shared" si="93"/>
        <v>0</v>
      </c>
      <c r="P279" s="929">
        <f t="shared" si="93"/>
        <v>0</v>
      </c>
      <c r="Q279" s="930">
        <f t="shared" si="93"/>
        <v>0</v>
      </c>
      <c r="R279" s="929">
        <f t="shared" si="93"/>
        <v>0</v>
      </c>
      <c r="S279" s="930">
        <f t="shared" si="93"/>
        <v>0</v>
      </c>
      <c r="T279" s="929">
        <f t="shared" si="93"/>
        <v>0</v>
      </c>
      <c r="U279" s="933">
        <f t="shared" si="93"/>
        <v>0</v>
      </c>
      <c r="V279" s="930">
        <f t="shared" si="120"/>
        <v>0</v>
      </c>
      <c r="W279" s="929">
        <f t="shared" si="94"/>
        <v>0</v>
      </c>
      <c r="X279" s="929">
        <f t="shared" si="94"/>
        <v>0</v>
      </c>
      <c r="Y279" s="930">
        <f t="shared" si="94"/>
        <v>0</v>
      </c>
      <c r="Z279" s="929">
        <f t="shared" si="94"/>
        <v>0</v>
      </c>
      <c r="AA279" s="930">
        <f t="shared" si="94"/>
        <v>0</v>
      </c>
      <c r="AB279" s="929">
        <f t="shared" si="94"/>
        <v>0</v>
      </c>
      <c r="AC279" s="930">
        <f t="shared" si="94"/>
        <v>0</v>
      </c>
      <c r="AD279" s="929">
        <f t="shared" si="94"/>
        <v>0</v>
      </c>
      <c r="AE279" s="930">
        <f t="shared" si="94"/>
        <v>0</v>
      </c>
      <c r="AF279" s="928">
        <f t="shared" si="94"/>
        <v>0</v>
      </c>
      <c r="AG279" s="927">
        <f t="shared" si="98"/>
        <v>0</v>
      </c>
      <c r="AH279" s="929">
        <f t="shared" si="121"/>
        <v>0</v>
      </c>
      <c r="AI279" s="930">
        <f t="shared" si="99"/>
        <v>0</v>
      </c>
      <c r="AJ279" s="929">
        <f t="shared" si="100"/>
        <v>0</v>
      </c>
      <c r="AK279" s="930">
        <f t="shared" si="101"/>
        <v>0</v>
      </c>
      <c r="AL279" s="929">
        <f t="shared" si="102"/>
        <v>0</v>
      </c>
      <c r="AM279" s="930">
        <f t="shared" si="103"/>
        <v>0</v>
      </c>
      <c r="AN279" s="929">
        <f t="shared" si="104"/>
        <v>0</v>
      </c>
      <c r="AO279" s="930">
        <f t="shared" si="105"/>
        <v>0</v>
      </c>
      <c r="AP279" s="929">
        <f t="shared" si="106"/>
        <v>0</v>
      </c>
      <c r="AQ279" s="932">
        <f t="shared" si="107"/>
        <v>0</v>
      </c>
      <c r="AR279" s="927">
        <f t="shared" si="108"/>
        <v>0</v>
      </c>
      <c r="AS279" s="929">
        <f t="shared" si="109"/>
        <v>0</v>
      </c>
      <c r="AT279" s="930">
        <f t="shared" si="110"/>
        <v>0</v>
      </c>
      <c r="AU279" s="929">
        <f t="shared" si="111"/>
        <v>0</v>
      </c>
      <c r="AV279" s="930">
        <f t="shared" si="112"/>
        <v>0</v>
      </c>
      <c r="AW279" s="929">
        <f t="shared" si="113"/>
        <v>0</v>
      </c>
      <c r="AX279" s="930">
        <f t="shared" si="114"/>
        <v>0</v>
      </c>
      <c r="AY279" s="929">
        <f t="shared" si="115"/>
        <v>0</v>
      </c>
      <c r="AZ279" s="930">
        <f t="shared" si="116"/>
        <v>0</v>
      </c>
      <c r="BA279" s="929">
        <f t="shared" si="117"/>
        <v>0</v>
      </c>
      <c r="BB279" s="932">
        <f t="shared" si="118"/>
        <v>0</v>
      </c>
    </row>
    <row r="280" spans="1:54" s="148" customFormat="1" x14ac:dyDescent="0.25">
      <c r="A280" s="926">
        <v>11</v>
      </c>
      <c r="B280" s="927">
        <f>IF(ISNUMBER(System!$AB14),SIGN(System!AB14),0)</f>
        <v>0</v>
      </c>
      <c r="C280" s="928">
        <f>IF(System!AC14&lt;&gt;0,1,0)</f>
        <v>0</v>
      </c>
      <c r="D280" s="927">
        <f>IF(OR(B280&lt;&gt;0,C280&lt;&gt;0),System!BC132+IF(ISNUMBER(B280),SIGN(B280),1)*E15*1,0)</f>
        <v>0</v>
      </c>
      <c r="E280" s="929">
        <f>IF(OR(B280&lt;&gt;0,C280&lt;&gt;0),System!BD132+IF(ISNUMBER(B280),SIGN(B280),1)*E15,0)</f>
        <v>0</v>
      </c>
      <c r="F280" s="930">
        <f>IF(OR(B280&lt;&gt;0,C280&lt;&gt;0),System!BE132+IF(ISNUMBER(B280),SIGN(B280),1)*F15,0)</f>
        <v>0</v>
      </c>
      <c r="G280" s="931">
        <f>IF(OR(B280&lt;&gt;0,C280&lt;&gt;0),System!BF132+IF(ISNUMBER(B280),SIGN(B280),1)*F15,0)</f>
        <v>0</v>
      </c>
      <c r="H280" s="927">
        <f t="shared" si="95"/>
        <v>0</v>
      </c>
      <c r="I280" s="929">
        <f t="shared" si="96"/>
        <v>0</v>
      </c>
      <c r="J280" s="932">
        <f t="shared" si="97"/>
        <v>0</v>
      </c>
      <c r="K280" s="927">
        <f t="shared" si="119"/>
        <v>0</v>
      </c>
      <c r="L280" s="929">
        <f t="shared" si="93"/>
        <v>0</v>
      </c>
      <c r="M280" s="930">
        <f t="shared" si="93"/>
        <v>0</v>
      </c>
      <c r="N280" s="929">
        <f t="shared" si="93"/>
        <v>0</v>
      </c>
      <c r="O280" s="930">
        <f t="shared" si="93"/>
        <v>0</v>
      </c>
      <c r="P280" s="929">
        <f t="shared" si="93"/>
        <v>0</v>
      </c>
      <c r="Q280" s="930">
        <f t="shared" si="93"/>
        <v>0</v>
      </c>
      <c r="R280" s="929">
        <f t="shared" si="93"/>
        <v>0</v>
      </c>
      <c r="S280" s="930">
        <f t="shared" si="93"/>
        <v>0</v>
      </c>
      <c r="T280" s="929">
        <f t="shared" si="93"/>
        <v>0</v>
      </c>
      <c r="U280" s="933">
        <f t="shared" si="93"/>
        <v>0</v>
      </c>
      <c r="V280" s="930">
        <f t="shared" si="120"/>
        <v>0</v>
      </c>
      <c r="W280" s="929">
        <f t="shared" si="94"/>
        <v>0</v>
      </c>
      <c r="X280" s="929">
        <f t="shared" si="94"/>
        <v>0</v>
      </c>
      <c r="Y280" s="930">
        <f t="shared" si="94"/>
        <v>0</v>
      </c>
      <c r="Z280" s="929">
        <f t="shared" si="94"/>
        <v>0</v>
      </c>
      <c r="AA280" s="930">
        <f t="shared" si="94"/>
        <v>0</v>
      </c>
      <c r="AB280" s="929">
        <f t="shared" si="94"/>
        <v>0</v>
      </c>
      <c r="AC280" s="930">
        <f t="shared" si="94"/>
        <v>0</v>
      </c>
      <c r="AD280" s="929">
        <f t="shared" si="94"/>
        <v>0</v>
      </c>
      <c r="AE280" s="930">
        <f t="shared" si="94"/>
        <v>0</v>
      </c>
      <c r="AF280" s="928">
        <f t="shared" si="94"/>
        <v>0</v>
      </c>
      <c r="AG280" s="927">
        <f t="shared" si="98"/>
        <v>0</v>
      </c>
      <c r="AH280" s="929">
        <f t="shared" si="121"/>
        <v>0</v>
      </c>
      <c r="AI280" s="930">
        <f t="shared" si="99"/>
        <v>0</v>
      </c>
      <c r="AJ280" s="929">
        <f t="shared" si="100"/>
        <v>0</v>
      </c>
      <c r="AK280" s="930">
        <f t="shared" si="101"/>
        <v>0</v>
      </c>
      <c r="AL280" s="929">
        <f t="shared" si="102"/>
        <v>0</v>
      </c>
      <c r="AM280" s="930">
        <f t="shared" si="103"/>
        <v>0</v>
      </c>
      <c r="AN280" s="929">
        <f t="shared" si="104"/>
        <v>0</v>
      </c>
      <c r="AO280" s="930">
        <f t="shared" si="105"/>
        <v>0</v>
      </c>
      <c r="AP280" s="929">
        <f t="shared" si="106"/>
        <v>0</v>
      </c>
      <c r="AQ280" s="932">
        <f t="shared" si="107"/>
        <v>0</v>
      </c>
      <c r="AR280" s="927">
        <f t="shared" si="108"/>
        <v>0</v>
      </c>
      <c r="AS280" s="929">
        <f t="shared" si="109"/>
        <v>0</v>
      </c>
      <c r="AT280" s="930">
        <f t="shared" si="110"/>
        <v>0</v>
      </c>
      <c r="AU280" s="929">
        <f t="shared" si="111"/>
        <v>0</v>
      </c>
      <c r="AV280" s="930">
        <f t="shared" si="112"/>
        <v>0</v>
      </c>
      <c r="AW280" s="929">
        <f t="shared" si="113"/>
        <v>0</v>
      </c>
      <c r="AX280" s="930">
        <f t="shared" si="114"/>
        <v>0</v>
      </c>
      <c r="AY280" s="929">
        <f t="shared" si="115"/>
        <v>0</v>
      </c>
      <c r="AZ280" s="930">
        <f t="shared" si="116"/>
        <v>0</v>
      </c>
      <c r="BA280" s="929">
        <f t="shared" si="117"/>
        <v>0</v>
      </c>
      <c r="BB280" s="932">
        <f t="shared" si="118"/>
        <v>0</v>
      </c>
    </row>
    <row r="281" spans="1:54" s="148" customFormat="1" x14ac:dyDescent="0.25">
      <c r="A281" s="926">
        <v>12</v>
      </c>
      <c r="B281" s="927">
        <f>IF(ISNUMBER(System!$AB15),SIGN(System!AB15),0)</f>
        <v>0</v>
      </c>
      <c r="C281" s="928">
        <f>IF(System!AC15&lt;&gt;0,1,0)</f>
        <v>0</v>
      </c>
      <c r="D281" s="927">
        <f>IF(OR(B281&lt;&gt;0,C281&lt;&gt;0),System!BC133+IF(ISNUMBER(B281),SIGN(B281),1)*E16*1,0)</f>
        <v>0</v>
      </c>
      <c r="E281" s="929">
        <f>IF(OR(B281&lt;&gt;0,C281&lt;&gt;0),System!BD133+IF(ISNUMBER(B281),SIGN(B281),1)*E16,0)</f>
        <v>0</v>
      </c>
      <c r="F281" s="930">
        <f>IF(OR(B281&lt;&gt;0,C281&lt;&gt;0),System!BE133+IF(ISNUMBER(B281),SIGN(B281),1)*F16,0)</f>
        <v>0</v>
      </c>
      <c r="G281" s="931">
        <f>IF(OR(B281&lt;&gt;0,C281&lt;&gt;0),System!BF133+IF(ISNUMBER(B281),SIGN(B281),1)*F16,0)</f>
        <v>0</v>
      </c>
      <c r="H281" s="927">
        <f t="shared" si="95"/>
        <v>0</v>
      </c>
      <c r="I281" s="929">
        <f t="shared" si="96"/>
        <v>0</v>
      </c>
      <c r="J281" s="932">
        <f t="shared" si="97"/>
        <v>0</v>
      </c>
      <c r="K281" s="927">
        <f t="shared" si="119"/>
        <v>0</v>
      </c>
      <c r="L281" s="929">
        <f t="shared" si="93"/>
        <v>0</v>
      </c>
      <c r="M281" s="930">
        <f t="shared" si="93"/>
        <v>0</v>
      </c>
      <c r="N281" s="929">
        <f t="shared" si="93"/>
        <v>0</v>
      </c>
      <c r="O281" s="930">
        <f t="shared" si="93"/>
        <v>0</v>
      </c>
      <c r="P281" s="929">
        <f t="shared" si="93"/>
        <v>0</v>
      </c>
      <c r="Q281" s="930">
        <f t="shared" si="93"/>
        <v>0</v>
      </c>
      <c r="R281" s="929">
        <f t="shared" si="93"/>
        <v>0</v>
      </c>
      <c r="S281" s="930">
        <f t="shared" si="93"/>
        <v>0</v>
      </c>
      <c r="T281" s="929">
        <f t="shared" si="93"/>
        <v>0</v>
      </c>
      <c r="U281" s="933">
        <f t="shared" si="93"/>
        <v>0</v>
      </c>
      <c r="V281" s="930">
        <f t="shared" si="120"/>
        <v>0</v>
      </c>
      <c r="W281" s="929">
        <f t="shared" si="94"/>
        <v>0</v>
      </c>
      <c r="X281" s="929">
        <f t="shared" si="94"/>
        <v>0</v>
      </c>
      <c r="Y281" s="930">
        <f t="shared" si="94"/>
        <v>0</v>
      </c>
      <c r="Z281" s="929">
        <f t="shared" si="94"/>
        <v>0</v>
      </c>
      <c r="AA281" s="930">
        <f t="shared" si="94"/>
        <v>0</v>
      </c>
      <c r="AB281" s="929">
        <f t="shared" si="94"/>
        <v>0</v>
      </c>
      <c r="AC281" s="930">
        <f t="shared" si="94"/>
        <v>0</v>
      </c>
      <c r="AD281" s="929">
        <f t="shared" si="94"/>
        <v>0</v>
      </c>
      <c r="AE281" s="930">
        <f t="shared" si="94"/>
        <v>0</v>
      </c>
      <c r="AF281" s="928">
        <f t="shared" si="94"/>
        <v>0</v>
      </c>
      <c r="AG281" s="927">
        <f t="shared" si="98"/>
        <v>0</v>
      </c>
      <c r="AH281" s="929">
        <f t="shared" si="121"/>
        <v>0</v>
      </c>
      <c r="AI281" s="930">
        <f t="shared" si="99"/>
        <v>0</v>
      </c>
      <c r="AJ281" s="929">
        <f t="shared" si="100"/>
        <v>0</v>
      </c>
      <c r="AK281" s="930">
        <f t="shared" si="101"/>
        <v>0</v>
      </c>
      <c r="AL281" s="929">
        <f t="shared" si="102"/>
        <v>0</v>
      </c>
      <c r="AM281" s="930">
        <f t="shared" si="103"/>
        <v>0</v>
      </c>
      <c r="AN281" s="929">
        <f t="shared" si="104"/>
        <v>0</v>
      </c>
      <c r="AO281" s="930">
        <f t="shared" si="105"/>
        <v>0</v>
      </c>
      <c r="AP281" s="929">
        <f t="shared" si="106"/>
        <v>0</v>
      </c>
      <c r="AQ281" s="932">
        <f t="shared" si="107"/>
        <v>0</v>
      </c>
      <c r="AR281" s="927">
        <f t="shared" si="108"/>
        <v>0</v>
      </c>
      <c r="AS281" s="929">
        <f t="shared" si="109"/>
        <v>0</v>
      </c>
      <c r="AT281" s="930">
        <f t="shared" si="110"/>
        <v>0</v>
      </c>
      <c r="AU281" s="929">
        <f t="shared" si="111"/>
        <v>0</v>
      </c>
      <c r="AV281" s="930">
        <f t="shared" si="112"/>
        <v>0</v>
      </c>
      <c r="AW281" s="929">
        <f t="shared" si="113"/>
        <v>0</v>
      </c>
      <c r="AX281" s="930">
        <f t="shared" si="114"/>
        <v>0</v>
      </c>
      <c r="AY281" s="929">
        <f t="shared" si="115"/>
        <v>0</v>
      </c>
      <c r="AZ281" s="930">
        <f t="shared" si="116"/>
        <v>0</v>
      </c>
      <c r="BA281" s="929">
        <f t="shared" si="117"/>
        <v>0</v>
      </c>
      <c r="BB281" s="932">
        <f t="shared" si="118"/>
        <v>0</v>
      </c>
    </row>
    <row r="282" spans="1:54" s="148" customFormat="1" x14ac:dyDescent="0.25">
      <c r="A282" s="926">
        <v>13</v>
      </c>
      <c r="B282" s="927">
        <f>IF(ISNUMBER(System!$AB16),SIGN(System!AB16),0)</f>
        <v>0</v>
      </c>
      <c r="C282" s="928">
        <f>IF(System!AC16&lt;&gt;0,1,0)</f>
        <v>0</v>
      </c>
      <c r="D282" s="927">
        <f>IF(OR(B282&lt;&gt;0,C282&lt;&gt;0),System!BC134+IF(ISNUMBER(B282),SIGN(B282),1)*E17*1,0)</f>
        <v>0</v>
      </c>
      <c r="E282" s="929">
        <f>IF(OR(B282&lt;&gt;0,C282&lt;&gt;0),System!BD134+IF(ISNUMBER(B282),SIGN(B282),1)*E17,0)</f>
        <v>0</v>
      </c>
      <c r="F282" s="930">
        <f>IF(OR(B282&lt;&gt;0,C282&lt;&gt;0),System!BE134+IF(ISNUMBER(B282),SIGN(B282),1)*F17,0)</f>
        <v>0</v>
      </c>
      <c r="G282" s="931">
        <f>IF(OR(B282&lt;&gt;0,C282&lt;&gt;0),System!BF134+IF(ISNUMBER(B282),SIGN(B282),1)*F17,0)</f>
        <v>0</v>
      </c>
      <c r="H282" s="927">
        <f t="shared" si="95"/>
        <v>0</v>
      </c>
      <c r="I282" s="929">
        <f t="shared" si="96"/>
        <v>0</v>
      </c>
      <c r="J282" s="932">
        <f t="shared" si="97"/>
        <v>0</v>
      </c>
      <c r="K282" s="927">
        <f t="shared" si="119"/>
        <v>0</v>
      </c>
      <c r="L282" s="929">
        <f t="shared" si="93"/>
        <v>0</v>
      </c>
      <c r="M282" s="930">
        <f t="shared" si="93"/>
        <v>0</v>
      </c>
      <c r="N282" s="929">
        <f t="shared" si="93"/>
        <v>0</v>
      </c>
      <c r="O282" s="930">
        <f t="shared" si="93"/>
        <v>0</v>
      </c>
      <c r="P282" s="929">
        <f t="shared" si="93"/>
        <v>0</v>
      </c>
      <c r="Q282" s="930">
        <f t="shared" si="93"/>
        <v>0</v>
      </c>
      <c r="R282" s="929">
        <f t="shared" si="93"/>
        <v>0</v>
      </c>
      <c r="S282" s="930">
        <f t="shared" si="93"/>
        <v>0</v>
      </c>
      <c r="T282" s="929">
        <f t="shared" si="93"/>
        <v>0</v>
      </c>
      <c r="U282" s="933">
        <f t="shared" si="93"/>
        <v>0</v>
      </c>
      <c r="V282" s="930">
        <f t="shared" si="120"/>
        <v>0</v>
      </c>
      <c r="W282" s="929">
        <f t="shared" si="94"/>
        <v>0</v>
      </c>
      <c r="X282" s="929">
        <f t="shared" si="94"/>
        <v>0</v>
      </c>
      <c r="Y282" s="930">
        <f t="shared" si="94"/>
        <v>0</v>
      </c>
      <c r="Z282" s="929">
        <f t="shared" si="94"/>
        <v>0</v>
      </c>
      <c r="AA282" s="930">
        <f t="shared" si="94"/>
        <v>0</v>
      </c>
      <c r="AB282" s="929">
        <f t="shared" si="94"/>
        <v>0</v>
      </c>
      <c r="AC282" s="930">
        <f t="shared" si="94"/>
        <v>0</v>
      </c>
      <c r="AD282" s="929">
        <f t="shared" si="94"/>
        <v>0</v>
      </c>
      <c r="AE282" s="930">
        <f t="shared" si="94"/>
        <v>0</v>
      </c>
      <c r="AF282" s="928">
        <f t="shared" si="94"/>
        <v>0</v>
      </c>
      <c r="AG282" s="927">
        <f t="shared" si="98"/>
        <v>0</v>
      </c>
      <c r="AH282" s="929">
        <f t="shared" si="121"/>
        <v>0</v>
      </c>
      <c r="AI282" s="930">
        <f t="shared" si="99"/>
        <v>0</v>
      </c>
      <c r="AJ282" s="929">
        <f t="shared" si="100"/>
        <v>0</v>
      </c>
      <c r="AK282" s="930">
        <f t="shared" si="101"/>
        <v>0</v>
      </c>
      <c r="AL282" s="929">
        <f t="shared" si="102"/>
        <v>0</v>
      </c>
      <c r="AM282" s="930">
        <f t="shared" si="103"/>
        <v>0</v>
      </c>
      <c r="AN282" s="929">
        <f t="shared" si="104"/>
        <v>0</v>
      </c>
      <c r="AO282" s="930">
        <f t="shared" si="105"/>
        <v>0</v>
      </c>
      <c r="AP282" s="929">
        <f t="shared" si="106"/>
        <v>0</v>
      </c>
      <c r="AQ282" s="932">
        <f t="shared" si="107"/>
        <v>0</v>
      </c>
      <c r="AR282" s="927">
        <f t="shared" si="108"/>
        <v>0</v>
      </c>
      <c r="AS282" s="929">
        <f t="shared" si="109"/>
        <v>0</v>
      </c>
      <c r="AT282" s="930">
        <f t="shared" si="110"/>
        <v>0</v>
      </c>
      <c r="AU282" s="929">
        <f t="shared" si="111"/>
        <v>0</v>
      </c>
      <c r="AV282" s="930">
        <f t="shared" si="112"/>
        <v>0</v>
      </c>
      <c r="AW282" s="929">
        <f t="shared" si="113"/>
        <v>0</v>
      </c>
      <c r="AX282" s="930">
        <f t="shared" si="114"/>
        <v>0</v>
      </c>
      <c r="AY282" s="929">
        <f t="shared" si="115"/>
        <v>0</v>
      </c>
      <c r="AZ282" s="930">
        <f t="shared" si="116"/>
        <v>0</v>
      </c>
      <c r="BA282" s="929">
        <f t="shared" si="117"/>
        <v>0</v>
      </c>
      <c r="BB282" s="932">
        <f t="shared" si="118"/>
        <v>0</v>
      </c>
    </row>
    <row r="283" spans="1:54" s="148" customFormat="1" x14ac:dyDescent="0.25">
      <c r="A283" s="926">
        <v>14</v>
      </c>
      <c r="B283" s="927">
        <f>IF(ISNUMBER(System!$AB17),SIGN(System!AB17),0)</f>
        <v>0</v>
      </c>
      <c r="C283" s="928">
        <f>IF(System!AC17&lt;&gt;0,1,0)</f>
        <v>0</v>
      </c>
      <c r="D283" s="927">
        <f>IF(OR(B283&lt;&gt;0,C283&lt;&gt;0),System!BC135+IF(ISNUMBER(B283),SIGN(B283),1)*E18*1,0)</f>
        <v>0</v>
      </c>
      <c r="E283" s="929">
        <f>IF(OR(B283&lt;&gt;0,C283&lt;&gt;0),System!BD135+IF(ISNUMBER(B283),SIGN(B283),1)*E18,0)</f>
        <v>0</v>
      </c>
      <c r="F283" s="930">
        <f>IF(OR(B283&lt;&gt;0,C283&lt;&gt;0),System!BE135+IF(ISNUMBER(B283),SIGN(B283),1)*F18,0)</f>
        <v>0</v>
      </c>
      <c r="G283" s="931">
        <f>IF(OR(B283&lt;&gt;0,C283&lt;&gt;0),System!BF135+IF(ISNUMBER(B283),SIGN(B283),1)*F18,0)</f>
        <v>0</v>
      </c>
      <c r="H283" s="927">
        <f t="shared" si="95"/>
        <v>0</v>
      </c>
      <c r="I283" s="929">
        <f t="shared" si="96"/>
        <v>0</v>
      </c>
      <c r="J283" s="932">
        <f t="shared" si="97"/>
        <v>0</v>
      </c>
      <c r="K283" s="927">
        <f t="shared" si="119"/>
        <v>0</v>
      </c>
      <c r="L283" s="929">
        <f t="shared" si="93"/>
        <v>0</v>
      </c>
      <c r="M283" s="930">
        <f t="shared" si="93"/>
        <v>0</v>
      </c>
      <c r="N283" s="929">
        <f t="shared" si="93"/>
        <v>0</v>
      </c>
      <c r="O283" s="930">
        <f t="shared" si="93"/>
        <v>0</v>
      </c>
      <c r="P283" s="929">
        <f t="shared" si="93"/>
        <v>0</v>
      </c>
      <c r="Q283" s="930">
        <f t="shared" si="93"/>
        <v>0</v>
      </c>
      <c r="R283" s="929">
        <f t="shared" si="93"/>
        <v>0</v>
      </c>
      <c r="S283" s="930">
        <f t="shared" si="93"/>
        <v>0</v>
      </c>
      <c r="T283" s="929">
        <f t="shared" si="93"/>
        <v>0</v>
      </c>
      <c r="U283" s="933">
        <f t="shared" si="93"/>
        <v>0</v>
      </c>
      <c r="V283" s="930">
        <f t="shared" si="120"/>
        <v>0</v>
      </c>
      <c r="W283" s="929">
        <f t="shared" si="94"/>
        <v>0</v>
      </c>
      <c r="X283" s="929">
        <f t="shared" si="94"/>
        <v>0</v>
      </c>
      <c r="Y283" s="930">
        <f t="shared" si="94"/>
        <v>0</v>
      </c>
      <c r="Z283" s="929">
        <f t="shared" si="94"/>
        <v>0</v>
      </c>
      <c r="AA283" s="930">
        <f t="shared" si="94"/>
        <v>0</v>
      </c>
      <c r="AB283" s="929">
        <f t="shared" si="94"/>
        <v>0</v>
      </c>
      <c r="AC283" s="930">
        <f t="shared" si="94"/>
        <v>0</v>
      </c>
      <c r="AD283" s="929">
        <f t="shared" si="94"/>
        <v>0</v>
      </c>
      <c r="AE283" s="930">
        <f t="shared" si="94"/>
        <v>0</v>
      </c>
      <c r="AF283" s="928">
        <f t="shared" si="94"/>
        <v>0</v>
      </c>
      <c r="AG283" s="927">
        <f t="shared" si="98"/>
        <v>0</v>
      </c>
      <c r="AH283" s="929">
        <f t="shared" si="121"/>
        <v>0</v>
      </c>
      <c r="AI283" s="930">
        <f t="shared" si="99"/>
        <v>0</v>
      </c>
      <c r="AJ283" s="929">
        <f t="shared" si="100"/>
        <v>0</v>
      </c>
      <c r="AK283" s="930">
        <f t="shared" si="101"/>
        <v>0</v>
      </c>
      <c r="AL283" s="929">
        <f t="shared" si="102"/>
        <v>0</v>
      </c>
      <c r="AM283" s="930">
        <f t="shared" si="103"/>
        <v>0</v>
      </c>
      <c r="AN283" s="929">
        <f t="shared" si="104"/>
        <v>0</v>
      </c>
      <c r="AO283" s="930">
        <f t="shared" si="105"/>
        <v>0</v>
      </c>
      <c r="AP283" s="929">
        <f t="shared" si="106"/>
        <v>0</v>
      </c>
      <c r="AQ283" s="932">
        <f t="shared" si="107"/>
        <v>0</v>
      </c>
      <c r="AR283" s="927">
        <f t="shared" si="108"/>
        <v>0</v>
      </c>
      <c r="AS283" s="929">
        <f t="shared" si="109"/>
        <v>0</v>
      </c>
      <c r="AT283" s="930">
        <f t="shared" si="110"/>
        <v>0</v>
      </c>
      <c r="AU283" s="929">
        <f t="shared" si="111"/>
        <v>0</v>
      </c>
      <c r="AV283" s="930">
        <f t="shared" si="112"/>
        <v>0</v>
      </c>
      <c r="AW283" s="929">
        <f t="shared" si="113"/>
        <v>0</v>
      </c>
      <c r="AX283" s="930">
        <f t="shared" si="114"/>
        <v>0</v>
      </c>
      <c r="AY283" s="929">
        <f t="shared" si="115"/>
        <v>0</v>
      </c>
      <c r="AZ283" s="930">
        <f t="shared" si="116"/>
        <v>0</v>
      </c>
      <c r="BA283" s="929">
        <f t="shared" si="117"/>
        <v>0</v>
      </c>
      <c r="BB283" s="932">
        <f t="shared" si="118"/>
        <v>0</v>
      </c>
    </row>
    <row r="284" spans="1:54" s="148" customFormat="1" x14ac:dyDescent="0.25">
      <c r="A284" s="926">
        <v>15</v>
      </c>
      <c r="B284" s="927">
        <f>IF(ISNUMBER(System!$AB18),SIGN(System!AB18),0)</f>
        <v>0</v>
      </c>
      <c r="C284" s="928">
        <f>IF(System!AC18&lt;&gt;0,1,0)</f>
        <v>0</v>
      </c>
      <c r="D284" s="927">
        <f>IF(OR(B284&lt;&gt;0,C284&lt;&gt;0),System!BC136+IF(ISNUMBER(B284),SIGN(B284),1)*E19*1,0)</f>
        <v>0</v>
      </c>
      <c r="E284" s="929">
        <f>IF(OR(B284&lt;&gt;0,C284&lt;&gt;0),System!BD136+IF(ISNUMBER(B284),SIGN(B284),1)*E19,0)</f>
        <v>0</v>
      </c>
      <c r="F284" s="930">
        <f>IF(OR(B284&lt;&gt;0,C284&lt;&gt;0),System!BE136+IF(ISNUMBER(B284),SIGN(B284),1)*F19,0)</f>
        <v>0</v>
      </c>
      <c r="G284" s="931">
        <f>IF(OR(B284&lt;&gt;0,C284&lt;&gt;0),System!BF136+IF(ISNUMBER(B284),SIGN(B284),1)*F19,0)</f>
        <v>0</v>
      </c>
      <c r="H284" s="927">
        <f t="shared" si="95"/>
        <v>0</v>
      </c>
      <c r="I284" s="929">
        <f t="shared" si="96"/>
        <v>0</v>
      </c>
      <c r="J284" s="932">
        <f t="shared" si="97"/>
        <v>0</v>
      </c>
      <c r="K284" s="927">
        <f t="shared" si="119"/>
        <v>0</v>
      </c>
      <c r="L284" s="929">
        <f t="shared" si="93"/>
        <v>0</v>
      </c>
      <c r="M284" s="930">
        <f t="shared" si="93"/>
        <v>0</v>
      </c>
      <c r="N284" s="929">
        <f t="shared" si="93"/>
        <v>0</v>
      </c>
      <c r="O284" s="930">
        <f t="shared" si="93"/>
        <v>0</v>
      </c>
      <c r="P284" s="929">
        <f t="shared" si="93"/>
        <v>0</v>
      </c>
      <c r="Q284" s="930">
        <f t="shared" si="93"/>
        <v>0</v>
      </c>
      <c r="R284" s="929">
        <f t="shared" si="93"/>
        <v>0</v>
      </c>
      <c r="S284" s="930">
        <f t="shared" si="93"/>
        <v>0</v>
      </c>
      <c r="T284" s="929">
        <f t="shared" si="93"/>
        <v>0</v>
      </c>
      <c r="U284" s="933">
        <f t="shared" si="93"/>
        <v>0</v>
      </c>
      <c r="V284" s="930">
        <f t="shared" si="120"/>
        <v>0</v>
      </c>
      <c r="W284" s="929">
        <f t="shared" si="94"/>
        <v>0</v>
      </c>
      <c r="X284" s="929">
        <f t="shared" si="94"/>
        <v>0</v>
      </c>
      <c r="Y284" s="930">
        <f t="shared" si="94"/>
        <v>0</v>
      </c>
      <c r="Z284" s="929">
        <f t="shared" si="94"/>
        <v>0</v>
      </c>
      <c r="AA284" s="930">
        <f t="shared" si="94"/>
        <v>0</v>
      </c>
      <c r="AB284" s="929">
        <f t="shared" si="94"/>
        <v>0</v>
      </c>
      <c r="AC284" s="930">
        <f t="shared" si="94"/>
        <v>0</v>
      </c>
      <c r="AD284" s="929">
        <f t="shared" si="94"/>
        <v>0</v>
      </c>
      <c r="AE284" s="930">
        <f t="shared" si="94"/>
        <v>0</v>
      </c>
      <c r="AF284" s="928">
        <f t="shared" si="94"/>
        <v>0</v>
      </c>
      <c r="AG284" s="927">
        <f t="shared" si="98"/>
        <v>0</v>
      </c>
      <c r="AH284" s="929">
        <f t="shared" si="121"/>
        <v>0</v>
      </c>
      <c r="AI284" s="930">
        <f t="shared" si="99"/>
        <v>0</v>
      </c>
      <c r="AJ284" s="929">
        <f t="shared" si="100"/>
        <v>0</v>
      </c>
      <c r="AK284" s="930">
        <f t="shared" si="101"/>
        <v>0</v>
      </c>
      <c r="AL284" s="929">
        <f t="shared" si="102"/>
        <v>0</v>
      </c>
      <c r="AM284" s="930">
        <f t="shared" si="103"/>
        <v>0</v>
      </c>
      <c r="AN284" s="929">
        <f t="shared" si="104"/>
        <v>0</v>
      </c>
      <c r="AO284" s="930">
        <f t="shared" si="105"/>
        <v>0</v>
      </c>
      <c r="AP284" s="929">
        <f t="shared" si="106"/>
        <v>0</v>
      </c>
      <c r="AQ284" s="932">
        <f t="shared" si="107"/>
        <v>0</v>
      </c>
      <c r="AR284" s="927">
        <f t="shared" si="108"/>
        <v>0</v>
      </c>
      <c r="AS284" s="929">
        <f t="shared" si="109"/>
        <v>0</v>
      </c>
      <c r="AT284" s="930">
        <f t="shared" si="110"/>
        <v>0</v>
      </c>
      <c r="AU284" s="929">
        <f t="shared" si="111"/>
        <v>0</v>
      </c>
      <c r="AV284" s="930">
        <f t="shared" si="112"/>
        <v>0</v>
      </c>
      <c r="AW284" s="929">
        <f t="shared" si="113"/>
        <v>0</v>
      </c>
      <c r="AX284" s="930">
        <f t="shared" si="114"/>
        <v>0</v>
      </c>
      <c r="AY284" s="929">
        <f t="shared" si="115"/>
        <v>0</v>
      </c>
      <c r="AZ284" s="930">
        <f t="shared" si="116"/>
        <v>0</v>
      </c>
      <c r="BA284" s="929">
        <f t="shared" si="117"/>
        <v>0</v>
      </c>
      <c r="BB284" s="932">
        <f t="shared" si="118"/>
        <v>0</v>
      </c>
    </row>
    <row r="285" spans="1:54" s="148" customFormat="1" x14ac:dyDescent="0.25">
      <c r="A285" s="926">
        <v>16</v>
      </c>
      <c r="B285" s="927">
        <f>IF(ISNUMBER(System!$AB19),SIGN(System!AB19),0)</f>
        <v>0</v>
      </c>
      <c r="C285" s="928">
        <f>IF(System!AC19&lt;&gt;0,1,0)</f>
        <v>0</v>
      </c>
      <c r="D285" s="927">
        <f>IF(OR(B285&lt;&gt;0,C285&lt;&gt;0),System!BC137+IF(ISNUMBER(B285),SIGN(B285),1)*E20*1,0)</f>
        <v>0</v>
      </c>
      <c r="E285" s="929">
        <f>IF(OR(B285&lt;&gt;0,C285&lt;&gt;0),System!BD137+IF(ISNUMBER(B285),SIGN(B285),1)*E20,0)</f>
        <v>0</v>
      </c>
      <c r="F285" s="930">
        <f>IF(OR(B285&lt;&gt;0,C285&lt;&gt;0),System!BE137+IF(ISNUMBER(B285),SIGN(B285),1)*F20,0)</f>
        <v>0</v>
      </c>
      <c r="G285" s="931">
        <f>IF(OR(B285&lt;&gt;0,C285&lt;&gt;0),System!BF137+IF(ISNUMBER(B285),SIGN(B285),1)*F20,0)</f>
        <v>0</v>
      </c>
      <c r="H285" s="927">
        <f t="shared" si="95"/>
        <v>0</v>
      </c>
      <c r="I285" s="929">
        <f t="shared" si="96"/>
        <v>0</v>
      </c>
      <c r="J285" s="932">
        <f t="shared" si="97"/>
        <v>0</v>
      </c>
      <c r="K285" s="927">
        <f t="shared" si="119"/>
        <v>0</v>
      </c>
      <c r="L285" s="929">
        <f t="shared" si="93"/>
        <v>0</v>
      </c>
      <c r="M285" s="930">
        <f t="shared" si="93"/>
        <v>0</v>
      </c>
      <c r="N285" s="929">
        <f t="shared" si="93"/>
        <v>0</v>
      </c>
      <c r="O285" s="930">
        <f t="shared" si="93"/>
        <v>0</v>
      </c>
      <c r="P285" s="929">
        <f t="shared" si="93"/>
        <v>0</v>
      </c>
      <c r="Q285" s="930">
        <f t="shared" si="93"/>
        <v>0</v>
      </c>
      <c r="R285" s="929">
        <f t="shared" si="93"/>
        <v>0</v>
      </c>
      <c r="S285" s="930">
        <f t="shared" si="93"/>
        <v>0</v>
      </c>
      <c r="T285" s="929">
        <f t="shared" si="93"/>
        <v>0</v>
      </c>
      <c r="U285" s="933">
        <f t="shared" si="93"/>
        <v>0</v>
      </c>
      <c r="V285" s="930">
        <f t="shared" si="120"/>
        <v>0</v>
      </c>
      <c r="W285" s="929">
        <f t="shared" si="94"/>
        <v>0</v>
      </c>
      <c r="X285" s="929">
        <f t="shared" si="94"/>
        <v>0</v>
      </c>
      <c r="Y285" s="930">
        <f t="shared" si="94"/>
        <v>0</v>
      </c>
      <c r="Z285" s="929">
        <f t="shared" si="94"/>
        <v>0</v>
      </c>
      <c r="AA285" s="930">
        <f t="shared" si="94"/>
        <v>0</v>
      </c>
      <c r="AB285" s="929">
        <f t="shared" si="94"/>
        <v>0</v>
      </c>
      <c r="AC285" s="930">
        <f t="shared" si="94"/>
        <v>0</v>
      </c>
      <c r="AD285" s="929">
        <f t="shared" si="94"/>
        <v>0</v>
      </c>
      <c r="AE285" s="930">
        <f t="shared" si="94"/>
        <v>0</v>
      </c>
      <c r="AF285" s="928">
        <f t="shared" si="94"/>
        <v>0</v>
      </c>
      <c r="AG285" s="927">
        <f t="shared" si="98"/>
        <v>0</v>
      </c>
      <c r="AH285" s="929">
        <f t="shared" si="121"/>
        <v>0</v>
      </c>
      <c r="AI285" s="930">
        <f t="shared" si="99"/>
        <v>0</v>
      </c>
      <c r="AJ285" s="929">
        <f t="shared" si="100"/>
        <v>0</v>
      </c>
      <c r="AK285" s="930">
        <f t="shared" si="101"/>
        <v>0</v>
      </c>
      <c r="AL285" s="929">
        <f t="shared" si="102"/>
        <v>0</v>
      </c>
      <c r="AM285" s="930">
        <f t="shared" si="103"/>
        <v>0</v>
      </c>
      <c r="AN285" s="929">
        <f t="shared" si="104"/>
        <v>0</v>
      </c>
      <c r="AO285" s="930">
        <f t="shared" si="105"/>
        <v>0</v>
      </c>
      <c r="AP285" s="929">
        <f t="shared" si="106"/>
        <v>0</v>
      </c>
      <c r="AQ285" s="932">
        <f t="shared" si="107"/>
        <v>0</v>
      </c>
      <c r="AR285" s="927">
        <f t="shared" si="108"/>
        <v>0</v>
      </c>
      <c r="AS285" s="929">
        <f t="shared" si="109"/>
        <v>0</v>
      </c>
      <c r="AT285" s="930">
        <f t="shared" si="110"/>
        <v>0</v>
      </c>
      <c r="AU285" s="929">
        <f t="shared" si="111"/>
        <v>0</v>
      </c>
      <c r="AV285" s="930">
        <f t="shared" si="112"/>
        <v>0</v>
      </c>
      <c r="AW285" s="929">
        <f t="shared" si="113"/>
        <v>0</v>
      </c>
      <c r="AX285" s="930">
        <f t="shared" si="114"/>
        <v>0</v>
      </c>
      <c r="AY285" s="929">
        <f t="shared" si="115"/>
        <v>0</v>
      </c>
      <c r="AZ285" s="930">
        <f t="shared" si="116"/>
        <v>0</v>
      </c>
      <c r="BA285" s="929">
        <f t="shared" si="117"/>
        <v>0</v>
      </c>
      <c r="BB285" s="932">
        <f t="shared" si="118"/>
        <v>0</v>
      </c>
    </row>
    <row r="286" spans="1:54" s="148" customFormat="1" x14ac:dyDescent="0.25">
      <c r="A286" s="926">
        <v>17</v>
      </c>
      <c r="B286" s="927">
        <f>IF(ISNUMBER(System!$AB20),SIGN(System!AB20),0)</f>
        <v>0</v>
      </c>
      <c r="C286" s="928">
        <f>IF(System!AC20&lt;&gt;0,1,0)</f>
        <v>0</v>
      </c>
      <c r="D286" s="927">
        <f>IF(OR(B286&lt;&gt;0,C286&lt;&gt;0),System!BC138+IF(ISNUMBER(B286),SIGN(B286),1)*E21*1,0)</f>
        <v>0</v>
      </c>
      <c r="E286" s="929">
        <f>IF(OR(B286&lt;&gt;0,C286&lt;&gt;0),System!BD138+IF(ISNUMBER(B286),SIGN(B286),1)*E21,0)</f>
        <v>0</v>
      </c>
      <c r="F286" s="930">
        <f>IF(OR(B286&lt;&gt;0,C286&lt;&gt;0),System!BE138+IF(ISNUMBER(B286),SIGN(B286),1)*F21,0)</f>
        <v>0</v>
      </c>
      <c r="G286" s="931">
        <f>IF(OR(B286&lt;&gt;0,C286&lt;&gt;0),System!BF138+IF(ISNUMBER(B286),SIGN(B286),1)*F21,0)</f>
        <v>0</v>
      </c>
      <c r="H286" s="927">
        <f t="shared" si="95"/>
        <v>0</v>
      </c>
      <c r="I286" s="929">
        <f t="shared" si="96"/>
        <v>0</v>
      </c>
      <c r="J286" s="932">
        <f t="shared" si="97"/>
        <v>0</v>
      </c>
      <c r="K286" s="927">
        <f t="shared" si="119"/>
        <v>0</v>
      </c>
      <c r="L286" s="929">
        <f t="shared" ref="L286:U301" si="122">K286+$H286</f>
        <v>0</v>
      </c>
      <c r="M286" s="930">
        <f t="shared" si="122"/>
        <v>0</v>
      </c>
      <c r="N286" s="929">
        <f t="shared" si="122"/>
        <v>0</v>
      </c>
      <c r="O286" s="930">
        <f t="shared" si="122"/>
        <v>0</v>
      </c>
      <c r="P286" s="929">
        <f t="shared" si="122"/>
        <v>0</v>
      </c>
      <c r="Q286" s="930">
        <f t="shared" si="122"/>
        <v>0</v>
      </c>
      <c r="R286" s="929">
        <f t="shared" si="122"/>
        <v>0</v>
      </c>
      <c r="S286" s="930">
        <f t="shared" si="122"/>
        <v>0</v>
      </c>
      <c r="T286" s="929">
        <f t="shared" si="122"/>
        <v>0</v>
      </c>
      <c r="U286" s="933">
        <f t="shared" si="122"/>
        <v>0</v>
      </c>
      <c r="V286" s="930">
        <f t="shared" si="120"/>
        <v>0</v>
      </c>
      <c r="W286" s="929">
        <f t="shared" ref="W286:AF301" si="123">V286+$I286</f>
        <v>0</v>
      </c>
      <c r="X286" s="929">
        <f t="shared" si="123"/>
        <v>0</v>
      </c>
      <c r="Y286" s="930">
        <f t="shared" si="123"/>
        <v>0</v>
      </c>
      <c r="Z286" s="929">
        <f t="shared" si="123"/>
        <v>0</v>
      </c>
      <c r="AA286" s="930">
        <f t="shared" si="123"/>
        <v>0</v>
      </c>
      <c r="AB286" s="929">
        <f t="shared" si="123"/>
        <v>0</v>
      </c>
      <c r="AC286" s="930">
        <f t="shared" si="123"/>
        <v>0</v>
      </c>
      <c r="AD286" s="929">
        <f t="shared" si="123"/>
        <v>0</v>
      </c>
      <c r="AE286" s="930">
        <f t="shared" si="123"/>
        <v>0</v>
      </c>
      <c r="AF286" s="928">
        <f t="shared" si="123"/>
        <v>0</v>
      </c>
      <c r="AG286" s="927">
        <f t="shared" si="98"/>
        <v>0</v>
      </c>
      <c r="AH286" s="929">
        <f t="shared" si="121"/>
        <v>0</v>
      </c>
      <c r="AI286" s="930">
        <f t="shared" si="99"/>
        <v>0</v>
      </c>
      <c r="AJ286" s="929">
        <f t="shared" si="100"/>
        <v>0</v>
      </c>
      <c r="AK286" s="930">
        <f t="shared" si="101"/>
        <v>0</v>
      </c>
      <c r="AL286" s="929">
        <f t="shared" si="102"/>
        <v>0</v>
      </c>
      <c r="AM286" s="930">
        <f t="shared" si="103"/>
        <v>0</v>
      </c>
      <c r="AN286" s="929">
        <f t="shared" si="104"/>
        <v>0</v>
      </c>
      <c r="AO286" s="930">
        <f t="shared" si="105"/>
        <v>0</v>
      </c>
      <c r="AP286" s="929">
        <f t="shared" si="106"/>
        <v>0</v>
      </c>
      <c r="AQ286" s="932">
        <f t="shared" si="107"/>
        <v>0</v>
      </c>
      <c r="AR286" s="927">
        <f t="shared" si="108"/>
        <v>0</v>
      </c>
      <c r="AS286" s="929">
        <f t="shared" si="109"/>
        <v>0</v>
      </c>
      <c r="AT286" s="930">
        <f t="shared" si="110"/>
        <v>0</v>
      </c>
      <c r="AU286" s="929">
        <f t="shared" si="111"/>
        <v>0</v>
      </c>
      <c r="AV286" s="930">
        <f t="shared" si="112"/>
        <v>0</v>
      </c>
      <c r="AW286" s="929">
        <f t="shared" si="113"/>
        <v>0</v>
      </c>
      <c r="AX286" s="930">
        <f t="shared" si="114"/>
        <v>0</v>
      </c>
      <c r="AY286" s="929">
        <f t="shared" si="115"/>
        <v>0</v>
      </c>
      <c r="AZ286" s="930">
        <f t="shared" si="116"/>
        <v>0</v>
      </c>
      <c r="BA286" s="929">
        <f t="shared" si="117"/>
        <v>0</v>
      </c>
      <c r="BB286" s="932">
        <f t="shared" si="118"/>
        <v>0</v>
      </c>
    </row>
    <row r="287" spans="1:54" s="148" customFormat="1" x14ac:dyDescent="0.25">
      <c r="A287" s="926">
        <v>18</v>
      </c>
      <c r="B287" s="927">
        <f>IF(ISNUMBER(System!$AB21),SIGN(System!AB21),0)</f>
        <v>0</v>
      </c>
      <c r="C287" s="928">
        <f>IF(System!AC21&lt;&gt;0,1,0)</f>
        <v>0</v>
      </c>
      <c r="D287" s="927">
        <f>IF(OR(B287&lt;&gt;0,C287&lt;&gt;0),System!BC139+IF(ISNUMBER(B287),SIGN(B287),1)*E22*1,0)</f>
        <v>0</v>
      </c>
      <c r="E287" s="929">
        <f>IF(OR(B287&lt;&gt;0,C287&lt;&gt;0),System!BD139+IF(ISNUMBER(B287),SIGN(B287),1)*E22,0)</f>
        <v>0</v>
      </c>
      <c r="F287" s="930">
        <f>IF(OR(B287&lt;&gt;0,C287&lt;&gt;0),System!BE139+IF(ISNUMBER(B287),SIGN(B287),1)*F22,0)</f>
        <v>0</v>
      </c>
      <c r="G287" s="931">
        <f>IF(OR(B287&lt;&gt;0,C287&lt;&gt;0),System!BF139+IF(ISNUMBER(B287),SIGN(B287),1)*F22,0)</f>
        <v>0</v>
      </c>
      <c r="H287" s="927">
        <f t="shared" si="95"/>
        <v>0</v>
      </c>
      <c r="I287" s="929">
        <f t="shared" si="96"/>
        <v>0</v>
      </c>
      <c r="J287" s="932">
        <f t="shared" si="97"/>
        <v>0</v>
      </c>
      <c r="K287" s="927">
        <f t="shared" si="119"/>
        <v>0</v>
      </c>
      <c r="L287" s="929">
        <f t="shared" si="122"/>
        <v>0</v>
      </c>
      <c r="M287" s="930">
        <f t="shared" si="122"/>
        <v>0</v>
      </c>
      <c r="N287" s="929">
        <f t="shared" si="122"/>
        <v>0</v>
      </c>
      <c r="O287" s="930">
        <f t="shared" si="122"/>
        <v>0</v>
      </c>
      <c r="P287" s="929">
        <f t="shared" si="122"/>
        <v>0</v>
      </c>
      <c r="Q287" s="930">
        <f t="shared" si="122"/>
        <v>0</v>
      </c>
      <c r="R287" s="929">
        <f t="shared" si="122"/>
        <v>0</v>
      </c>
      <c r="S287" s="930">
        <f t="shared" si="122"/>
        <v>0</v>
      </c>
      <c r="T287" s="929">
        <f t="shared" si="122"/>
        <v>0</v>
      </c>
      <c r="U287" s="933">
        <f t="shared" si="122"/>
        <v>0</v>
      </c>
      <c r="V287" s="930">
        <f t="shared" si="120"/>
        <v>0</v>
      </c>
      <c r="W287" s="929">
        <f t="shared" si="123"/>
        <v>0</v>
      </c>
      <c r="X287" s="929">
        <f t="shared" si="123"/>
        <v>0</v>
      </c>
      <c r="Y287" s="930">
        <f t="shared" si="123"/>
        <v>0</v>
      </c>
      <c r="Z287" s="929">
        <f t="shared" si="123"/>
        <v>0</v>
      </c>
      <c r="AA287" s="930">
        <f t="shared" si="123"/>
        <v>0</v>
      </c>
      <c r="AB287" s="929">
        <f t="shared" si="123"/>
        <v>0</v>
      </c>
      <c r="AC287" s="930">
        <f t="shared" si="123"/>
        <v>0</v>
      </c>
      <c r="AD287" s="929">
        <f t="shared" si="123"/>
        <v>0</v>
      </c>
      <c r="AE287" s="930">
        <f t="shared" si="123"/>
        <v>0</v>
      </c>
      <c r="AF287" s="928">
        <f t="shared" si="123"/>
        <v>0</v>
      </c>
      <c r="AG287" s="927">
        <f t="shared" si="98"/>
        <v>0</v>
      </c>
      <c r="AH287" s="929">
        <f t="shared" si="121"/>
        <v>0</v>
      </c>
      <c r="AI287" s="930">
        <f t="shared" si="99"/>
        <v>0</v>
      </c>
      <c r="AJ287" s="929">
        <f t="shared" si="100"/>
        <v>0</v>
      </c>
      <c r="AK287" s="930">
        <f t="shared" si="101"/>
        <v>0</v>
      </c>
      <c r="AL287" s="929">
        <f t="shared" si="102"/>
        <v>0</v>
      </c>
      <c r="AM287" s="930">
        <f t="shared" si="103"/>
        <v>0</v>
      </c>
      <c r="AN287" s="929">
        <f t="shared" si="104"/>
        <v>0</v>
      </c>
      <c r="AO287" s="930">
        <f t="shared" si="105"/>
        <v>0</v>
      </c>
      <c r="AP287" s="929">
        <f t="shared" si="106"/>
        <v>0</v>
      </c>
      <c r="AQ287" s="932">
        <f t="shared" si="107"/>
        <v>0</v>
      </c>
      <c r="AR287" s="927">
        <f t="shared" si="108"/>
        <v>0</v>
      </c>
      <c r="AS287" s="929">
        <f t="shared" si="109"/>
        <v>0</v>
      </c>
      <c r="AT287" s="930">
        <f t="shared" si="110"/>
        <v>0</v>
      </c>
      <c r="AU287" s="929">
        <f t="shared" si="111"/>
        <v>0</v>
      </c>
      <c r="AV287" s="930">
        <f t="shared" si="112"/>
        <v>0</v>
      </c>
      <c r="AW287" s="929">
        <f t="shared" si="113"/>
        <v>0</v>
      </c>
      <c r="AX287" s="930">
        <f t="shared" si="114"/>
        <v>0</v>
      </c>
      <c r="AY287" s="929">
        <f t="shared" si="115"/>
        <v>0</v>
      </c>
      <c r="AZ287" s="930">
        <f t="shared" si="116"/>
        <v>0</v>
      </c>
      <c r="BA287" s="929">
        <f t="shared" si="117"/>
        <v>0</v>
      </c>
      <c r="BB287" s="932">
        <f t="shared" si="118"/>
        <v>0</v>
      </c>
    </row>
    <row r="288" spans="1:54" s="148" customFormat="1" x14ac:dyDescent="0.25">
      <c r="A288" s="926">
        <v>19</v>
      </c>
      <c r="B288" s="927">
        <f>IF(ISNUMBER(System!$AB22),SIGN(System!AB22),0)</f>
        <v>0</v>
      </c>
      <c r="C288" s="928">
        <f>IF(System!AC22&lt;&gt;0,1,0)</f>
        <v>0</v>
      </c>
      <c r="D288" s="927">
        <f>IF(OR(B288&lt;&gt;0,C288&lt;&gt;0),System!BC140+IF(ISNUMBER(B288),SIGN(B288),1)*E23*1,0)</f>
        <v>0</v>
      </c>
      <c r="E288" s="929">
        <f>IF(OR(B288&lt;&gt;0,C288&lt;&gt;0),System!BD140+IF(ISNUMBER(B288),SIGN(B288),1)*E23,0)</f>
        <v>0</v>
      </c>
      <c r="F288" s="930">
        <f>IF(OR(B288&lt;&gt;0,C288&lt;&gt;0),System!BE140+IF(ISNUMBER(B288),SIGN(B288),1)*F23,0)</f>
        <v>0</v>
      </c>
      <c r="G288" s="931">
        <f>IF(OR(B288&lt;&gt;0,C288&lt;&gt;0),System!BF140+IF(ISNUMBER(B288),SIGN(B288),1)*F23,0)</f>
        <v>0</v>
      </c>
      <c r="H288" s="927">
        <f t="shared" si="95"/>
        <v>0</v>
      </c>
      <c r="I288" s="929">
        <f t="shared" si="96"/>
        <v>0</v>
      </c>
      <c r="J288" s="932">
        <f t="shared" si="97"/>
        <v>0</v>
      </c>
      <c r="K288" s="927">
        <f t="shared" si="119"/>
        <v>0</v>
      </c>
      <c r="L288" s="929">
        <f t="shared" si="122"/>
        <v>0</v>
      </c>
      <c r="M288" s="930">
        <f t="shared" si="122"/>
        <v>0</v>
      </c>
      <c r="N288" s="929">
        <f t="shared" si="122"/>
        <v>0</v>
      </c>
      <c r="O288" s="930">
        <f t="shared" si="122"/>
        <v>0</v>
      </c>
      <c r="P288" s="929">
        <f t="shared" si="122"/>
        <v>0</v>
      </c>
      <c r="Q288" s="930">
        <f t="shared" si="122"/>
        <v>0</v>
      </c>
      <c r="R288" s="929">
        <f t="shared" si="122"/>
        <v>0</v>
      </c>
      <c r="S288" s="930">
        <f t="shared" si="122"/>
        <v>0</v>
      </c>
      <c r="T288" s="929">
        <f t="shared" si="122"/>
        <v>0</v>
      </c>
      <c r="U288" s="933">
        <f t="shared" si="122"/>
        <v>0</v>
      </c>
      <c r="V288" s="930">
        <f t="shared" si="120"/>
        <v>0</v>
      </c>
      <c r="W288" s="929">
        <f t="shared" si="123"/>
        <v>0</v>
      </c>
      <c r="X288" s="929">
        <f t="shared" si="123"/>
        <v>0</v>
      </c>
      <c r="Y288" s="930">
        <f t="shared" si="123"/>
        <v>0</v>
      </c>
      <c r="Z288" s="929">
        <f t="shared" si="123"/>
        <v>0</v>
      </c>
      <c r="AA288" s="930">
        <f t="shared" si="123"/>
        <v>0</v>
      </c>
      <c r="AB288" s="929">
        <f t="shared" si="123"/>
        <v>0</v>
      </c>
      <c r="AC288" s="930">
        <f t="shared" si="123"/>
        <v>0</v>
      </c>
      <c r="AD288" s="929">
        <f t="shared" si="123"/>
        <v>0</v>
      </c>
      <c r="AE288" s="930">
        <f t="shared" si="123"/>
        <v>0</v>
      </c>
      <c r="AF288" s="928">
        <f t="shared" si="123"/>
        <v>0</v>
      </c>
      <c r="AG288" s="927">
        <f t="shared" si="98"/>
        <v>0</v>
      </c>
      <c r="AH288" s="929">
        <f t="shared" si="121"/>
        <v>0</v>
      </c>
      <c r="AI288" s="930">
        <f t="shared" si="99"/>
        <v>0</v>
      </c>
      <c r="AJ288" s="929">
        <f t="shared" si="100"/>
        <v>0</v>
      </c>
      <c r="AK288" s="930">
        <f t="shared" si="101"/>
        <v>0</v>
      </c>
      <c r="AL288" s="929">
        <f t="shared" si="102"/>
        <v>0</v>
      </c>
      <c r="AM288" s="930">
        <f t="shared" si="103"/>
        <v>0</v>
      </c>
      <c r="AN288" s="929">
        <f t="shared" si="104"/>
        <v>0</v>
      </c>
      <c r="AO288" s="930">
        <f t="shared" si="105"/>
        <v>0</v>
      </c>
      <c r="AP288" s="929">
        <f t="shared" si="106"/>
        <v>0</v>
      </c>
      <c r="AQ288" s="932">
        <f t="shared" si="107"/>
        <v>0</v>
      </c>
      <c r="AR288" s="927">
        <f t="shared" si="108"/>
        <v>0</v>
      </c>
      <c r="AS288" s="929">
        <f t="shared" si="109"/>
        <v>0</v>
      </c>
      <c r="AT288" s="930">
        <f t="shared" si="110"/>
        <v>0</v>
      </c>
      <c r="AU288" s="929">
        <f t="shared" si="111"/>
        <v>0</v>
      </c>
      <c r="AV288" s="930">
        <f t="shared" si="112"/>
        <v>0</v>
      </c>
      <c r="AW288" s="929">
        <f t="shared" si="113"/>
        <v>0</v>
      </c>
      <c r="AX288" s="930">
        <f t="shared" si="114"/>
        <v>0</v>
      </c>
      <c r="AY288" s="929">
        <f t="shared" si="115"/>
        <v>0</v>
      </c>
      <c r="AZ288" s="930">
        <f t="shared" si="116"/>
        <v>0</v>
      </c>
      <c r="BA288" s="929">
        <f t="shared" si="117"/>
        <v>0</v>
      </c>
      <c r="BB288" s="932">
        <f t="shared" si="118"/>
        <v>0</v>
      </c>
    </row>
    <row r="289" spans="1:54" s="148" customFormat="1" x14ac:dyDescent="0.25">
      <c r="A289" s="926">
        <v>20</v>
      </c>
      <c r="B289" s="927">
        <f>IF(ISNUMBER(System!$AB23),SIGN(System!AB23),0)</f>
        <v>0</v>
      </c>
      <c r="C289" s="928">
        <f>IF(System!AC23&lt;&gt;0,1,0)</f>
        <v>0</v>
      </c>
      <c r="D289" s="927">
        <f>IF(OR(B289&lt;&gt;0,C289&lt;&gt;0),System!BC141+IF(ISNUMBER(B289),SIGN(B289),1)*E24*1,0)</f>
        <v>0</v>
      </c>
      <c r="E289" s="929">
        <f>IF(OR(B289&lt;&gt;0,C289&lt;&gt;0),System!BD141+IF(ISNUMBER(B289),SIGN(B289),1)*E24,0)</f>
        <v>0</v>
      </c>
      <c r="F289" s="930">
        <f>IF(OR(B289&lt;&gt;0,C289&lt;&gt;0),System!BE141+IF(ISNUMBER(B289),SIGN(B289),1)*F24,0)</f>
        <v>0</v>
      </c>
      <c r="G289" s="931">
        <f>IF(OR(B289&lt;&gt;0,C289&lt;&gt;0),System!BF141+IF(ISNUMBER(B289),SIGN(B289),1)*F24,0)</f>
        <v>0</v>
      </c>
      <c r="H289" s="927">
        <f t="shared" si="95"/>
        <v>0</v>
      </c>
      <c r="I289" s="929">
        <f t="shared" si="96"/>
        <v>0</v>
      </c>
      <c r="J289" s="932">
        <f t="shared" si="97"/>
        <v>0</v>
      </c>
      <c r="K289" s="927">
        <f t="shared" si="119"/>
        <v>0</v>
      </c>
      <c r="L289" s="929">
        <f t="shared" si="122"/>
        <v>0</v>
      </c>
      <c r="M289" s="930">
        <f t="shared" si="122"/>
        <v>0</v>
      </c>
      <c r="N289" s="929">
        <f t="shared" si="122"/>
        <v>0</v>
      </c>
      <c r="O289" s="930">
        <f t="shared" si="122"/>
        <v>0</v>
      </c>
      <c r="P289" s="929">
        <f t="shared" si="122"/>
        <v>0</v>
      </c>
      <c r="Q289" s="930">
        <f t="shared" si="122"/>
        <v>0</v>
      </c>
      <c r="R289" s="929">
        <f t="shared" si="122"/>
        <v>0</v>
      </c>
      <c r="S289" s="930">
        <f t="shared" si="122"/>
        <v>0</v>
      </c>
      <c r="T289" s="929">
        <f t="shared" si="122"/>
        <v>0</v>
      </c>
      <c r="U289" s="933">
        <f t="shared" si="122"/>
        <v>0</v>
      </c>
      <c r="V289" s="930">
        <f t="shared" si="120"/>
        <v>0</v>
      </c>
      <c r="W289" s="929">
        <f t="shared" si="123"/>
        <v>0</v>
      </c>
      <c r="X289" s="929">
        <f t="shared" si="123"/>
        <v>0</v>
      </c>
      <c r="Y289" s="930">
        <f t="shared" si="123"/>
        <v>0</v>
      </c>
      <c r="Z289" s="929">
        <f t="shared" si="123"/>
        <v>0</v>
      </c>
      <c r="AA289" s="930">
        <f t="shared" si="123"/>
        <v>0</v>
      </c>
      <c r="AB289" s="929">
        <f t="shared" si="123"/>
        <v>0</v>
      </c>
      <c r="AC289" s="930">
        <f t="shared" si="123"/>
        <v>0</v>
      </c>
      <c r="AD289" s="929">
        <f t="shared" si="123"/>
        <v>0</v>
      </c>
      <c r="AE289" s="930">
        <f t="shared" si="123"/>
        <v>0</v>
      </c>
      <c r="AF289" s="928">
        <f t="shared" si="123"/>
        <v>0</v>
      </c>
      <c r="AG289" s="927">
        <f t="shared" si="98"/>
        <v>0</v>
      </c>
      <c r="AH289" s="929">
        <f t="shared" si="121"/>
        <v>0</v>
      </c>
      <c r="AI289" s="930">
        <f t="shared" si="99"/>
        <v>0</v>
      </c>
      <c r="AJ289" s="929">
        <f t="shared" si="100"/>
        <v>0</v>
      </c>
      <c r="AK289" s="930">
        <f t="shared" si="101"/>
        <v>0</v>
      </c>
      <c r="AL289" s="929">
        <f t="shared" si="102"/>
        <v>0</v>
      </c>
      <c r="AM289" s="930">
        <f t="shared" si="103"/>
        <v>0</v>
      </c>
      <c r="AN289" s="929">
        <f t="shared" si="104"/>
        <v>0</v>
      </c>
      <c r="AO289" s="930">
        <f t="shared" si="105"/>
        <v>0</v>
      </c>
      <c r="AP289" s="929">
        <f t="shared" si="106"/>
        <v>0</v>
      </c>
      <c r="AQ289" s="932">
        <f t="shared" si="107"/>
        <v>0</v>
      </c>
      <c r="AR289" s="927">
        <f t="shared" si="108"/>
        <v>0</v>
      </c>
      <c r="AS289" s="929">
        <f t="shared" si="109"/>
        <v>0</v>
      </c>
      <c r="AT289" s="930">
        <f t="shared" si="110"/>
        <v>0</v>
      </c>
      <c r="AU289" s="929">
        <f t="shared" si="111"/>
        <v>0</v>
      </c>
      <c r="AV289" s="930">
        <f t="shared" si="112"/>
        <v>0</v>
      </c>
      <c r="AW289" s="929">
        <f t="shared" si="113"/>
        <v>0</v>
      </c>
      <c r="AX289" s="930">
        <f t="shared" si="114"/>
        <v>0</v>
      </c>
      <c r="AY289" s="929">
        <f t="shared" si="115"/>
        <v>0</v>
      </c>
      <c r="AZ289" s="930">
        <f t="shared" si="116"/>
        <v>0</v>
      </c>
      <c r="BA289" s="929">
        <f t="shared" si="117"/>
        <v>0</v>
      </c>
      <c r="BB289" s="932">
        <f t="shared" si="118"/>
        <v>0</v>
      </c>
    </row>
    <row r="290" spans="1:54" s="148" customFormat="1" x14ac:dyDescent="0.25">
      <c r="A290" s="926">
        <v>21</v>
      </c>
      <c r="B290" s="927">
        <f>IF(ISNUMBER(System!$AB24),SIGN(System!AB24),0)</f>
        <v>0</v>
      </c>
      <c r="C290" s="928">
        <f>IF(System!AC24&lt;&gt;0,1,0)</f>
        <v>0</v>
      </c>
      <c r="D290" s="927">
        <f>IF(OR(B290&lt;&gt;0,C290&lt;&gt;0),System!BC142+IF(ISNUMBER(B290),SIGN(B290),1)*E25*1,0)</f>
        <v>0</v>
      </c>
      <c r="E290" s="929">
        <f>IF(OR(B290&lt;&gt;0,C290&lt;&gt;0),System!BD142+IF(ISNUMBER(B290),SIGN(B290),1)*E25,0)</f>
        <v>0</v>
      </c>
      <c r="F290" s="930">
        <f>IF(OR(B290&lt;&gt;0,C290&lt;&gt;0),System!BE142+IF(ISNUMBER(B290),SIGN(B290),1)*F25,0)</f>
        <v>0</v>
      </c>
      <c r="G290" s="931">
        <f>IF(OR(B290&lt;&gt;0,C290&lt;&gt;0),System!BF142+IF(ISNUMBER(B290),SIGN(B290),1)*F25,0)</f>
        <v>0</v>
      </c>
      <c r="H290" s="927">
        <f t="shared" si="95"/>
        <v>0</v>
      </c>
      <c r="I290" s="929">
        <f t="shared" si="96"/>
        <v>0</v>
      </c>
      <c r="J290" s="932">
        <f t="shared" si="97"/>
        <v>0</v>
      </c>
      <c r="K290" s="927">
        <f t="shared" si="119"/>
        <v>0</v>
      </c>
      <c r="L290" s="929">
        <f t="shared" si="122"/>
        <v>0</v>
      </c>
      <c r="M290" s="930">
        <f t="shared" si="122"/>
        <v>0</v>
      </c>
      <c r="N290" s="929">
        <f t="shared" si="122"/>
        <v>0</v>
      </c>
      <c r="O290" s="930">
        <f t="shared" si="122"/>
        <v>0</v>
      </c>
      <c r="P290" s="929">
        <f t="shared" si="122"/>
        <v>0</v>
      </c>
      <c r="Q290" s="930">
        <f t="shared" si="122"/>
        <v>0</v>
      </c>
      <c r="R290" s="929">
        <f t="shared" si="122"/>
        <v>0</v>
      </c>
      <c r="S290" s="930">
        <f t="shared" si="122"/>
        <v>0</v>
      </c>
      <c r="T290" s="929">
        <f t="shared" si="122"/>
        <v>0</v>
      </c>
      <c r="U290" s="933">
        <f t="shared" si="122"/>
        <v>0</v>
      </c>
      <c r="V290" s="930">
        <f t="shared" si="120"/>
        <v>0</v>
      </c>
      <c r="W290" s="929">
        <f t="shared" si="123"/>
        <v>0</v>
      </c>
      <c r="X290" s="929">
        <f t="shared" si="123"/>
        <v>0</v>
      </c>
      <c r="Y290" s="930">
        <f t="shared" si="123"/>
        <v>0</v>
      </c>
      <c r="Z290" s="929">
        <f t="shared" si="123"/>
        <v>0</v>
      </c>
      <c r="AA290" s="930">
        <f t="shared" si="123"/>
        <v>0</v>
      </c>
      <c r="AB290" s="929">
        <f t="shared" si="123"/>
        <v>0</v>
      </c>
      <c r="AC290" s="930">
        <f t="shared" si="123"/>
        <v>0</v>
      </c>
      <c r="AD290" s="929">
        <f t="shared" si="123"/>
        <v>0</v>
      </c>
      <c r="AE290" s="930">
        <f t="shared" si="123"/>
        <v>0</v>
      </c>
      <c r="AF290" s="928">
        <f t="shared" si="123"/>
        <v>0</v>
      </c>
      <c r="AG290" s="927">
        <f t="shared" si="98"/>
        <v>0</v>
      </c>
      <c r="AH290" s="929">
        <f t="shared" si="121"/>
        <v>0</v>
      </c>
      <c r="AI290" s="930">
        <f t="shared" si="99"/>
        <v>0</v>
      </c>
      <c r="AJ290" s="929">
        <f t="shared" si="100"/>
        <v>0</v>
      </c>
      <c r="AK290" s="930">
        <f t="shared" si="101"/>
        <v>0</v>
      </c>
      <c r="AL290" s="929">
        <f t="shared" si="102"/>
        <v>0</v>
      </c>
      <c r="AM290" s="930">
        <f t="shared" si="103"/>
        <v>0</v>
      </c>
      <c r="AN290" s="929">
        <f t="shared" si="104"/>
        <v>0</v>
      </c>
      <c r="AO290" s="930">
        <f t="shared" si="105"/>
        <v>0</v>
      </c>
      <c r="AP290" s="929">
        <f t="shared" si="106"/>
        <v>0</v>
      </c>
      <c r="AQ290" s="932">
        <f t="shared" si="107"/>
        <v>0</v>
      </c>
      <c r="AR290" s="927">
        <f t="shared" si="108"/>
        <v>0</v>
      </c>
      <c r="AS290" s="929">
        <f t="shared" si="109"/>
        <v>0</v>
      </c>
      <c r="AT290" s="930">
        <f t="shared" si="110"/>
        <v>0</v>
      </c>
      <c r="AU290" s="929">
        <f t="shared" si="111"/>
        <v>0</v>
      </c>
      <c r="AV290" s="930">
        <f t="shared" si="112"/>
        <v>0</v>
      </c>
      <c r="AW290" s="929">
        <f t="shared" si="113"/>
        <v>0</v>
      </c>
      <c r="AX290" s="930">
        <f t="shared" si="114"/>
        <v>0</v>
      </c>
      <c r="AY290" s="929">
        <f t="shared" si="115"/>
        <v>0</v>
      </c>
      <c r="AZ290" s="930">
        <f t="shared" si="116"/>
        <v>0</v>
      </c>
      <c r="BA290" s="929">
        <f t="shared" si="117"/>
        <v>0</v>
      </c>
      <c r="BB290" s="932">
        <f t="shared" si="118"/>
        <v>0</v>
      </c>
    </row>
    <row r="291" spans="1:54" s="148" customFormat="1" x14ac:dyDescent="0.25">
      <c r="A291" s="926">
        <v>22</v>
      </c>
      <c r="B291" s="927">
        <f>IF(ISNUMBER(System!$AB25),SIGN(System!AB25),0)</f>
        <v>0</v>
      </c>
      <c r="C291" s="928">
        <f>IF(System!AC25&lt;&gt;0,1,0)</f>
        <v>0</v>
      </c>
      <c r="D291" s="927">
        <f>IF(OR(B291&lt;&gt;0,C291&lt;&gt;0),System!BC143+IF(ISNUMBER(B291),SIGN(B291),1)*E26*1,0)</f>
        <v>0</v>
      </c>
      <c r="E291" s="929">
        <f>IF(OR(B291&lt;&gt;0,C291&lt;&gt;0),System!BD143+IF(ISNUMBER(B291),SIGN(B291),1)*E26,0)</f>
        <v>0</v>
      </c>
      <c r="F291" s="930">
        <f>IF(OR(B291&lt;&gt;0,C291&lt;&gt;0),System!BE143+IF(ISNUMBER(B291),SIGN(B291),1)*F26,0)</f>
        <v>0</v>
      </c>
      <c r="G291" s="931">
        <f>IF(OR(B291&lt;&gt;0,C291&lt;&gt;0),System!BF143+IF(ISNUMBER(B291),SIGN(B291),1)*F26,0)</f>
        <v>0</v>
      </c>
      <c r="H291" s="927">
        <f t="shared" si="95"/>
        <v>0</v>
      </c>
      <c r="I291" s="929">
        <f t="shared" si="96"/>
        <v>0</v>
      </c>
      <c r="J291" s="932">
        <f t="shared" si="97"/>
        <v>0</v>
      </c>
      <c r="K291" s="927">
        <f t="shared" si="119"/>
        <v>0</v>
      </c>
      <c r="L291" s="929">
        <f t="shared" si="122"/>
        <v>0</v>
      </c>
      <c r="M291" s="930">
        <f t="shared" si="122"/>
        <v>0</v>
      </c>
      <c r="N291" s="929">
        <f t="shared" si="122"/>
        <v>0</v>
      </c>
      <c r="O291" s="930">
        <f t="shared" si="122"/>
        <v>0</v>
      </c>
      <c r="P291" s="929">
        <f t="shared" si="122"/>
        <v>0</v>
      </c>
      <c r="Q291" s="930">
        <f t="shared" si="122"/>
        <v>0</v>
      </c>
      <c r="R291" s="929">
        <f t="shared" si="122"/>
        <v>0</v>
      </c>
      <c r="S291" s="930">
        <f t="shared" si="122"/>
        <v>0</v>
      </c>
      <c r="T291" s="929">
        <f t="shared" si="122"/>
        <v>0</v>
      </c>
      <c r="U291" s="933">
        <f t="shared" si="122"/>
        <v>0</v>
      </c>
      <c r="V291" s="930">
        <f t="shared" si="120"/>
        <v>0</v>
      </c>
      <c r="W291" s="929">
        <f t="shared" si="123"/>
        <v>0</v>
      </c>
      <c r="X291" s="929">
        <f t="shared" si="123"/>
        <v>0</v>
      </c>
      <c r="Y291" s="930">
        <f t="shared" si="123"/>
        <v>0</v>
      </c>
      <c r="Z291" s="929">
        <f t="shared" si="123"/>
        <v>0</v>
      </c>
      <c r="AA291" s="930">
        <f t="shared" si="123"/>
        <v>0</v>
      </c>
      <c r="AB291" s="929">
        <f t="shared" si="123"/>
        <v>0</v>
      </c>
      <c r="AC291" s="930">
        <f t="shared" si="123"/>
        <v>0</v>
      </c>
      <c r="AD291" s="929">
        <f t="shared" si="123"/>
        <v>0</v>
      </c>
      <c r="AE291" s="930">
        <f t="shared" si="123"/>
        <v>0</v>
      </c>
      <c r="AF291" s="928">
        <f t="shared" si="123"/>
        <v>0</v>
      </c>
      <c r="AG291" s="927">
        <f t="shared" si="98"/>
        <v>0</v>
      </c>
      <c r="AH291" s="929">
        <f t="shared" si="121"/>
        <v>0</v>
      </c>
      <c r="AI291" s="930">
        <f t="shared" si="99"/>
        <v>0</v>
      </c>
      <c r="AJ291" s="929">
        <f t="shared" si="100"/>
        <v>0</v>
      </c>
      <c r="AK291" s="930">
        <f t="shared" si="101"/>
        <v>0</v>
      </c>
      <c r="AL291" s="929">
        <f t="shared" si="102"/>
        <v>0</v>
      </c>
      <c r="AM291" s="930">
        <f t="shared" si="103"/>
        <v>0</v>
      </c>
      <c r="AN291" s="929">
        <f t="shared" si="104"/>
        <v>0</v>
      </c>
      <c r="AO291" s="930">
        <f t="shared" si="105"/>
        <v>0</v>
      </c>
      <c r="AP291" s="929">
        <f t="shared" si="106"/>
        <v>0</v>
      </c>
      <c r="AQ291" s="932">
        <f t="shared" si="107"/>
        <v>0</v>
      </c>
      <c r="AR291" s="927">
        <f t="shared" si="108"/>
        <v>0</v>
      </c>
      <c r="AS291" s="929">
        <f t="shared" si="109"/>
        <v>0</v>
      </c>
      <c r="AT291" s="930">
        <f t="shared" si="110"/>
        <v>0</v>
      </c>
      <c r="AU291" s="929">
        <f t="shared" si="111"/>
        <v>0</v>
      </c>
      <c r="AV291" s="930">
        <f t="shared" si="112"/>
        <v>0</v>
      </c>
      <c r="AW291" s="929">
        <f t="shared" si="113"/>
        <v>0</v>
      </c>
      <c r="AX291" s="930">
        <f t="shared" si="114"/>
        <v>0</v>
      </c>
      <c r="AY291" s="929">
        <f t="shared" si="115"/>
        <v>0</v>
      </c>
      <c r="AZ291" s="930">
        <f t="shared" si="116"/>
        <v>0</v>
      </c>
      <c r="BA291" s="929">
        <f t="shared" si="117"/>
        <v>0</v>
      </c>
      <c r="BB291" s="932">
        <f t="shared" si="118"/>
        <v>0</v>
      </c>
    </row>
    <row r="292" spans="1:54" s="148" customFormat="1" x14ac:dyDescent="0.25">
      <c r="A292" s="926">
        <v>23</v>
      </c>
      <c r="B292" s="927">
        <f>IF(ISNUMBER(System!$AB26),SIGN(System!AB26),0)</f>
        <v>0</v>
      </c>
      <c r="C292" s="928">
        <f>IF(System!AC26&lt;&gt;0,1,0)</f>
        <v>0</v>
      </c>
      <c r="D292" s="927">
        <f>IF(OR(B292&lt;&gt;0,C292&lt;&gt;0),System!BC144+IF(ISNUMBER(B292),SIGN(B292),1)*E27*1,0)</f>
        <v>0</v>
      </c>
      <c r="E292" s="929">
        <f>IF(OR(B292&lt;&gt;0,C292&lt;&gt;0),System!BD144+IF(ISNUMBER(B292),SIGN(B292),1)*E27,0)</f>
        <v>0</v>
      </c>
      <c r="F292" s="930">
        <f>IF(OR(B292&lt;&gt;0,C292&lt;&gt;0),System!BE144+IF(ISNUMBER(B292),SIGN(B292),1)*F27,0)</f>
        <v>0</v>
      </c>
      <c r="G292" s="931">
        <f>IF(OR(B292&lt;&gt;0,C292&lt;&gt;0),System!BF144+IF(ISNUMBER(B292),SIGN(B292),1)*F27,0)</f>
        <v>0</v>
      </c>
      <c r="H292" s="927">
        <f t="shared" si="95"/>
        <v>0</v>
      </c>
      <c r="I292" s="929">
        <f t="shared" si="96"/>
        <v>0</v>
      </c>
      <c r="J292" s="932">
        <f t="shared" si="97"/>
        <v>0</v>
      </c>
      <c r="K292" s="927">
        <f t="shared" si="119"/>
        <v>0</v>
      </c>
      <c r="L292" s="929">
        <f t="shared" si="122"/>
        <v>0</v>
      </c>
      <c r="M292" s="930">
        <f t="shared" si="122"/>
        <v>0</v>
      </c>
      <c r="N292" s="929">
        <f t="shared" si="122"/>
        <v>0</v>
      </c>
      <c r="O292" s="930">
        <f t="shared" si="122"/>
        <v>0</v>
      </c>
      <c r="P292" s="929">
        <f t="shared" si="122"/>
        <v>0</v>
      </c>
      <c r="Q292" s="930">
        <f t="shared" si="122"/>
        <v>0</v>
      </c>
      <c r="R292" s="929">
        <f t="shared" si="122"/>
        <v>0</v>
      </c>
      <c r="S292" s="930">
        <f t="shared" si="122"/>
        <v>0</v>
      </c>
      <c r="T292" s="929">
        <f t="shared" si="122"/>
        <v>0</v>
      </c>
      <c r="U292" s="933">
        <f t="shared" si="122"/>
        <v>0</v>
      </c>
      <c r="V292" s="930">
        <f t="shared" si="120"/>
        <v>0</v>
      </c>
      <c r="W292" s="929">
        <f t="shared" si="123"/>
        <v>0</v>
      </c>
      <c r="X292" s="929">
        <f t="shared" si="123"/>
        <v>0</v>
      </c>
      <c r="Y292" s="930">
        <f t="shared" si="123"/>
        <v>0</v>
      </c>
      <c r="Z292" s="929">
        <f t="shared" si="123"/>
        <v>0</v>
      </c>
      <c r="AA292" s="930">
        <f t="shared" si="123"/>
        <v>0</v>
      </c>
      <c r="AB292" s="929">
        <f t="shared" si="123"/>
        <v>0</v>
      </c>
      <c r="AC292" s="930">
        <f t="shared" si="123"/>
        <v>0</v>
      </c>
      <c r="AD292" s="929">
        <f t="shared" si="123"/>
        <v>0</v>
      </c>
      <c r="AE292" s="930">
        <f t="shared" si="123"/>
        <v>0</v>
      </c>
      <c r="AF292" s="928">
        <f t="shared" si="123"/>
        <v>0</v>
      </c>
      <c r="AG292" s="927">
        <f t="shared" si="98"/>
        <v>0</v>
      </c>
      <c r="AH292" s="929">
        <f t="shared" si="121"/>
        <v>0</v>
      </c>
      <c r="AI292" s="930">
        <f t="shared" si="99"/>
        <v>0</v>
      </c>
      <c r="AJ292" s="929">
        <f t="shared" si="100"/>
        <v>0</v>
      </c>
      <c r="AK292" s="930">
        <f t="shared" si="101"/>
        <v>0</v>
      </c>
      <c r="AL292" s="929">
        <f t="shared" si="102"/>
        <v>0</v>
      </c>
      <c r="AM292" s="930">
        <f t="shared" si="103"/>
        <v>0</v>
      </c>
      <c r="AN292" s="929">
        <f t="shared" si="104"/>
        <v>0</v>
      </c>
      <c r="AO292" s="930">
        <f t="shared" si="105"/>
        <v>0</v>
      </c>
      <c r="AP292" s="929">
        <f t="shared" si="106"/>
        <v>0</v>
      </c>
      <c r="AQ292" s="932">
        <f t="shared" si="107"/>
        <v>0</v>
      </c>
      <c r="AR292" s="927">
        <f t="shared" si="108"/>
        <v>0</v>
      </c>
      <c r="AS292" s="929">
        <f t="shared" si="109"/>
        <v>0</v>
      </c>
      <c r="AT292" s="930">
        <f t="shared" si="110"/>
        <v>0</v>
      </c>
      <c r="AU292" s="929">
        <f t="shared" si="111"/>
        <v>0</v>
      </c>
      <c r="AV292" s="930">
        <f t="shared" si="112"/>
        <v>0</v>
      </c>
      <c r="AW292" s="929">
        <f t="shared" si="113"/>
        <v>0</v>
      </c>
      <c r="AX292" s="930">
        <f t="shared" si="114"/>
        <v>0</v>
      </c>
      <c r="AY292" s="929">
        <f t="shared" si="115"/>
        <v>0</v>
      </c>
      <c r="AZ292" s="930">
        <f t="shared" si="116"/>
        <v>0</v>
      </c>
      <c r="BA292" s="929">
        <f t="shared" si="117"/>
        <v>0</v>
      </c>
      <c r="BB292" s="932">
        <f t="shared" si="118"/>
        <v>0</v>
      </c>
    </row>
    <row r="293" spans="1:54" s="148" customFormat="1" x14ac:dyDescent="0.25">
      <c r="A293" s="926">
        <v>24</v>
      </c>
      <c r="B293" s="927">
        <f>IF(ISNUMBER(System!$AB27),SIGN(System!AB27),0)</f>
        <v>0</v>
      </c>
      <c r="C293" s="928">
        <f>IF(System!AC27&lt;&gt;0,1,0)</f>
        <v>0</v>
      </c>
      <c r="D293" s="927">
        <f>IF(OR(B293&lt;&gt;0,C293&lt;&gt;0),System!BC145+IF(ISNUMBER(B293),SIGN(B293),1)*E28*1,0)</f>
        <v>0</v>
      </c>
      <c r="E293" s="929">
        <f>IF(OR(B293&lt;&gt;0,C293&lt;&gt;0),System!BD145+IF(ISNUMBER(B293),SIGN(B293),1)*E28,0)</f>
        <v>0</v>
      </c>
      <c r="F293" s="930">
        <f>IF(OR(B293&lt;&gt;0,C293&lt;&gt;0),System!BE145+IF(ISNUMBER(B293),SIGN(B293),1)*F28,0)</f>
        <v>0</v>
      </c>
      <c r="G293" s="931">
        <f>IF(OR(B293&lt;&gt;0,C293&lt;&gt;0),System!BF145+IF(ISNUMBER(B293),SIGN(B293),1)*F28,0)</f>
        <v>0</v>
      </c>
      <c r="H293" s="927">
        <f t="shared" si="95"/>
        <v>0</v>
      </c>
      <c r="I293" s="929">
        <f t="shared" si="96"/>
        <v>0</v>
      </c>
      <c r="J293" s="932">
        <f t="shared" si="97"/>
        <v>0</v>
      </c>
      <c r="K293" s="927">
        <f t="shared" si="119"/>
        <v>0</v>
      </c>
      <c r="L293" s="929">
        <f t="shared" si="122"/>
        <v>0</v>
      </c>
      <c r="M293" s="930">
        <f t="shared" si="122"/>
        <v>0</v>
      </c>
      <c r="N293" s="929">
        <f t="shared" si="122"/>
        <v>0</v>
      </c>
      <c r="O293" s="930">
        <f t="shared" si="122"/>
        <v>0</v>
      </c>
      <c r="P293" s="929">
        <f t="shared" si="122"/>
        <v>0</v>
      </c>
      <c r="Q293" s="930">
        <f t="shared" si="122"/>
        <v>0</v>
      </c>
      <c r="R293" s="929">
        <f t="shared" si="122"/>
        <v>0</v>
      </c>
      <c r="S293" s="930">
        <f t="shared" si="122"/>
        <v>0</v>
      </c>
      <c r="T293" s="929">
        <f t="shared" si="122"/>
        <v>0</v>
      </c>
      <c r="U293" s="933">
        <f t="shared" si="122"/>
        <v>0</v>
      </c>
      <c r="V293" s="930">
        <f t="shared" si="120"/>
        <v>0</v>
      </c>
      <c r="W293" s="929">
        <f t="shared" si="123"/>
        <v>0</v>
      </c>
      <c r="X293" s="929">
        <f t="shared" si="123"/>
        <v>0</v>
      </c>
      <c r="Y293" s="930">
        <f t="shared" si="123"/>
        <v>0</v>
      </c>
      <c r="Z293" s="929">
        <f t="shared" si="123"/>
        <v>0</v>
      </c>
      <c r="AA293" s="930">
        <f t="shared" si="123"/>
        <v>0</v>
      </c>
      <c r="AB293" s="929">
        <f t="shared" si="123"/>
        <v>0</v>
      </c>
      <c r="AC293" s="930">
        <f t="shared" si="123"/>
        <v>0</v>
      </c>
      <c r="AD293" s="929">
        <f t="shared" si="123"/>
        <v>0</v>
      </c>
      <c r="AE293" s="930">
        <f t="shared" si="123"/>
        <v>0</v>
      </c>
      <c r="AF293" s="928">
        <f t="shared" si="123"/>
        <v>0</v>
      </c>
      <c r="AG293" s="927">
        <f t="shared" si="98"/>
        <v>0</v>
      </c>
      <c r="AH293" s="929">
        <f t="shared" si="121"/>
        <v>0</v>
      </c>
      <c r="AI293" s="930">
        <f t="shared" si="99"/>
        <v>0</v>
      </c>
      <c r="AJ293" s="929">
        <f t="shared" si="100"/>
        <v>0</v>
      </c>
      <c r="AK293" s="930">
        <f t="shared" si="101"/>
        <v>0</v>
      </c>
      <c r="AL293" s="929">
        <f t="shared" si="102"/>
        <v>0</v>
      </c>
      <c r="AM293" s="930">
        <f t="shared" si="103"/>
        <v>0</v>
      </c>
      <c r="AN293" s="929">
        <f t="shared" si="104"/>
        <v>0</v>
      </c>
      <c r="AO293" s="930">
        <f t="shared" si="105"/>
        <v>0</v>
      </c>
      <c r="AP293" s="929">
        <f t="shared" si="106"/>
        <v>0</v>
      </c>
      <c r="AQ293" s="932">
        <f t="shared" si="107"/>
        <v>0</v>
      </c>
      <c r="AR293" s="927">
        <f t="shared" si="108"/>
        <v>0</v>
      </c>
      <c r="AS293" s="929">
        <f t="shared" si="109"/>
        <v>0</v>
      </c>
      <c r="AT293" s="930">
        <f t="shared" si="110"/>
        <v>0</v>
      </c>
      <c r="AU293" s="929">
        <f t="shared" si="111"/>
        <v>0</v>
      </c>
      <c r="AV293" s="930">
        <f t="shared" si="112"/>
        <v>0</v>
      </c>
      <c r="AW293" s="929">
        <f t="shared" si="113"/>
        <v>0</v>
      </c>
      <c r="AX293" s="930">
        <f t="shared" si="114"/>
        <v>0</v>
      </c>
      <c r="AY293" s="929">
        <f t="shared" si="115"/>
        <v>0</v>
      </c>
      <c r="AZ293" s="930">
        <f t="shared" si="116"/>
        <v>0</v>
      </c>
      <c r="BA293" s="929">
        <f t="shared" si="117"/>
        <v>0</v>
      </c>
      <c r="BB293" s="932">
        <f t="shared" si="118"/>
        <v>0</v>
      </c>
    </row>
    <row r="294" spans="1:54" s="148" customFormat="1" x14ac:dyDescent="0.25">
      <c r="A294" s="926">
        <v>25</v>
      </c>
      <c r="B294" s="927">
        <f>IF(ISNUMBER(System!$AB28),SIGN(System!AB28),0)</f>
        <v>0</v>
      </c>
      <c r="C294" s="928">
        <f>IF(System!AC28&lt;&gt;0,1,0)</f>
        <v>0</v>
      </c>
      <c r="D294" s="927">
        <f>IF(OR(B294&lt;&gt;0,C294&lt;&gt;0),System!BC146+IF(ISNUMBER(B294),SIGN(B294),1)*E29*1,0)</f>
        <v>0</v>
      </c>
      <c r="E294" s="929">
        <f>IF(OR(B294&lt;&gt;0,C294&lt;&gt;0),System!BD146+IF(ISNUMBER(B294),SIGN(B294),1)*E29,0)</f>
        <v>0</v>
      </c>
      <c r="F294" s="930">
        <f>IF(OR(B294&lt;&gt;0,C294&lt;&gt;0),System!BE146+IF(ISNUMBER(B294),SIGN(B294),1)*F29,0)</f>
        <v>0</v>
      </c>
      <c r="G294" s="931">
        <f>IF(OR(B294&lt;&gt;0,C294&lt;&gt;0),System!BF146+IF(ISNUMBER(B294),SIGN(B294),1)*F29,0)</f>
        <v>0</v>
      </c>
      <c r="H294" s="927">
        <f t="shared" si="95"/>
        <v>0</v>
      </c>
      <c r="I294" s="929">
        <f t="shared" si="96"/>
        <v>0</v>
      </c>
      <c r="J294" s="932">
        <f t="shared" si="97"/>
        <v>0</v>
      </c>
      <c r="K294" s="927">
        <f t="shared" si="119"/>
        <v>0</v>
      </c>
      <c r="L294" s="929">
        <f t="shared" si="122"/>
        <v>0</v>
      </c>
      <c r="M294" s="930">
        <f t="shared" si="122"/>
        <v>0</v>
      </c>
      <c r="N294" s="929">
        <f t="shared" si="122"/>
        <v>0</v>
      </c>
      <c r="O294" s="930">
        <f t="shared" si="122"/>
        <v>0</v>
      </c>
      <c r="P294" s="929">
        <f t="shared" si="122"/>
        <v>0</v>
      </c>
      <c r="Q294" s="930">
        <f t="shared" si="122"/>
        <v>0</v>
      </c>
      <c r="R294" s="929">
        <f t="shared" si="122"/>
        <v>0</v>
      </c>
      <c r="S294" s="930">
        <f t="shared" si="122"/>
        <v>0</v>
      </c>
      <c r="T294" s="929">
        <f t="shared" si="122"/>
        <v>0</v>
      </c>
      <c r="U294" s="933">
        <f t="shared" si="122"/>
        <v>0</v>
      </c>
      <c r="V294" s="930">
        <f t="shared" si="120"/>
        <v>0</v>
      </c>
      <c r="W294" s="929">
        <f t="shared" si="123"/>
        <v>0</v>
      </c>
      <c r="X294" s="929">
        <f t="shared" si="123"/>
        <v>0</v>
      </c>
      <c r="Y294" s="930">
        <f t="shared" si="123"/>
        <v>0</v>
      </c>
      <c r="Z294" s="929">
        <f t="shared" si="123"/>
        <v>0</v>
      </c>
      <c r="AA294" s="930">
        <f t="shared" si="123"/>
        <v>0</v>
      </c>
      <c r="AB294" s="929">
        <f t="shared" si="123"/>
        <v>0</v>
      </c>
      <c r="AC294" s="930">
        <f t="shared" si="123"/>
        <v>0</v>
      </c>
      <c r="AD294" s="929">
        <f t="shared" si="123"/>
        <v>0</v>
      </c>
      <c r="AE294" s="930">
        <f t="shared" si="123"/>
        <v>0</v>
      </c>
      <c r="AF294" s="928">
        <f t="shared" si="123"/>
        <v>0</v>
      </c>
      <c r="AG294" s="927">
        <f t="shared" si="98"/>
        <v>0</v>
      </c>
      <c r="AH294" s="929">
        <f t="shared" si="121"/>
        <v>0</v>
      </c>
      <c r="AI294" s="930">
        <f t="shared" si="99"/>
        <v>0</v>
      </c>
      <c r="AJ294" s="929">
        <f t="shared" si="100"/>
        <v>0</v>
      </c>
      <c r="AK294" s="930">
        <f t="shared" si="101"/>
        <v>0</v>
      </c>
      <c r="AL294" s="929">
        <f t="shared" si="102"/>
        <v>0</v>
      </c>
      <c r="AM294" s="930">
        <f t="shared" si="103"/>
        <v>0</v>
      </c>
      <c r="AN294" s="929">
        <f t="shared" si="104"/>
        <v>0</v>
      </c>
      <c r="AO294" s="930">
        <f t="shared" si="105"/>
        <v>0</v>
      </c>
      <c r="AP294" s="929">
        <f t="shared" si="106"/>
        <v>0</v>
      </c>
      <c r="AQ294" s="932">
        <f t="shared" si="107"/>
        <v>0</v>
      </c>
      <c r="AR294" s="927">
        <f t="shared" si="108"/>
        <v>0</v>
      </c>
      <c r="AS294" s="929">
        <f t="shared" si="109"/>
        <v>0</v>
      </c>
      <c r="AT294" s="930">
        <f t="shared" si="110"/>
        <v>0</v>
      </c>
      <c r="AU294" s="929">
        <f t="shared" si="111"/>
        <v>0</v>
      </c>
      <c r="AV294" s="930">
        <f t="shared" si="112"/>
        <v>0</v>
      </c>
      <c r="AW294" s="929">
        <f t="shared" si="113"/>
        <v>0</v>
      </c>
      <c r="AX294" s="930">
        <f t="shared" si="114"/>
        <v>0</v>
      </c>
      <c r="AY294" s="929">
        <f t="shared" si="115"/>
        <v>0</v>
      </c>
      <c r="AZ294" s="930">
        <f t="shared" si="116"/>
        <v>0</v>
      </c>
      <c r="BA294" s="929">
        <f t="shared" si="117"/>
        <v>0</v>
      </c>
      <c r="BB294" s="932">
        <f t="shared" si="118"/>
        <v>0</v>
      </c>
    </row>
    <row r="295" spans="1:54" s="148" customFormat="1" x14ac:dyDescent="0.25">
      <c r="A295" s="926">
        <v>26</v>
      </c>
      <c r="B295" s="927">
        <f>IF(ISNUMBER(System!$AB29),SIGN(System!AB29),0)</f>
        <v>0</v>
      </c>
      <c r="C295" s="928">
        <f>IF(System!AC29&lt;&gt;0,1,0)</f>
        <v>0</v>
      </c>
      <c r="D295" s="927">
        <f>IF(OR(B295&lt;&gt;0,C295&lt;&gt;0),System!BC147+IF(ISNUMBER(B295),SIGN(B295),1)*E30*1,0)</f>
        <v>0</v>
      </c>
      <c r="E295" s="929">
        <f>IF(OR(B295&lt;&gt;0,C295&lt;&gt;0),System!BD147+IF(ISNUMBER(B295),SIGN(B295),1)*E30,0)</f>
        <v>0</v>
      </c>
      <c r="F295" s="930">
        <f>IF(OR(B295&lt;&gt;0,C295&lt;&gt;0),System!BE147+IF(ISNUMBER(B295),SIGN(B295),1)*F30,0)</f>
        <v>0</v>
      </c>
      <c r="G295" s="931">
        <f>IF(OR(B295&lt;&gt;0,C295&lt;&gt;0),System!BF147+IF(ISNUMBER(B295),SIGN(B295),1)*F30,0)</f>
        <v>0</v>
      </c>
      <c r="H295" s="927">
        <f t="shared" si="95"/>
        <v>0</v>
      </c>
      <c r="I295" s="929">
        <f t="shared" si="96"/>
        <v>0</v>
      </c>
      <c r="J295" s="932">
        <f t="shared" si="97"/>
        <v>0</v>
      </c>
      <c r="K295" s="927">
        <f t="shared" si="119"/>
        <v>0</v>
      </c>
      <c r="L295" s="929">
        <f t="shared" si="122"/>
        <v>0</v>
      </c>
      <c r="M295" s="930">
        <f t="shared" si="122"/>
        <v>0</v>
      </c>
      <c r="N295" s="929">
        <f t="shared" si="122"/>
        <v>0</v>
      </c>
      <c r="O295" s="930">
        <f t="shared" si="122"/>
        <v>0</v>
      </c>
      <c r="P295" s="929">
        <f t="shared" si="122"/>
        <v>0</v>
      </c>
      <c r="Q295" s="930">
        <f t="shared" si="122"/>
        <v>0</v>
      </c>
      <c r="R295" s="929">
        <f t="shared" si="122"/>
        <v>0</v>
      </c>
      <c r="S295" s="930">
        <f t="shared" si="122"/>
        <v>0</v>
      </c>
      <c r="T295" s="929">
        <f t="shared" si="122"/>
        <v>0</v>
      </c>
      <c r="U295" s="933">
        <f t="shared" si="122"/>
        <v>0</v>
      </c>
      <c r="V295" s="930">
        <f t="shared" si="120"/>
        <v>0</v>
      </c>
      <c r="W295" s="929">
        <f t="shared" si="123"/>
        <v>0</v>
      </c>
      <c r="X295" s="929">
        <f t="shared" si="123"/>
        <v>0</v>
      </c>
      <c r="Y295" s="930">
        <f t="shared" si="123"/>
        <v>0</v>
      </c>
      <c r="Z295" s="929">
        <f t="shared" si="123"/>
        <v>0</v>
      </c>
      <c r="AA295" s="930">
        <f t="shared" si="123"/>
        <v>0</v>
      </c>
      <c r="AB295" s="929">
        <f t="shared" si="123"/>
        <v>0</v>
      </c>
      <c r="AC295" s="930">
        <f t="shared" si="123"/>
        <v>0</v>
      </c>
      <c r="AD295" s="929">
        <f t="shared" si="123"/>
        <v>0</v>
      </c>
      <c r="AE295" s="930">
        <f t="shared" si="123"/>
        <v>0</v>
      </c>
      <c r="AF295" s="928">
        <f t="shared" si="123"/>
        <v>0</v>
      </c>
      <c r="AG295" s="927">
        <f t="shared" si="98"/>
        <v>0</v>
      </c>
      <c r="AH295" s="929">
        <f t="shared" si="121"/>
        <v>0</v>
      </c>
      <c r="AI295" s="930">
        <f t="shared" si="99"/>
        <v>0</v>
      </c>
      <c r="AJ295" s="929">
        <f t="shared" si="100"/>
        <v>0</v>
      </c>
      <c r="AK295" s="930">
        <f t="shared" si="101"/>
        <v>0</v>
      </c>
      <c r="AL295" s="929">
        <f t="shared" si="102"/>
        <v>0</v>
      </c>
      <c r="AM295" s="930">
        <f t="shared" si="103"/>
        <v>0</v>
      </c>
      <c r="AN295" s="929">
        <f t="shared" si="104"/>
        <v>0</v>
      </c>
      <c r="AO295" s="930">
        <f t="shared" si="105"/>
        <v>0</v>
      </c>
      <c r="AP295" s="929">
        <f t="shared" si="106"/>
        <v>0</v>
      </c>
      <c r="AQ295" s="932">
        <f t="shared" si="107"/>
        <v>0</v>
      </c>
      <c r="AR295" s="927">
        <f t="shared" si="108"/>
        <v>0</v>
      </c>
      <c r="AS295" s="929">
        <f t="shared" si="109"/>
        <v>0</v>
      </c>
      <c r="AT295" s="930">
        <f t="shared" si="110"/>
        <v>0</v>
      </c>
      <c r="AU295" s="929">
        <f t="shared" si="111"/>
        <v>0</v>
      </c>
      <c r="AV295" s="930">
        <f t="shared" si="112"/>
        <v>0</v>
      </c>
      <c r="AW295" s="929">
        <f t="shared" si="113"/>
        <v>0</v>
      </c>
      <c r="AX295" s="930">
        <f t="shared" si="114"/>
        <v>0</v>
      </c>
      <c r="AY295" s="929">
        <f t="shared" si="115"/>
        <v>0</v>
      </c>
      <c r="AZ295" s="930">
        <f t="shared" si="116"/>
        <v>0</v>
      </c>
      <c r="BA295" s="929">
        <f t="shared" si="117"/>
        <v>0</v>
      </c>
      <c r="BB295" s="932">
        <f t="shared" si="118"/>
        <v>0</v>
      </c>
    </row>
    <row r="296" spans="1:54" s="148" customFormat="1" x14ac:dyDescent="0.25">
      <c r="A296" s="926">
        <v>27</v>
      </c>
      <c r="B296" s="927">
        <f>IF(ISNUMBER(System!$AB30),SIGN(System!AB30),0)</f>
        <v>0</v>
      </c>
      <c r="C296" s="928">
        <f>IF(System!AC30&lt;&gt;0,1,0)</f>
        <v>0</v>
      </c>
      <c r="D296" s="927">
        <f>IF(OR(B296&lt;&gt;0,C296&lt;&gt;0),System!BC148+IF(ISNUMBER(B296),SIGN(B296),1)*E31*1,0)</f>
        <v>0</v>
      </c>
      <c r="E296" s="929">
        <f>IF(OR(B296&lt;&gt;0,C296&lt;&gt;0),System!BD148+IF(ISNUMBER(B296),SIGN(B296),1)*E31,0)</f>
        <v>0</v>
      </c>
      <c r="F296" s="930">
        <f>IF(OR(B296&lt;&gt;0,C296&lt;&gt;0),System!BE148+IF(ISNUMBER(B296),SIGN(B296),1)*F31,0)</f>
        <v>0</v>
      </c>
      <c r="G296" s="931">
        <f>IF(OR(B296&lt;&gt;0,C296&lt;&gt;0),System!BF148+IF(ISNUMBER(B296),SIGN(B296),1)*F31,0)</f>
        <v>0</v>
      </c>
      <c r="H296" s="927">
        <f t="shared" si="95"/>
        <v>0</v>
      </c>
      <c r="I296" s="929">
        <f t="shared" si="96"/>
        <v>0</v>
      </c>
      <c r="J296" s="932">
        <f t="shared" si="97"/>
        <v>0</v>
      </c>
      <c r="K296" s="927">
        <f t="shared" si="119"/>
        <v>0</v>
      </c>
      <c r="L296" s="929">
        <f t="shared" si="122"/>
        <v>0</v>
      </c>
      <c r="M296" s="930">
        <f t="shared" si="122"/>
        <v>0</v>
      </c>
      <c r="N296" s="929">
        <f t="shared" si="122"/>
        <v>0</v>
      </c>
      <c r="O296" s="930">
        <f t="shared" si="122"/>
        <v>0</v>
      </c>
      <c r="P296" s="929">
        <f t="shared" si="122"/>
        <v>0</v>
      </c>
      <c r="Q296" s="930">
        <f t="shared" si="122"/>
        <v>0</v>
      </c>
      <c r="R296" s="929">
        <f t="shared" si="122"/>
        <v>0</v>
      </c>
      <c r="S296" s="930">
        <f t="shared" si="122"/>
        <v>0</v>
      </c>
      <c r="T296" s="929">
        <f t="shared" si="122"/>
        <v>0</v>
      </c>
      <c r="U296" s="933">
        <f t="shared" si="122"/>
        <v>0</v>
      </c>
      <c r="V296" s="930">
        <f t="shared" si="120"/>
        <v>0</v>
      </c>
      <c r="W296" s="929">
        <f t="shared" si="123"/>
        <v>0</v>
      </c>
      <c r="X296" s="929">
        <f t="shared" si="123"/>
        <v>0</v>
      </c>
      <c r="Y296" s="930">
        <f t="shared" si="123"/>
        <v>0</v>
      </c>
      <c r="Z296" s="929">
        <f t="shared" si="123"/>
        <v>0</v>
      </c>
      <c r="AA296" s="930">
        <f t="shared" si="123"/>
        <v>0</v>
      </c>
      <c r="AB296" s="929">
        <f t="shared" si="123"/>
        <v>0</v>
      </c>
      <c r="AC296" s="930">
        <f t="shared" si="123"/>
        <v>0</v>
      </c>
      <c r="AD296" s="929">
        <f t="shared" si="123"/>
        <v>0</v>
      </c>
      <c r="AE296" s="930">
        <f t="shared" si="123"/>
        <v>0</v>
      </c>
      <c r="AF296" s="928">
        <f t="shared" si="123"/>
        <v>0</v>
      </c>
      <c r="AG296" s="927">
        <f t="shared" si="98"/>
        <v>0</v>
      </c>
      <c r="AH296" s="929">
        <f t="shared" si="121"/>
        <v>0</v>
      </c>
      <c r="AI296" s="930">
        <f t="shared" si="99"/>
        <v>0</v>
      </c>
      <c r="AJ296" s="929">
        <f t="shared" si="100"/>
        <v>0</v>
      </c>
      <c r="AK296" s="930">
        <f t="shared" si="101"/>
        <v>0</v>
      </c>
      <c r="AL296" s="929">
        <f t="shared" si="102"/>
        <v>0</v>
      </c>
      <c r="AM296" s="930">
        <f t="shared" si="103"/>
        <v>0</v>
      </c>
      <c r="AN296" s="929">
        <f t="shared" si="104"/>
        <v>0</v>
      </c>
      <c r="AO296" s="930">
        <f t="shared" si="105"/>
        <v>0</v>
      </c>
      <c r="AP296" s="929">
        <f t="shared" si="106"/>
        <v>0</v>
      </c>
      <c r="AQ296" s="932">
        <f t="shared" si="107"/>
        <v>0</v>
      </c>
      <c r="AR296" s="927">
        <f t="shared" si="108"/>
        <v>0</v>
      </c>
      <c r="AS296" s="929">
        <f t="shared" si="109"/>
        <v>0</v>
      </c>
      <c r="AT296" s="930">
        <f t="shared" si="110"/>
        <v>0</v>
      </c>
      <c r="AU296" s="929">
        <f t="shared" si="111"/>
        <v>0</v>
      </c>
      <c r="AV296" s="930">
        <f t="shared" si="112"/>
        <v>0</v>
      </c>
      <c r="AW296" s="929">
        <f t="shared" si="113"/>
        <v>0</v>
      </c>
      <c r="AX296" s="930">
        <f t="shared" si="114"/>
        <v>0</v>
      </c>
      <c r="AY296" s="929">
        <f t="shared" si="115"/>
        <v>0</v>
      </c>
      <c r="AZ296" s="930">
        <f t="shared" si="116"/>
        <v>0</v>
      </c>
      <c r="BA296" s="929">
        <f t="shared" si="117"/>
        <v>0</v>
      </c>
      <c r="BB296" s="932">
        <f t="shared" si="118"/>
        <v>0</v>
      </c>
    </row>
    <row r="297" spans="1:54" s="148" customFormat="1" x14ac:dyDescent="0.25">
      <c r="A297" s="926">
        <v>28</v>
      </c>
      <c r="B297" s="927">
        <f>IF(ISNUMBER(System!$AB31),SIGN(System!AB31),0)</f>
        <v>0</v>
      </c>
      <c r="C297" s="928">
        <f>IF(System!AC31&lt;&gt;0,1,0)</f>
        <v>0</v>
      </c>
      <c r="D297" s="927">
        <f>IF(OR(B297&lt;&gt;0,C297&lt;&gt;0),System!BC149+IF(ISNUMBER(B297),SIGN(B297),1)*E32*1,0)</f>
        <v>0</v>
      </c>
      <c r="E297" s="929">
        <f>IF(OR(B297&lt;&gt;0,C297&lt;&gt;0),System!BD149+IF(ISNUMBER(B297),SIGN(B297),1)*E32,0)</f>
        <v>0</v>
      </c>
      <c r="F297" s="930">
        <f>IF(OR(B297&lt;&gt;0,C297&lt;&gt;0),System!BE149+IF(ISNUMBER(B297),SIGN(B297),1)*F32,0)</f>
        <v>0</v>
      </c>
      <c r="G297" s="931">
        <f>IF(OR(B297&lt;&gt;0,C297&lt;&gt;0),System!BF149+IF(ISNUMBER(B297),SIGN(B297),1)*F32,0)</f>
        <v>0</v>
      </c>
      <c r="H297" s="927">
        <f t="shared" si="95"/>
        <v>0</v>
      </c>
      <c r="I297" s="929">
        <f t="shared" si="96"/>
        <v>0</v>
      </c>
      <c r="J297" s="932">
        <f t="shared" si="97"/>
        <v>0</v>
      </c>
      <c r="K297" s="927">
        <f t="shared" si="119"/>
        <v>0</v>
      </c>
      <c r="L297" s="929">
        <f t="shared" si="122"/>
        <v>0</v>
      </c>
      <c r="M297" s="930">
        <f t="shared" si="122"/>
        <v>0</v>
      </c>
      <c r="N297" s="929">
        <f t="shared" si="122"/>
        <v>0</v>
      </c>
      <c r="O297" s="930">
        <f t="shared" si="122"/>
        <v>0</v>
      </c>
      <c r="P297" s="929">
        <f t="shared" si="122"/>
        <v>0</v>
      </c>
      <c r="Q297" s="930">
        <f t="shared" si="122"/>
        <v>0</v>
      </c>
      <c r="R297" s="929">
        <f t="shared" si="122"/>
        <v>0</v>
      </c>
      <c r="S297" s="930">
        <f t="shared" si="122"/>
        <v>0</v>
      </c>
      <c r="T297" s="929">
        <f t="shared" si="122"/>
        <v>0</v>
      </c>
      <c r="U297" s="933">
        <f t="shared" si="122"/>
        <v>0</v>
      </c>
      <c r="V297" s="930">
        <f t="shared" si="120"/>
        <v>0</v>
      </c>
      <c r="W297" s="929">
        <f t="shared" si="123"/>
        <v>0</v>
      </c>
      <c r="X297" s="929">
        <f t="shared" si="123"/>
        <v>0</v>
      </c>
      <c r="Y297" s="930">
        <f t="shared" si="123"/>
        <v>0</v>
      </c>
      <c r="Z297" s="929">
        <f t="shared" si="123"/>
        <v>0</v>
      </c>
      <c r="AA297" s="930">
        <f t="shared" si="123"/>
        <v>0</v>
      </c>
      <c r="AB297" s="929">
        <f t="shared" si="123"/>
        <v>0</v>
      </c>
      <c r="AC297" s="930">
        <f t="shared" si="123"/>
        <v>0</v>
      </c>
      <c r="AD297" s="929">
        <f t="shared" si="123"/>
        <v>0</v>
      </c>
      <c r="AE297" s="930">
        <f t="shared" si="123"/>
        <v>0</v>
      </c>
      <c r="AF297" s="928">
        <f t="shared" si="123"/>
        <v>0</v>
      </c>
      <c r="AG297" s="927">
        <f t="shared" si="98"/>
        <v>0</v>
      </c>
      <c r="AH297" s="929">
        <f t="shared" si="121"/>
        <v>0</v>
      </c>
      <c r="AI297" s="930">
        <f t="shared" si="99"/>
        <v>0</v>
      </c>
      <c r="AJ297" s="929">
        <f t="shared" si="100"/>
        <v>0</v>
      </c>
      <c r="AK297" s="930">
        <f t="shared" si="101"/>
        <v>0</v>
      </c>
      <c r="AL297" s="929">
        <f t="shared" si="102"/>
        <v>0</v>
      </c>
      <c r="AM297" s="930">
        <f t="shared" si="103"/>
        <v>0</v>
      </c>
      <c r="AN297" s="929">
        <f t="shared" si="104"/>
        <v>0</v>
      </c>
      <c r="AO297" s="930">
        <f t="shared" si="105"/>
        <v>0</v>
      </c>
      <c r="AP297" s="929">
        <f t="shared" si="106"/>
        <v>0</v>
      </c>
      <c r="AQ297" s="932">
        <f t="shared" si="107"/>
        <v>0</v>
      </c>
      <c r="AR297" s="927">
        <f t="shared" si="108"/>
        <v>0</v>
      </c>
      <c r="AS297" s="929">
        <f t="shared" si="109"/>
        <v>0</v>
      </c>
      <c r="AT297" s="930">
        <f t="shared" si="110"/>
        <v>0</v>
      </c>
      <c r="AU297" s="929">
        <f t="shared" si="111"/>
        <v>0</v>
      </c>
      <c r="AV297" s="930">
        <f t="shared" si="112"/>
        <v>0</v>
      </c>
      <c r="AW297" s="929">
        <f t="shared" si="113"/>
        <v>0</v>
      </c>
      <c r="AX297" s="930">
        <f t="shared" si="114"/>
        <v>0</v>
      </c>
      <c r="AY297" s="929">
        <f t="shared" si="115"/>
        <v>0</v>
      </c>
      <c r="AZ297" s="930">
        <f t="shared" si="116"/>
        <v>0</v>
      </c>
      <c r="BA297" s="929">
        <f t="shared" si="117"/>
        <v>0</v>
      </c>
      <c r="BB297" s="932">
        <f t="shared" si="118"/>
        <v>0</v>
      </c>
    </row>
    <row r="298" spans="1:54" s="148" customFormat="1" x14ac:dyDescent="0.25">
      <c r="A298" s="926">
        <v>29</v>
      </c>
      <c r="B298" s="927">
        <f>IF(ISNUMBER(System!$AB32),SIGN(System!AB32),0)</f>
        <v>0</v>
      </c>
      <c r="C298" s="928">
        <f>IF(System!AC32&lt;&gt;0,1,0)</f>
        <v>0</v>
      </c>
      <c r="D298" s="927">
        <f>IF(OR(B298&lt;&gt;0,C298&lt;&gt;0),System!BC150+IF(ISNUMBER(B298),SIGN(B298),1)*E33*1,0)</f>
        <v>0</v>
      </c>
      <c r="E298" s="929">
        <f>IF(OR(B298&lt;&gt;0,C298&lt;&gt;0),System!BD150+IF(ISNUMBER(B298),SIGN(B298),1)*E33,0)</f>
        <v>0</v>
      </c>
      <c r="F298" s="930">
        <f>IF(OR(B298&lt;&gt;0,C298&lt;&gt;0),System!BE150+IF(ISNUMBER(B298),SIGN(B298),1)*F33,0)</f>
        <v>0</v>
      </c>
      <c r="G298" s="931">
        <f>IF(OR(B298&lt;&gt;0,C298&lt;&gt;0),System!BF150+IF(ISNUMBER(B298),SIGN(B298),1)*F33,0)</f>
        <v>0</v>
      </c>
      <c r="H298" s="927">
        <f t="shared" si="95"/>
        <v>0</v>
      </c>
      <c r="I298" s="929">
        <f t="shared" si="96"/>
        <v>0</v>
      </c>
      <c r="J298" s="932">
        <f t="shared" si="97"/>
        <v>0</v>
      </c>
      <c r="K298" s="927">
        <f t="shared" si="119"/>
        <v>0</v>
      </c>
      <c r="L298" s="929">
        <f t="shared" si="122"/>
        <v>0</v>
      </c>
      <c r="M298" s="930">
        <f t="shared" si="122"/>
        <v>0</v>
      </c>
      <c r="N298" s="929">
        <f t="shared" si="122"/>
        <v>0</v>
      </c>
      <c r="O298" s="930">
        <f t="shared" si="122"/>
        <v>0</v>
      </c>
      <c r="P298" s="929">
        <f t="shared" si="122"/>
        <v>0</v>
      </c>
      <c r="Q298" s="930">
        <f t="shared" si="122"/>
        <v>0</v>
      </c>
      <c r="R298" s="929">
        <f t="shared" si="122"/>
        <v>0</v>
      </c>
      <c r="S298" s="930">
        <f t="shared" si="122"/>
        <v>0</v>
      </c>
      <c r="T298" s="929">
        <f t="shared" si="122"/>
        <v>0</v>
      </c>
      <c r="U298" s="933">
        <f t="shared" si="122"/>
        <v>0</v>
      </c>
      <c r="V298" s="930">
        <f t="shared" si="120"/>
        <v>0</v>
      </c>
      <c r="W298" s="929">
        <f t="shared" si="123"/>
        <v>0</v>
      </c>
      <c r="X298" s="929">
        <f t="shared" si="123"/>
        <v>0</v>
      </c>
      <c r="Y298" s="930">
        <f t="shared" si="123"/>
        <v>0</v>
      </c>
      <c r="Z298" s="929">
        <f t="shared" si="123"/>
        <v>0</v>
      </c>
      <c r="AA298" s="930">
        <f t="shared" si="123"/>
        <v>0</v>
      </c>
      <c r="AB298" s="929">
        <f t="shared" si="123"/>
        <v>0</v>
      </c>
      <c r="AC298" s="930">
        <f t="shared" si="123"/>
        <v>0</v>
      </c>
      <c r="AD298" s="929">
        <f t="shared" si="123"/>
        <v>0</v>
      </c>
      <c r="AE298" s="930">
        <f t="shared" si="123"/>
        <v>0</v>
      </c>
      <c r="AF298" s="928">
        <f t="shared" si="123"/>
        <v>0</v>
      </c>
      <c r="AG298" s="927">
        <f t="shared" si="98"/>
        <v>0</v>
      </c>
      <c r="AH298" s="929">
        <f t="shared" si="121"/>
        <v>0</v>
      </c>
      <c r="AI298" s="930">
        <f t="shared" si="99"/>
        <v>0</v>
      </c>
      <c r="AJ298" s="929">
        <f t="shared" si="100"/>
        <v>0</v>
      </c>
      <c r="AK298" s="930">
        <f t="shared" si="101"/>
        <v>0</v>
      </c>
      <c r="AL298" s="929">
        <f t="shared" si="102"/>
        <v>0</v>
      </c>
      <c r="AM298" s="930">
        <f t="shared" si="103"/>
        <v>0</v>
      </c>
      <c r="AN298" s="929">
        <f t="shared" si="104"/>
        <v>0</v>
      </c>
      <c r="AO298" s="930">
        <f t="shared" si="105"/>
        <v>0</v>
      </c>
      <c r="AP298" s="929">
        <f t="shared" si="106"/>
        <v>0</v>
      </c>
      <c r="AQ298" s="932">
        <f t="shared" si="107"/>
        <v>0</v>
      </c>
      <c r="AR298" s="927">
        <f t="shared" si="108"/>
        <v>0</v>
      </c>
      <c r="AS298" s="929">
        <f t="shared" si="109"/>
        <v>0</v>
      </c>
      <c r="AT298" s="930">
        <f t="shared" si="110"/>
        <v>0</v>
      </c>
      <c r="AU298" s="929">
        <f t="shared" si="111"/>
        <v>0</v>
      </c>
      <c r="AV298" s="930">
        <f t="shared" si="112"/>
        <v>0</v>
      </c>
      <c r="AW298" s="929">
        <f t="shared" si="113"/>
        <v>0</v>
      </c>
      <c r="AX298" s="930">
        <f t="shared" si="114"/>
        <v>0</v>
      </c>
      <c r="AY298" s="929">
        <f t="shared" si="115"/>
        <v>0</v>
      </c>
      <c r="AZ298" s="930">
        <f t="shared" si="116"/>
        <v>0</v>
      </c>
      <c r="BA298" s="929">
        <f t="shared" si="117"/>
        <v>0</v>
      </c>
      <c r="BB298" s="932">
        <f t="shared" si="118"/>
        <v>0</v>
      </c>
    </row>
    <row r="299" spans="1:54" s="148" customFormat="1" x14ac:dyDescent="0.25">
      <c r="A299" s="926">
        <v>30</v>
      </c>
      <c r="B299" s="927">
        <f>IF(ISNUMBER(System!$AB33),SIGN(System!AB33),0)</f>
        <v>0</v>
      </c>
      <c r="C299" s="928">
        <f>IF(System!AC33&lt;&gt;0,1,0)</f>
        <v>0</v>
      </c>
      <c r="D299" s="927">
        <f>IF(OR(B299&lt;&gt;0,C299&lt;&gt;0),System!BC151+IF(ISNUMBER(B299),SIGN(B299),1)*E34*1,0)</f>
        <v>0</v>
      </c>
      <c r="E299" s="929">
        <f>IF(OR(B299&lt;&gt;0,C299&lt;&gt;0),System!BD151+IF(ISNUMBER(B299),SIGN(B299),1)*E34,0)</f>
        <v>0</v>
      </c>
      <c r="F299" s="930">
        <f>IF(OR(B299&lt;&gt;0,C299&lt;&gt;0),System!BE151+IF(ISNUMBER(B299),SIGN(B299),1)*F34,0)</f>
        <v>0</v>
      </c>
      <c r="G299" s="931">
        <f>IF(OR(B299&lt;&gt;0,C299&lt;&gt;0),System!BF151+IF(ISNUMBER(B299),SIGN(B299),1)*F34,0)</f>
        <v>0</v>
      </c>
      <c r="H299" s="927">
        <f t="shared" si="95"/>
        <v>0</v>
      </c>
      <c r="I299" s="929">
        <f t="shared" si="96"/>
        <v>0</v>
      </c>
      <c r="J299" s="932">
        <f t="shared" si="97"/>
        <v>0</v>
      </c>
      <c r="K299" s="927">
        <f t="shared" si="119"/>
        <v>0</v>
      </c>
      <c r="L299" s="929">
        <f t="shared" si="122"/>
        <v>0</v>
      </c>
      <c r="M299" s="930">
        <f t="shared" si="122"/>
        <v>0</v>
      </c>
      <c r="N299" s="929">
        <f t="shared" si="122"/>
        <v>0</v>
      </c>
      <c r="O299" s="930">
        <f t="shared" si="122"/>
        <v>0</v>
      </c>
      <c r="P299" s="929">
        <f t="shared" si="122"/>
        <v>0</v>
      </c>
      <c r="Q299" s="930">
        <f t="shared" si="122"/>
        <v>0</v>
      </c>
      <c r="R299" s="929">
        <f t="shared" si="122"/>
        <v>0</v>
      </c>
      <c r="S299" s="930">
        <f t="shared" si="122"/>
        <v>0</v>
      </c>
      <c r="T299" s="929">
        <f t="shared" si="122"/>
        <v>0</v>
      </c>
      <c r="U299" s="933">
        <f t="shared" si="122"/>
        <v>0</v>
      </c>
      <c r="V299" s="930">
        <f t="shared" si="120"/>
        <v>0</v>
      </c>
      <c r="W299" s="929">
        <f t="shared" si="123"/>
        <v>0</v>
      </c>
      <c r="X299" s="929">
        <f t="shared" si="123"/>
        <v>0</v>
      </c>
      <c r="Y299" s="930">
        <f t="shared" si="123"/>
        <v>0</v>
      </c>
      <c r="Z299" s="929">
        <f t="shared" si="123"/>
        <v>0</v>
      </c>
      <c r="AA299" s="930">
        <f t="shared" si="123"/>
        <v>0</v>
      </c>
      <c r="AB299" s="929">
        <f t="shared" si="123"/>
        <v>0</v>
      </c>
      <c r="AC299" s="930">
        <f t="shared" si="123"/>
        <v>0</v>
      </c>
      <c r="AD299" s="929">
        <f t="shared" si="123"/>
        <v>0</v>
      </c>
      <c r="AE299" s="930">
        <f t="shared" si="123"/>
        <v>0</v>
      </c>
      <c r="AF299" s="928">
        <f t="shared" si="123"/>
        <v>0</v>
      </c>
      <c r="AG299" s="927">
        <f t="shared" si="98"/>
        <v>0</v>
      </c>
      <c r="AH299" s="929">
        <f t="shared" si="121"/>
        <v>0</v>
      </c>
      <c r="AI299" s="930">
        <f t="shared" si="99"/>
        <v>0</v>
      </c>
      <c r="AJ299" s="929">
        <f t="shared" si="100"/>
        <v>0</v>
      </c>
      <c r="AK299" s="930">
        <f t="shared" si="101"/>
        <v>0</v>
      </c>
      <c r="AL299" s="929">
        <f t="shared" si="102"/>
        <v>0</v>
      </c>
      <c r="AM299" s="930">
        <f t="shared" si="103"/>
        <v>0</v>
      </c>
      <c r="AN299" s="929">
        <f t="shared" si="104"/>
        <v>0</v>
      </c>
      <c r="AO299" s="930">
        <f t="shared" si="105"/>
        <v>0</v>
      </c>
      <c r="AP299" s="929">
        <f t="shared" si="106"/>
        <v>0</v>
      </c>
      <c r="AQ299" s="932">
        <f t="shared" si="107"/>
        <v>0</v>
      </c>
      <c r="AR299" s="927">
        <f t="shared" si="108"/>
        <v>0</v>
      </c>
      <c r="AS299" s="929">
        <f t="shared" si="109"/>
        <v>0</v>
      </c>
      <c r="AT299" s="930">
        <f t="shared" si="110"/>
        <v>0</v>
      </c>
      <c r="AU299" s="929">
        <f t="shared" si="111"/>
        <v>0</v>
      </c>
      <c r="AV299" s="930">
        <f t="shared" si="112"/>
        <v>0</v>
      </c>
      <c r="AW299" s="929">
        <f t="shared" si="113"/>
        <v>0</v>
      </c>
      <c r="AX299" s="930">
        <f t="shared" si="114"/>
        <v>0</v>
      </c>
      <c r="AY299" s="929">
        <f t="shared" si="115"/>
        <v>0</v>
      </c>
      <c r="AZ299" s="930">
        <f t="shared" si="116"/>
        <v>0</v>
      </c>
      <c r="BA299" s="929">
        <f t="shared" si="117"/>
        <v>0</v>
      </c>
      <c r="BB299" s="932">
        <f t="shared" si="118"/>
        <v>0</v>
      </c>
    </row>
    <row r="300" spans="1:54" s="148" customFormat="1" x14ac:dyDescent="0.25">
      <c r="A300" s="926">
        <v>31</v>
      </c>
      <c r="B300" s="927">
        <f>IF(ISNUMBER(System!$AB34),SIGN(System!AB34),0)</f>
        <v>0</v>
      </c>
      <c r="C300" s="928">
        <f>IF(System!AC34&lt;&gt;0,1,0)</f>
        <v>0</v>
      </c>
      <c r="D300" s="927">
        <f>IF(OR(B300&lt;&gt;0,C300&lt;&gt;0),System!BC152+IF(ISNUMBER(B300),SIGN(B300),1)*E35*1,0)</f>
        <v>0</v>
      </c>
      <c r="E300" s="929">
        <f>IF(OR(B300&lt;&gt;0,C300&lt;&gt;0),System!BD152+IF(ISNUMBER(B300),SIGN(B300),1)*E35,0)</f>
        <v>0</v>
      </c>
      <c r="F300" s="930">
        <f>IF(OR(B300&lt;&gt;0,C300&lt;&gt;0),System!BE152+IF(ISNUMBER(B300),SIGN(B300),1)*F35,0)</f>
        <v>0</v>
      </c>
      <c r="G300" s="931">
        <f>IF(OR(B300&lt;&gt;0,C300&lt;&gt;0),System!BF152+IF(ISNUMBER(B300),SIGN(B300),1)*F35,0)</f>
        <v>0</v>
      </c>
      <c r="H300" s="927">
        <f t="shared" si="95"/>
        <v>0</v>
      </c>
      <c r="I300" s="929">
        <f t="shared" si="96"/>
        <v>0</v>
      </c>
      <c r="J300" s="932">
        <f t="shared" si="97"/>
        <v>0</v>
      </c>
      <c r="K300" s="927">
        <f t="shared" si="119"/>
        <v>0</v>
      </c>
      <c r="L300" s="929">
        <f t="shared" si="122"/>
        <v>0</v>
      </c>
      <c r="M300" s="930">
        <f t="shared" si="122"/>
        <v>0</v>
      </c>
      <c r="N300" s="929">
        <f t="shared" si="122"/>
        <v>0</v>
      </c>
      <c r="O300" s="930">
        <f t="shared" si="122"/>
        <v>0</v>
      </c>
      <c r="P300" s="929">
        <f t="shared" si="122"/>
        <v>0</v>
      </c>
      <c r="Q300" s="930">
        <f t="shared" si="122"/>
        <v>0</v>
      </c>
      <c r="R300" s="929">
        <f t="shared" si="122"/>
        <v>0</v>
      </c>
      <c r="S300" s="930">
        <f t="shared" si="122"/>
        <v>0</v>
      </c>
      <c r="T300" s="929">
        <f t="shared" si="122"/>
        <v>0</v>
      </c>
      <c r="U300" s="933">
        <f t="shared" si="122"/>
        <v>0</v>
      </c>
      <c r="V300" s="930">
        <f t="shared" si="120"/>
        <v>0</v>
      </c>
      <c r="W300" s="929">
        <f t="shared" si="123"/>
        <v>0</v>
      </c>
      <c r="X300" s="929">
        <f t="shared" si="123"/>
        <v>0</v>
      </c>
      <c r="Y300" s="930">
        <f t="shared" si="123"/>
        <v>0</v>
      </c>
      <c r="Z300" s="929">
        <f t="shared" si="123"/>
        <v>0</v>
      </c>
      <c r="AA300" s="930">
        <f t="shared" si="123"/>
        <v>0</v>
      </c>
      <c r="AB300" s="929">
        <f t="shared" si="123"/>
        <v>0</v>
      </c>
      <c r="AC300" s="930">
        <f t="shared" si="123"/>
        <v>0</v>
      </c>
      <c r="AD300" s="929">
        <f t="shared" si="123"/>
        <v>0</v>
      </c>
      <c r="AE300" s="930">
        <f t="shared" si="123"/>
        <v>0</v>
      </c>
      <c r="AF300" s="928">
        <f t="shared" si="123"/>
        <v>0</v>
      </c>
      <c r="AG300" s="927">
        <f t="shared" si="98"/>
        <v>0</v>
      </c>
      <c r="AH300" s="929">
        <f t="shared" si="121"/>
        <v>0</v>
      </c>
      <c r="AI300" s="930">
        <f t="shared" si="99"/>
        <v>0</v>
      </c>
      <c r="AJ300" s="929">
        <f t="shared" si="100"/>
        <v>0</v>
      </c>
      <c r="AK300" s="930">
        <f t="shared" si="101"/>
        <v>0</v>
      </c>
      <c r="AL300" s="929">
        <f t="shared" si="102"/>
        <v>0</v>
      </c>
      <c r="AM300" s="930">
        <f t="shared" si="103"/>
        <v>0</v>
      </c>
      <c r="AN300" s="929">
        <f t="shared" si="104"/>
        <v>0</v>
      </c>
      <c r="AO300" s="930">
        <f t="shared" si="105"/>
        <v>0</v>
      </c>
      <c r="AP300" s="929">
        <f t="shared" si="106"/>
        <v>0</v>
      </c>
      <c r="AQ300" s="932">
        <f t="shared" si="107"/>
        <v>0</v>
      </c>
      <c r="AR300" s="927">
        <f t="shared" si="108"/>
        <v>0</v>
      </c>
      <c r="AS300" s="929">
        <f t="shared" si="109"/>
        <v>0</v>
      </c>
      <c r="AT300" s="930">
        <f t="shared" si="110"/>
        <v>0</v>
      </c>
      <c r="AU300" s="929">
        <f t="shared" si="111"/>
        <v>0</v>
      </c>
      <c r="AV300" s="930">
        <f t="shared" si="112"/>
        <v>0</v>
      </c>
      <c r="AW300" s="929">
        <f t="shared" si="113"/>
        <v>0</v>
      </c>
      <c r="AX300" s="930">
        <f t="shared" si="114"/>
        <v>0</v>
      </c>
      <c r="AY300" s="929">
        <f t="shared" si="115"/>
        <v>0</v>
      </c>
      <c r="AZ300" s="930">
        <f t="shared" si="116"/>
        <v>0</v>
      </c>
      <c r="BA300" s="929">
        <f t="shared" si="117"/>
        <v>0</v>
      </c>
      <c r="BB300" s="932">
        <f t="shared" si="118"/>
        <v>0</v>
      </c>
    </row>
    <row r="301" spans="1:54" s="148" customFormat="1" x14ac:dyDescent="0.25">
      <c r="A301" s="926">
        <v>32</v>
      </c>
      <c r="B301" s="927">
        <f>IF(ISNUMBER(System!$AB35),SIGN(System!AB35),0)</f>
        <v>0</v>
      </c>
      <c r="C301" s="928">
        <f>IF(System!AC35&lt;&gt;0,1,0)</f>
        <v>0</v>
      </c>
      <c r="D301" s="927">
        <f>IF(OR(B301&lt;&gt;0,C301&lt;&gt;0),System!BC153+IF(ISNUMBER(B301),SIGN(B301),1)*E36*1,0)</f>
        <v>0</v>
      </c>
      <c r="E301" s="929">
        <f>IF(OR(B301&lt;&gt;0,C301&lt;&gt;0),System!BD153+IF(ISNUMBER(B301),SIGN(B301),1)*E36,0)</f>
        <v>0</v>
      </c>
      <c r="F301" s="930">
        <f>IF(OR(B301&lt;&gt;0,C301&lt;&gt;0),System!BE153+IF(ISNUMBER(B301),SIGN(B301),1)*F36,0)</f>
        <v>0</v>
      </c>
      <c r="G301" s="931">
        <f>IF(OR(B301&lt;&gt;0,C301&lt;&gt;0),System!BF153+IF(ISNUMBER(B301),SIGN(B301),1)*F36,0)</f>
        <v>0</v>
      </c>
      <c r="H301" s="927">
        <f t="shared" si="95"/>
        <v>0</v>
      </c>
      <c r="I301" s="929">
        <f t="shared" si="96"/>
        <v>0</v>
      </c>
      <c r="J301" s="932">
        <f t="shared" si="97"/>
        <v>0</v>
      </c>
      <c r="K301" s="927">
        <f t="shared" si="119"/>
        <v>0</v>
      </c>
      <c r="L301" s="929">
        <f t="shared" si="122"/>
        <v>0</v>
      </c>
      <c r="M301" s="930">
        <f t="shared" si="122"/>
        <v>0</v>
      </c>
      <c r="N301" s="929">
        <f t="shared" si="122"/>
        <v>0</v>
      </c>
      <c r="O301" s="930">
        <f t="shared" si="122"/>
        <v>0</v>
      </c>
      <c r="P301" s="929">
        <f t="shared" si="122"/>
        <v>0</v>
      </c>
      <c r="Q301" s="930">
        <f t="shared" si="122"/>
        <v>0</v>
      </c>
      <c r="R301" s="929">
        <f t="shared" si="122"/>
        <v>0</v>
      </c>
      <c r="S301" s="930">
        <f t="shared" si="122"/>
        <v>0</v>
      </c>
      <c r="T301" s="929">
        <f t="shared" si="122"/>
        <v>0</v>
      </c>
      <c r="U301" s="933">
        <f t="shared" si="122"/>
        <v>0</v>
      </c>
      <c r="V301" s="930">
        <f t="shared" si="120"/>
        <v>0</v>
      </c>
      <c r="W301" s="929">
        <f t="shared" si="123"/>
        <v>0</v>
      </c>
      <c r="X301" s="929">
        <f t="shared" si="123"/>
        <v>0</v>
      </c>
      <c r="Y301" s="930">
        <f t="shared" si="123"/>
        <v>0</v>
      </c>
      <c r="Z301" s="929">
        <f t="shared" si="123"/>
        <v>0</v>
      </c>
      <c r="AA301" s="930">
        <f t="shared" si="123"/>
        <v>0</v>
      </c>
      <c r="AB301" s="929">
        <f t="shared" si="123"/>
        <v>0</v>
      </c>
      <c r="AC301" s="930">
        <f t="shared" si="123"/>
        <v>0</v>
      </c>
      <c r="AD301" s="929">
        <f t="shared" si="123"/>
        <v>0</v>
      </c>
      <c r="AE301" s="930">
        <f t="shared" si="123"/>
        <v>0</v>
      </c>
      <c r="AF301" s="928">
        <f t="shared" si="123"/>
        <v>0</v>
      </c>
      <c r="AG301" s="927">
        <f t="shared" si="98"/>
        <v>0</v>
      </c>
      <c r="AH301" s="929">
        <f t="shared" si="121"/>
        <v>0</v>
      </c>
      <c r="AI301" s="930">
        <f t="shared" si="99"/>
        <v>0</v>
      </c>
      <c r="AJ301" s="929">
        <f t="shared" si="100"/>
        <v>0</v>
      </c>
      <c r="AK301" s="930">
        <f t="shared" si="101"/>
        <v>0</v>
      </c>
      <c r="AL301" s="929">
        <f t="shared" si="102"/>
        <v>0</v>
      </c>
      <c r="AM301" s="930">
        <f t="shared" si="103"/>
        <v>0</v>
      </c>
      <c r="AN301" s="929">
        <f t="shared" si="104"/>
        <v>0</v>
      </c>
      <c r="AO301" s="930">
        <f t="shared" si="105"/>
        <v>0</v>
      </c>
      <c r="AP301" s="929">
        <f t="shared" si="106"/>
        <v>0</v>
      </c>
      <c r="AQ301" s="932">
        <f t="shared" si="107"/>
        <v>0</v>
      </c>
      <c r="AR301" s="927">
        <f t="shared" si="108"/>
        <v>0</v>
      </c>
      <c r="AS301" s="929">
        <f t="shared" si="109"/>
        <v>0</v>
      </c>
      <c r="AT301" s="930">
        <f t="shared" si="110"/>
        <v>0</v>
      </c>
      <c r="AU301" s="929">
        <f t="shared" si="111"/>
        <v>0</v>
      </c>
      <c r="AV301" s="930">
        <f t="shared" si="112"/>
        <v>0</v>
      </c>
      <c r="AW301" s="929">
        <f t="shared" si="113"/>
        <v>0</v>
      </c>
      <c r="AX301" s="930">
        <f t="shared" si="114"/>
        <v>0</v>
      </c>
      <c r="AY301" s="929">
        <f t="shared" si="115"/>
        <v>0</v>
      </c>
      <c r="AZ301" s="930">
        <f t="shared" si="116"/>
        <v>0</v>
      </c>
      <c r="BA301" s="929">
        <f t="shared" si="117"/>
        <v>0</v>
      </c>
      <c r="BB301" s="932">
        <f t="shared" si="118"/>
        <v>0</v>
      </c>
    </row>
    <row r="302" spans="1:54" s="148" customFormat="1" x14ac:dyDescent="0.25">
      <c r="A302" s="926">
        <v>33</v>
      </c>
      <c r="B302" s="927">
        <f>IF(ISNUMBER(System!$AB36),SIGN(System!AB36),0)</f>
        <v>0</v>
      </c>
      <c r="C302" s="928">
        <f>IF(System!AC36&lt;&gt;0,1,0)</f>
        <v>0</v>
      </c>
      <c r="D302" s="927">
        <f>IF(OR(B302&lt;&gt;0,C302&lt;&gt;0),System!BC154+IF(ISNUMBER(B302),SIGN(B302),1)*E37*1,0)</f>
        <v>0</v>
      </c>
      <c r="E302" s="929">
        <f>IF(OR(B302&lt;&gt;0,C302&lt;&gt;0),System!BD154+IF(ISNUMBER(B302),SIGN(B302),1)*E37,0)</f>
        <v>0</v>
      </c>
      <c r="F302" s="930">
        <f>IF(OR(B302&lt;&gt;0,C302&lt;&gt;0),System!BE154+IF(ISNUMBER(B302),SIGN(B302),1)*F37,0)</f>
        <v>0</v>
      </c>
      <c r="G302" s="931">
        <f>IF(OR(B302&lt;&gt;0,C302&lt;&gt;0),System!BF154+IF(ISNUMBER(B302),SIGN(B302),1)*F37,0)</f>
        <v>0</v>
      </c>
      <c r="H302" s="927">
        <f t="shared" si="95"/>
        <v>0</v>
      </c>
      <c r="I302" s="929">
        <f t="shared" si="96"/>
        <v>0</v>
      </c>
      <c r="J302" s="932">
        <f t="shared" si="97"/>
        <v>0</v>
      </c>
      <c r="K302" s="927">
        <f t="shared" si="119"/>
        <v>0</v>
      </c>
      <c r="L302" s="929">
        <f t="shared" ref="L302:U309" si="124">K302+$H302</f>
        <v>0</v>
      </c>
      <c r="M302" s="930">
        <f t="shared" si="124"/>
        <v>0</v>
      </c>
      <c r="N302" s="929">
        <f t="shared" si="124"/>
        <v>0</v>
      </c>
      <c r="O302" s="930">
        <f t="shared" si="124"/>
        <v>0</v>
      </c>
      <c r="P302" s="929">
        <f t="shared" si="124"/>
        <v>0</v>
      </c>
      <c r="Q302" s="930">
        <f t="shared" si="124"/>
        <v>0</v>
      </c>
      <c r="R302" s="929">
        <f t="shared" si="124"/>
        <v>0</v>
      </c>
      <c r="S302" s="930">
        <f t="shared" si="124"/>
        <v>0</v>
      </c>
      <c r="T302" s="929">
        <f t="shared" si="124"/>
        <v>0</v>
      </c>
      <c r="U302" s="933">
        <f t="shared" si="124"/>
        <v>0</v>
      </c>
      <c r="V302" s="930">
        <f t="shared" si="120"/>
        <v>0</v>
      </c>
      <c r="W302" s="929">
        <f t="shared" ref="W302:AF309" si="125">V302+$I302</f>
        <v>0</v>
      </c>
      <c r="X302" s="929">
        <f t="shared" si="125"/>
        <v>0</v>
      </c>
      <c r="Y302" s="930">
        <f t="shared" si="125"/>
        <v>0</v>
      </c>
      <c r="Z302" s="929">
        <f t="shared" si="125"/>
        <v>0</v>
      </c>
      <c r="AA302" s="930">
        <f t="shared" si="125"/>
        <v>0</v>
      </c>
      <c r="AB302" s="929">
        <f t="shared" si="125"/>
        <v>0</v>
      </c>
      <c r="AC302" s="930">
        <f t="shared" si="125"/>
        <v>0</v>
      </c>
      <c r="AD302" s="929">
        <f t="shared" si="125"/>
        <v>0</v>
      </c>
      <c r="AE302" s="930">
        <f t="shared" si="125"/>
        <v>0</v>
      </c>
      <c r="AF302" s="928">
        <f t="shared" si="125"/>
        <v>0</v>
      </c>
      <c r="AG302" s="927">
        <f t="shared" si="98"/>
        <v>0</v>
      </c>
      <c r="AH302" s="929">
        <f t="shared" si="121"/>
        <v>0</v>
      </c>
      <c r="AI302" s="930">
        <f t="shared" si="99"/>
        <v>0</v>
      </c>
      <c r="AJ302" s="929">
        <f t="shared" si="100"/>
        <v>0</v>
      </c>
      <c r="AK302" s="930">
        <f t="shared" si="101"/>
        <v>0</v>
      </c>
      <c r="AL302" s="929">
        <f t="shared" si="102"/>
        <v>0</v>
      </c>
      <c r="AM302" s="930">
        <f t="shared" si="103"/>
        <v>0</v>
      </c>
      <c r="AN302" s="929">
        <f t="shared" si="104"/>
        <v>0</v>
      </c>
      <c r="AO302" s="930">
        <f t="shared" si="105"/>
        <v>0</v>
      </c>
      <c r="AP302" s="929">
        <f t="shared" si="106"/>
        <v>0</v>
      </c>
      <c r="AQ302" s="932">
        <f t="shared" si="107"/>
        <v>0</v>
      </c>
      <c r="AR302" s="927">
        <f t="shared" si="108"/>
        <v>0</v>
      </c>
      <c r="AS302" s="929">
        <f t="shared" si="109"/>
        <v>0</v>
      </c>
      <c r="AT302" s="930">
        <f t="shared" si="110"/>
        <v>0</v>
      </c>
      <c r="AU302" s="929">
        <f t="shared" si="111"/>
        <v>0</v>
      </c>
      <c r="AV302" s="930">
        <f t="shared" si="112"/>
        <v>0</v>
      </c>
      <c r="AW302" s="929">
        <f t="shared" si="113"/>
        <v>0</v>
      </c>
      <c r="AX302" s="930">
        <f t="shared" si="114"/>
        <v>0</v>
      </c>
      <c r="AY302" s="929">
        <f t="shared" si="115"/>
        <v>0</v>
      </c>
      <c r="AZ302" s="930">
        <f t="shared" si="116"/>
        <v>0</v>
      </c>
      <c r="BA302" s="929">
        <f t="shared" si="117"/>
        <v>0</v>
      </c>
      <c r="BB302" s="932">
        <f t="shared" si="118"/>
        <v>0</v>
      </c>
    </row>
    <row r="303" spans="1:54" s="148" customFormat="1" x14ac:dyDescent="0.25">
      <c r="A303" s="926">
        <v>34</v>
      </c>
      <c r="B303" s="927">
        <f>IF(ISNUMBER(System!$AB37),SIGN(System!AB37),0)</f>
        <v>0</v>
      </c>
      <c r="C303" s="928">
        <f>IF(System!AC37&lt;&gt;0,1,0)</f>
        <v>0</v>
      </c>
      <c r="D303" s="927">
        <f>IF(OR(B303&lt;&gt;0,C303&lt;&gt;0),System!BC155+IF(ISNUMBER(B303),SIGN(B303),1)*E38*1,0)</f>
        <v>0</v>
      </c>
      <c r="E303" s="929">
        <f>IF(OR(B303&lt;&gt;0,C303&lt;&gt;0),System!BD155+IF(ISNUMBER(B303),SIGN(B303),1)*E38,0)</f>
        <v>0</v>
      </c>
      <c r="F303" s="930">
        <f>IF(OR(B303&lt;&gt;0,C303&lt;&gt;0),System!BE155+IF(ISNUMBER(B303),SIGN(B303),1)*F38,0)</f>
        <v>0</v>
      </c>
      <c r="G303" s="931">
        <f>IF(OR(B303&lt;&gt;0,C303&lt;&gt;0),System!BF155+IF(ISNUMBER(B303),SIGN(B303),1)*F38,0)</f>
        <v>0</v>
      </c>
      <c r="H303" s="927">
        <f t="shared" si="95"/>
        <v>0</v>
      </c>
      <c r="I303" s="929">
        <f t="shared" si="96"/>
        <v>0</v>
      </c>
      <c r="J303" s="932">
        <f t="shared" si="97"/>
        <v>0</v>
      </c>
      <c r="K303" s="927">
        <f t="shared" si="119"/>
        <v>0</v>
      </c>
      <c r="L303" s="929">
        <f t="shared" si="124"/>
        <v>0</v>
      </c>
      <c r="M303" s="930">
        <f t="shared" si="124"/>
        <v>0</v>
      </c>
      <c r="N303" s="929">
        <f t="shared" si="124"/>
        <v>0</v>
      </c>
      <c r="O303" s="930">
        <f t="shared" si="124"/>
        <v>0</v>
      </c>
      <c r="P303" s="929">
        <f t="shared" si="124"/>
        <v>0</v>
      </c>
      <c r="Q303" s="930">
        <f t="shared" si="124"/>
        <v>0</v>
      </c>
      <c r="R303" s="929">
        <f t="shared" si="124"/>
        <v>0</v>
      </c>
      <c r="S303" s="930">
        <f t="shared" si="124"/>
        <v>0</v>
      </c>
      <c r="T303" s="929">
        <f t="shared" si="124"/>
        <v>0</v>
      </c>
      <c r="U303" s="933">
        <f t="shared" si="124"/>
        <v>0</v>
      </c>
      <c r="V303" s="930">
        <f t="shared" si="120"/>
        <v>0</v>
      </c>
      <c r="W303" s="929">
        <f t="shared" si="125"/>
        <v>0</v>
      </c>
      <c r="X303" s="929">
        <f t="shared" si="125"/>
        <v>0</v>
      </c>
      <c r="Y303" s="930">
        <f t="shared" si="125"/>
        <v>0</v>
      </c>
      <c r="Z303" s="929">
        <f t="shared" si="125"/>
        <v>0</v>
      </c>
      <c r="AA303" s="930">
        <f t="shared" si="125"/>
        <v>0</v>
      </c>
      <c r="AB303" s="929">
        <f t="shared" si="125"/>
        <v>0</v>
      </c>
      <c r="AC303" s="930">
        <f t="shared" si="125"/>
        <v>0</v>
      </c>
      <c r="AD303" s="929">
        <f t="shared" si="125"/>
        <v>0</v>
      </c>
      <c r="AE303" s="930">
        <f t="shared" si="125"/>
        <v>0</v>
      </c>
      <c r="AF303" s="928">
        <f t="shared" si="125"/>
        <v>0</v>
      </c>
      <c r="AG303" s="927">
        <f t="shared" si="98"/>
        <v>0</v>
      </c>
      <c r="AH303" s="929">
        <f t="shared" si="121"/>
        <v>0</v>
      </c>
      <c r="AI303" s="930">
        <f t="shared" si="99"/>
        <v>0</v>
      </c>
      <c r="AJ303" s="929">
        <f t="shared" si="100"/>
        <v>0</v>
      </c>
      <c r="AK303" s="930">
        <f t="shared" si="101"/>
        <v>0</v>
      </c>
      <c r="AL303" s="929">
        <f t="shared" si="102"/>
        <v>0</v>
      </c>
      <c r="AM303" s="930">
        <f t="shared" si="103"/>
        <v>0</v>
      </c>
      <c r="AN303" s="929">
        <f t="shared" si="104"/>
        <v>0</v>
      </c>
      <c r="AO303" s="930">
        <f t="shared" si="105"/>
        <v>0</v>
      </c>
      <c r="AP303" s="929">
        <f t="shared" si="106"/>
        <v>0</v>
      </c>
      <c r="AQ303" s="932">
        <f t="shared" si="107"/>
        <v>0</v>
      </c>
      <c r="AR303" s="927">
        <f t="shared" si="108"/>
        <v>0</v>
      </c>
      <c r="AS303" s="929">
        <f t="shared" si="109"/>
        <v>0</v>
      </c>
      <c r="AT303" s="930">
        <f t="shared" si="110"/>
        <v>0</v>
      </c>
      <c r="AU303" s="929">
        <f t="shared" si="111"/>
        <v>0</v>
      </c>
      <c r="AV303" s="930">
        <f t="shared" si="112"/>
        <v>0</v>
      </c>
      <c r="AW303" s="929">
        <f t="shared" si="113"/>
        <v>0</v>
      </c>
      <c r="AX303" s="930">
        <f t="shared" si="114"/>
        <v>0</v>
      </c>
      <c r="AY303" s="929">
        <f t="shared" si="115"/>
        <v>0</v>
      </c>
      <c r="AZ303" s="930">
        <f t="shared" si="116"/>
        <v>0</v>
      </c>
      <c r="BA303" s="929">
        <f t="shared" si="117"/>
        <v>0</v>
      </c>
      <c r="BB303" s="932">
        <f t="shared" si="118"/>
        <v>0</v>
      </c>
    </row>
    <row r="304" spans="1:54" s="148" customFormat="1" x14ac:dyDescent="0.25">
      <c r="A304" s="926">
        <v>35</v>
      </c>
      <c r="B304" s="927">
        <f>IF(ISNUMBER(System!$AB38),SIGN(System!AB38),0)</f>
        <v>0</v>
      </c>
      <c r="C304" s="928">
        <f>IF(System!AC38&lt;&gt;0,1,0)</f>
        <v>0</v>
      </c>
      <c r="D304" s="927">
        <f>IF(OR(B304&lt;&gt;0,C304&lt;&gt;0),System!BC156+IF(ISNUMBER(B304),SIGN(B304),1)*E39*1,0)</f>
        <v>0</v>
      </c>
      <c r="E304" s="929">
        <f>IF(OR(B304&lt;&gt;0,C304&lt;&gt;0),System!BD156+IF(ISNUMBER(B304),SIGN(B304),1)*E39,0)</f>
        <v>0</v>
      </c>
      <c r="F304" s="930">
        <f>IF(OR(B304&lt;&gt;0,C304&lt;&gt;0),System!BE156+IF(ISNUMBER(B304),SIGN(B304),1)*F39,0)</f>
        <v>0</v>
      </c>
      <c r="G304" s="931">
        <f>IF(OR(B304&lt;&gt;0,C304&lt;&gt;0),System!BF156+IF(ISNUMBER(B304),SIGN(B304),1)*F39,0)</f>
        <v>0</v>
      </c>
      <c r="H304" s="927">
        <f t="shared" si="95"/>
        <v>0</v>
      </c>
      <c r="I304" s="929">
        <f t="shared" si="96"/>
        <v>0</v>
      </c>
      <c r="J304" s="932">
        <f t="shared" si="97"/>
        <v>0</v>
      </c>
      <c r="K304" s="927">
        <f t="shared" si="119"/>
        <v>0</v>
      </c>
      <c r="L304" s="929">
        <f t="shared" si="124"/>
        <v>0</v>
      </c>
      <c r="M304" s="930">
        <f t="shared" si="124"/>
        <v>0</v>
      </c>
      <c r="N304" s="929">
        <f t="shared" si="124"/>
        <v>0</v>
      </c>
      <c r="O304" s="930">
        <f t="shared" si="124"/>
        <v>0</v>
      </c>
      <c r="P304" s="929">
        <f t="shared" si="124"/>
        <v>0</v>
      </c>
      <c r="Q304" s="930">
        <f t="shared" si="124"/>
        <v>0</v>
      </c>
      <c r="R304" s="929">
        <f t="shared" si="124"/>
        <v>0</v>
      </c>
      <c r="S304" s="930">
        <f t="shared" si="124"/>
        <v>0</v>
      </c>
      <c r="T304" s="929">
        <f t="shared" si="124"/>
        <v>0</v>
      </c>
      <c r="U304" s="933">
        <f t="shared" si="124"/>
        <v>0</v>
      </c>
      <c r="V304" s="930">
        <f t="shared" si="120"/>
        <v>0</v>
      </c>
      <c r="W304" s="929">
        <f t="shared" si="125"/>
        <v>0</v>
      </c>
      <c r="X304" s="929">
        <f t="shared" si="125"/>
        <v>0</v>
      </c>
      <c r="Y304" s="930">
        <f t="shared" si="125"/>
        <v>0</v>
      </c>
      <c r="Z304" s="929">
        <f t="shared" si="125"/>
        <v>0</v>
      </c>
      <c r="AA304" s="930">
        <f t="shared" si="125"/>
        <v>0</v>
      </c>
      <c r="AB304" s="929">
        <f t="shared" si="125"/>
        <v>0</v>
      </c>
      <c r="AC304" s="930">
        <f t="shared" si="125"/>
        <v>0</v>
      </c>
      <c r="AD304" s="929">
        <f t="shared" si="125"/>
        <v>0</v>
      </c>
      <c r="AE304" s="930">
        <f t="shared" si="125"/>
        <v>0</v>
      </c>
      <c r="AF304" s="928">
        <f t="shared" si="125"/>
        <v>0</v>
      </c>
      <c r="AG304" s="927">
        <f t="shared" si="98"/>
        <v>0</v>
      </c>
      <c r="AH304" s="929">
        <f t="shared" si="121"/>
        <v>0</v>
      </c>
      <c r="AI304" s="930">
        <f t="shared" si="99"/>
        <v>0</v>
      </c>
      <c r="AJ304" s="929">
        <f t="shared" si="100"/>
        <v>0</v>
      </c>
      <c r="AK304" s="930">
        <f t="shared" si="101"/>
        <v>0</v>
      </c>
      <c r="AL304" s="929">
        <f t="shared" si="102"/>
        <v>0</v>
      </c>
      <c r="AM304" s="930">
        <f t="shared" si="103"/>
        <v>0</v>
      </c>
      <c r="AN304" s="929">
        <f t="shared" si="104"/>
        <v>0</v>
      </c>
      <c r="AO304" s="930">
        <f t="shared" si="105"/>
        <v>0</v>
      </c>
      <c r="AP304" s="929">
        <f t="shared" si="106"/>
        <v>0</v>
      </c>
      <c r="AQ304" s="932">
        <f t="shared" si="107"/>
        <v>0</v>
      </c>
      <c r="AR304" s="927">
        <f t="shared" si="108"/>
        <v>0</v>
      </c>
      <c r="AS304" s="929">
        <f t="shared" si="109"/>
        <v>0</v>
      </c>
      <c r="AT304" s="930">
        <f t="shared" si="110"/>
        <v>0</v>
      </c>
      <c r="AU304" s="929">
        <f t="shared" si="111"/>
        <v>0</v>
      </c>
      <c r="AV304" s="930">
        <f t="shared" si="112"/>
        <v>0</v>
      </c>
      <c r="AW304" s="929">
        <f t="shared" si="113"/>
        <v>0</v>
      </c>
      <c r="AX304" s="930">
        <f t="shared" si="114"/>
        <v>0</v>
      </c>
      <c r="AY304" s="929">
        <f t="shared" si="115"/>
        <v>0</v>
      </c>
      <c r="AZ304" s="930">
        <f t="shared" si="116"/>
        <v>0</v>
      </c>
      <c r="BA304" s="929">
        <f t="shared" si="117"/>
        <v>0</v>
      </c>
      <c r="BB304" s="932">
        <f t="shared" si="118"/>
        <v>0</v>
      </c>
    </row>
    <row r="305" spans="1:96" s="148" customFormat="1" x14ac:dyDescent="0.25">
      <c r="A305" s="926">
        <v>36</v>
      </c>
      <c r="B305" s="927">
        <f>IF(ISNUMBER(System!$AB39),SIGN(System!AB39),0)</f>
        <v>0</v>
      </c>
      <c r="C305" s="928">
        <f>IF(System!AC39&lt;&gt;0,1,0)</f>
        <v>0</v>
      </c>
      <c r="D305" s="927">
        <f>IF(OR(B305&lt;&gt;0,C305&lt;&gt;0),System!BC157+IF(ISNUMBER(B305),SIGN(B305),1)*E40*1,0)</f>
        <v>0</v>
      </c>
      <c r="E305" s="929">
        <f>IF(OR(B305&lt;&gt;0,C305&lt;&gt;0),System!BD157+IF(ISNUMBER(B305),SIGN(B305),1)*E40,0)</f>
        <v>0</v>
      </c>
      <c r="F305" s="930">
        <f>IF(OR(B305&lt;&gt;0,C305&lt;&gt;0),System!BE157+IF(ISNUMBER(B305),SIGN(B305),1)*F40,0)</f>
        <v>0</v>
      </c>
      <c r="G305" s="931">
        <f>IF(OR(B305&lt;&gt;0,C305&lt;&gt;0),System!BF157+IF(ISNUMBER(B305),SIGN(B305),1)*F40,0)</f>
        <v>0</v>
      </c>
      <c r="H305" s="927">
        <f t="shared" si="95"/>
        <v>0</v>
      </c>
      <c r="I305" s="929">
        <f t="shared" si="96"/>
        <v>0</v>
      </c>
      <c r="J305" s="932">
        <f t="shared" si="97"/>
        <v>0</v>
      </c>
      <c r="K305" s="927">
        <f t="shared" si="119"/>
        <v>0</v>
      </c>
      <c r="L305" s="929">
        <f t="shared" si="124"/>
        <v>0</v>
      </c>
      <c r="M305" s="930">
        <f t="shared" si="124"/>
        <v>0</v>
      </c>
      <c r="N305" s="929">
        <f t="shared" si="124"/>
        <v>0</v>
      </c>
      <c r="O305" s="930">
        <f t="shared" si="124"/>
        <v>0</v>
      </c>
      <c r="P305" s="929">
        <f t="shared" si="124"/>
        <v>0</v>
      </c>
      <c r="Q305" s="930">
        <f t="shared" si="124"/>
        <v>0</v>
      </c>
      <c r="R305" s="929">
        <f t="shared" si="124"/>
        <v>0</v>
      </c>
      <c r="S305" s="930">
        <f t="shared" si="124"/>
        <v>0</v>
      </c>
      <c r="T305" s="929">
        <f t="shared" si="124"/>
        <v>0</v>
      </c>
      <c r="U305" s="933">
        <f t="shared" si="124"/>
        <v>0</v>
      </c>
      <c r="V305" s="930">
        <f t="shared" si="120"/>
        <v>0</v>
      </c>
      <c r="W305" s="929">
        <f t="shared" si="125"/>
        <v>0</v>
      </c>
      <c r="X305" s="929">
        <f t="shared" si="125"/>
        <v>0</v>
      </c>
      <c r="Y305" s="930">
        <f t="shared" si="125"/>
        <v>0</v>
      </c>
      <c r="Z305" s="929">
        <f t="shared" si="125"/>
        <v>0</v>
      </c>
      <c r="AA305" s="930">
        <f t="shared" si="125"/>
        <v>0</v>
      </c>
      <c r="AB305" s="929">
        <f t="shared" si="125"/>
        <v>0</v>
      </c>
      <c r="AC305" s="930">
        <f t="shared" si="125"/>
        <v>0</v>
      </c>
      <c r="AD305" s="929">
        <f t="shared" si="125"/>
        <v>0</v>
      </c>
      <c r="AE305" s="930">
        <f t="shared" si="125"/>
        <v>0</v>
      </c>
      <c r="AF305" s="928">
        <f t="shared" si="125"/>
        <v>0</v>
      </c>
      <c r="AG305" s="927">
        <f t="shared" si="98"/>
        <v>0</v>
      </c>
      <c r="AH305" s="929">
        <f t="shared" si="121"/>
        <v>0</v>
      </c>
      <c r="AI305" s="930">
        <f t="shared" si="99"/>
        <v>0</v>
      </c>
      <c r="AJ305" s="929">
        <f t="shared" si="100"/>
        <v>0</v>
      </c>
      <c r="AK305" s="930">
        <f t="shared" si="101"/>
        <v>0</v>
      </c>
      <c r="AL305" s="929">
        <f t="shared" si="102"/>
        <v>0</v>
      </c>
      <c r="AM305" s="930">
        <f t="shared" si="103"/>
        <v>0</v>
      </c>
      <c r="AN305" s="929">
        <f t="shared" si="104"/>
        <v>0</v>
      </c>
      <c r="AO305" s="930">
        <f t="shared" si="105"/>
        <v>0</v>
      </c>
      <c r="AP305" s="929">
        <f t="shared" si="106"/>
        <v>0</v>
      </c>
      <c r="AQ305" s="932">
        <f t="shared" si="107"/>
        <v>0</v>
      </c>
      <c r="AR305" s="927">
        <f t="shared" si="108"/>
        <v>0</v>
      </c>
      <c r="AS305" s="929">
        <f t="shared" si="109"/>
        <v>0</v>
      </c>
      <c r="AT305" s="930">
        <f t="shared" si="110"/>
        <v>0</v>
      </c>
      <c r="AU305" s="929">
        <f t="shared" si="111"/>
        <v>0</v>
      </c>
      <c r="AV305" s="930">
        <f t="shared" si="112"/>
        <v>0</v>
      </c>
      <c r="AW305" s="929">
        <f t="shared" si="113"/>
        <v>0</v>
      </c>
      <c r="AX305" s="930">
        <f t="shared" si="114"/>
        <v>0</v>
      </c>
      <c r="AY305" s="929">
        <f t="shared" si="115"/>
        <v>0</v>
      </c>
      <c r="AZ305" s="930">
        <f t="shared" si="116"/>
        <v>0</v>
      </c>
      <c r="BA305" s="929">
        <f t="shared" si="117"/>
        <v>0</v>
      </c>
      <c r="BB305" s="932">
        <f t="shared" si="118"/>
        <v>0</v>
      </c>
    </row>
    <row r="306" spans="1:96" s="148" customFormat="1" x14ac:dyDescent="0.25">
      <c r="A306" s="926">
        <v>37</v>
      </c>
      <c r="B306" s="927">
        <f>IF(ISNUMBER(System!$AB40),SIGN(System!AB40),0)</f>
        <v>0</v>
      </c>
      <c r="C306" s="928">
        <f>IF(System!AC40&lt;&gt;0,1,0)</f>
        <v>0</v>
      </c>
      <c r="D306" s="927">
        <f>IF(OR(B306&lt;&gt;0,C306&lt;&gt;0),System!BC158+IF(ISNUMBER(B306),SIGN(B306),1)*E41*1,0)</f>
        <v>0</v>
      </c>
      <c r="E306" s="929">
        <f>IF(OR(B306&lt;&gt;0,C306&lt;&gt;0),System!BD158+IF(ISNUMBER(B306),SIGN(B306),1)*E41,0)</f>
        <v>0</v>
      </c>
      <c r="F306" s="930">
        <f>IF(OR(B306&lt;&gt;0,C306&lt;&gt;0),System!BE158+IF(ISNUMBER(B306),SIGN(B306),1)*F41,0)</f>
        <v>0</v>
      </c>
      <c r="G306" s="931">
        <f>IF(OR(B306&lt;&gt;0,C306&lt;&gt;0),System!BF158+IF(ISNUMBER(B306),SIGN(B306),1)*F41,0)</f>
        <v>0</v>
      </c>
      <c r="H306" s="927">
        <f t="shared" si="95"/>
        <v>0</v>
      </c>
      <c r="I306" s="929">
        <f t="shared" si="96"/>
        <v>0</v>
      </c>
      <c r="J306" s="932">
        <f t="shared" si="97"/>
        <v>0</v>
      </c>
      <c r="K306" s="927">
        <f t="shared" si="119"/>
        <v>0</v>
      </c>
      <c r="L306" s="929">
        <f t="shared" si="124"/>
        <v>0</v>
      </c>
      <c r="M306" s="930">
        <f t="shared" si="124"/>
        <v>0</v>
      </c>
      <c r="N306" s="929">
        <f t="shared" si="124"/>
        <v>0</v>
      </c>
      <c r="O306" s="930">
        <f t="shared" si="124"/>
        <v>0</v>
      </c>
      <c r="P306" s="929">
        <f t="shared" si="124"/>
        <v>0</v>
      </c>
      <c r="Q306" s="930">
        <f t="shared" si="124"/>
        <v>0</v>
      </c>
      <c r="R306" s="929">
        <f t="shared" si="124"/>
        <v>0</v>
      </c>
      <c r="S306" s="930">
        <f t="shared" si="124"/>
        <v>0</v>
      </c>
      <c r="T306" s="929">
        <f t="shared" si="124"/>
        <v>0</v>
      </c>
      <c r="U306" s="933">
        <f t="shared" si="124"/>
        <v>0</v>
      </c>
      <c r="V306" s="930">
        <f t="shared" si="120"/>
        <v>0</v>
      </c>
      <c r="W306" s="929">
        <f t="shared" si="125"/>
        <v>0</v>
      </c>
      <c r="X306" s="929">
        <f t="shared" si="125"/>
        <v>0</v>
      </c>
      <c r="Y306" s="930">
        <f t="shared" si="125"/>
        <v>0</v>
      </c>
      <c r="Z306" s="929">
        <f t="shared" si="125"/>
        <v>0</v>
      </c>
      <c r="AA306" s="930">
        <f t="shared" si="125"/>
        <v>0</v>
      </c>
      <c r="AB306" s="929">
        <f t="shared" si="125"/>
        <v>0</v>
      </c>
      <c r="AC306" s="930">
        <f t="shared" si="125"/>
        <v>0</v>
      </c>
      <c r="AD306" s="929">
        <f t="shared" si="125"/>
        <v>0</v>
      </c>
      <c r="AE306" s="930">
        <f t="shared" si="125"/>
        <v>0</v>
      </c>
      <c r="AF306" s="928">
        <f t="shared" si="125"/>
        <v>0</v>
      </c>
      <c r="AG306" s="927">
        <f t="shared" si="98"/>
        <v>0</v>
      </c>
      <c r="AH306" s="929">
        <f t="shared" si="121"/>
        <v>0</v>
      </c>
      <c r="AI306" s="930">
        <f t="shared" si="99"/>
        <v>0</v>
      </c>
      <c r="AJ306" s="929">
        <f t="shared" si="100"/>
        <v>0</v>
      </c>
      <c r="AK306" s="930">
        <f t="shared" si="101"/>
        <v>0</v>
      </c>
      <c r="AL306" s="929">
        <f t="shared" si="102"/>
        <v>0</v>
      </c>
      <c r="AM306" s="930">
        <f t="shared" si="103"/>
        <v>0</v>
      </c>
      <c r="AN306" s="929">
        <f t="shared" si="104"/>
        <v>0</v>
      </c>
      <c r="AO306" s="930">
        <f t="shared" si="105"/>
        <v>0</v>
      </c>
      <c r="AP306" s="929">
        <f t="shared" si="106"/>
        <v>0</v>
      </c>
      <c r="AQ306" s="932">
        <f t="shared" si="107"/>
        <v>0</v>
      </c>
      <c r="AR306" s="927">
        <f t="shared" si="108"/>
        <v>0</v>
      </c>
      <c r="AS306" s="929">
        <f t="shared" si="109"/>
        <v>0</v>
      </c>
      <c r="AT306" s="930">
        <f t="shared" si="110"/>
        <v>0</v>
      </c>
      <c r="AU306" s="929">
        <f t="shared" si="111"/>
        <v>0</v>
      </c>
      <c r="AV306" s="930">
        <f t="shared" si="112"/>
        <v>0</v>
      </c>
      <c r="AW306" s="929">
        <f t="shared" si="113"/>
        <v>0</v>
      </c>
      <c r="AX306" s="930">
        <f t="shared" si="114"/>
        <v>0</v>
      </c>
      <c r="AY306" s="929">
        <f t="shared" si="115"/>
        <v>0</v>
      </c>
      <c r="AZ306" s="930">
        <f t="shared" si="116"/>
        <v>0</v>
      </c>
      <c r="BA306" s="929">
        <f t="shared" si="117"/>
        <v>0</v>
      </c>
      <c r="BB306" s="932">
        <f t="shared" si="118"/>
        <v>0</v>
      </c>
    </row>
    <row r="307" spans="1:96" s="148" customFormat="1" x14ac:dyDescent="0.25">
      <c r="A307" s="926">
        <v>38</v>
      </c>
      <c r="B307" s="927">
        <f>IF(ISNUMBER(System!$AB41),SIGN(System!AB41),0)</f>
        <v>0</v>
      </c>
      <c r="C307" s="928">
        <f>IF(System!AC41&lt;&gt;0,1,0)</f>
        <v>0</v>
      </c>
      <c r="D307" s="927">
        <f>IF(OR(B307&lt;&gt;0,C307&lt;&gt;0),System!BC159+IF(ISNUMBER(B307),SIGN(B307),1)*E42*1,0)</f>
        <v>0</v>
      </c>
      <c r="E307" s="929">
        <f>IF(OR(B307&lt;&gt;0,C307&lt;&gt;0),System!BD159+IF(ISNUMBER(B307),SIGN(B307),1)*E42,0)</f>
        <v>0</v>
      </c>
      <c r="F307" s="930">
        <f>IF(OR(B307&lt;&gt;0,C307&lt;&gt;0),System!BE159+IF(ISNUMBER(B307),SIGN(B307),1)*F42,0)</f>
        <v>0</v>
      </c>
      <c r="G307" s="931">
        <f>IF(OR(B307&lt;&gt;0,C307&lt;&gt;0),System!BF159+IF(ISNUMBER(B307),SIGN(B307),1)*F42,0)</f>
        <v>0</v>
      </c>
      <c r="H307" s="927">
        <f t="shared" si="95"/>
        <v>0</v>
      </c>
      <c r="I307" s="929">
        <f t="shared" si="96"/>
        <v>0</v>
      </c>
      <c r="J307" s="932">
        <f t="shared" si="97"/>
        <v>0</v>
      </c>
      <c r="K307" s="927">
        <f t="shared" si="119"/>
        <v>0</v>
      </c>
      <c r="L307" s="929">
        <f t="shared" si="124"/>
        <v>0</v>
      </c>
      <c r="M307" s="930">
        <f t="shared" si="124"/>
        <v>0</v>
      </c>
      <c r="N307" s="929">
        <f t="shared" si="124"/>
        <v>0</v>
      </c>
      <c r="O307" s="930">
        <f t="shared" si="124"/>
        <v>0</v>
      </c>
      <c r="P307" s="929">
        <f t="shared" si="124"/>
        <v>0</v>
      </c>
      <c r="Q307" s="930">
        <f t="shared" si="124"/>
        <v>0</v>
      </c>
      <c r="R307" s="929">
        <f t="shared" si="124"/>
        <v>0</v>
      </c>
      <c r="S307" s="930">
        <f t="shared" si="124"/>
        <v>0</v>
      </c>
      <c r="T307" s="929">
        <f t="shared" si="124"/>
        <v>0</v>
      </c>
      <c r="U307" s="933">
        <f t="shared" si="124"/>
        <v>0</v>
      </c>
      <c r="V307" s="930">
        <f t="shared" si="120"/>
        <v>0</v>
      </c>
      <c r="W307" s="929">
        <f t="shared" si="125"/>
        <v>0</v>
      </c>
      <c r="X307" s="929">
        <f t="shared" si="125"/>
        <v>0</v>
      </c>
      <c r="Y307" s="930">
        <f t="shared" si="125"/>
        <v>0</v>
      </c>
      <c r="Z307" s="929">
        <f t="shared" si="125"/>
        <v>0</v>
      </c>
      <c r="AA307" s="930">
        <f t="shared" si="125"/>
        <v>0</v>
      </c>
      <c r="AB307" s="929">
        <f t="shared" si="125"/>
        <v>0</v>
      </c>
      <c r="AC307" s="930">
        <f t="shared" si="125"/>
        <v>0</v>
      </c>
      <c r="AD307" s="929">
        <f t="shared" si="125"/>
        <v>0</v>
      </c>
      <c r="AE307" s="930">
        <f t="shared" si="125"/>
        <v>0</v>
      </c>
      <c r="AF307" s="928">
        <f t="shared" si="125"/>
        <v>0</v>
      </c>
      <c r="AG307" s="927">
        <f t="shared" si="98"/>
        <v>0</v>
      </c>
      <c r="AH307" s="929">
        <f t="shared" si="121"/>
        <v>0</v>
      </c>
      <c r="AI307" s="930">
        <f t="shared" si="99"/>
        <v>0</v>
      </c>
      <c r="AJ307" s="929">
        <f t="shared" si="100"/>
        <v>0</v>
      </c>
      <c r="AK307" s="930">
        <f t="shared" si="101"/>
        <v>0</v>
      </c>
      <c r="AL307" s="929">
        <f t="shared" si="102"/>
        <v>0</v>
      </c>
      <c r="AM307" s="930">
        <f t="shared" si="103"/>
        <v>0</v>
      </c>
      <c r="AN307" s="929">
        <f t="shared" si="104"/>
        <v>0</v>
      </c>
      <c r="AO307" s="930">
        <f t="shared" si="105"/>
        <v>0</v>
      </c>
      <c r="AP307" s="929">
        <f t="shared" si="106"/>
        <v>0</v>
      </c>
      <c r="AQ307" s="932">
        <f t="shared" si="107"/>
        <v>0</v>
      </c>
      <c r="AR307" s="927">
        <f t="shared" si="108"/>
        <v>0</v>
      </c>
      <c r="AS307" s="929">
        <f t="shared" si="109"/>
        <v>0</v>
      </c>
      <c r="AT307" s="930">
        <f t="shared" si="110"/>
        <v>0</v>
      </c>
      <c r="AU307" s="929">
        <f t="shared" si="111"/>
        <v>0</v>
      </c>
      <c r="AV307" s="930">
        <f t="shared" si="112"/>
        <v>0</v>
      </c>
      <c r="AW307" s="929">
        <f t="shared" si="113"/>
        <v>0</v>
      </c>
      <c r="AX307" s="930">
        <f t="shared" si="114"/>
        <v>0</v>
      </c>
      <c r="AY307" s="929">
        <f t="shared" si="115"/>
        <v>0</v>
      </c>
      <c r="AZ307" s="930">
        <f t="shared" si="116"/>
        <v>0</v>
      </c>
      <c r="BA307" s="929">
        <f t="shared" si="117"/>
        <v>0</v>
      </c>
      <c r="BB307" s="932">
        <f t="shared" si="118"/>
        <v>0</v>
      </c>
    </row>
    <row r="308" spans="1:96" s="148" customFormat="1" x14ac:dyDescent="0.25">
      <c r="A308" s="926">
        <v>39</v>
      </c>
      <c r="B308" s="927">
        <f>IF(ISNUMBER(System!$AB42),SIGN(System!AB42),0)</f>
        <v>0</v>
      </c>
      <c r="C308" s="928">
        <f>IF(System!AC42&lt;&gt;0,1,0)</f>
        <v>0</v>
      </c>
      <c r="D308" s="927">
        <f>IF(OR(B308&lt;&gt;0,C308&lt;&gt;0),System!BC160+IF(ISNUMBER(B308),SIGN(B308),1)*E43*1,0)</f>
        <v>0</v>
      </c>
      <c r="E308" s="929">
        <f>IF(OR(B308&lt;&gt;0,C308&lt;&gt;0),System!BD160+IF(ISNUMBER(B308),SIGN(B308),1)*E43,0)</f>
        <v>0</v>
      </c>
      <c r="F308" s="930">
        <f>IF(OR(B308&lt;&gt;0,C308&lt;&gt;0),System!BE160+IF(ISNUMBER(B308),SIGN(B308),1)*F43,0)</f>
        <v>0</v>
      </c>
      <c r="G308" s="931">
        <f>IF(OR(B308&lt;&gt;0,C308&lt;&gt;0),System!BF160+IF(ISNUMBER(B308),SIGN(B308),1)*F43,0)</f>
        <v>0</v>
      </c>
      <c r="H308" s="927">
        <f>IF(ABS(B308)+ABS(C308)&lt;&gt;0,((E308-D308)/10),0)</f>
        <v>0</v>
      </c>
      <c r="I308" s="929">
        <f>IF(ABS(B308)+ABS(C308)&lt;&gt;0,((G308-F308)/10),0)</f>
        <v>0</v>
      </c>
      <c r="J308" s="932">
        <f t="shared" si="97"/>
        <v>0</v>
      </c>
      <c r="K308" s="927">
        <f t="shared" si="119"/>
        <v>0</v>
      </c>
      <c r="L308" s="929">
        <f t="shared" si="124"/>
        <v>0</v>
      </c>
      <c r="M308" s="930">
        <f t="shared" si="124"/>
        <v>0</v>
      </c>
      <c r="N308" s="929">
        <f t="shared" si="124"/>
        <v>0</v>
      </c>
      <c r="O308" s="930">
        <f t="shared" si="124"/>
        <v>0</v>
      </c>
      <c r="P308" s="929">
        <f t="shared" si="124"/>
        <v>0</v>
      </c>
      <c r="Q308" s="930">
        <f t="shared" si="124"/>
        <v>0</v>
      </c>
      <c r="R308" s="929">
        <f t="shared" si="124"/>
        <v>0</v>
      </c>
      <c r="S308" s="930">
        <f t="shared" si="124"/>
        <v>0</v>
      </c>
      <c r="T308" s="929">
        <f t="shared" si="124"/>
        <v>0</v>
      </c>
      <c r="U308" s="933">
        <f t="shared" si="124"/>
        <v>0</v>
      </c>
      <c r="V308" s="930">
        <f t="shared" si="120"/>
        <v>0</v>
      </c>
      <c r="W308" s="929">
        <f t="shared" si="125"/>
        <v>0</v>
      </c>
      <c r="X308" s="929">
        <f t="shared" si="125"/>
        <v>0</v>
      </c>
      <c r="Y308" s="930">
        <f t="shared" si="125"/>
        <v>0</v>
      </c>
      <c r="Z308" s="929">
        <f t="shared" si="125"/>
        <v>0</v>
      </c>
      <c r="AA308" s="930">
        <f t="shared" si="125"/>
        <v>0</v>
      </c>
      <c r="AB308" s="929">
        <f t="shared" si="125"/>
        <v>0</v>
      </c>
      <c r="AC308" s="930">
        <f t="shared" si="125"/>
        <v>0</v>
      </c>
      <c r="AD308" s="929">
        <f t="shared" si="125"/>
        <v>0</v>
      </c>
      <c r="AE308" s="930">
        <f t="shared" si="125"/>
        <v>0</v>
      </c>
      <c r="AF308" s="928">
        <f t="shared" si="125"/>
        <v>0</v>
      </c>
      <c r="AG308" s="927">
        <f t="shared" si="98"/>
        <v>0</v>
      </c>
      <c r="AH308" s="929">
        <f t="shared" si="121"/>
        <v>0</v>
      </c>
      <c r="AI308" s="930">
        <f t="shared" si="99"/>
        <v>0</v>
      </c>
      <c r="AJ308" s="929">
        <f t="shared" si="100"/>
        <v>0</v>
      </c>
      <c r="AK308" s="930">
        <f t="shared" si="101"/>
        <v>0</v>
      </c>
      <c r="AL308" s="929">
        <f t="shared" si="102"/>
        <v>0</v>
      </c>
      <c r="AM308" s="930">
        <f t="shared" si="103"/>
        <v>0</v>
      </c>
      <c r="AN308" s="929">
        <f t="shared" si="104"/>
        <v>0</v>
      </c>
      <c r="AO308" s="930">
        <f t="shared" si="105"/>
        <v>0</v>
      </c>
      <c r="AP308" s="929">
        <f t="shared" si="106"/>
        <v>0</v>
      </c>
      <c r="AQ308" s="932">
        <f t="shared" si="107"/>
        <v>0</v>
      </c>
      <c r="AR308" s="927">
        <f t="shared" si="108"/>
        <v>0</v>
      </c>
      <c r="AS308" s="929">
        <f t="shared" si="109"/>
        <v>0</v>
      </c>
      <c r="AT308" s="930">
        <f t="shared" si="110"/>
        <v>0</v>
      </c>
      <c r="AU308" s="929">
        <f t="shared" si="111"/>
        <v>0</v>
      </c>
      <c r="AV308" s="930">
        <f t="shared" si="112"/>
        <v>0</v>
      </c>
      <c r="AW308" s="929">
        <f t="shared" si="113"/>
        <v>0</v>
      </c>
      <c r="AX308" s="930">
        <f t="shared" si="114"/>
        <v>0</v>
      </c>
      <c r="AY308" s="929">
        <f t="shared" si="115"/>
        <v>0</v>
      </c>
      <c r="AZ308" s="930">
        <f t="shared" si="116"/>
        <v>0</v>
      </c>
      <c r="BA308" s="929">
        <f t="shared" si="117"/>
        <v>0</v>
      </c>
      <c r="BB308" s="932">
        <f t="shared" si="118"/>
        <v>0</v>
      </c>
    </row>
    <row r="309" spans="1:96" s="946" customFormat="1" ht="13.8" thickBot="1" x14ac:dyDescent="0.3">
      <c r="A309" s="938">
        <v>40</v>
      </c>
      <c r="B309" s="939">
        <f>IF(ISNUMBER(System!$AB43),SIGN(System!AB43),0)</f>
        <v>0</v>
      </c>
      <c r="C309" s="940">
        <f>IF(System!AC43&lt;&gt;0,1,0)</f>
        <v>0</v>
      </c>
      <c r="D309" s="939">
        <f>IF(OR(B309&lt;&gt;0,C309&lt;&gt;0),System!BC161+IF(ISNUMBER(B309),SIGN(B309),1)*E44*1,0)</f>
        <v>0</v>
      </c>
      <c r="E309" s="941">
        <f>IF(OR(B309&lt;&gt;0,C309&lt;&gt;0),System!BD161+IF(ISNUMBER(B309),SIGN(B309),1)*E44,0)</f>
        <v>0</v>
      </c>
      <c r="F309" s="942">
        <f>IF(OR(B309&lt;&gt;0,C309&lt;&gt;0),System!BE161+IF(ISNUMBER(B309),SIGN(B309),1)*F44,0)</f>
        <v>0</v>
      </c>
      <c r="G309" s="943">
        <f>IF(OR(B309&lt;&gt;0,C309&lt;&gt;0),System!BF161+IF(ISNUMBER(B309),SIGN(B309),1)*F44,0)</f>
        <v>0</v>
      </c>
      <c r="H309" s="939">
        <f>IF(ABS(B309)+ABS(C309)&lt;&gt;0,((E309-D309)/10),0)</f>
        <v>0</v>
      </c>
      <c r="I309" s="941">
        <f>IF(ABS(B309)+ABS(C309)&lt;&gt;0,((G309-F309)/10),0)</f>
        <v>0</v>
      </c>
      <c r="J309" s="944">
        <f t="shared" si="97"/>
        <v>0</v>
      </c>
      <c r="K309" s="939">
        <f t="shared" si="119"/>
        <v>0</v>
      </c>
      <c r="L309" s="941">
        <f t="shared" si="124"/>
        <v>0</v>
      </c>
      <c r="M309" s="942">
        <f t="shared" si="124"/>
        <v>0</v>
      </c>
      <c r="N309" s="941">
        <f t="shared" si="124"/>
        <v>0</v>
      </c>
      <c r="O309" s="942">
        <f t="shared" si="124"/>
        <v>0</v>
      </c>
      <c r="P309" s="941">
        <f t="shared" si="124"/>
        <v>0</v>
      </c>
      <c r="Q309" s="942">
        <f t="shared" si="124"/>
        <v>0</v>
      </c>
      <c r="R309" s="941">
        <f t="shared" si="124"/>
        <v>0</v>
      </c>
      <c r="S309" s="942">
        <f t="shared" si="124"/>
        <v>0</v>
      </c>
      <c r="T309" s="941">
        <f t="shared" si="124"/>
        <v>0</v>
      </c>
      <c r="U309" s="945">
        <f t="shared" si="124"/>
        <v>0</v>
      </c>
      <c r="V309" s="942">
        <f t="shared" si="120"/>
        <v>0</v>
      </c>
      <c r="W309" s="941">
        <f t="shared" si="125"/>
        <v>0</v>
      </c>
      <c r="X309" s="941">
        <f t="shared" si="125"/>
        <v>0</v>
      </c>
      <c r="Y309" s="942">
        <f t="shared" si="125"/>
        <v>0</v>
      </c>
      <c r="Z309" s="941">
        <f t="shared" si="125"/>
        <v>0</v>
      </c>
      <c r="AA309" s="942">
        <f t="shared" si="125"/>
        <v>0</v>
      </c>
      <c r="AB309" s="941">
        <f t="shared" si="125"/>
        <v>0</v>
      </c>
      <c r="AC309" s="942">
        <f t="shared" si="125"/>
        <v>0</v>
      </c>
      <c r="AD309" s="941">
        <f t="shared" si="125"/>
        <v>0</v>
      </c>
      <c r="AE309" s="942">
        <f t="shared" si="125"/>
        <v>0</v>
      </c>
      <c r="AF309" s="940">
        <f t="shared" si="125"/>
        <v>0</v>
      </c>
      <c r="AG309" s="939">
        <f t="shared" si="98"/>
        <v>0</v>
      </c>
      <c r="AH309" s="941">
        <f t="shared" si="121"/>
        <v>0</v>
      </c>
      <c r="AI309" s="942">
        <f t="shared" si="99"/>
        <v>0</v>
      </c>
      <c r="AJ309" s="941">
        <f t="shared" si="100"/>
        <v>0</v>
      </c>
      <c r="AK309" s="942">
        <f t="shared" si="101"/>
        <v>0</v>
      </c>
      <c r="AL309" s="941">
        <f t="shared" si="102"/>
        <v>0</v>
      </c>
      <c r="AM309" s="942">
        <f t="shared" si="103"/>
        <v>0</v>
      </c>
      <c r="AN309" s="941">
        <f t="shared" si="104"/>
        <v>0</v>
      </c>
      <c r="AO309" s="942">
        <f t="shared" si="105"/>
        <v>0</v>
      </c>
      <c r="AP309" s="941">
        <f t="shared" si="106"/>
        <v>0</v>
      </c>
      <c r="AQ309" s="944">
        <f t="shared" si="107"/>
        <v>0</v>
      </c>
      <c r="AR309" s="939">
        <f t="shared" si="108"/>
        <v>0</v>
      </c>
      <c r="AS309" s="941">
        <f t="shared" si="109"/>
        <v>0</v>
      </c>
      <c r="AT309" s="942">
        <f t="shared" si="110"/>
        <v>0</v>
      </c>
      <c r="AU309" s="941">
        <f t="shared" si="111"/>
        <v>0</v>
      </c>
      <c r="AV309" s="942">
        <f t="shared" si="112"/>
        <v>0</v>
      </c>
      <c r="AW309" s="941">
        <f t="shared" si="113"/>
        <v>0</v>
      </c>
      <c r="AX309" s="942">
        <f t="shared" si="114"/>
        <v>0</v>
      </c>
      <c r="AY309" s="941">
        <f t="shared" si="115"/>
        <v>0</v>
      </c>
      <c r="AZ309" s="942">
        <f t="shared" si="116"/>
        <v>0</v>
      </c>
      <c r="BA309" s="941">
        <f t="shared" si="117"/>
        <v>0</v>
      </c>
      <c r="BB309" s="944">
        <f t="shared" si="118"/>
        <v>0</v>
      </c>
      <c r="BC309" s="148"/>
      <c r="BD309" s="148"/>
      <c r="BE309" s="148"/>
      <c r="BF309" s="148"/>
      <c r="BG309" s="148"/>
      <c r="BH309" s="148"/>
      <c r="BI309" s="148"/>
      <c r="BJ309" s="148"/>
      <c r="BK309" s="148"/>
      <c r="BL309" s="148"/>
      <c r="BM309" s="148"/>
      <c r="BN309" s="148"/>
      <c r="BO309" s="148"/>
      <c r="BP309" s="148"/>
      <c r="BQ309" s="148"/>
      <c r="BR309" s="148"/>
      <c r="BS309" s="148"/>
      <c r="BT309" s="148"/>
      <c r="BU309" s="148"/>
      <c r="BV309" s="148"/>
      <c r="BW309" s="148"/>
      <c r="BX309" s="148"/>
      <c r="BY309" s="148"/>
      <c r="BZ309" s="148"/>
      <c r="CA309" s="148"/>
      <c r="CB309" s="148"/>
      <c r="CC309" s="148"/>
      <c r="CD309" s="148"/>
      <c r="CE309" s="148"/>
      <c r="CF309" s="148"/>
      <c r="CG309" s="148"/>
      <c r="CH309" s="148"/>
      <c r="CI309" s="148"/>
      <c r="CJ309" s="148"/>
      <c r="CK309" s="148"/>
      <c r="CL309" s="148"/>
      <c r="CM309" s="148"/>
      <c r="CN309" s="148"/>
      <c r="CO309" s="148"/>
      <c r="CP309" s="148"/>
      <c r="CQ309" s="148"/>
      <c r="CR309" s="148"/>
    </row>
    <row r="313" spans="1:96" ht="13.8" thickBot="1" x14ac:dyDescent="0.3"/>
    <row r="314" spans="1:96" ht="24.75" customHeight="1" thickBot="1" x14ac:dyDescent="0.3">
      <c r="B314" s="1368" t="s">
        <v>369</v>
      </c>
      <c r="C314" s="1369"/>
    </row>
    <row r="315" spans="1:96" s="9" customFormat="1" ht="19.5" customHeight="1" thickBot="1" x14ac:dyDescent="0.35">
      <c r="A315" s="820" t="s">
        <v>43</v>
      </c>
      <c r="B315" s="947" t="s">
        <v>159</v>
      </c>
      <c r="C315" s="948" t="s">
        <v>180</v>
      </c>
      <c r="D315" s="949" t="s">
        <v>181</v>
      </c>
      <c r="E315" s="948" t="s">
        <v>182</v>
      </c>
      <c r="F315" s="949" t="s">
        <v>183</v>
      </c>
      <c r="G315" s="950" t="s">
        <v>370</v>
      </c>
      <c r="H315" s="951" t="s">
        <v>184</v>
      </c>
      <c r="I315" s="952" t="s">
        <v>371</v>
      </c>
      <c r="J315" s="947" t="s">
        <v>291</v>
      </c>
      <c r="K315" s="952" t="s">
        <v>292</v>
      </c>
      <c r="L315" s="947" t="s">
        <v>308</v>
      </c>
      <c r="M315" s="952" t="s">
        <v>309</v>
      </c>
    </row>
    <row r="316" spans="1:96" x14ac:dyDescent="0.25">
      <c r="A316" s="909">
        <v>1</v>
      </c>
      <c r="B316" s="953">
        <f>IF(System!X4&lt;&gt;0,1,0)</f>
        <v>0</v>
      </c>
      <c r="C316" s="954">
        <f>IF($B316&lt;&gt;0,System!BC122,0)</f>
        <v>0</v>
      </c>
      <c r="D316" s="955">
        <f>IF($B316&lt;&gt;0,System!BD122,0)</f>
        <v>0</v>
      </c>
      <c r="E316" s="954">
        <f>IF($B316&lt;&gt;0,System!BE122,0)</f>
        <v>0</v>
      </c>
      <c r="F316" s="955">
        <f>IF($B316&lt;&gt;0,System!BF122,0)</f>
        <v>0</v>
      </c>
      <c r="G316" s="954">
        <f ca="1">F5</f>
        <v>0.8</v>
      </c>
      <c r="H316" s="955">
        <f ca="1">E5</f>
        <v>-0.6</v>
      </c>
      <c r="I316" s="956">
        <f t="shared" ref="I316:I355" si="126">IF(B316=1,0.2,0)</f>
        <v>0</v>
      </c>
      <c r="J316" s="953">
        <f>IF(B316&lt;&gt;0,C316,PlotData!$CB$3)</f>
        <v>0</v>
      </c>
      <c r="K316" s="956">
        <f>IF(B316&lt;&gt;0,D316,PlotData!$CB$3)</f>
        <v>0</v>
      </c>
      <c r="L316" s="953">
        <f>IF(B316&lt;&gt;0,E316,PlotData!$CB$3)</f>
        <v>0</v>
      </c>
      <c r="M316" s="956">
        <f>IF(B316&lt;&gt;0,F316,PlotData!$CB$3)</f>
        <v>0</v>
      </c>
    </row>
    <row r="317" spans="1:96" x14ac:dyDescent="0.25">
      <c r="A317" s="910">
        <v>2</v>
      </c>
      <c r="B317" s="953">
        <f>IF(System!X5&lt;&gt;0,1,0)</f>
        <v>0</v>
      </c>
      <c r="C317" s="954">
        <f>IF($B317&lt;&gt;0,System!BC123,0)</f>
        <v>0</v>
      </c>
      <c r="D317" s="955">
        <f>IF($B317&lt;&gt;0,System!BD123,0)</f>
        <v>0</v>
      </c>
      <c r="E317" s="954">
        <f>IF($B317&lt;&gt;0,System!BE123,0)</f>
        <v>0</v>
      </c>
      <c r="F317" s="955">
        <f>IF($B317&lt;&gt;0,System!BF123,0)</f>
        <v>0</v>
      </c>
      <c r="G317" s="954">
        <f t="shared" ref="G317:G355" ca="1" si="127">F6</f>
        <v>0</v>
      </c>
      <c r="H317" s="955">
        <f t="shared" ref="H317:H355" ca="1" si="128">E6</f>
        <v>-1</v>
      </c>
      <c r="I317" s="956">
        <f t="shared" si="126"/>
        <v>0</v>
      </c>
      <c r="J317" s="953">
        <f>IF(B317&lt;&gt;0,C317,PlotData!$CB$3)</f>
        <v>0</v>
      </c>
      <c r="K317" s="956">
        <f>IF(B317&lt;&gt;0,D317,PlotData!$CB$3)</f>
        <v>0</v>
      </c>
      <c r="L317" s="953">
        <f>IF(B317&lt;&gt;0,E317,PlotData!$CB$3)</f>
        <v>0</v>
      </c>
      <c r="M317" s="956">
        <f>IF(B317&lt;&gt;0,F317,PlotData!$CB$3)</f>
        <v>0</v>
      </c>
    </row>
    <row r="318" spans="1:96" x14ac:dyDescent="0.25">
      <c r="A318" s="910">
        <v>3</v>
      </c>
      <c r="B318" s="953">
        <f>IF(System!X6&lt;&gt;0,1,0)</f>
        <v>0</v>
      </c>
      <c r="C318" s="954">
        <f>IF($B318&lt;&gt;0,System!BC124,0)</f>
        <v>0</v>
      </c>
      <c r="D318" s="955">
        <f>IF($B318&lt;&gt;0,System!BD124,0)</f>
        <v>0</v>
      </c>
      <c r="E318" s="954">
        <f>IF($B318&lt;&gt;0,System!BE124,0)</f>
        <v>0</v>
      </c>
      <c r="F318" s="955">
        <f>IF($B318&lt;&gt;0,System!BF124,0)</f>
        <v>0</v>
      </c>
      <c r="G318" s="954">
        <f t="shared" ca="1" si="127"/>
        <v>0.55470019622522915</v>
      </c>
      <c r="H318" s="955">
        <f t="shared" ca="1" si="128"/>
        <v>0.83205029433784372</v>
      </c>
      <c r="I318" s="956">
        <f t="shared" si="126"/>
        <v>0</v>
      </c>
      <c r="J318" s="953">
        <f>IF(B318&lt;&gt;0,C318,PlotData!$CB$3)</f>
        <v>0</v>
      </c>
      <c r="K318" s="956">
        <f>IF(B318&lt;&gt;0,D318,PlotData!$CB$3)</f>
        <v>0</v>
      </c>
      <c r="L318" s="953">
        <f>IF(B318&lt;&gt;0,E318,PlotData!$CB$3)</f>
        <v>0</v>
      </c>
      <c r="M318" s="956">
        <f>IF(B318&lt;&gt;0,F318,PlotData!$CB$3)</f>
        <v>0</v>
      </c>
    </row>
    <row r="319" spans="1:96" x14ac:dyDescent="0.25">
      <c r="A319" s="910">
        <v>4</v>
      </c>
      <c r="B319" s="953">
        <f>IF(System!X7&lt;&gt;0,1,0)</f>
        <v>0</v>
      </c>
      <c r="C319" s="954">
        <f>IF($B319&lt;&gt;0,System!BC125,0)</f>
        <v>0</v>
      </c>
      <c r="D319" s="955">
        <f>IF($B319&lt;&gt;0,System!BD125,0)</f>
        <v>0</v>
      </c>
      <c r="E319" s="954">
        <f>IF($B319&lt;&gt;0,System!BE125,0)</f>
        <v>0</v>
      </c>
      <c r="F319" s="955">
        <f>IF($B319&lt;&gt;0,System!BF125,0)</f>
        <v>0</v>
      </c>
      <c r="G319" s="954">
        <f t="shared" ca="1" si="127"/>
        <v>-0.91914503001805781</v>
      </c>
      <c r="H319" s="955">
        <f t="shared" ca="1" si="128"/>
        <v>0.39391929857916763</v>
      </c>
      <c r="I319" s="956">
        <f t="shared" si="126"/>
        <v>0</v>
      </c>
      <c r="J319" s="953">
        <f>IF(B319&lt;&gt;0,C319,PlotData!$CB$3)</f>
        <v>0</v>
      </c>
      <c r="K319" s="956">
        <f>IF(B319&lt;&gt;0,D319,PlotData!$CB$3)</f>
        <v>0</v>
      </c>
      <c r="L319" s="953">
        <f>IF(B319&lt;&gt;0,E319,PlotData!$CB$3)</f>
        <v>0</v>
      </c>
      <c r="M319" s="956">
        <f>IF(B319&lt;&gt;0,F319,PlotData!$CB$3)</f>
        <v>0</v>
      </c>
    </row>
    <row r="320" spans="1:96" x14ac:dyDescent="0.25">
      <c r="A320" s="910">
        <v>5</v>
      </c>
      <c r="B320" s="953">
        <f>IF(System!X8&lt;&gt;0,1,0)</f>
        <v>0</v>
      </c>
      <c r="C320" s="954">
        <f>IF($B320&lt;&gt;0,System!BC126,0)</f>
        <v>0</v>
      </c>
      <c r="D320" s="955">
        <f>IF($B320&lt;&gt;0,System!BD126,0)</f>
        <v>0</v>
      </c>
      <c r="E320" s="954">
        <f>IF($B320&lt;&gt;0,System!BE126,0)</f>
        <v>0</v>
      </c>
      <c r="F320" s="955">
        <f>IF($B320&lt;&gt;0,System!BF126,0)</f>
        <v>0</v>
      </c>
      <c r="G320" s="954">
        <f t="shared" ca="1" si="127"/>
        <v>-0.65079137345596849</v>
      </c>
      <c r="H320" s="955">
        <f t="shared" ca="1" si="128"/>
        <v>-0.75925660236529657</v>
      </c>
      <c r="I320" s="956">
        <f t="shared" si="126"/>
        <v>0</v>
      </c>
      <c r="J320" s="953">
        <f>IF(B320&lt;&gt;0,C320,PlotData!$CB$3)</f>
        <v>0</v>
      </c>
      <c r="K320" s="956">
        <f>IF(B320&lt;&gt;0,D320,PlotData!$CB$3)</f>
        <v>0</v>
      </c>
      <c r="L320" s="953">
        <f>IF(B320&lt;&gt;0,E320,PlotData!$CB$3)</f>
        <v>0</v>
      </c>
      <c r="M320" s="956">
        <f>IF(B320&lt;&gt;0,F320,PlotData!$CB$3)</f>
        <v>0</v>
      </c>
    </row>
    <row r="321" spans="1:13" x14ac:dyDescent="0.25">
      <c r="A321" s="910">
        <v>6</v>
      </c>
      <c r="B321" s="953">
        <f>IF(System!X9&lt;&gt;0,1,0)</f>
        <v>0</v>
      </c>
      <c r="C321" s="954">
        <f>IF($B321&lt;&gt;0,System!BC127,0)</f>
        <v>0</v>
      </c>
      <c r="D321" s="955">
        <f>IF($B321&lt;&gt;0,System!BD127,0)</f>
        <v>0</v>
      </c>
      <c r="E321" s="954">
        <f>IF($B321&lt;&gt;0,System!BE127,0)</f>
        <v>0</v>
      </c>
      <c r="F321" s="955">
        <f>IF($B321&lt;&gt;0,System!BF127,0)</f>
        <v>0</v>
      </c>
      <c r="G321" s="954">
        <f t="shared" si="127"/>
        <v>0</v>
      </c>
      <c r="H321" s="955">
        <f t="shared" si="128"/>
        <v>0</v>
      </c>
      <c r="I321" s="956">
        <f t="shared" si="126"/>
        <v>0</v>
      </c>
      <c r="J321" s="953">
        <f>IF(B321&lt;&gt;0,C321,PlotData!$CB$3)</f>
        <v>0</v>
      </c>
      <c r="K321" s="956">
        <f>IF(B321&lt;&gt;0,D321,PlotData!$CB$3)</f>
        <v>0</v>
      </c>
      <c r="L321" s="953">
        <f>IF(B321&lt;&gt;0,E321,PlotData!$CB$3)</f>
        <v>0</v>
      </c>
      <c r="M321" s="956">
        <f>IF(B321&lt;&gt;0,F321,PlotData!$CB$3)</f>
        <v>0</v>
      </c>
    </row>
    <row r="322" spans="1:13" x14ac:dyDescent="0.25">
      <c r="A322" s="910">
        <v>7</v>
      </c>
      <c r="B322" s="953">
        <f>IF(System!X10&lt;&gt;0,1,0)</f>
        <v>0</v>
      </c>
      <c r="C322" s="954">
        <f>IF($B322&lt;&gt;0,System!BC128,0)</f>
        <v>0</v>
      </c>
      <c r="D322" s="955">
        <f>IF($B322&lt;&gt;0,System!BD128,0)</f>
        <v>0</v>
      </c>
      <c r="E322" s="954">
        <f>IF($B322&lt;&gt;0,System!BE128,0)</f>
        <v>0</v>
      </c>
      <c r="F322" s="955">
        <f>IF($B322&lt;&gt;0,System!BF128,0)</f>
        <v>0</v>
      </c>
      <c r="G322" s="954">
        <f t="shared" si="127"/>
        <v>0</v>
      </c>
      <c r="H322" s="955">
        <f t="shared" si="128"/>
        <v>0</v>
      </c>
      <c r="I322" s="956">
        <f t="shared" si="126"/>
        <v>0</v>
      </c>
      <c r="J322" s="953">
        <f>IF(B322&lt;&gt;0,C322,PlotData!$CB$3)</f>
        <v>0</v>
      </c>
      <c r="K322" s="956">
        <f>IF(B322&lt;&gt;0,D322,PlotData!$CB$3)</f>
        <v>0</v>
      </c>
      <c r="L322" s="953">
        <f>IF(B322&lt;&gt;0,E322,PlotData!$CB$3)</f>
        <v>0</v>
      </c>
      <c r="M322" s="956">
        <f>IF(B322&lt;&gt;0,F322,PlotData!$CB$3)</f>
        <v>0</v>
      </c>
    </row>
    <row r="323" spans="1:13" x14ac:dyDescent="0.25">
      <c r="A323" s="910">
        <v>8</v>
      </c>
      <c r="B323" s="953">
        <f>IF(System!X11&lt;&gt;0,1,0)</f>
        <v>0</v>
      </c>
      <c r="C323" s="954">
        <f>IF($B323&lt;&gt;0,System!BC129,0)</f>
        <v>0</v>
      </c>
      <c r="D323" s="955">
        <f>IF($B323&lt;&gt;0,System!BD129,0)</f>
        <v>0</v>
      </c>
      <c r="E323" s="954">
        <f>IF($B323&lt;&gt;0,System!BE129,0)</f>
        <v>0</v>
      </c>
      <c r="F323" s="955">
        <f>IF($B323&lt;&gt;0,System!BF129,0)</f>
        <v>0</v>
      </c>
      <c r="G323" s="954">
        <f t="shared" si="127"/>
        <v>0</v>
      </c>
      <c r="H323" s="955">
        <f t="shared" si="128"/>
        <v>0</v>
      </c>
      <c r="I323" s="956">
        <f t="shared" si="126"/>
        <v>0</v>
      </c>
      <c r="J323" s="953">
        <f>IF(B323&lt;&gt;0,C323,PlotData!$CB$3)</f>
        <v>0</v>
      </c>
      <c r="K323" s="956">
        <f>IF(B323&lt;&gt;0,D323,PlotData!$CB$3)</f>
        <v>0</v>
      </c>
      <c r="L323" s="953">
        <f>IF(B323&lt;&gt;0,E323,PlotData!$CB$3)</f>
        <v>0</v>
      </c>
      <c r="M323" s="956">
        <f>IF(B323&lt;&gt;0,F323,PlotData!$CB$3)</f>
        <v>0</v>
      </c>
    </row>
    <row r="324" spans="1:13" x14ac:dyDescent="0.25">
      <c r="A324" s="910">
        <v>9</v>
      </c>
      <c r="B324" s="953">
        <f>IF(System!X12&lt;&gt;0,1,0)</f>
        <v>0</v>
      </c>
      <c r="C324" s="954">
        <f>IF($B324&lt;&gt;0,System!BC130,0)</f>
        <v>0</v>
      </c>
      <c r="D324" s="955">
        <f>IF($B324&lt;&gt;0,System!BD130,0)</f>
        <v>0</v>
      </c>
      <c r="E324" s="954">
        <f>IF($B324&lt;&gt;0,System!BE130,0)</f>
        <v>0</v>
      </c>
      <c r="F324" s="955">
        <f>IF($B324&lt;&gt;0,System!BF130,0)</f>
        <v>0</v>
      </c>
      <c r="G324" s="954">
        <f t="shared" si="127"/>
        <v>0</v>
      </c>
      <c r="H324" s="955">
        <f t="shared" si="128"/>
        <v>0</v>
      </c>
      <c r="I324" s="956">
        <f t="shared" si="126"/>
        <v>0</v>
      </c>
      <c r="J324" s="953">
        <f>IF(B324&lt;&gt;0,C324,PlotData!$CB$3)</f>
        <v>0</v>
      </c>
      <c r="K324" s="956">
        <f>IF(B324&lt;&gt;0,D324,PlotData!$CB$3)</f>
        <v>0</v>
      </c>
      <c r="L324" s="953">
        <f>IF(B324&lt;&gt;0,E324,PlotData!$CB$3)</f>
        <v>0</v>
      </c>
      <c r="M324" s="956">
        <f>IF(B324&lt;&gt;0,F324,PlotData!$CB$3)</f>
        <v>0</v>
      </c>
    </row>
    <row r="325" spans="1:13" x14ac:dyDescent="0.25">
      <c r="A325" s="910">
        <v>10</v>
      </c>
      <c r="B325" s="953">
        <f>IF(System!X13&lt;&gt;0,1,0)</f>
        <v>0</v>
      </c>
      <c r="C325" s="954">
        <f>IF($B325&lt;&gt;0,System!BC131,0)</f>
        <v>0</v>
      </c>
      <c r="D325" s="955">
        <f>IF($B325&lt;&gt;0,System!BD131,0)</f>
        <v>0</v>
      </c>
      <c r="E325" s="954">
        <f>IF($B325&lt;&gt;0,System!BE131,0)</f>
        <v>0</v>
      </c>
      <c r="F325" s="955">
        <f>IF($B325&lt;&gt;0,System!BF131,0)</f>
        <v>0</v>
      </c>
      <c r="G325" s="954">
        <f t="shared" si="127"/>
        <v>0</v>
      </c>
      <c r="H325" s="955">
        <f t="shared" si="128"/>
        <v>0</v>
      </c>
      <c r="I325" s="956">
        <f t="shared" si="126"/>
        <v>0</v>
      </c>
      <c r="J325" s="953">
        <f>IF(B325&lt;&gt;0,C325,PlotData!$CB$3)</f>
        <v>0</v>
      </c>
      <c r="K325" s="956">
        <f>IF(B325&lt;&gt;0,D325,PlotData!$CB$3)</f>
        <v>0</v>
      </c>
      <c r="L325" s="953">
        <f>IF(B325&lt;&gt;0,E325,PlotData!$CB$3)</f>
        <v>0</v>
      </c>
      <c r="M325" s="956">
        <f>IF(B325&lt;&gt;0,F325,PlotData!$CB$3)</f>
        <v>0</v>
      </c>
    </row>
    <row r="326" spans="1:13" x14ac:dyDescent="0.25">
      <c r="A326" s="910">
        <v>11</v>
      </c>
      <c r="B326" s="953">
        <f>IF(System!X14&lt;&gt;0,1,0)</f>
        <v>0</v>
      </c>
      <c r="C326" s="954">
        <f>IF($B326&lt;&gt;0,System!BC132,0)</f>
        <v>0</v>
      </c>
      <c r="D326" s="955">
        <f>IF($B326&lt;&gt;0,System!BD132,0)</f>
        <v>0</v>
      </c>
      <c r="E326" s="954">
        <f>IF($B326&lt;&gt;0,System!BE132,0)</f>
        <v>0</v>
      </c>
      <c r="F326" s="955">
        <f>IF($B326&lt;&gt;0,System!BF132,0)</f>
        <v>0</v>
      </c>
      <c r="G326" s="954">
        <f t="shared" si="127"/>
        <v>0</v>
      </c>
      <c r="H326" s="955">
        <f t="shared" si="128"/>
        <v>0</v>
      </c>
      <c r="I326" s="956">
        <f t="shared" si="126"/>
        <v>0</v>
      </c>
      <c r="J326" s="953">
        <f>IF(B326&lt;&gt;0,C326,PlotData!$CB$3)</f>
        <v>0</v>
      </c>
      <c r="K326" s="956">
        <f>IF(B326&lt;&gt;0,D326,PlotData!$CB$3)</f>
        <v>0</v>
      </c>
      <c r="L326" s="953">
        <f>IF(B326&lt;&gt;0,E326,PlotData!$CB$3)</f>
        <v>0</v>
      </c>
      <c r="M326" s="956">
        <f>IF(B326&lt;&gt;0,F326,PlotData!$CB$3)</f>
        <v>0</v>
      </c>
    </row>
    <row r="327" spans="1:13" x14ac:dyDescent="0.25">
      <c r="A327" s="910">
        <v>12</v>
      </c>
      <c r="B327" s="953">
        <f>IF(System!X15&lt;&gt;0,1,0)</f>
        <v>0</v>
      </c>
      <c r="C327" s="954">
        <f>IF($B327&lt;&gt;0,System!BC133,0)</f>
        <v>0</v>
      </c>
      <c r="D327" s="955">
        <f>IF($B327&lt;&gt;0,System!BD133,0)</f>
        <v>0</v>
      </c>
      <c r="E327" s="954">
        <f>IF($B327&lt;&gt;0,System!BE133,0)</f>
        <v>0</v>
      </c>
      <c r="F327" s="955">
        <f>IF($B327&lt;&gt;0,System!BF133,0)</f>
        <v>0</v>
      </c>
      <c r="G327" s="954">
        <f t="shared" si="127"/>
        <v>0</v>
      </c>
      <c r="H327" s="955">
        <f t="shared" si="128"/>
        <v>0</v>
      </c>
      <c r="I327" s="956">
        <f t="shared" si="126"/>
        <v>0</v>
      </c>
      <c r="J327" s="953">
        <f>IF(B327&lt;&gt;0,C327,PlotData!$CB$3)</f>
        <v>0</v>
      </c>
      <c r="K327" s="956">
        <f>IF(B327&lt;&gt;0,D327,PlotData!$CB$3)</f>
        <v>0</v>
      </c>
      <c r="L327" s="953">
        <f>IF(B327&lt;&gt;0,E327,PlotData!$CB$3)</f>
        <v>0</v>
      </c>
      <c r="M327" s="956">
        <f>IF(B327&lt;&gt;0,F327,PlotData!$CB$3)</f>
        <v>0</v>
      </c>
    </row>
    <row r="328" spans="1:13" x14ac:dyDescent="0.25">
      <c r="A328" s="910">
        <v>13</v>
      </c>
      <c r="B328" s="953">
        <f>IF(System!X16&lt;&gt;0,1,0)</f>
        <v>0</v>
      </c>
      <c r="C328" s="954">
        <f>IF($B328&lt;&gt;0,System!BC134,0)</f>
        <v>0</v>
      </c>
      <c r="D328" s="955">
        <f>IF($B328&lt;&gt;0,System!BD134,0)</f>
        <v>0</v>
      </c>
      <c r="E328" s="954">
        <f>IF($B328&lt;&gt;0,System!BE134,0)</f>
        <v>0</v>
      </c>
      <c r="F328" s="955">
        <f>IF($B328&lt;&gt;0,System!BF134,0)</f>
        <v>0</v>
      </c>
      <c r="G328" s="954">
        <f t="shared" si="127"/>
        <v>0</v>
      </c>
      <c r="H328" s="955">
        <f t="shared" si="128"/>
        <v>0</v>
      </c>
      <c r="I328" s="956">
        <f t="shared" si="126"/>
        <v>0</v>
      </c>
      <c r="J328" s="953">
        <f>IF(B328&lt;&gt;0,C328,PlotData!$CB$3)</f>
        <v>0</v>
      </c>
      <c r="K328" s="956">
        <f>IF(B328&lt;&gt;0,D328,PlotData!$CB$3)</f>
        <v>0</v>
      </c>
      <c r="L328" s="953">
        <f>IF(B328&lt;&gt;0,E328,PlotData!$CB$3)</f>
        <v>0</v>
      </c>
      <c r="M328" s="956">
        <f>IF(B328&lt;&gt;0,F328,PlotData!$CB$3)</f>
        <v>0</v>
      </c>
    </row>
    <row r="329" spans="1:13" x14ac:dyDescent="0.25">
      <c r="A329" s="910">
        <v>14</v>
      </c>
      <c r="B329" s="953">
        <f>IF(System!X17&lt;&gt;0,1,0)</f>
        <v>0</v>
      </c>
      <c r="C329" s="954">
        <f>IF($B329&lt;&gt;0,System!BC135,0)</f>
        <v>0</v>
      </c>
      <c r="D329" s="955">
        <f>IF($B329&lt;&gt;0,System!BD135,0)</f>
        <v>0</v>
      </c>
      <c r="E329" s="954">
        <f>IF($B329&lt;&gt;0,System!BE135,0)</f>
        <v>0</v>
      </c>
      <c r="F329" s="955">
        <f>IF($B329&lt;&gt;0,System!BF135,0)</f>
        <v>0</v>
      </c>
      <c r="G329" s="954">
        <f t="shared" si="127"/>
        <v>0</v>
      </c>
      <c r="H329" s="955">
        <f t="shared" si="128"/>
        <v>0</v>
      </c>
      <c r="I329" s="956">
        <f t="shared" si="126"/>
        <v>0</v>
      </c>
      <c r="J329" s="953">
        <f>IF(B329&lt;&gt;0,C329,PlotData!$CB$3)</f>
        <v>0</v>
      </c>
      <c r="K329" s="956">
        <f>IF(B329&lt;&gt;0,D329,PlotData!$CB$3)</f>
        <v>0</v>
      </c>
      <c r="L329" s="953">
        <f>IF(B329&lt;&gt;0,E329,PlotData!$CB$3)</f>
        <v>0</v>
      </c>
      <c r="M329" s="956">
        <f>IF(B329&lt;&gt;0,F329,PlotData!$CB$3)</f>
        <v>0</v>
      </c>
    </row>
    <row r="330" spans="1:13" x14ac:dyDescent="0.25">
      <c r="A330" s="910">
        <v>15</v>
      </c>
      <c r="B330" s="953">
        <f>IF(System!X18&lt;&gt;0,1,0)</f>
        <v>0</v>
      </c>
      <c r="C330" s="954">
        <f>IF($B330&lt;&gt;0,System!BC136,0)</f>
        <v>0</v>
      </c>
      <c r="D330" s="955">
        <f>IF($B330&lt;&gt;0,System!BD136,0)</f>
        <v>0</v>
      </c>
      <c r="E330" s="954">
        <f>IF($B330&lt;&gt;0,System!BE136,0)</f>
        <v>0</v>
      </c>
      <c r="F330" s="955">
        <f>IF($B330&lt;&gt;0,System!BF136,0)</f>
        <v>0</v>
      </c>
      <c r="G330" s="954">
        <f t="shared" si="127"/>
        <v>0</v>
      </c>
      <c r="H330" s="955">
        <f t="shared" si="128"/>
        <v>0</v>
      </c>
      <c r="I330" s="956">
        <f t="shared" si="126"/>
        <v>0</v>
      </c>
      <c r="J330" s="953">
        <f>IF(B330&lt;&gt;0,C330,PlotData!$CB$3)</f>
        <v>0</v>
      </c>
      <c r="K330" s="956">
        <f>IF(B330&lt;&gt;0,D330,PlotData!$CB$3)</f>
        <v>0</v>
      </c>
      <c r="L330" s="953">
        <f>IF(B330&lt;&gt;0,E330,PlotData!$CB$3)</f>
        <v>0</v>
      </c>
      <c r="M330" s="956">
        <f>IF(B330&lt;&gt;0,F330,PlotData!$CB$3)</f>
        <v>0</v>
      </c>
    </row>
    <row r="331" spans="1:13" x14ac:dyDescent="0.25">
      <c r="A331" s="910">
        <v>16</v>
      </c>
      <c r="B331" s="953">
        <f>IF(System!X19&lt;&gt;0,1,0)</f>
        <v>0</v>
      </c>
      <c r="C331" s="954">
        <f>IF($B331&lt;&gt;0,System!BC137,0)</f>
        <v>0</v>
      </c>
      <c r="D331" s="955">
        <f>IF($B331&lt;&gt;0,System!BD137,0)</f>
        <v>0</v>
      </c>
      <c r="E331" s="954">
        <f>IF($B331&lt;&gt;0,System!BE137,0)</f>
        <v>0</v>
      </c>
      <c r="F331" s="955">
        <f>IF($B331&lt;&gt;0,System!BF137,0)</f>
        <v>0</v>
      </c>
      <c r="G331" s="954">
        <f t="shared" si="127"/>
        <v>0</v>
      </c>
      <c r="H331" s="955">
        <f t="shared" si="128"/>
        <v>0</v>
      </c>
      <c r="I331" s="956">
        <f t="shared" si="126"/>
        <v>0</v>
      </c>
      <c r="J331" s="953">
        <f>IF(B331&lt;&gt;0,C331,PlotData!$CB$3)</f>
        <v>0</v>
      </c>
      <c r="K331" s="956">
        <f>IF(B331&lt;&gt;0,D331,PlotData!$CB$3)</f>
        <v>0</v>
      </c>
      <c r="L331" s="953">
        <f>IF(B331&lt;&gt;0,E331,PlotData!$CB$3)</f>
        <v>0</v>
      </c>
      <c r="M331" s="956">
        <f>IF(B331&lt;&gt;0,F331,PlotData!$CB$3)</f>
        <v>0</v>
      </c>
    </row>
    <row r="332" spans="1:13" x14ac:dyDescent="0.25">
      <c r="A332" s="910">
        <v>17</v>
      </c>
      <c r="B332" s="953">
        <f>IF(System!X20&lt;&gt;0,1,0)</f>
        <v>0</v>
      </c>
      <c r="C332" s="954">
        <f>IF($B332&lt;&gt;0,System!BC138,0)</f>
        <v>0</v>
      </c>
      <c r="D332" s="955">
        <f>IF($B332&lt;&gt;0,System!BD138,0)</f>
        <v>0</v>
      </c>
      <c r="E332" s="954">
        <f>IF($B332&lt;&gt;0,System!BE138,0)</f>
        <v>0</v>
      </c>
      <c r="F332" s="955">
        <f>IF($B332&lt;&gt;0,System!BF138,0)</f>
        <v>0</v>
      </c>
      <c r="G332" s="954">
        <f t="shared" si="127"/>
        <v>0</v>
      </c>
      <c r="H332" s="955">
        <f t="shared" si="128"/>
        <v>0</v>
      </c>
      <c r="I332" s="956">
        <f t="shared" si="126"/>
        <v>0</v>
      </c>
      <c r="J332" s="953">
        <f>IF(B332&lt;&gt;0,C332,PlotData!$CB$3)</f>
        <v>0</v>
      </c>
      <c r="K332" s="956">
        <f>IF(B332&lt;&gt;0,D332,PlotData!$CB$3)</f>
        <v>0</v>
      </c>
      <c r="L332" s="953">
        <f>IF(B332&lt;&gt;0,E332,PlotData!$CB$3)</f>
        <v>0</v>
      </c>
      <c r="M332" s="956">
        <f>IF(B332&lt;&gt;0,F332,PlotData!$CB$3)</f>
        <v>0</v>
      </c>
    </row>
    <row r="333" spans="1:13" x14ac:dyDescent="0.25">
      <c r="A333" s="910">
        <v>18</v>
      </c>
      <c r="B333" s="953">
        <f>IF(System!X21&lt;&gt;0,1,0)</f>
        <v>0</v>
      </c>
      <c r="C333" s="954">
        <f>IF($B333&lt;&gt;0,System!BC139,0)</f>
        <v>0</v>
      </c>
      <c r="D333" s="955">
        <f>IF($B333&lt;&gt;0,System!BD139,0)</f>
        <v>0</v>
      </c>
      <c r="E333" s="954">
        <f>IF($B333&lt;&gt;0,System!BE139,0)</f>
        <v>0</v>
      </c>
      <c r="F333" s="955">
        <f>IF($B333&lt;&gt;0,System!BF139,0)</f>
        <v>0</v>
      </c>
      <c r="G333" s="954">
        <f t="shared" si="127"/>
        <v>0</v>
      </c>
      <c r="H333" s="955">
        <f t="shared" si="128"/>
        <v>0</v>
      </c>
      <c r="I333" s="956">
        <f t="shared" si="126"/>
        <v>0</v>
      </c>
      <c r="J333" s="953">
        <f>IF(B333&lt;&gt;0,C333,PlotData!$CB$3)</f>
        <v>0</v>
      </c>
      <c r="K333" s="956">
        <f>IF(B333&lt;&gt;0,D333,PlotData!$CB$3)</f>
        <v>0</v>
      </c>
      <c r="L333" s="953">
        <f>IF(B333&lt;&gt;0,E333,PlotData!$CB$3)</f>
        <v>0</v>
      </c>
      <c r="M333" s="956">
        <f>IF(B333&lt;&gt;0,F333,PlotData!$CB$3)</f>
        <v>0</v>
      </c>
    </row>
    <row r="334" spans="1:13" x14ac:dyDescent="0.25">
      <c r="A334" s="910">
        <v>19</v>
      </c>
      <c r="B334" s="953">
        <f>IF(System!X22&lt;&gt;0,1,0)</f>
        <v>0</v>
      </c>
      <c r="C334" s="954">
        <f>IF($B334&lt;&gt;0,System!BC140,0)</f>
        <v>0</v>
      </c>
      <c r="D334" s="955">
        <f>IF($B334&lt;&gt;0,System!BD140,0)</f>
        <v>0</v>
      </c>
      <c r="E334" s="954">
        <f>IF($B334&lt;&gt;0,System!BE140,0)</f>
        <v>0</v>
      </c>
      <c r="F334" s="955">
        <f>IF($B334&lt;&gt;0,System!BF140,0)</f>
        <v>0</v>
      </c>
      <c r="G334" s="954">
        <f t="shared" si="127"/>
        <v>0</v>
      </c>
      <c r="H334" s="955">
        <f t="shared" si="128"/>
        <v>0</v>
      </c>
      <c r="I334" s="956">
        <f t="shared" si="126"/>
        <v>0</v>
      </c>
      <c r="J334" s="953">
        <f>IF(B334&lt;&gt;0,C334,PlotData!$CB$3)</f>
        <v>0</v>
      </c>
      <c r="K334" s="956">
        <f>IF(B334&lt;&gt;0,D334,PlotData!$CB$3)</f>
        <v>0</v>
      </c>
      <c r="L334" s="953">
        <f>IF(B334&lt;&gt;0,E334,PlotData!$CB$3)</f>
        <v>0</v>
      </c>
      <c r="M334" s="956">
        <f>IF(B334&lt;&gt;0,F334,PlotData!$CB$3)</f>
        <v>0</v>
      </c>
    </row>
    <row r="335" spans="1:13" x14ac:dyDescent="0.25">
      <c r="A335" s="910">
        <v>20</v>
      </c>
      <c r="B335" s="953">
        <f>IF(System!X23&lt;&gt;0,1,0)</f>
        <v>0</v>
      </c>
      <c r="C335" s="954">
        <f>IF($B335&lt;&gt;0,System!BC141,0)</f>
        <v>0</v>
      </c>
      <c r="D335" s="955">
        <f>IF($B335&lt;&gt;0,System!BD141,0)</f>
        <v>0</v>
      </c>
      <c r="E335" s="954">
        <f>IF($B335&lt;&gt;0,System!BE141,0)</f>
        <v>0</v>
      </c>
      <c r="F335" s="955">
        <f>IF($B335&lt;&gt;0,System!BF141,0)</f>
        <v>0</v>
      </c>
      <c r="G335" s="954">
        <f t="shared" si="127"/>
        <v>0</v>
      </c>
      <c r="H335" s="955">
        <f t="shared" si="128"/>
        <v>0</v>
      </c>
      <c r="I335" s="956">
        <f t="shared" si="126"/>
        <v>0</v>
      </c>
      <c r="J335" s="953">
        <f>IF(B335&lt;&gt;0,C335,PlotData!$CB$3)</f>
        <v>0</v>
      </c>
      <c r="K335" s="956">
        <f>IF(B335&lt;&gt;0,D335,PlotData!$CB$3)</f>
        <v>0</v>
      </c>
      <c r="L335" s="953">
        <f>IF(B335&lt;&gt;0,E335,PlotData!$CB$3)</f>
        <v>0</v>
      </c>
      <c r="M335" s="956">
        <f>IF(B335&lt;&gt;0,F335,PlotData!$CB$3)</f>
        <v>0</v>
      </c>
    </row>
    <row r="336" spans="1:13" x14ac:dyDescent="0.25">
      <c r="A336" s="910">
        <v>21</v>
      </c>
      <c r="B336" s="953">
        <f>IF(System!X24&lt;&gt;0,1,0)</f>
        <v>0</v>
      </c>
      <c r="C336" s="954">
        <f>IF($B336&lt;&gt;0,System!BC142,0)</f>
        <v>0</v>
      </c>
      <c r="D336" s="955">
        <f>IF($B336&lt;&gt;0,System!BD142,0)</f>
        <v>0</v>
      </c>
      <c r="E336" s="954">
        <f>IF($B336&lt;&gt;0,System!BE142,0)</f>
        <v>0</v>
      </c>
      <c r="F336" s="955">
        <f>IF($B336&lt;&gt;0,System!BF142,0)</f>
        <v>0</v>
      </c>
      <c r="G336" s="954">
        <f t="shared" si="127"/>
        <v>0</v>
      </c>
      <c r="H336" s="955">
        <f t="shared" si="128"/>
        <v>0</v>
      </c>
      <c r="I336" s="956">
        <f t="shared" si="126"/>
        <v>0</v>
      </c>
      <c r="J336" s="953">
        <f>IF(B336&lt;&gt;0,C336,PlotData!$CB$3)</f>
        <v>0</v>
      </c>
      <c r="K336" s="956">
        <f>IF(B336&lt;&gt;0,D336,PlotData!$CB$3)</f>
        <v>0</v>
      </c>
      <c r="L336" s="953">
        <f>IF(B336&lt;&gt;0,E336,PlotData!$CB$3)</f>
        <v>0</v>
      </c>
      <c r="M336" s="956">
        <f>IF(B336&lt;&gt;0,F336,PlotData!$CB$3)</f>
        <v>0</v>
      </c>
    </row>
    <row r="337" spans="1:13" x14ac:dyDescent="0.25">
      <c r="A337" s="910">
        <v>22</v>
      </c>
      <c r="B337" s="953">
        <f>IF(System!X25&lt;&gt;0,1,0)</f>
        <v>0</v>
      </c>
      <c r="C337" s="954">
        <f>IF($B337&lt;&gt;0,System!BC143,0)</f>
        <v>0</v>
      </c>
      <c r="D337" s="955">
        <f>IF($B337&lt;&gt;0,System!BD143,0)</f>
        <v>0</v>
      </c>
      <c r="E337" s="954">
        <f>IF($B337&lt;&gt;0,System!BE143,0)</f>
        <v>0</v>
      </c>
      <c r="F337" s="955">
        <f>IF($B337&lt;&gt;0,System!BF143,0)</f>
        <v>0</v>
      </c>
      <c r="G337" s="954">
        <f t="shared" si="127"/>
        <v>0</v>
      </c>
      <c r="H337" s="955">
        <f t="shared" si="128"/>
        <v>0</v>
      </c>
      <c r="I337" s="956">
        <f t="shared" si="126"/>
        <v>0</v>
      </c>
      <c r="J337" s="953">
        <f>IF(B337&lt;&gt;0,C337,PlotData!$CB$3)</f>
        <v>0</v>
      </c>
      <c r="K337" s="956">
        <f>IF(B337&lt;&gt;0,D337,PlotData!$CB$3)</f>
        <v>0</v>
      </c>
      <c r="L337" s="953">
        <f>IF(B337&lt;&gt;0,E337,PlotData!$CB$3)</f>
        <v>0</v>
      </c>
      <c r="M337" s="956">
        <f>IF(B337&lt;&gt;0,F337,PlotData!$CB$3)</f>
        <v>0</v>
      </c>
    </row>
    <row r="338" spans="1:13" x14ac:dyDescent="0.25">
      <c r="A338" s="910">
        <v>23</v>
      </c>
      <c r="B338" s="953">
        <f>IF(System!X26&lt;&gt;0,1,0)</f>
        <v>0</v>
      </c>
      <c r="C338" s="954">
        <f>IF($B338&lt;&gt;0,System!BC144,0)</f>
        <v>0</v>
      </c>
      <c r="D338" s="955">
        <f>IF($B338&lt;&gt;0,System!BD144,0)</f>
        <v>0</v>
      </c>
      <c r="E338" s="954">
        <f>IF($B338&lt;&gt;0,System!BE144,0)</f>
        <v>0</v>
      </c>
      <c r="F338" s="955">
        <f>IF($B338&lt;&gt;0,System!BF144,0)</f>
        <v>0</v>
      </c>
      <c r="G338" s="954">
        <f t="shared" si="127"/>
        <v>0</v>
      </c>
      <c r="H338" s="955">
        <f t="shared" si="128"/>
        <v>0</v>
      </c>
      <c r="I338" s="956">
        <f t="shared" si="126"/>
        <v>0</v>
      </c>
      <c r="J338" s="953">
        <f>IF(B338&lt;&gt;0,C338,PlotData!$CB$3)</f>
        <v>0</v>
      </c>
      <c r="K338" s="956">
        <f>IF(B338&lt;&gt;0,D338,PlotData!$CB$3)</f>
        <v>0</v>
      </c>
      <c r="L338" s="953">
        <f>IF(B338&lt;&gt;0,E338,PlotData!$CB$3)</f>
        <v>0</v>
      </c>
      <c r="M338" s="956">
        <f>IF(B338&lt;&gt;0,F338,PlotData!$CB$3)</f>
        <v>0</v>
      </c>
    </row>
    <row r="339" spans="1:13" x14ac:dyDescent="0.25">
      <c r="A339" s="910">
        <v>24</v>
      </c>
      <c r="B339" s="953">
        <f>IF(System!X27&lt;&gt;0,1,0)</f>
        <v>0</v>
      </c>
      <c r="C339" s="954">
        <f>IF($B339&lt;&gt;0,System!BC145,0)</f>
        <v>0</v>
      </c>
      <c r="D339" s="955">
        <f>IF($B339&lt;&gt;0,System!BD145,0)</f>
        <v>0</v>
      </c>
      <c r="E339" s="954">
        <f>IF($B339&lt;&gt;0,System!BE145,0)</f>
        <v>0</v>
      </c>
      <c r="F339" s="955">
        <f>IF($B339&lt;&gt;0,System!BF145,0)</f>
        <v>0</v>
      </c>
      <c r="G339" s="954">
        <f t="shared" si="127"/>
        <v>0</v>
      </c>
      <c r="H339" s="955">
        <f t="shared" si="128"/>
        <v>0</v>
      </c>
      <c r="I339" s="956">
        <f t="shared" si="126"/>
        <v>0</v>
      </c>
      <c r="J339" s="953">
        <f>IF(B339&lt;&gt;0,C339,PlotData!$CB$3)</f>
        <v>0</v>
      </c>
      <c r="K339" s="956">
        <f>IF(B339&lt;&gt;0,D339,PlotData!$CB$3)</f>
        <v>0</v>
      </c>
      <c r="L339" s="953">
        <f>IF(B339&lt;&gt;0,E339,PlotData!$CB$3)</f>
        <v>0</v>
      </c>
      <c r="M339" s="956">
        <f>IF(B339&lt;&gt;0,F339,PlotData!$CB$3)</f>
        <v>0</v>
      </c>
    </row>
    <row r="340" spans="1:13" x14ac:dyDescent="0.25">
      <c r="A340" s="910">
        <v>25</v>
      </c>
      <c r="B340" s="953">
        <f>IF(System!X28&lt;&gt;0,1,0)</f>
        <v>0</v>
      </c>
      <c r="C340" s="954">
        <f>IF($B340&lt;&gt;0,System!BC146,0)</f>
        <v>0</v>
      </c>
      <c r="D340" s="955">
        <f>IF($B340&lt;&gt;0,System!BD146,0)</f>
        <v>0</v>
      </c>
      <c r="E340" s="954">
        <f>IF($B340&lt;&gt;0,System!BE146,0)</f>
        <v>0</v>
      </c>
      <c r="F340" s="955">
        <f>IF($B340&lt;&gt;0,System!BF146,0)</f>
        <v>0</v>
      </c>
      <c r="G340" s="954">
        <f t="shared" si="127"/>
        <v>0</v>
      </c>
      <c r="H340" s="955">
        <f t="shared" si="128"/>
        <v>0</v>
      </c>
      <c r="I340" s="956">
        <f t="shared" si="126"/>
        <v>0</v>
      </c>
      <c r="J340" s="953">
        <f>IF(B340&lt;&gt;0,C340,PlotData!$CB$3)</f>
        <v>0</v>
      </c>
      <c r="K340" s="956">
        <f>IF(B340&lt;&gt;0,D340,PlotData!$CB$3)</f>
        <v>0</v>
      </c>
      <c r="L340" s="953">
        <f>IF(B340&lt;&gt;0,E340,PlotData!$CB$3)</f>
        <v>0</v>
      </c>
      <c r="M340" s="956">
        <f>IF(B340&lt;&gt;0,F340,PlotData!$CB$3)</f>
        <v>0</v>
      </c>
    </row>
    <row r="341" spans="1:13" x14ac:dyDescent="0.25">
      <c r="A341" s="910">
        <v>26</v>
      </c>
      <c r="B341" s="953">
        <f>IF(System!X29&lt;&gt;0,1,0)</f>
        <v>0</v>
      </c>
      <c r="C341" s="954">
        <f>IF($B341&lt;&gt;0,System!BC147,0)</f>
        <v>0</v>
      </c>
      <c r="D341" s="955">
        <f>IF($B341&lt;&gt;0,System!BD147,0)</f>
        <v>0</v>
      </c>
      <c r="E341" s="954">
        <f>IF($B341&lt;&gt;0,System!BE147,0)</f>
        <v>0</v>
      </c>
      <c r="F341" s="955">
        <f>IF($B341&lt;&gt;0,System!BF147,0)</f>
        <v>0</v>
      </c>
      <c r="G341" s="954">
        <f t="shared" si="127"/>
        <v>0</v>
      </c>
      <c r="H341" s="955">
        <f t="shared" si="128"/>
        <v>0</v>
      </c>
      <c r="I341" s="956">
        <f t="shared" si="126"/>
        <v>0</v>
      </c>
      <c r="J341" s="953">
        <f>IF(B341&lt;&gt;0,C341,PlotData!$CB$3)</f>
        <v>0</v>
      </c>
      <c r="K341" s="956">
        <f>IF(B341&lt;&gt;0,D341,PlotData!$CB$3)</f>
        <v>0</v>
      </c>
      <c r="L341" s="953">
        <f>IF(B341&lt;&gt;0,E341,PlotData!$CB$3)</f>
        <v>0</v>
      </c>
      <c r="M341" s="956">
        <f>IF(B341&lt;&gt;0,F341,PlotData!$CB$3)</f>
        <v>0</v>
      </c>
    </row>
    <row r="342" spans="1:13" x14ac:dyDescent="0.25">
      <c r="A342" s="910">
        <v>27</v>
      </c>
      <c r="B342" s="953">
        <f>IF(System!X30&lt;&gt;0,1,0)</f>
        <v>0</v>
      </c>
      <c r="C342" s="954">
        <f>IF($B342&lt;&gt;0,System!BC148,0)</f>
        <v>0</v>
      </c>
      <c r="D342" s="955">
        <f>IF($B342&lt;&gt;0,System!BD148,0)</f>
        <v>0</v>
      </c>
      <c r="E342" s="954">
        <f>IF($B342&lt;&gt;0,System!BE148,0)</f>
        <v>0</v>
      </c>
      <c r="F342" s="955">
        <f>IF($B342&lt;&gt;0,System!BF148,0)</f>
        <v>0</v>
      </c>
      <c r="G342" s="954">
        <f t="shared" si="127"/>
        <v>0</v>
      </c>
      <c r="H342" s="955">
        <f t="shared" si="128"/>
        <v>0</v>
      </c>
      <c r="I342" s="956">
        <f t="shared" si="126"/>
        <v>0</v>
      </c>
      <c r="J342" s="953">
        <f>IF(B342&lt;&gt;0,C342,PlotData!$CB$3)</f>
        <v>0</v>
      </c>
      <c r="K342" s="956">
        <f>IF(B342&lt;&gt;0,D342,PlotData!$CB$3)</f>
        <v>0</v>
      </c>
      <c r="L342" s="953">
        <f>IF(B342&lt;&gt;0,E342,PlotData!$CB$3)</f>
        <v>0</v>
      </c>
      <c r="M342" s="956">
        <f>IF(B342&lt;&gt;0,F342,PlotData!$CB$3)</f>
        <v>0</v>
      </c>
    </row>
    <row r="343" spans="1:13" x14ac:dyDescent="0.25">
      <c r="A343" s="910">
        <v>28</v>
      </c>
      <c r="B343" s="953">
        <f>IF(System!X31&lt;&gt;0,1,0)</f>
        <v>0</v>
      </c>
      <c r="C343" s="954">
        <f>IF($B343&lt;&gt;0,System!BC149,0)</f>
        <v>0</v>
      </c>
      <c r="D343" s="955">
        <f>IF($B343&lt;&gt;0,System!BD149,0)</f>
        <v>0</v>
      </c>
      <c r="E343" s="954">
        <f>IF($B343&lt;&gt;0,System!BE149,0)</f>
        <v>0</v>
      </c>
      <c r="F343" s="955">
        <f>IF($B343&lt;&gt;0,System!BF149,0)</f>
        <v>0</v>
      </c>
      <c r="G343" s="954">
        <f t="shared" si="127"/>
        <v>0</v>
      </c>
      <c r="H343" s="955">
        <f t="shared" si="128"/>
        <v>0</v>
      </c>
      <c r="I343" s="956">
        <f t="shared" si="126"/>
        <v>0</v>
      </c>
      <c r="J343" s="953">
        <f>IF(B343&lt;&gt;0,C343,PlotData!$CB$3)</f>
        <v>0</v>
      </c>
      <c r="K343" s="956">
        <f>IF(B343&lt;&gt;0,D343,PlotData!$CB$3)</f>
        <v>0</v>
      </c>
      <c r="L343" s="953">
        <f>IF(B343&lt;&gt;0,E343,PlotData!$CB$3)</f>
        <v>0</v>
      </c>
      <c r="M343" s="956">
        <f>IF(B343&lt;&gt;0,F343,PlotData!$CB$3)</f>
        <v>0</v>
      </c>
    </row>
    <row r="344" spans="1:13" x14ac:dyDescent="0.25">
      <c r="A344" s="910">
        <v>29</v>
      </c>
      <c r="B344" s="953">
        <f>IF(System!X32&lt;&gt;0,1,0)</f>
        <v>0</v>
      </c>
      <c r="C344" s="954">
        <f>IF($B344&lt;&gt;0,System!BC150,0)</f>
        <v>0</v>
      </c>
      <c r="D344" s="955">
        <f>IF($B344&lt;&gt;0,System!BD150,0)</f>
        <v>0</v>
      </c>
      <c r="E344" s="954">
        <f>IF($B344&lt;&gt;0,System!BE150,0)</f>
        <v>0</v>
      </c>
      <c r="F344" s="955">
        <f>IF($B344&lt;&gt;0,System!BF150,0)</f>
        <v>0</v>
      </c>
      <c r="G344" s="954">
        <f t="shared" si="127"/>
        <v>0</v>
      </c>
      <c r="H344" s="955">
        <f t="shared" si="128"/>
        <v>0</v>
      </c>
      <c r="I344" s="956">
        <f t="shared" si="126"/>
        <v>0</v>
      </c>
      <c r="J344" s="953">
        <f>IF(B344&lt;&gt;0,C344,PlotData!$CB$3)</f>
        <v>0</v>
      </c>
      <c r="K344" s="956">
        <f>IF(B344&lt;&gt;0,D344,PlotData!$CB$3)</f>
        <v>0</v>
      </c>
      <c r="L344" s="953">
        <f>IF(B344&lt;&gt;0,E344,PlotData!$CB$3)</f>
        <v>0</v>
      </c>
      <c r="M344" s="956">
        <f>IF(B344&lt;&gt;0,F344,PlotData!$CB$3)</f>
        <v>0</v>
      </c>
    </row>
    <row r="345" spans="1:13" x14ac:dyDescent="0.25">
      <c r="A345" s="910">
        <v>30</v>
      </c>
      <c r="B345" s="953">
        <f>IF(System!X33&lt;&gt;0,1,0)</f>
        <v>0</v>
      </c>
      <c r="C345" s="954">
        <f>IF($B345&lt;&gt;0,System!BC151,0)</f>
        <v>0</v>
      </c>
      <c r="D345" s="955">
        <f>IF($B345&lt;&gt;0,System!BD151,0)</f>
        <v>0</v>
      </c>
      <c r="E345" s="954">
        <f>IF($B345&lt;&gt;0,System!BE151,0)</f>
        <v>0</v>
      </c>
      <c r="F345" s="955">
        <f>IF($B345&lt;&gt;0,System!BF151,0)</f>
        <v>0</v>
      </c>
      <c r="G345" s="954">
        <f t="shared" si="127"/>
        <v>0</v>
      </c>
      <c r="H345" s="955">
        <f t="shared" si="128"/>
        <v>0</v>
      </c>
      <c r="I345" s="956">
        <f t="shared" si="126"/>
        <v>0</v>
      </c>
      <c r="J345" s="953">
        <f>IF(B345&lt;&gt;0,C345,PlotData!$CB$3)</f>
        <v>0</v>
      </c>
      <c r="K345" s="956">
        <f>IF(B345&lt;&gt;0,D345,PlotData!$CB$3)</f>
        <v>0</v>
      </c>
      <c r="L345" s="953">
        <f>IF(B345&lt;&gt;0,E345,PlotData!$CB$3)</f>
        <v>0</v>
      </c>
      <c r="M345" s="956">
        <f>IF(B345&lt;&gt;0,F345,PlotData!$CB$3)</f>
        <v>0</v>
      </c>
    </row>
    <row r="346" spans="1:13" x14ac:dyDescent="0.25">
      <c r="A346" s="910">
        <v>31</v>
      </c>
      <c r="B346" s="953">
        <f>IF(System!X34&lt;&gt;0,1,0)</f>
        <v>0</v>
      </c>
      <c r="C346" s="954">
        <f>IF($B346&lt;&gt;0,System!BC152,0)</f>
        <v>0</v>
      </c>
      <c r="D346" s="955">
        <f>IF($B346&lt;&gt;0,System!BD152,0)</f>
        <v>0</v>
      </c>
      <c r="E346" s="954">
        <f>IF($B346&lt;&gt;0,System!BE152,0)</f>
        <v>0</v>
      </c>
      <c r="F346" s="955">
        <f>IF($B346&lt;&gt;0,System!BF152,0)</f>
        <v>0</v>
      </c>
      <c r="G346" s="954">
        <f t="shared" si="127"/>
        <v>0</v>
      </c>
      <c r="H346" s="955">
        <f t="shared" si="128"/>
        <v>0</v>
      </c>
      <c r="I346" s="956">
        <f t="shared" si="126"/>
        <v>0</v>
      </c>
      <c r="J346" s="953">
        <f>IF(B346&lt;&gt;0,C346,PlotData!$CB$3)</f>
        <v>0</v>
      </c>
      <c r="K346" s="956">
        <f>IF(B346&lt;&gt;0,D346,PlotData!$CB$3)</f>
        <v>0</v>
      </c>
      <c r="L346" s="953">
        <f>IF(B346&lt;&gt;0,E346,PlotData!$CB$3)</f>
        <v>0</v>
      </c>
      <c r="M346" s="956">
        <f>IF(B346&lt;&gt;0,F346,PlotData!$CB$3)</f>
        <v>0</v>
      </c>
    </row>
    <row r="347" spans="1:13" x14ac:dyDescent="0.25">
      <c r="A347" s="910">
        <v>32</v>
      </c>
      <c r="B347" s="953">
        <f>IF(System!X35&lt;&gt;0,1,0)</f>
        <v>0</v>
      </c>
      <c r="C347" s="954">
        <f>IF($B347&lt;&gt;0,System!BC153,0)</f>
        <v>0</v>
      </c>
      <c r="D347" s="955">
        <f>IF($B347&lt;&gt;0,System!BD153,0)</f>
        <v>0</v>
      </c>
      <c r="E347" s="954">
        <f>IF($B347&lt;&gt;0,System!BE153,0)</f>
        <v>0</v>
      </c>
      <c r="F347" s="955">
        <f>IF($B347&lt;&gt;0,System!BF153,0)</f>
        <v>0</v>
      </c>
      <c r="G347" s="954">
        <f t="shared" si="127"/>
        <v>0</v>
      </c>
      <c r="H347" s="955">
        <f t="shared" si="128"/>
        <v>0</v>
      </c>
      <c r="I347" s="956">
        <f t="shared" si="126"/>
        <v>0</v>
      </c>
      <c r="J347" s="953">
        <f>IF(B347&lt;&gt;0,C347,PlotData!$CB$3)</f>
        <v>0</v>
      </c>
      <c r="K347" s="956">
        <f>IF(B347&lt;&gt;0,D347,PlotData!$CB$3)</f>
        <v>0</v>
      </c>
      <c r="L347" s="953">
        <f>IF(B347&lt;&gt;0,E347,PlotData!$CB$3)</f>
        <v>0</v>
      </c>
      <c r="M347" s="956">
        <f>IF(B347&lt;&gt;0,F347,PlotData!$CB$3)</f>
        <v>0</v>
      </c>
    </row>
    <row r="348" spans="1:13" x14ac:dyDescent="0.25">
      <c r="A348" s="910">
        <v>33</v>
      </c>
      <c r="B348" s="953">
        <f>IF(System!X36&lt;&gt;0,1,0)</f>
        <v>0</v>
      </c>
      <c r="C348" s="954">
        <f>IF($B348&lt;&gt;0,System!BC154,0)</f>
        <v>0</v>
      </c>
      <c r="D348" s="955">
        <f>IF($B348&lt;&gt;0,System!BD154,0)</f>
        <v>0</v>
      </c>
      <c r="E348" s="954">
        <f>IF($B348&lt;&gt;0,System!BE154,0)</f>
        <v>0</v>
      </c>
      <c r="F348" s="955">
        <f>IF($B348&lt;&gt;0,System!BF154,0)</f>
        <v>0</v>
      </c>
      <c r="G348" s="954">
        <f t="shared" si="127"/>
        <v>0</v>
      </c>
      <c r="H348" s="955">
        <f t="shared" si="128"/>
        <v>0</v>
      </c>
      <c r="I348" s="956">
        <f t="shared" si="126"/>
        <v>0</v>
      </c>
      <c r="J348" s="953">
        <f>IF(B348&lt;&gt;0,C348,PlotData!$CB$3)</f>
        <v>0</v>
      </c>
      <c r="K348" s="956">
        <f>IF(B348&lt;&gt;0,D348,PlotData!$CB$3)</f>
        <v>0</v>
      </c>
      <c r="L348" s="953">
        <f>IF(B348&lt;&gt;0,E348,PlotData!$CB$3)</f>
        <v>0</v>
      </c>
      <c r="M348" s="956">
        <f>IF(B348&lt;&gt;0,F348,PlotData!$CB$3)</f>
        <v>0</v>
      </c>
    </row>
    <row r="349" spans="1:13" x14ac:dyDescent="0.25">
      <c r="A349" s="910">
        <v>34</v>
      </c>
      <c r="B349" s="953">
        <f>IF(System!X37&lt;&gt;0,1,0)</f>
        <v>0</v>
      </c>
      <c r="C349" s="954">
        <f>IF($B349&lt;&gt;0,System!BC155,0)</f>
        <v>0</v>
      </c>
      <c r="D349" s="955">
        <f>IF($B349&lt;&gt;0,System!BD155,0)</f>
        <v>0</v>
      </c>
      <c r="E349" s="954">
        <f>IF($B349&lt;&gt;0,System!BE155,0)</f>
        <v>0</v>
      </c>
      <c r="F349" s="955">
        <f>IF($B349&lt;&gt;0,System!BF155,0)</f>
        <v>0</v>
      </c>
      <c r="G349" s="954">
        <f t="shared" si="127"/>
        <v>0</v>
      </c>
      <c r="H349" s="955">
        <f t="shared" si="128"/>
        <v>0</v>
      </c>
      <c r="I349" s="956">
        <f t="shared" si="126"/>
        <v>0</v>
      </c>
      <c r="J349" s="953">
        <f>IF(B349&lt;&gt;0,C349,PlotData!$CB$3)</f>
        <v>0</v>
      </c>
      <c r="K349" s="956">
        <f>IF(B349&lt;&gt;0,D349,PlotData!$CB$3)</f>
        <v>0</v>
      </c>
      <c r="L349" s="953">
        <f>IF(B349&lt;&gt;0,E349,PlotData!$CB$3)</f>
        <v>0</v>
      </c>
      <c r="M349" s="956">
        <f>IF(B349&lt;&gt;0,F349,PlotData!$CB$3)</f>
        <v>0</v>
      </c>
    </row>
    <row r="350" spans="1:13" x14ac:dyDescent="0.25">
      <c r="A350" s="910">
        <v>35</v>
      </c>
      <c r="B350" s="953">
        <f>IF(System!X38&lt;&gt;0,1,0)</f>
        <v>0</v>
      </c>
      <c r="C350" s="954">
        <f>IF($B350&lt;&gt;0,System!BC156,0)</f>
        <v>0</v>
      </c>
      <c r="D350" s="955">
        <f>IF($B350&lt;&gt;0,System!BD156,0)</f>
        <v>0</v>
      </c>
      <c r="E350" s="954">
        <f>IF($B350&lt;&gt;0,System!BE156,0)</f>
        <v>0</v>
      </c>
      <c r="F350" s="955">
        <f>IF($B350&lt;&gt;0,System!BF156,0)</f>
        <v>0</v>
      </c>
      <c r="G350" s="954">
        <f t="shared" si="127"/>
        <v>0</v>
      </c>
      <c r="H350" s="955">
        <f t="shared" si="128"/>
        <v>0</v>
      </c>
      <c r="I350" s="956">
        <f t="shared" si="126"/>
        <v>0</v>
      </c>
      <c r="J350" s="953">
        <f>IF(B350&lt;&gt;0,C350,PlotData!$CB$3)</f>
        <v>0</v>
      </c>
      <c r="K350" s="956">
        <f>IF(B350&lt;&gt;0,D350,PlotData!$CB$3)</f>
        <v>0</v>
      </c>
      <c r="L350" s="953">
        <f>IF(B350&lt;&gt;0,E350,PlotData!$CB$3)</f>
        <v>0</v>
      </c>
      <c r="M350" s="956">
        <f>IF(B350&lt;&gt;0,F350,PlotData!$CB$3)</f>
        <v>0</v>
      </c>
    </row>
    <row r="351" spans="1:13" x14ac:dyDescent="0.25">
      <c r="A351" s="910">
        <v>36</v>
      </c>
      <c r="B351" s="953">
        <f>IF(System!X39&lt;&gt;0,1,0)</f>
        <v>0</v>
      </c>
      <c r="C351" s="954">
        <f>IF($B351&lt;&gt;0,System!BC157,0)</f>
        <v>0</v>
      </c>
      <c r="D351" s="955">
        <f>IF($B351&lt;&gt;0,System!BD157,0)</f>
        <v>0</v>
      </c>
      <c r="E351" s="954">
        <f>IF($B351&lt;&gt;0,System!BE157,0)</f>
        <v>0</v>
      </c>
      <c r="F351" s="955">
        <f>IF($B351&lt;&gt;0,System!BF157,0)</f>
        <v>0</v>
      </c>
      <c r="G351" s="954">
        <f t="shared" si="127"/>
        <v>0</v>
      </c>
      <c r="H351" s="955">
        <f t="shared" si="128"/>
        <v>0</v>
      </c>
      <c r="I351" s="956">
        <f t="shared" si="126"/>
        <v>0</v>
      </c>
      <c r="J351" s="953">
        <f>IF(B351&lt;&gt;0,C351,PlotData!$CB$3)</f>
        <v>0</v>
      </c>
      <c r="K351" s="956">
        <f>IF(B351&lt;&gt;0,D351,PlotData!$CB$3)</f>
        <v>0</v>
      </c>
      <c r="L351" s="953">
        <f>IF(B351&lt;&gt;0,E351,PlotData!$CB$3)</f>
        <v>0</v>
      </c>
      <c r="M351" s="956">
        <f>IF(B351&lt;&gt;0,F351,PlotData!$CB$3)</f>
        <v>0</v>
      </c>
    </row>
    <row r="352" spans="1:13" x14ac:dyDescent="0.25">
      <c r="A352" s="910">
        <v>37</v>
      </c>
      <c r="B352" s="953">
        <f>IF(System!X40&lt;&gt;0,1,0)</f>
        <v>0</v>
      </c>
      <c r="C352" s="954">
        <f>IF($B352&lt;&gt;0,System!BC158,0)</f>
        <v>0</v>
      </c>
      <c r="D352" s="955">
        <f>IF($B352&lt;&gt;0,System!BD158,0)</f>
        <v>0</v>
      </c>
      <c r="E352" s="954">
        <f>IF($B352&lt;&gt;0,System!BE158,0)</f>
        <v>0</v>
      </c>
      <c r="F352" s="955">
        <f>IF($B352&lt;&gt;0,System!BF158,0)</f>
        <v>0</v>
      </c>
      <c r="G352" s="954">
        <f t="shared" si="127"/>
        <v>0</v>
      </c>
      <c r="H352" s="955">
        <f t="shared" si="128"/>
        <v>0</v>
      </c>
      <c r="I352" s="956">
        <f t="shared" si="126"/>
        <v>0</v>
      </c>
      <c r="J352" s="953">
        <f>IF(B352&lt;&gt;0,C352,PlotData!$CB$3)</f>
        <v>0</v>
      </c>
      <c r="K352" s="956">
        <f>IF(B352&lt;&gt;0,D352,PlotData!$CB$3)</f>
        <v>0</v>
      </c>
      <c r="L352" s="953">
        <f>IF(B352&lt;&gt;0,E352,PlotData!$CB$3)</f>
        <v>0</v>
      </c>
      <c r="M352" s="956">
        <f>IF(B352&lt;&gt;0,F352,PlotData!$CB$3)</f>
        <v>0</v>
      </c>
    </row>
    <row r="353" spans="1:17" x14ac:dyDescent="0.25">
      <c r="A353" s="910">
        <v>38</v>
      </c>
      <c r="B353" s="953">
        <f>IF(System!X41&lt;&gt;0,1,0)</f>
        <v>0</v>
      </c>
      <c r="C353" s="954">
        <f>IF($B353&lt;&gt;0,System!BC159,0)</f>
        <v>0</v>
      </c>
      <c r="D353" s="955">
        <f>IF($B353&lt;&gt;0,System!BD159,0)</f>
        <v>0</v>
      </c>
      <c r="E353" s="954">
        <f>IF($B353&lt;&gt;0,System!BE159,0)</f>
        <v>0</v>
      </c>
      <c r="F353" s="955">
        <f>IF($B353&lt;&gt;0,System!BF159,0)</f>
        <v>0</v>
      </c>
      <c r="G353" s="954">
        <f t="shared" si="127"/>
        <v>0</v>
      </c>
      <c r="H353" s="955">
        <f t="shared" si="128"/>
        <v>0</v>
      </c>
      <c r="I353" s="956">
        <f t="shared" si="126"/>
        <v>0</v>
      </c>
      <c r="J353" s="953">
        <f>IF(B353&lt;&gt;0,C353,PlotData!$CB$3)</f>
        <v>0</v>
      </c>
      <c r="K353" s="956">
        <f>IF(B353&lt;&gt;0,D353,PlotData!$CB$3)</f>
        <v>0</v>
      </c>
      <c r="L353" s="953">
        <f>IF(B353&lt;&gt;0,E353,PlotData!$CB$3)</f>
        <v>0</v>
      </c>
      <c r="M353" s="956">
        <f>IF(B353&lt;&gt;0,F353,PlotData!$CB$3)</f>
        <v>0</v>
      </c>
    </row>
    <row r="354" spans="1:17" x14ac:dyDescent="0.25">
      <c r="A354" s="910">
        <v>39</v>
      </c>
      <c r="B354" s="953">
        <f>IF(System!X42&lt;&gt;0,1,0)</f>
        <v>0</v>
      </c>
      <c r="C354" s="954">
        <f>IF($B354&lt;&gt;0,System!BC160,0)</f>
        <v>0</v>
      </c>
      <c r="D354" s="955">
        <f>IF($B354&lt;&gt;0,System!BD160,0)</f>
        <v>0</v>
      </c>
      <c r="E354" s="954">
        <f>IF($B354&lt;&gt;0,System!BE160,0)</f>
        <v>0</v>
      </c>
      <c r="F354" s="955">
        <f>IF($B354&lt;&gt;0,System!BF160,0)</f>
        <v>0</v>
      </c>
      <c r="G354" s="954">
        <f t="shared" si="127"/>
        <v>0</v>
      </c>
      <c r="H354" s="955">
        <f t="shared" si="128"/>
        <v>0</v>
      </c>
      <c r="I354" s="956">
        <f t="shared" si="126"/>
        <v>0</v>
      </c>
      <c r="J354" s="953">
        <f>IF(B354&lt;&gt;0,C354,PlotData!$CB$3)</f>
        <v>0</v>
      </c>
      <c r="K354" s="956">
        <f>IF(B354&lt;&gt;0,D354,PlotData!$CB$3)</f>
        <v>0</v>
      </c>
      <c r="L354" s="953">
        <f>IF(B354&lt;&gt;0,E354,PlotData!$CB$3)</f>
        <v>0</v>
      </c>
      <c r="M354" s="956">
        <f>IF(B354&lt;&gt;0,F354,PlotData!$CB$3)</f>
        <v>0</v>
      </c>
    </row>
    <row r="355" spans="1:17" ht="13.8" thickBot="1" x14ac:dyDescent="0.3">
      <c r="A355" s="911">
        <v>40</v>
      </c>
      <c r="B355" s="957">
        <f>IF(System!X43&lt;&gt;0,1,0)</f>
        <v>0</v>
      </c>
      <c r="C355" s="958">
        <f>IF($B355&lt;&gt;0,System!BC161,0)</f>
        <v>0</v>
      </c>
      <c r="D355" s="959">
        <f>IF($B355&lt;&gt;0,System!BD161,0)</f>
        <v>0</v>
      </c>
      <c r="E355" s="954">
        <f>IF($B355&lt;&gt;0,System!BE161,0)</f>
        <v>0</v>
      </c>
      <c r="F355" s="959">
        <f>IF($B355&lt;&gt;0,System!BF161,0)</f>
        <v>0</v>
      </c>
      <c r="G355" s="958">
        <f t="shared" si="127"/>
        <v>0</v>
      </c>
      <c r="H355" s="959">
        <f t="shared" si="128"/>
        <v>0</v>
      </c>
      <c r="I355" s="960">
        <f t="shared" si="126"/>
        <v>0</v>
      </c>
      <c r="J355" s="953">
        <f>IF(B355&lt;&gt;0,C355,PlotData!$CB$3)</f>
        <v>0</v>
      </c>
      <c r="K355" s="956">
        <f>IF(B355&lt;&gt;0,D355,PlotData!$CB$3)</f>
        <v>0</v>
      </c>
      <c r="L355" s="953">
        <f>IF(B355&lt;&gt;0,E355,PlotData!$CB$3)</f>
        <v>0</v>
      </c>
      <c r="M355" s="956">
        <f>IF(B355&lt;&gt;0,F355,PlotData!$CB$3)</f>
        <v>0</v>
      </c>
    </row>
    <row r="357" spans="1:17" ht="13.8" thickBot="1" x14ac:dyDescent="0.3"/>
    <row r="358" spans="1:17" ht="22.5" customHeight="1" thickBot="1" x14ac:dyDescent="0.3">
      <c r="B358" s="1370" t="s">
        <v>372</v>
      </c>
      <c r="C358" s="1371"/>
      <c r="D358" s="1372"/>
    </row>
    <row r="359" spans="1:17" s="9" customFormat="1" ht="18.75" customHeight="1" thickBot="1" x14ac:dyDescent="0.35">
      <c r="A359" s="904" t="s">
        <v>43</v>
      </c>
      <c r="B359" s="961" t="str">
        <f t="shared" ref="B359:D399" si="129">D4</f>
        <v>L</v>
      </c>
      <c r="C359" s="962" t="str">
        <f t="shared" si="129"/>
        <v>sin</v>
      </c>
      <c r="D359" s="963" t="str">
        <f t="shared" si="129"/>
        <v>cos</v>
      </c>
      <c r="E359" s="964" t="s">
        <v>373</v>
      </c>
      <c r="F359" s="961" t="s">
        <v>180</v>
      </c>
      <c r="G359" s="962" t="s">
        <v>181</v>
      </c>
      <c r="H359" s="963" t="s">
        <v>279</v>
      </c>
      <c r="I359" s="962" t="s">
        <v>280</v>
      </c>
      <c r="J359" s="963" t="s">
        <v>281</v>
      </c>
      <c r="K359" s="965" t="s">
        <v>282</v>
      </c>
      <c r="L359" s="961" t="s">
        <v>182</v>
      </c>
      <c r="M359" s="962" t="s">
        <v>183</v>
      </c>
      <c r="N359" s="963" t="s">
        <v>285</v>
      </c>
      <c r="O359" s="962" t="s">
        <v>286</v>
      </c>
      <c r="P359" s="963" t="s">
        <v>287</v>
      </c>
      <c r="Q359" s="965" t="s">
        <v>288</v>
      </c>
    </row>
    <row r="360" spans="1:17" ht="12.75" customHeight="1" x14ac:dyDescent="0.25">
      <c r="A360" s="910">
        <v>1</v>
      </c>
      <c r="B360" s="966">
        <f t="shared" ca="1" si="129"/>
        <v>100</v>
      </c>
      <c r="C360" s="967">
        <f t="shared" ca="1" si="129"/>
        <v>-0.6</v>
      </c>
      <c r="D360" s="968">
        <f t="shared" ca="1" si="129"/>
        <v>0.8</v>
      </c>
      <c r="E360" s="969">
        <f>IF(AND(ISNUMBER(System!$C4),System!AM4&lt;&gt;0),SIGN(System!AM4),0)</f>
        <v>0</v>
      </c>
      <c r="F360" s="966">
        <f>IF(AND(ISNUMBER(System!$C4),E360&lt;&gt;0),System!BC122,PlotData!$CB$3)</f>
        <v>0</v>
      </c>
      <c r="G360" s="967">
        <f>IF(AND(ISNUMBER(System!$C4),E360&lt;&gt;0),System!BD122,PlotData!$CB$3)</f>
        <v>0</v>
      </c>
      <c r="H360" s="968">
        <f>IF(AND(ISNUMBER(System!$C4),E360&lt;&gt;0),G360,PlotData!$CB$3)</f>
        <v>0</v>
      </c>
      <c r="I360" s="967">
        <f>IF(AND(ISNUMBER(System!$C4),E360&lt;&gt;0),F360,PlotData!$CB$3)</f>
        <v>0</v>
      </c>
      <c r="J360" s="968">
        <f>IF(AND(ISNUMBER(System!$C4),E360&lt;&gt;0),F360,PlotData!$CB$3)</f>
        <v>0</v>
      </c>
      <c r="K360" s="970">
        <f>IF(AND(ISNUMBER(System!$C4),E360&lt;&gt;0),G360,PlotData!$CB$3)</f>
        <v>0</v>
      </c>
      <c r="L360" s="966">
        <f>IF(AND(ISNUMBER(System!$C4),E360&lt;&gt;0),System!BE122-IF(D360&lt;&gt;0,1,0)*$J$1*MIN($E$1,B360)*ABS(C360)*E360 - $H$1*$E$1*ABS(D360)*E360,PlotData!$CB$4)</f>
        <v>0</v>
      </c>
      <c r="M360" s="967">
        <f>IF(AND(ISNUMBER(System!$C4),E360&lt;&gt;0),System!BF122-IF(D360&lt;&gt;0,1,0)*$J$1*MIN($E$1,B360)*ABS(C360)*E360 - $H$1*$E$1*ABS(D360)*E360,PlotData!$CB$4)</f>
        <v>0</v>
      </c>
      <c r="N360" s="968">
        <f>IF(AND(ISNUMBER(System!$C4),E360&lt;&gt;0),M360 - $E$1*ABS(D360)*E360,PlotData!$CB$4)</f>
        <v>0</v>
      </c>
      <c r="O360" s="967">
        <f>IF(AND(ISNUMBER(System!$C4),E360&lt;&gt;0),L360 - $E$1*ABS(D360)*E360,PlotData!$CB$4)</f>
        <v>0</v>
      </c>
      <c r="P360" s="968">
        <f>IF(AND(ISNUMBER(System!$C4),E360&lt;&gt;0),L360 - $N$1*$E$1*ABS(D360)*E360,PlotData!$CB$4)</f>
        <v>0</v>
      </c>
      <c r="Q360" s="970">
        <f>IF(AND(ISNUMBER(System!$C4),E360&lt;&gt;0),M360 -$N$1*$E$1*ABS(D360)*E360,PlotData!$CB$4)</f>
        <v>0</v>
      </c>
    </row>
    <row r="361" spans="1:17" x14ac:dyDescent="0.25">
      <c r="A361" s="910">
        <v>2</v>
      </c>
      <c r="B361" s="966">
        <f t="shared" ca="1" si="129"/>
        <v>60</v>
      </c>
      <c r="C361" s="967">
        <f t="shared" ca="1" si="129"/>
        <v>-1</v>
      </c>
      <c r="D361" s="968">
        <f t="shared" ca="1" si="129"/>
        <v>0</v>
      </c>
      <c r="E361" s="969">
        <f>IF(AND(ISNUMBER(System!$C5),System!AM5&lt;&gt;0),SIGN(System!AM5),0)</f>
        <v>0</v>
      </c>
      <c r="F361" s="966">
        <f>IF(AND(ISNUMBER(System!$C5),E361&lt;&gt;0),System!BC123,PlotData!$CB$3)</f>
        <v>0</v>
      </c>
      <c r="G361" s="967">
        <f>IF(AND(ISNUMBER(System!$C5),E361&lt;&gt;0),System!BD123,PlotData!$CB$3)</f>
        <v>0</v>
      </c>
      <c r="H361" s="968">
        <f>IF(AND(ISNUMBER(System!$C5),E361&lt;&gt;0),G361,PlotData!$CB$3)</f>
        <v>0</v>
      </c>
      <c r="I361" s="967">
        <f>IF(AND(ISNUMBER(System!$C5),E361&lt;&gt;0),F361,PlotData!$CB$3)</f>
        <v>0</v>
      </c>
      <c r="J361" s="968">
        <f>IF(AND(ISNUMBER(System!$C5),E361&lt;&gt;0),F361,PlotData!$CB$3)</f>
        <v>0</v>
      </c>
      <c r="K361" s="970">
        <f>IF(AND(ISNUMBER(System!$C5),E361&lt;&gt;0),G361,PlotData!$CB$3)</f>
        <v>0</v>
      </c>
      <c r="L361" s="966">
        <f>IF(AND(ISNUMBER(System!$C5),E361&lt;&gt;0),System!BE123-IF(D361&lt;&gt;0,1,0)*$J$1*MIN($E$1,B361)*ABS(C361)*E361 - $H$1*$E$1*ABS(D361)*E361,PlotData!$CB$4)</f>
        <v>0</v>
      </c>
      <c r="M361" s="967">
        <f>IF(AND(ISNUMBER(System!$C5),E361&lt;&gt;0),System!BF123-IF(D361&lt;&gt;0,1,0)*$J$1*MIN($E$1,B361)*ABS(C361)*E361 - $H$1*$E$1*ABS(D361)*E361,PlotData!$CB$4)</f>
        <v>0</v>
      </c>
      <c r="N361" s="968">
        <f>IF(AND(ISNUMBER(System!$C5),E361&lt;&gt;0),M361 - $E$1*ABS(D361)*E361,PlotData!$CB$4)</f>
        <v>0</v>
      </c>
      <c r="O361" s="967">
        <f>IF(AND(ISNUMBER(System!$C5),E361&lt;&gt;0),L361 - $E$1*ABS(D361)*E361,PlotData!$CB$4)</f>
        <v>0</v>
      </c>
      <c r="P361" s="968">
        <f>IF(AND(ISNUMBER(System!$C5),E361&lt;&gt;0),L361 - $N$1*$E$1*ABS(D361)*E361,PlotData!$CB$4)</f>
        <v>0</v>
      </c>
      <c r="Q361" s="970">
        <f>IF(AND(ISNUMBER(System!$C5),E361&lt;&gt;0),M361 -$N$1*$E$1*ABS(D361)*E361,PlotData!$CB$4)</f>
        <v>0</v>
      </c>
    </row>
    <row r="362" spans="1:17" x14ac:dyDescent="0.25">
      <c r="A362" s="910">
        <v>3</v>
      </c>
      <c r="B362" s="966">
        <f t="shared" ca="1" si="129"/>
        <v>72.111025509279784</v>
      </c>
      <c r="C362" s="967">
        <f t="shared" ca="1" si="129"/>
        <v>0.83205029433784372</v>
      </c>
      <c r="D362" s="968">
        <f t="shared" ca="1" si="129"/>
        <v>0.55470019622522915</v>
      </c>
      <c r="E362" s="969">
        <f>IF(AND(ISNUMBER(System!$C6),System!AM6&lt;&gt;0),SIGN(System!AM6),0)</f>
        <v>0</v>
      </c>
      <c r="F362" s="966">
        <f>IF(AND(ISNUMBER(System!$C6),E362&lt;&gt;0),System!BC124,PlotData!$CB$3)</f>
        <v>0</v>
      </c>
      <c r="G362" s="967">
        <f>IF(AND(ISNUMBER(System!$C6),E362&lt;&gt;0),System!BD124,PlotData!$CB$3)</f>
        <v>0</v>
      </c>
      <c r="H362" s="968">
        <f>IF(AND(ISNUMBER(System!$C6),E362&lt;&gt;0),G362,PlotData!$CB$3)</f>
        <v>0</v>
      </c>
      <c r="I362" s="967">
        <f>IF(AND(ISNUMBER(System!$C6),E362&lt;&gt;0),F362,PlotData!$CB$3)</f>
        <v>0</v>
      </c>
      <c r="J362" s="968">
        <f>IF(AND(ISNUMBER(System!$C6),E362&lt;&gt;0),F362,PlotData!$CB$3)</f>
        <v>0</v>
      </c>
      <c r="K362" s="970">
        <f>IF(AND(ISNUMBER(System!$C6),E362&lt;&gt;0),G362,PlotData!$CB$3)</f>
        <v>0</v>
      </c>
      <c r="L362" s="966">
        <f>IF(AND(ISNUMBER(System!$C6),E362&lt;&gt;0),System!BE124-IF(D362&lt;&gt;0,1,0)*$J$1*MIN($E$1,B362)*ABS(C362)*E362 - $H$1*$E$1*ABS(D362)*E362,PlotData!$CB$4)</f>
        <v>0</v>
      </c>
      <c r="M362" s="967">
        <f>IF(AND(ISNUMBER(System!$C6),E362&lt;&gt;0),System!BF124-IF(D362&lt;&gt;0,1,0)*$J$1*MIN($E$1,B362)*ABS(C362)*E362 - $H$1*$E$1*ABS(D362)*E362,PlotData!$CB$4)</f>
        <v>0</v>
      </c>
      <c r="N362" s="968">
        <f>IF(AND(ISNUMBER(System!$C6),E362&lt;&gt;0),M362 - $E$1*ABS(D362)*E362,PlotData!$CB$4)</f>
        <v>0</v>
      </c>
      <c r="O362" s="967">
        <f>IF(AND(ISNUMBER(System!$C6),E362&lt;&gt;0),L362 - $E$1*ABS(D362)*E362,PlotData!$CB$4)</f>
        <v>0</v>
      </c>
      <c r="P362" s="968">
        <f>IF(AND(ISNUMBER(System!$C6),E362&lt;&gt;0),L362 - $N$1*$E$1*ABS(D362)*E362,PlotData!$CB$4)</f>
        <v>0</v>
      </c>
      <c r="Q362" s="970">
        <f>IF(AND(ISNUMBER(System!$C6),E362&lt;&gt;0),M362 -$N$1*$E$1*ABS(D362)*E362,PlotData!$CB$4)</f>
        <v>0</v>
      </c>
    </row>
    <row r="363" spans="1:17" x14ac:dyDescent="0.25">
      <c r="A363" s="910">
        <v>4</v>
      </c>
      <c r="B363" s="966">
        <f t="shared" ca="1" si="129"/>
        <v>76.157731058639087</v>
      </c>
      <c r="C363" s="967">
        <f t="shared" ca="1" si="129"/>
        <v>0.39391929857916763</v>
      </c>
      <c r="D363" s="968">
        <f t="shared" ca="1" si="129"/>
        <v>-0.91914503001805781</v>
      </c>
      <c r="E363" s="969">
        <f>IF(AND(ISNUMBER(System!$C7),System!AM7&lt;&gt;0),SIGN(System!AM7),0)</f>
        <v>0</v>
      </c>
      <c r="F363" s="966">
        <f>IF(AND(ISNUMBER(System!$C7),E363&lt;&gt;0),System!BC125,PlotData!$CB$3)</f>
        <v>0</v>
      </c>
      <c r="G363" s="967">
        <f>IF(AND(ISNUMBER(System!$C7),E363&lt;&gt;0),System!BD125,PlotData!$CB$3)</f>
        <v>0</v>
      </c>
      <c r="H363" s="968">
        <f>IF(AND(ISNUMBER(System!$C7),E363&lt;&gt;0),G363,PlotData!$CB$3)</f>
        <v>0</v>
      </c>
      <c r="I363" s="967">
        <f>IF(AND(ISNUMBER(System!$C7),E363&lt;&gt;0),F363,PlotData!$CB$3)</f>
        <v>0</v>
      </c>
      <c r="J363" s="968">
        <f>IF(AND(ISNUMBER(System!$C7),E363&lt;&gt;0),F363,PlotData!$CB$3)</f>
        <v>0</v>
      </c>
      <c r="K363" s="970">
        <f>IF(AND(ISNUMBER(System!$C7),E363&lt;&gt;0),G363,PlotData!$CB$3)</f>
        <v>0</v>
      </c>
      <c r="L363" s="966">
        <f>IF(AND(ISNUMBER(System!$C7),E363&lt;&gt;0),System!BE125-IF(D363&lt;&gt;0,1,0)*$J$1*MIN($E$1,B363)*ABS(C363)*E363 - $H$1*$E$1*ABS(D363)*E363,PlotData!$CB$4)</f>
        <v>0</v>
      </c>
      <c r="M363" s="967">
        <f>IF(AND(ISNUMBER(System!$C7),E363&lt;&gt;0),System!BF125-IF(D363&lt;&gt;0,1,0)*$J$1*MIN($E$1,B363)*ABS(C363)*E363 - $H$1*$E$1*ABS(D363)*E363,PlotData!$CB$4)</f>
        <v>0</v>
      </c>
      <c r="N363" s="968">
        <f>IF(AND(ISNUMBER(System!$C7),E363&lt;&gt;0),M363 - $E$1*ABS(D363)*E363,PlotData!$CB$4)</f>
        <v>0</v>
      </c>
      <c r="O363" s="967">
        <f>IF(AND(ISNUMBER(System!$C7),E363&lt;&gt;0),L363 - $E$1*ABS(D363)*E363,PlotData!$CB$4)</f>
        <v>0</v>
      </c>
      <c r="P363" s="968">
        <f>IF(AND(ISNUMBER(System!$C7),E363&lt;&gt;0),L363 - $N$1*$E$1*ABS(D363)*E363,PlotData!$CB$4)</f>
        <v>0</v>
      </c>
      <c r="Q363" s="970">
        <f>IF(AND(ISNUMBER(System!$C7),E363&lt;&gt;0),M363 -$N$1*$E$1*ABS(D363)*E363,PlotData!$CB$4)</f>
        <v>0</v>
      </c>
    </row>
    <row r="364" spans="1:17" x14ac:dyDescent="0.25">
      <c r="A364" s="910">
        <v>5</v>
      </c>
      <c r="B364" s="966">
        <f t="shared" ca="1" si="129"/>
        <v>184.39088914585776</v>
      </c>
      <c r="C364" s="967">
        <f t="shared" ca="1" si="129"/>
        <v>-0.75925660236529657</v>
      </c>
      <c r="D364" s="968">
        <f t="shared" ca="1" si="129"/>
        <v>-0.65079137345596849</v>
      </c>
      <c r="E364" s="969">
        <f>IF(AND(ISNUMBER(System!$C8),System!AM8&lt;&gt;0),SIGN(System!AM8),0)</f>
        <v>0</v>
      </c>
      <c r="F364" s="966">
        <f>IF(AND(ISNUMBER(System!$C8),E364&lt;&gt;0),System!BC126,PlotData!$CB$3)</f>
        <v>0</v>
      </c>
      <c r="G364" s="967">
        <f>IF(AND(ISNUMBER(System!$C8),E364&lt;&gt;0),System!BD126,PlotData!$CB$3)</f>
        <v>0</v>
      </c>
      <c r="H364" s="968">
        <f>IF(AND(ISNUMBER(System!$C8),E364&lt;&gt;0),G364,PlotData!$CB$3)</f>
        <v>0</v>
      </c>
      <c r="I364" s="967">
        <f>IF(AND(ISNUMBER(System!$C8),E364&lt;&gt;0),F364,PlotData!$CB$3)</f>
        <v>0</v>
      </c>
      <c r="J364" s="968">
        <f>IF(AND(ISNUMBER(System!$C8),E364&lt;&gt;0),F364,PlotData!$CB$3)</f>
        <v>0</v>
      </c>
      <c r="K364" s="970">
        <f>IF(AND(ISNUMBER(System!$C8),E364&lt;&gt;0),G364,PlotData!$CB$3)</f>
        <v>0</v>
      </c>
      <c r="L364" s="966">
        <f>IF(AND(ISNUMBER(System!$C8),E364&lt;&gt;0),System!BE126-IF(D364&lt;&gt;0,1,0)*$J$1*MIN($E$1,B364)*ABS(C364)*E364 - $H$1*$E$1*ABS(D364)*E364,PlotData!$CB$4)</f>
        <v>0</v>
      </c>
      <c r="M364" s="967">
        <f>IF(AND(ISNUMBER(System!$C8),E364&lt;&gt;0),System!BF126-IF(D364&lt;&gt;0,1,0)*$J$1*MIN($E$1,B364)*ABS(C364)*E364 - $H$1*$E$1*ABS(D364)*E364,PlotData!$CB$4)</f>
        <v>0</v>
      </c>
      <c r="N364" s="968">
        <f>IF(AND(ISNUMBER(System!$C8),E364&lt;&gt;0),M364 - $E$1*ABS(D364)*E364,PlotData!$CB$4)</f>
        <v>0</v>
      </c>
      <c r="O364" s="967">
        <f>IF(AND(ISNUMBER(System!$C8),E364&lt;&gt;0),L364 - $E$1*ABS(D364)*E364,PlotData!$CB$4)</f>
        <v>0</v>
      </c>
      <c r="P364" s="968">
        <f>IF(AND(ISNUMBER(System!$C8),E364&lt;&gt;0),L364 - $N$1*$E$1*ABS(D364)*E364,PlotData!$CB$4)</f>
        <v>0</v>
      </c>
      <c r="Q364" s="970">
        <f>IF(AND(ISNUMBER(System!$C8),E364&lt;&gt;0),M364 -$N$1*$E$1*ABS(D364)*E364,PlotData!$CB$4)</f>
        <v>0</v>
      </c>
    </row>
    <row r="365" spans="1:17" x14ac:dyDescent="0.25">
      <c r="A365" s="910">
        <v>6</v>
      </c>
      <c r="B365" s="966">
        <f t="shared" si="129"/>
        <v>0</v>
      </c>
      <c r="C365" s="967">
        <f t="shared" si="129"/>
        <v>0</v>
      </c>
      <c r="D365" s="968">
        <f t="shared" si="129"/>
        <v>0</v>
      </c>
      <c r="E365" s="969">
        <f>IF(AND(ISNUMBER(System!$C9),System!AM9&lt;&gt;0),SIGN(System!AM9),0)</f>
        <v>0</v>
      </c>
      <c r="F365" s="966">
        <f>IF(AND(ISNUMBER(System!$C9),E365&lt;&gt;0),System!BC127,PlotData!$CB$3)</f>
        <v>0</v>
      </c>
      <c r="G365" s="967">
        <f>IF(AND(ISNUMBER(System!$C9),E365&lt;&gt;0),System!BD127,PlotData!$CB$3)</f>
        <v>0</v>
      </c>
      <c r="H365" s="968">
        <f>IF(AND(ISNUMBER(System!$C9),E365&lt;&gt;0),G365,PlotData!$CB$3)</f>
        <v>0</v>
      </c>
      <c r="I365" s="967">
        <f>IF(AND(ISNUMBER(System!$C9),E365&lt;&gt;0),F365,PlotData!$CB$3)</f>
        <v>0</v>
      </c>
      <c r="J365" s="968">
        <f>IF(AND(ISNUMBER(System!$C9),E365&lt;&gt;0),F365,PlotData!$CB$3)</f>
        <v>0</v>
      </c>
      <c r="K365" s="970">
        <f>IF(AND(ISNUMBER(System!$C9),E365&lt;&gt;0),G365,PlotData!$CB$3)</f>
        <v>0</v>
      </c>
      <c r="L365" s="966">
        <f>IF(AND(ISNUMBER(System!$C9),E365&lt;&gt;0),System!BE127-IF(D365&lt;&gt;0,1,0)*$J$1*MIN($E$1,B365)*ABS(C365)*E365 - $H$1*$E$1*ABS(D365)*E365,PlotData!$CB$4)</f>
        <v>0</v>
      </c>
      <c r="M365" s="967">
        <f>IF(AND(ISNUMBER(System!$C9),E365&lt;&gt;0),System!BF127-IF(D365&lt;&gt;0,1,0)*$J$1*MIN($E$1,B365)*ABS(C365)*E365 - $H$1*$E$1*ABS(D365)*E365,PlotData!$CB$4)</f>
        <v>0</v>
      </c>
      <c r="N365" s="968">
        <f>IF(AND(ISNUMBER(System!$C9),E365&lt;&gt;0),M365 - $E$1*ABS(D365)*E365,PlotData!$CB$4)</f>
        <v>0</v>
      </c>
      <c r="O365" s="967">
        <f>IF(AND(ISNUMBER(System!$C9),E365&lt;&gt;0),L365 - $E$1*ABS(D365)*E365,PlotData!$CB$4)</f>
        <v>0</v>
      </c>
      <c r="P365" s="968">
        <f>IF(AND(ISNUMBER(System!$C9),E365&lt;&gt;0),L365 - $N$1*$E$1*ABS(D365)*E365,PlotData!$CB$4)</f>
        <v>0</v>
      </c>
      <c r="Q365" s="970">
        <f>IF(AND(ISNUMBER(System!$C9),E365&lt;&gt;0),M365 -$N$1*$E$1*ABS(D365)*E365,PlotData!$CB$4)</f>
        <v>0</v>
      </c>
    </row>
    <row r="366" spans="1:17" x14ac:dyDescent="0.25">
      <c r="A366" s="910">
        <v>7</v>
      </c>
      <c r="B366" s="966">
        <f t="shared" si="129"/>
        <v>0</v>
      </c>
      <c r="C366" s="967">
        <f t="shared" si="129"/>
        <v>0</v>
      </c>
      <c r="D366" s="968">
        <f t="shared" si="129"/>
        <v>0</v>
      </c>
      <c r="E366" s="969">
        <f>IF(AND(ISNUMBER(System!$C10),System!AM10&lt;&gt;0),SIGN(System!AM10),0)</f>
        <v>0</v>
      </c>
      <c r="F366" s="966">
        <f>IF(AND(ISNUMBER(System!$C10),E366&lt;&gt;0),System!BC128,PlotData!$CB$3)</f>
        <v>0</v>
      </c>
      <c r="G366" s="967">
        <f>IF(AND(ISNUMBER(System!$C10),E366&lt;&gt;0),System!BD128,PlotData!$CB$3)</f>
        <v>0</v>
      </c>
      <c r="H366" s="968">
        <f>IF(AND(ISNUMBER(System!$C10),E366&lt;&gt;0),G366,PlotData!$CB$3)</f>
        <v>0</v>
      </c>
      <c r="I366" s="967">
        <f>IF(AND(ISNUMBER(System!$C10),E366&lt;&gt;0),F366,PlotData!$CB$3)</f>
        <v>0</v>
      </c>
      <c r="J366" s="968">
        <f>IF(AND(ISNUMBER(System!$C10),E366&lt;&gt;0),F366,PlotData!$CB$3)</f>
        <v>0</v>
      </c>
      <c r="K366" s="970">
        <f>IF(AND(ISNUMBER(System!$C10),E366&lt;&gt;0),G366,PlotData!$CB$3)</f>
        <v>0</v>
      </c>
      <c r="L366" s="966">
        <f>IF(AND(ISNUMBER(System!$C10),E366&lt;&gt;0),System!BE128-IF(D366&lt;&gt;0,1,0)*$J$1*MIN($E$1,B366)*ABS(C366)*E366 - $H$1*$E$1*ABS(D366)*E366,PlotData!$CB$4)</f>
        <v>0</v>
      </c>
      <c r="M366" s="967">
        <f>IF(AND(ISNUMBER(System!$C10),E366&lt;&gt;0),System!BF128-IF(D366&lt;&gt;0,1,0)*$J$1*MIN($E$1,B366)*ABS(C366)*E366 - $H$1*$E$1*ABS(D366)*E366,PlotData!$CB$4)</f>
        <v>0</v>
      </c>
      <c r="N366" s="968">
        <f>IF(AND(ISNUMBER(System!$C10),E366&lt;&gt;0),M366 - $E$1*ABS(D366)*E366,PlotData!$CB$4)</f>
        <v>0</v>
      </c>
      <c r="O366" s="967">
        <f>IF(AND(ISNUMBER(System!$C10),E366&lt;&gt;0),L366 - $E$1*ABS(D366)*E366,PlotData!$CB$4)</f>
        <v>0</v>
      </c>
      <c r="P366" s="968">
        <f>IF(AND(ISNUMBER(System!$C10),E366&lt;&gt;0),L366 - $N$1*$E$1*ABS(D366)*E366,PlotData!$CB$4)</f>
        <v>0</v>
      </c>
      <c r="Q366" s="970">
        <f>IF(AND(ISNUMBER(System!$C10),E366&lt;&gt;0),M366 -$N$1*$E$1*ABS(D366)*E366,PlotData!$CB$4)</f>
        <v>0</v>
      </c>
    </row>
    <row r="367" spans="1:17" x14ac:dyDescent="0.25">
      <c r="A367" s="910">
        <v>8</v>
      </c>
      <c r="B367" s="966">
        <f t="shared" si="129"/>
        <v>0</v>
      </c>
      <c r="C367" s="967">
        <f t="shared" si="129"/>
        <v>0</v>
      </c>
      <c r="D367" s="968">
        <f t="shared" si="129"/>
        <v>0</v>
      </c>
      <c r="E367" s="969">
        <f>IF(AND(ISNUMBER(System!$C11),System!AM11&lt;&gt;0),SIGN(System!AM11),0)</f>
        <v>0</v>
      </c>
      <c r="F367" s="966">
        <f>IF(AND(ISNUMBER(System!$C11),E367&lt;&gt;0),System!BC129,PlotData!$CB$3)</f>
        <v>0</v>
      </c>
      <c r="G367" s="967">
        <f>IF(AND(ISNUMBER(System!$C11),E367&lt;&gt;0),System!BD129,PlotData!$CB$3)</f>
        <v>0</v>
      </c>
      <c r="H367" s="968">
        <f>IF(AND(ISNUMBER(System!$C11),E367&lt;&gt;0),G367,PlotData!$CB$3)</f>
        <v>0</v>
      </c>
      <c r="I367" s="967">
        <f>IF(AND(ISNUMBER(System!$C11),E367&lt;&gt;0),F367,PlotData!$CB$3)</f>
        <v>0</v>
      </c>
      <c r="J367" s="968">
        <f>IF(AND(ISNUMBER(System!$C11),E367&lt;&gt;0),F367,PlotData!$CB$3)</f>
        <v>0</v>
      </c>
      <c r="K367" s="970">
        <f>IF(AND(ISNUMBER(System!$C11),E367&lt;&gt;0),G367,PlotData!$CB$3)</f>
        <v>0</v>
      </c>
      <c r="L367" s="966">
        <f>IF(AND(ISNUMBER(System!$C11),E367&lt;&gt;0),System!BE129-IF(D367&lt;&gt;0,1,0)*$J$1*MIN($E$1,B367)*ABS(C367)*E367 - $H$1*$E$1*ABS(D367)*E367,PlotData!$CB$4)</f>
        <v>0</v>
      </c>
      <c r="M367" s="967">
        <f>IF(AND(ISNUMBER(System!$C11),E367&lt;&gt;0),System!BF129-IF(D367&lt;&gt;0,1,0)*$J$1*MIN($E$1,B367)*ABS(C367)*E367 - $H$1*$E$1*ABS(D367)*E367,PlotData!$CB$4)</f>
        <v>0</v>
      </c>
      <c r="N367" s="968">
        <f>IF(AND(ISNUMBER(System!$C11),E367&lt;&gt;0),M367 - $E$1*ABS(D367)*E367,PlotData!$CB$4)</f>
        <v>0</v>
      </c>
      <c r="O367" s="967">
        <f>IF(AND(ISNUMBER(System!$C11),E367&lt;&gt;0),L367 - $E$1*ABS(D367)*E367,PlotData!$CB$4)</f>
        <v>0</v>
      </c>
      <c r="P367" s="968">
        <f>IF(AND(ISNUMBER(System!$C11),E367&lt;&gt;0),L367 - $N$1*$E$1*ABS(D367)*E367,PlotData!$CB$4)</f>
        <v>0</v>
      </c>
      <c r="Q367" s="970">
        <f>IF(AND(ISNUMBER(System!$C11),E367&lt;&gt;0),M367 -$N$1*$E$1*ABS(D367)*E367,PlotData!$CB$4)</f>
        <v>0</v>
      </c>
    </row>
    <row r="368" spans="1:17" x14ac:dyDescent="0.25">
      <c r="A368" s="910">
        <v>9</v>
      </c>
      <c r="B368" s="966">
        <f t="shared" si="129"/>
        <v>0</v>
      </c>
      <c r="C368" s="967">
        <f t="shared" si="129"/>
        <v>0</v>
      </c>
      <c r="D368" s="968">
        <f t="shared" si="129"/>
        <v>0</v>
      </c>
      <c r="E368" s="969">
        <f>IF(AND(ISNUMBER(System!$C12),System!AM12&lt;&gt;0),SIGN(System!AM12),0)</f>
        <v>0</v>
      </c>
      <c r="F368" s="966">
        <f>IF(AND(ISNUMBER(System!$C12),E368&lt;&gt;0),System!BC130,PlotData!$CB$3)</f>
        <v>0</v>
      </c>
      <c r="G368" s="967">
        <f>IF(AND(ISNUMBER(System!$C12),E368&lt;&gt;0),System!BD130,PlotData!$CB$3)</f>
        <v>0</v>
      </c>
      <c r="H368" s="968">
        <f>IF(AND(ISNUMBER(System!$C12),E368&lt;&gt;0),G368,PlotData!$CB$3)</f>
        <v>0</v>
      </c>
      <c r="I368" s="967">
        <f>IF(AND(ISNUMBER(System!$C12),E368&lt;&gt;0),F368,PlotData!$CB$3)</f>
        <v>0</v>
      </c>
      <c r="J368" s="968">
        <f>IF(AND(ISNUMBER(System!$C12),E368&lt;&gt;0),F368,PlotData!$CB$3)</f>
        <v>0</v>
      </c>
      <c r="K368" s="970">
        <f>IF(AND(ISNUMBER(System!$C12),E368&lt;&gt;0),G368,PlotData!$CB$3)</f>
        <v>0</v>
      </c>
      <c r="L368" s="966">
        <f>IF(AND(ISNUMBER(System!$C12),E368&lt;&gt;0),System!BE130-IF(D368&lt;&gt;0,1,0)*$J$1*MIN($E$1,B368)*ABS(C368)*E368 - $H$1*$E$1*ABS(D368)*E368,PlotData!$CB$4)</f>
        <v>0</v>
      </c>
      <c r="M368" s="967">
        <f>IF(AND(ISNUMBER(System!$C12),E368&lt;&gt;0),System!BF130-IF(D368&lt;&gt;0,1,0)*$J$1*MIN($E$1,B368)*ABS(C368)*E368 - $H$1*$E$1*ABS(D368)*E368,PlotData!$CB$4)</f>
        <v>0</v>
      </c>
      <c r="N368" s="968">
        <f>IF(AND(ISNUMBER(System!$C12),E368&lt;&gt;0),M368 - $E$1*ABS(D368)*E368,PlotData!$CB$4)</f>
        <v>0</v>
      </c>
      <c r="O368" s="967">
        <f>IF(AND(ISNUMBER(System!$C12),E368&lt;&gt;0),L368 - $E$1*ABS(D368)*E368,PlotData!$CB$4)</f>
        <v>0</v>
      </c>
      <c r="P368" s="968">
        <f>IF(AND(ISNUMBER(System!$C12),E368&lt;&gt;0),L368 - $N$1*$E$1*ABS(D368)*E368,PlotData!$CB$4)</f>
        <v>0</v>
      </c>
      <c r="Q368" s="970">
        <f>IF(AND(ISNUMBER(System!$C12),E368&lt;&gt;0),M368 -$N$1*$E$1*ABS(D368)*E368,PlotData!$CB$4)</f>
        <v>0</v>
      </c>
    </row>
    <row r="369" spans="1:17" x14ac:dyDescent="0.25">
      <c r="A369" s="910">
        <v>10</v>
      </c>
      <c r="B369" s="966">
        <f t="shared" si="129"/>
        <v>0</v>
      </c>
      <c r="C369" s="967">
        <f t="shared" si="129"/>
        <v>0</v>
      </c>
      <c r="D369" s="968">
        <f t="shared" si="129"/>
        <v>0</v>
      </c>
      <c r="E369" s="969">
        <f>IF(AND(ISNUMBER(System!$C13),System!AM13&lt;&gt;0),SIGN(System!AM13),0)</f>
        <v>0</v>
      </c>
      <c r="F369" s="966">
        <f>IF(AND(ISNUMBER(System!$C13),E369&lt;&gt;0),System!BC131,PlotData!$CB$3)</f>
        <v>0</v>
      </c>
      <c r="G369" s="967">
        <f>IF(AND(ISNUMBER(System!$C13),E369&lt;&gt;0),System!BD131,PlotData!$CB$3)</f>
        <v>0</v>
      </c>
      <c r="H369" s="968">
        <f>IF(AND(ISNUMBER(System!$C13),E369&lt;&gt;0),G369,PlotData!$CB$3)</f>
        <v>0</v>
      </c>
      <c r="I369" s="967">
        <f>IF(AND(ISNUMBER(System!$C13),E369&lt;&gt;0),F369,PlotData!$CB$3)</f>
        <v>0</v>
      </c>
      <c r="J369" s="968">
        <f>IF(AND(ISNUMBER(System!$C13),E369&lt;&gt;0),F369,PlotData!$CB$3)</f>
        <v>0</v>
      </c>
      <c r="K369" s="970">
        <f>IF(AND(ISNUMBER(System!$C13),E369&lt;&gt;0),G369,PlotData!$CB$3)</f>
        <v>0</v>
      </c>
      <c r="L369" s="966">
        <f>IF(AND(ISNUMBER(System!$C13),E369&lt;&gt;0),System!BE131-IF(D369&lt;&gt;0,1,0)*$J$1*MIN($E$1,B369)*ABS(C369)*E369 - $H$1*$E$1*ABS(D369)*E369,PlotData!$CB$4)</f>
        <v>0</v>
      </c>
      <c r="M369" s="967">
        <f>IF(AND(ISNUMBER(System!$C13),E369&lt;&gt;0),System!BF131-IF(D369&lt;&gt;0,1,0)*$J$1*MIN($E$1,B369)*ABS(C369)*E369 - $H$1*$E$1*ABS(D369)*E369,PlotData!$CB$4)</f>
        <v>0</v>
      </c>
      <c r="N369" s="968">
        <f>IF(AND(ISNUMBER(System!$C13),E369&lt;&gt;0),M369 - $E$1*ABS(D369)*E369,PlotData!$CB$4)</f>
        <v>0</v>
      </c>
      <c r="O369" s="967">
        <f>IF(AND(ISNUMBER(System!$C13),E369&lt;&gt;0),L369 - $E$1*ABS(D369)*E369,PlotData!$CB$4)</f>
        <v>0</v>
      </c>
      <c r="P369" s="968">
        <f>IF(AND(ISNUMBER(System!$C13),E369&lt;&gt;0),L369 - $N$1*$E$1*ABS(D369)*E369,PlotData!$CB$4)</f>
        <v>0</v>
      </c>
      <c r="Q369" s="970">
        <f>IF(AND(ISNUMBER(System!$C13),E369&lt;&gt;0),M369 -$N$1*$E$1*ABS(D369)*E369,PlotData!$CB$4)</f>
        <v>0</v>
      </c>
    </row>
    <row r="370" spans="1:17" x14ac:dyDescent="0.25">
      <c r="A370" s="910">
        <v>11</v>
      </c>
      <c r="B370" s="966">
        <f t="shared" si="129"/>
        <v>0</v>
      </c>
      <c r="C370" s="967">
        <f t="shared" si="129"/>
        <v>0</v>
      </c>
      <c r="D370" s="968">
        <f t="shared" si="129"/>
        <v>0</v>
      </c>
      <c r="E370" s="969">
        <f>IF(AND(ISNUMBER(System!$C14),System!AM14&lt;&gt;0),SIGN(System!AM14),0)</f>
        <v>0</v>
      </c>
      <c r="F370" s="966">
        <f>IF(AND(ISNUMBER(System!$C14),E370&lt;&gt;0),System!BC132,PlotData!$CB$3)</f>
        <v>0</v>
      </c>
      <c r="G370" s="967">
        <f>IF(AND(ISNUMBER(System!$C14),E370&lt;&gt;0),System!BD132,PlotData!$CB$3)</f>
        <v>0</v>
      </c>
      <c r="H370" s="968">
        <f>IF(AND(ISNUMBER(System!$C14),E370&lt;&gt;0),G370,PlotData!$CB$3)</f>
        <v>0</v>
      </c>
      <c r="I370" s="967">
        <f>IF(AND(ISNUMBER(System!$C14),E370&lt;&gt;0),F370,PlotData!$CB$3)</f>
        <v>0</v>
      </c>
      <c r="J370" s="968">
        <f>IF(AND(ISNUMBER(System!$C14),E370&lt;&gt;0),F370,PlotData!$CB$3)</f>
        <v>0</v>
      </c>
      <c r="K370" s="970">
        <f>IF(AND(ISNUMBER(System!$C14),E370&lt;&gt;0),G370,PlotData!$CB$3)</f>
        <v>0</v>
      </c>
      <c r="L370" s="966">
        <f>IF(AND(ISNUMBER(System!$C14),E370&lt;&gt;0),System!BE132-IF(D370&lt;&gt;0,1,0)*$J$1*MIN($E$1,B370)*ABS(C370)*E370 - $H$1*$E$1*ABS(D370)*E370,PlotData!$CB$4)</f>
        <v>0</v>
      </c>
      <c r="M370" s="967">
        <f>IF(AND(ISNUMBER(System!$C14),E370&lt;&gt;0),System!BF132-IF(D370&lt;&gt;0,1,0)*$J$1*MIN($E$1,B370)*ABS(C370)*E370 - $H$1*$E$1*ABS(D370)*E370,PlotData!$CB$4)</f>
        <v>0</v>
      </c>
      <c r="N370" s="968">
        <f>IF(AND(ISNUMBER(System!$C14),E370&lt;&gt;0),M370 - $E$1*ABS(D370)*E370,PlotData!$CB$4)</f>
        <v>0</v>
      </c>
      <c r="O370" s="967">
        <f>IF(AND(ISNUMBER(System!$C14),E370&lt;&gt;0),L370 - $E$1*ABS(D370)*E370,PlotData!$CB$4)</f>
        <v>0</v>
      </c>
      <c r="P370" s="968">
        <f>IF(AND(ISNUMBER(System!$C14),E370&lt;&gt;0),L370 - $N$1*$E$1*ABS(D370)*E370,PlotData!$CB$4)</f>
        <v>0</v>
      </c>
      <c r="Q370" s="970">
        <f>IF(AND(ISNUMBER(System!$C14),E370&lt;&gt;0),M370 -$N$1*$E$1*ABS(D370)*E370,PlotData!$CB$4)</f>
        <v>0</v>
      </c>
    </row>
    <row r="371" spans="1:17" x14ac:dyDescent="0.25">
      <c r="A371" s="910">
        <v>12</v>
      </c>
      <c r="B371" s="966">
        <f t="shared" si="129"/>
        <v>0</v>
      </c>
      <c r="C371" s="967">
        <f t="shared" si="129"/>
        <v>0</v>
      </c>
      <c r="D371" s="968">
        <f t="shared" si="129"/>
        <v>0</v>
      </c>
      <c r="E371" s="969">
        <f>IF(AND(ISNUMBER(System!$C15),System!AM15&lt;&gt;0),SIGN(System!AM15),0)</f>
        <v>0</v>
      </c>
      <c r="F371" s="966">
        <f>IF(AND(ISNUMBER(System!$C15),E371&lt;&gt;0),System!BC133,PlotData!$CB$3)</f>
        <v>0</v>
      </c>
      <c r="G371" s="967">
        <f>IF(AND(ISNUMBER(System!$C15),E371&lt;&gt;0),System!BD133,PlotData!$CB$3)</f>
        <v>0</v>
      </c>
      <c r="H371" s="968">
        <f>IF(AND(ISNUMBER(System!$C15),E371&lt;&gt;0),G371,PlotData!$CB$3)</f>
        <v>0</v>
      </c>
      <c r="I371" s="967">
        <f>IF(AND(ISNUMBER(System!$C15),E371&lt;&gt;0),F371,PlotData!$CB$3)</f>
        <v>0</v>
      </c>
      <c r="J371" s="968">
        <f>IF(AND(ISNUMBER(System!$C15),E371&lt;&gt;0),F371,PlotData!$CB$3)</f>
        <v>0</v>
      </c>
      <c r="K371" s="970">
        <f>IF(AND(ISNUMBER(System!$C15),E371&lt;&gt;0),G371,PlotData!$CB$3)</f>
        <v>0</v>
      </c>
      <c r="L371" s="966">
        <f>IF(AND(ISNUMBER(System!$C15),E371&lt;&gt;0),System!BE133-IF(D371&lt;&gt;0,1,0)*$J$1*MIN($E$1,B371)*ABS(C371)*E371 - $H$1*$E$1*ABS(D371)*E371,PlotData!$CB$4)</f>
        <v>0</v>
      </c>
      <c r="M371" s="967">
        <f>IF(AND(ISNUMBER(System!$C15),E371&lt;&gt;0),System!BF133-IF(D371&lt;&gt;0,1,0)*$J$1*MIN($E$1,B371)*ABS(C371)*E371 - $H$1*$E$1*ABS(D371)*E371,PlotData!$CB$4)</f>
        <v>0</v>
      </c>
      <c r="N371" s="968">
        <f>IF(AND(ISNUMBER(System!$C15),E371&lt;&gt;0),M371 - $E$1*ABS(D371)*E371,PlotData!$CB$4)</f>
        <v>0</v>
      </c>
      <c r="O371" s="967">
        <f>IF(AND(ISNUMBER(System!$C15),E371&lt;&gt;0),L371 - $E$1*ABS(D371)*E371,PlotData!$CB$4)</f>
        <v>0</v>
      </c>
      <c r="P371" s="968">
        <f>IF(AND(ISNUMBER(System!$C15),E371&lt;&gt;0),L371 - $N$1*$E$1*ABS(D371)*E371,PlotData!$CB$4)</f>
        <v>0</v>
      </c>
      <c r="Q371" s="970">
        <f>IF(AND(ISNUMBER(System!$C15),E371&lt;&gt;0),M371 -$N$1*$E$1*ABS(D371)*E371,PlotData!$CB$4)</f>
        <v>0</v>
      </c>
    </row>
    <row r="372" spans="1:17" x14ac:dyDescent="0.25">
      <c r="A372" s="910">
        <v>13</v>
      </c>
      <c r="B372" s="966">
        <f t="shared" si="129"/>
        <v>0</v>
      </c>
      <c r="C372" s="967">
        <f t="shared" si="129"/>
        <v>0</v>
      </c>
      <c r="D372" s="968">
        <f t="shared" si="129"/>
        <v>0</v>
      </c>
      <c r="E372" s="969">
        <f>IF(AND(ISNUMBER(System!$C16),System!AM16&lt;&gt;0),SIGN(System!AM16),0)</f>
        <v>0</v>
      </c>
      <c r="F372" s="966">
        <f>IF(AND(ISNUMBER(System!$C16),E372&lt;&gt;0),System!BC134,PlotData!$CB$3)</f>
        <v>0</v>
      </c>
      <c r="G372" s="967">
        <f>IF(AND(ISNUMBER(System!$C16),E372&lt;&gt;0),System!BD134,PlotData!$CB$3)</f>
        <v>0</v>
      </c>
      <c r="H372" s="968">
        <f>IF(AND(ISNUMBER(System!$C16),E372&lt;&gt;0),G372,PlotData!$CB$3)</f>
        <v>0</v>
      </c>
      <c r="I372" s="967">
        <f>IF(AND(ISNUMBER(System!$C16),E372&lt;&gt;0),F372,PlotData!$CB$3)</f>
        <v>0</v>
      </c>
      <c r="J372" s="968">
        <f>IF(AND(ISNUMBER(System!$C16),E372&lt;&gt;0),F372,PlotData!$CB$3)</f>
        <v>0</v>
      </c>
      <c r="K372" s="970">
        <f>IF(AND(ISNUMBER(System!$C16),E372&lt;&gt;0),G372,PlotData!$CB$3)</f>
        <v>0</v>
      </c>
      <c r="L372" s="966">
        <f>IF(AND(ISNUMBER(System!$C16),E372&lt;&gt;0),System!BE134-IF(D372&lt;&gt;0,1,0)*$J$1*MIN($E$1,B372)*ABS(C372)*E372 - $H$1*$E$1*ABS(D372)*E372,PlotData!$CB$4)</f>
        <v>0</v>
      </c>
      <c r="M372" s="967">
        <f>IF(AND(ISNUMBER(System!$C16),E372&lt;&gt;0),System!BF134-IF(D372&lt;&gt;0,1,0)*$J$1*MIN($E$1,B372)*ABS(C372)*E372 - $H$1*$E$1*ABS(D372)*E372,PlotData!$CB$4)</f>
        <v>0</v>
      </c>
      <c r="N372" s="968">
        <f>IF(AND(ISNUMBER(System!$C16),E372&lt;&gt;0),M372 - $E$1*ABS(D372)*E372,PlotData!$CB$4)</f>
        <v>0</v>
      </c>
      <c r="O372" s="967">
        <f>IF(AND(ISNUMBER(System!$C16),E372&lt;&gt;0),L372 - $E$1*ABS(D372)*E372,PlotData!$CB$4)</f>
        <v>0</v>
      </c>
      <c r="P372" s="968">
        <f>IF(AND(ISNUMBER(System!$C16),E372&lt;&gt;0),L372 - $N$1*$E$1*ABS(D372)*E372,PlotData!$CB$4)</f>
        <v>0</v>
      </c>
      <c r="Q372" s="970">
        <f>IF(AND(ISNUMBER(System!$C16),E372&lt;&gt;0),M372 -$N$1*$E$1*ABS(D372)*E372,PlotData!$CB$4)</f>
        <v>0</v>
      </c>
    </row>
    <row r="373" spans="1:17" x14ac:dyDescent="0.25">
      <c r="A373" s="910">
        <v>14</v>
      </c>
      <c r="B373" s="966">
        <f t="shared" si="129"/>
        <v>0</v>
      </c>
      <c r="C373" s="967">
        <f t="shared" si="129"/>
        <v>0</v>
      </c>
      <c r="D373" s="968">
        <f t="shared" si="129"/>
        <v>0</v>
      </c>
      <c r="E373" s="969">
        <f>IF(AND(ISNUMBER(System!$C17),System!AM17&lt;&gt;0),SIGN(System!AM17),0)</f>
        <v>0</v>
      </c>
      <c r="F373" s="966">
        <f>IF(AND(ISNUMBER(System!$C17),E373&lt;&gt;0),System!BC135,PlotData!$CB$3)</f>
        <v>0</v>
      </c>
      <c r="G373" s="967">
        <f>IF(AND(ISNUMBER(System!$C17),E373&lt;&gt;0),System!BD135,PlotData!$CB$3)</f>
        <v>0</v>
      </c>
      <c r="H373" s="968">
        <f>IF(AND(ISNUMBER(System!$C17),E373&lt;&gt;0),G373,PlotData!$CB$3)</f>
        <v>0</v>
      </c>
      <c r="I373" s="967">
        <f>IF(AND(ISNUMBER(System!$C17),E373&lt;&gt;0),F373,PlotData!$CB$3)</f>
        <v>0</v>
      </c>
      <c r="J373" s="968">
        <f>IF(AND(ISNUMBER(System!$C17),E373&lt;&gt;0),F373,PlotData!$CB$3)</f>
        <v>0</v>
      </c>
      <c r="K373" s="970">
        <f>IF(AND(ISNUMBER(System!$C17),E373&lt;&gt;0),G373,PlotData!$CB$3)</f>
        <v>0</v>
      </c>
      <c r="L373" s="966">
        <f>IF(AND(ISNUMBER(System!$C17),E373&lt;&gt;0),System!BE135-IF(D373&lt;&gt;0,1,0)*$J$1*MIN($E$1,B373)*ABS(C373)*E373 - $H$1*$E$1*ABS(D373)*E373,PlotData!$CB$4)</f>
        <v>0</v>
      </c>
      <c r="M373" s="967">
        <f>IF(AND(ISNUMBER(System!$C17),E373&lt;&gt;0),System!BF135-IF(D373&lt;&gt;0,1,0)*$J$1*MIN($E$1,B373)*ABS(C373)*E373 - $H$1*$E$1*ABS(D373)*E373,PlotData!$CB$4)</f>
        <v>0</v>
      </c>
      <c r="N373" s="968">
        <f>IF(AND(ISNUMBER(System!$C17),E373&lt;&gt;0),M373 - $E$1*ABS(D373)*E373,PlotData!$CB$4)</f>
        <v>0</v>
      </c>
      <c r="O373" s="967">
        <f>IF(AND(ISNUMBER(System!$C17),E373&lt;&gt;0),L373 - $E$1*ABS(D373)*E373,PlotData!$CB$4)</f>
        <v>0</v>
      </c>
      <c r="P373" s="968">
        <f>IF(AND(ISNUMBER(System!$C17),E373&lt;&gt;0),L373 - $N$1*$E$1*ABS(D373)*E373,PlotData!$CB$4)</f>
        <v>0</v>
      </c>
      <c r="Q373" s="970">
        <f>IF(AND(ISNUMBER(System!$C17),E373&lt;&gt;0),M373 -$N$1*$E$1*ABS(D373)*E373,PlotData!$CB$4)</f>
        <v>0</v>
      </c>
    </row>
    <row r="374" spans="1:17" x14ac:dyDescent="0.25">
      <c r="A374" s="910">
        <v>15</v>
      </c>
      <c r="B374" s="966">
        <f t="shared" si="129"/>
        <v>0</v>
      </c>
      <c r="C374" s="967">
        <f t="shared" si="129"/>
        <v>0</v>
      </c>
      <c r="D374" s="968">
        <f t="shared" si="129"/>
        <v>0</v>
      </c>
      <c r="E374" s="969">
        <f>IF(AND(ISNUMBER(System!$C18),System!AM18&lt;&gt;0),SIGN(System!AM18),0)</f>
        <v>0</v>
      </c>
      <c r="F374" s="966">
        <f>IF(AND(ISNUMBER(System!$C18),E374&lt;&gt;0),System!BC136,PlotData!$CB$3)</f>
        <v>0</v>
      </c>
      <c r="G374" s="967">
        <f>IF(AND(ISNUMBER(System!$C18),E374&lt;&gt;0),System!BD136,PlotData!$CB$3)</f>
        <v>0</v>
      </c>
      <c r="H374" s="968">
        <f>IF(AND(ISNUMBER(System!$C18),E374&lt;&gt;0),G374,PlotData!$CB$3)</f>
        <v>0</v>
      </c>
      <c r="I374" s="967">
        <f>IF(AND(ISNUMBER(System!$C18),E374&lt;&gt;0),F374,PlotData!$CB$3)</f>
        <v>0</v>
      </c>
      <c r="J374" s="968">
        <f>IF(AND(ISNUMBER(System!$C18),E374&lt;&gt;0),F374,PlotData!$CB$3)</f>
        <v>0</v>
      </c>
      <c r="K374" s="970">
        <f>IF(AND(ISNUMBER(System!$C18),E374&lt;&gt;0),G374,PlotData!$CB$3)</f>
        <v>0</v>
      </c>
      <c r="L374" s="966">
        <f>IF(AND(ISNUMBER(System!$C18),E374&lt;&gt;0),System!BE136-IF(D374&lt;&gt;0,1,0)*$J$1*MIN($E$1,B374)*ABS(C374)*E374 - $H$1*$E$1*ABS(D374)*E374,PlotData!$CB$4)</f>
        <v>0</v>
      </c>
      <c r="M374" s="967">
        <f>IF(AND(ISNUMBER(System!$C18),E374&lt;&gt;0),System!BF136-IF(D374&lt;&gt;0,1,0)*$J$1*MIN($E$1,B374)*ABS(C374)*E374 - $H$1*$E$1*ABS(D374)*E374,PlotData!$CB$4)</f>
        <v>0</v>
      </c>
      <c r="N374" s="968">
        <f>IF(AND(ISNUMBER(System!$C18),E374&lt;&gt;0),M374 - $E$1*ABS(D374)*E374,PlotData!$CB$4)</f>
        <v>0</v>
      </c>
      <c r="O374" s="967">
        <f>IF(AND(ISNUMBER(System!$C18),E374&lt;&gt;0),L374 - $E$1*ABS(D374)*E374,PlotData!$CB$4)</f>
        <v>0</v>
      </c>
      <c r="P374" s="968">
        <f>IF(AND(ISNUMBER(System!$C18),E374&lt;&gt;0),L374 - $N$1*$E$1*ABS(D374)*E374,PlotData!$CB$4)</f>
        <v>0</v>
      </c>
      <c r="Q374" s="970">
        <f>IF(AND(ISNUMBER(System!$C18),E374&lt;&gt;0),M374 -$N$1*$E$1*ABS(D374)*E374,PlotData!$CB$4)</f>
        <v>0</v>
      </c>
    </row>
    <row r="375" spans="1:17" x14ac:dyDescent="0.25">
      <c r="A375" s="910">
        <v>16</v>
      </c>
      <c r="B375" s="966">
        <f t="shared" si="129"/>
        <v>0</v>
      </c>
      <c r="C375" s="967">
        <f t="shared" si="129"/>
        <v>0</v>
      </c>
      <c r="D375" s="968">
        <f t="shared" si="129"/>
        <v>0</v>
      </c>
      <c r="E375" s="969">
        <f>IF(AND(ISNUMBER(System!$C19),System!AM19&lt;&gt;0),SIGN(System!AM19),0)</f>
        <v>0</v>
      </c>
      <c r="F375" s="966">
        <f>IF(AND(ISNUMBER(System!$C19),E375&lt;&gt;0),System!BC137,PlotData!$CB$3)</f>
        <v>0</v>
      </c>
      <c r="G375" s="967">
        <f>IF(AND(ISNUMBER(System!$C19),E375&lt;&gt;0),System!BD137,PlotData!$CB$3)</f>
        <v>0</v>
      </c>
      <c r="H375" s="968">
        <f>IF(AND(ISNUMBER(System!$C19),E375&lt;&gt;0),G375,PlotData!$CB$3)</f>
        <v>0</v>
      </c>
      <c r="I375" s="967">
        <f>IF(AND(ISNUMBER(System!$C19),E375&lt;&gt;0),F375,PlotData!$CB$3)</f>
        <v>0</v>
      </c>
      <c r="J375" s="968">
        <f>IF(AND(ISNUMBER(System!$C19),E375&lt;&gt;0),F375,PlotData!$CB$3)</f>
        <v>0</v>
      </c>
      <c r="K375" s="970">
        <f>IF(AND(ISNUMBER(System!$C19),E375&lt;&gt;0),G375,PlotData!$CB$3)</f>
        <v>0</v>
      </c>
      <c r="L375" s="966">
        <f>IF(AND(ISNUMBER(System!$C19),E375&lt;&gt;0),System!BE137-IF(D375&lt;&gt;0,1,0)*$J$1*MIN($E$1,B375)*ABS(C375)*E375 - $H$1*$E$1*ABS(D375)*E375,PlotData!$CB$4)</f>
        <v>0</v>
      </c>
      <c r="M375" s="967">
        <f>IF(AND(ISNUMBER(System!$C19),E375&lt;&gt;0),System!BF137-IF(D375&lt;&gt;0,1,0)*$J$1*MIN($E$1,B375)*ABS(C375)*E375 - $H$1*$E$1*ABS(D375)*E375,PlotData!$CB$4)</f>
        <v>0</v>
      </c>
      <c r="N375" s="968">
        <f>IF(AND(ISNUMBER(System!$C19),E375&lt;&gt;0),M375 - $E$1*ABS(D375)*E375,PlotData!$CB$4)</f>
        <v>0</v>
      </c>
      <c r="O375" s="967">
        <f>IF(AND(ISNUMBER(System!$C19),E375&lt;&gt;0),L375 - $E$1*ABS(D375)*E375,PlotData!$CB$4)</f>
        <v>0</v>
      </c>
      <c r="P375" s="968">
        <f>IF(AND(ISNUMBER(System!$C19),E375&lt;&gt;0),L375 - $N$1*$E$1*ABS(D375)*E375,PlotData!$CB$4)</f>
        <v>0</v>
      </c>
      <c r="Q375" s="970">
        <f>IF(AND(ISNUMBER(System!$C19),E375&lt;&gt;0),M375 -$N$1*$E$1*ABS(D375)*E375,PlotData!$CB$4)</f>
        <v>0</v>
      </c>
    </row>
    <row r="376" spans="1:17" x14ac:dyDescent="0.25">
      <c r="A376" s="910">
        <v>17</v>
      </c>
      <c r="B376" s="966">
        <f t="shared" si="129"/>
        <v>0</v>
      </c>
      <c r="C376" s="967">
        <f t="shared" si="129"/>
        <v>0</v>
      </c>
      <c r="D376" s="968">
        <f t="shared" si="129"/>
        <v>0</v>
      </c>
      <c r="E376" s="969">
        <f>IF(AND(ISNUMBER(System!$C20),System!AM20&lt;&gt;0),SIGN(System!AM20),0)</f>
        <v>0</v>
      </c>
      <c r="F376" s="966">
        <f>IF(AND(ISNUMBER(System!$C20),E376&lt;&gt;0),System!BC138,PlotData!$CB$3)</f>
        <v>0</v>
      </c>
      <c r="G376" s="967">
        <f>IF(AND(ISNUMBER(System!$C20),E376&lt;&gt;0),System!BD138,PlotData!$CB$3)</f>
        <v>0</v>
      </c>
      <c r="H376" s="968">
        <f>IF(AND(ISNUMBER(System!$C20),E376&lt;&gt;0),G376,PlotData!$CB$3)</f>
        <v>0</v>
      </c>
      <c r="I376" s="967">
        <f>IF(AND(ISNUMBER(System!$C20),E376&lt;&gt;0),F376,PlotData!$CB$3)</f>
        <v>0</v>
      </c>
      <c r="J376" s="968">
        <f>IF(AND(ISNUMBER(System!$C20),E376&lt;&gt;0),F376,PlotData!$CB$3)</f>
        <v>0</v>
      </c>
      <c r="K376" s="970">
        <f>IF(AND(ISNUMBER(System!$C20),E376&lt;&gt;0),G376,PlotData!$CB$3)</f>
        <v>0</v>
      </c>
      <c r="L376" s="966">
        <f>IF(AND(ISNUMBER(System!$C20),E376&lt;&gt;0),System!BE138-IF(D376&lt;&gt;0,1,0)*$J$1*MIN($E$1,B376)*ABS(C376)*E376 - $H$1*$E$1*ABS(D376)*E376,PlotData!$CB$4)</f>
        <v>0</v>
      </c>
      <c r="M376" s="967">
        <f>IF(AND(ISNUMBER(System!$C20),E376&lt;&gt;0),System!BF138-IF(D376&lt;&gt;0,1,0)*$J$1*MIN($E$1,B376)*ABS(C376)*E376 - $H$1*$E$1*ABS(D376)*E376,PlotData!$CB$4)</f>
        <v>0</v>
      </c>
      <c r="N376" s="968">
        <f>IF(AND(ISNUMBER(System!$C20),E376&lt;&gt;0),M376 - $E$1*ABS(D376)*E376,PlotData!$CB$4)</f>
        <v>0</v>
      </c>
      <c r="O376" s="967">
        <f>IF(AND(ISNUMBER(System!$C20),E376&lt;&gt;0),L376 - $E$1*ABS(D376)*E376,PlotData!$CB$4)</f>
        <v>0</v>
      </c>
      <c r="P376" s="968">
        <f>IF(AND(ISNUMBER(System!$C20),E376&lt;&gt;0),L376 - $N$1*$E$1*ABS(D376)*E376,PlotData!$CB$4)</f>
        <v>0</v>
      </c>
      <c r="Q376" s="970">
        <f>IF(AND(ISNUMBER(System!$C20),E376&lt;&gt;0),M376 -$N$1*$E$1*ABS(D376)*E376,PlotData!$CB$4)</f>
        <v>0</v>
      </c>
    </row>
    <row r="377" spans="1:17" x14ac:dyDescent="0.25">
      <c r="A377" s="910">
        <v>18</v>
      </c>
      <c r="B377" s="966">
        <f t="shared" si="129"/>
        <v>0</v>
      </c>
      <c r="C377" s="967">
        <f t="shared" si="129"/>
        <v>0</v>
      </c>
      <c r="D377" s="968">
        <f t="shared" si="129"/>
        <v>0</v>
      </c>
      <c r="E377" s="969">
        <f>IF(AND(ISNUMBER(System!$C21),System!AM21&lt;&gt;0),SIGN(System!AM21),0)</f>
        <v>0</v>
      </c>
      <c r="F377" s="966">
        <f>IF(AND(ISNUMBER(System!$C21),E377&lt;&gt;0),System!BC139,PlotData!$CB$3)</f>
        <v>0</v>
      </c>
      <c r="G377" s="967">
        <f>IF(AND(ISNUMBER(System!$C21),E377&lt;&gt;0),System!BD139,PlotData!$CB$3)</f>
        <v>0</v>
      </c>
      <c r="H377" s="968">
        <f>IF(AND(ISNUMBER(System!$C21),E377&lt;&gt;0),G377,PlotData!$CB$3)</f>
        <v>0</v>
      </c>
      <c r="I377" s="967">
        <f>IF(AND(ISNUMBER(System!$C21),E377&lt;&gt;0),F377,PlotData!$CB$3)</f>
        <v>0</v>
      </c>
      <c r="J377" s="968">
        <f>IF(AND(ISNUMBER(System!$C21),E377&lt;&gt;0),F377,PlotData!$CB$3)</f>
        <v>0</v>
      </c>
      <c r="K377" s="970">
        <f>IF(AND(ISNUMBER(System!$C21),E377&lt;&gt;0),G377,PlotData!$CB$3)</f>
        <v>0</v>
      </c>
      <c r="L377" s="966">
        <f>IF(AND(ISNUMBER(System!$C21),E377&lt;&gt;0),System!BE139-IF(D377&lt;&gt;0,1,0)*$J$1*MIN($E$1,B377)*ABS(C377)*E377 - $H$1*$E$1*ABS(D377)*E377,PlotData!$CB$4)</f>
        <v>0</v>
      </c>
      <c r="M377" s="967">
        <f>IF(AND(ISNUMBER(System!$C21),E377&lt;&gt;0),System!BF139-IF(D377&lt;&gt;0,1,0)*$J$1*MIN($E$1,B377)*ABS(C377)*E377 - $H$1*$E$1*ABS(D377)*E377,PlotData!$CB$4)</f>
        <v>0</v>
      </c>
      <c r="N377" s="968">
        <f>IF(AND(ISNUMBER(System!$C21),E377&lt;&gt;0),M377 - $E$1*ABS(D377)*E377,PlotData!$CB$4)</f>
        <v>0</v>
      </c>
      <c r="O377" s="967">
        <f>IF(AND(ISNUMBER(System!$C21),E377&lt;&gt;0),L377 - $E$1*ABS(D377)*E377,PlotData!$CB$4)</f>
        <v>0</v>
      </c>
      <c r="P377" s="968">
        <f>IF(AND(ISNUMBER(System!$C21),E377&lt;&gt;0),L377 - $N$1*$E$1*ABS(D377)*E377,PlotData!$CB$4)</f>
        <v>0</v>
      </c>
      <c r="Q377" s="970">
        <f>IF(AND(ISNUMBER(System!$C21),E377&lt;&gt;0),M377 -$N$1*$E$1*ABS(D377)*E377,PlotData!$CB$4)</f>
        <v>0</v>
      </c>
    </row>
    <row r="378" spans="1:17" x14ac:dyDescent="0.25">
      <c r="A378" s="910">
        <v>19</v>
      </c>
      <c r="B378" s="966">
        <f t="shared" si="129"/>
        <v>0</v>
      </c>
      <c r="C378" s="967">
        <f t="shared" si="129"/>
        <v>0</v>
      </c>
      <c r="D378" s="968">
        <f t="shared" si="129"/>
        <v>0</v>
      </c>
      <c r="E378" s="969">
        <f>IF(AND(ISNUMBER(System!$C22),System!AM22&lt;&gt;0),SIGN(System!AM22),0)</f>
        <v>0</v>
      </c>
      <c r="F378" s="966">
        <f>IF(AND(ISNUMBER(System!$C22),E378&lt;&gt;0),System!BC140,PlotData!$CB$3)</f>
        <v>0</v>
      </c>
      <c r="G378" s="967">
        <f>IF(AND(ISNUMBER(System!$C22),E378&lt;&gt;0),System!BD140,PlotData!$CB$3)</f>
        <v>0</v>
      </c>
      <c r="H378" s="968">
        <f>IF(AND(ISNUMBER(System!$C22),E378&lt;&gt;0),G378,PlotData!$CB$3)</f>
        <v>0</v>
      </c>
      <c r="I378" s="967">
        <f>IF(AND(ISNUMBER(System!$C22),E378&lt;&gt;0),F378,PlotData!$CB$3)</f>
        <v>0</v>
      </c>
      <c r="J378" s="968">
        <f>IF(AND(ISNUMBER(System!$C22),E378&lt;&gt;0),F378,PlotData!$CB$3)</f>
        <v>0</v>
      </c>
      <c r="K378" s="970">
        <f>IF(AND(ISNUMBER(System!$C22),E378&lt;&gt;0),G378,PlotData!$CB$3)</f>
        <v>0</v>
      </c>
      <c r="L378" s="966">
        <f>IF(AND(ISNUMBER(System!$C22),E378&lt;&gt;0),System!BE140-IF(D378&lt;&gt;0,1,0)*$J$1*MIN($E$1,B378)*ABS(C378)*E378 - $H$1*$E$1*ABS(D378)*E378,PlotData!$CB$4)</f>
        <v>0</v>
      </c>
      <c r="M378" s="967">
        <f>IF(AND(ISNUMBER(System!$C22),E378&lt;&gt;0),System!BF140-IF(D378&lt;&gt;0,1,0)*$J$1*MIN($E$1,B378)*ABS(C378)*E378 - $H$1*$E$1*ABS(D378)*E378,PlotData!$CB$4)</f>
        <v>0</v>
      </c>
      <c r="N378" s="968">
        <f>IF(AND(ISNUMBER(System!$C22),E378&lt;&gt;0),M378 - $E$1*ABS(D378)*E378,PlotData!$CB$4)</f>
        <v>0</v>
      </c>
      <c r="O378" s="967">
        <f>IF(AND(ISNUMBER(System!$C22),E378&lt;&gt;0),L378 - $E$1*ABS(D378)*E378,PlotData!$CB$4)</f>
        <v>0</v>
      </c>
      <c r="P378" s="968">
        <f>IF(AND(ISNUMBER(System!$C22),E378&lt;&gt;0),L378 - $N$1*$E$1*ABS(D378)*E378,PlotData!$CB$4)</f>
        <v>0</v>
      </c>
      <c r="Q378" s="970">
        <f>IF(AND(ISNUMBER(System!$C22),E378&lt;&gt;0),M378 -$N$1*$E$1*ABS(D378)*E378,PlotData!$CB$4)</f>
        <v>0</v>
      </c>
    </row>
    <row r="379" spans="1:17" x14ac:dyDescent="0.25">
      <c r="A379" s="910">
        <v>20</v>
      </c>
      <c r="B379" s="966">
        <f t="shared" si="129"/>
        <v>0</v>
      </c>
      <c r="C379" s="967">
        <f t="shared" si="129"/>
        <v>0</v>
      </c>
      <c r="D379" s="968">
        <f t="shared" si="129"/>
        <v>0</v>
      </c>
      <c r="E379" s="969">
        <f>IF(AND(ISNUMBER(System!$C23),System!AM23&lt;&gt;0),SIGN(System!AM23),0)</f>
        <v>0</v>
      </c>
      <c r="F379" s="966">
        <f>IF(AND(ISNUMBER(System!$C23),E379&lt;&gt;0),System!BC141,PlotData!$CB$3)</f>
        <v>0</v>
      </c>
      <c r="G379" s="967">
        <f>IF(AND(ISNUMBER(System!$C23),E379&lt;&gt;0),System!BD141,PlotData!$CB$3)</f>
        <v>0</v>
      </c>
      <c r="H379" s="968">
        <f>IF(AND(ISNUMBER(System!$C23),E379&lt;&gt;0),G379,PlotData!$CB$3)</f>
        <v>0</v>
      </c>
      <c r="I379" s="967">
        <f>IF(AND(ISNUMBER(System!$C23),E379&lt;&gt;0),F379,PlotData!$CB$3)</f>
        <v>0</v>
      </c>
      <c r="J379" s="968">
        <f>IF(AND(ISNUMBER(System!$C23),E379&lt;&gt;0),F379,PlotData!$CB$3)</f>
        <v>0</v>
      </c>
      <c r="K379" s="970">
        <f>IF(AND(ISNUMBER(System!$C23),E379&lt;&gt;0),G379,PlotData!$CB$3)</f>
        <v>0</v>
      </c>
      <c r="L379" s="966">
        <f>IF(AND(ISNUMBER(System!$C23),E379&lt;&gt;0),System!BE141-IF(D379&lt;&gt;0,1,0)*$J$1*MIN($E$1,B379)*ABS(C379)*E379 - $H$1*$E$1*ABS(D379)*E379,PlotData!$CB$4)</f>
        <v>0</v>
      </c>
      <c r="M379" s="967">
        <f>IF(AND(ISNUMBER(System!$C23),E379&lt;&gt;0),System!BF141-IF(D379&lt;&gt;0,1,0)*$J$1*MIN($E$1,B379)*ABS(C379)*E379 - $H$1*$E$1*ABS(D379)*E379,PlotData!$CB$4)</f>
        <v>0</v>
      </c>
      <c r="N379" s="968">
        <f>IF(AND(ISNUMBER(System!$C23),E379&lt;&gt;0),M379 - $E$1*ABS(D379)*E379,PlotData!$CB$4)</f>
        <v>0</v>
      </c>
      <c r="O379" s="967">
        <f>IF(AND(ISNUMBER(System!$C23),E379&lt;&gt;0),L379 - $E$1*ABS(D379)*E379,PlotData!$CB$4)</f>
        <v>0</v>
      </c>
      <c r="P379" s="968">
        <f>IF(AND(ISNUMBER(System!$C23),E379&lt;&gt;0),L379 - $N$1*$E$1*ABS(D379)*E379,PlotData!$CB$4)</f>
        <v>0</v>
      </c>
      <c r="Q379" s="970">
        <f>IF(AND(ISNUMBER(System!$C23),E379&lt;&gt;0),M379 -$N$1*$E$1*ABS(D379)*E379,PlotData!$CB$4)</f>
        <v>0</v>
      </c>
    </row>
    <row r="380" spans="1:17" x14ac:dyDescent="0.25">
      <c r="A380" s="910">
        <v>21</v>
      </c>
      <c r="B380" s="966">
        <f t="shared" si="129"/>
        <v>0</v>
      </c>
      <c r="C380" s="967">
        <f t="shared" si="129"/>
        <v>0</v>
      </c>
      <c r="D380" s="968">
        <f t="shared" si="129"/>
        <v>0</v>
      </c>
      <c r="E380" s="969">
        <f>IF(AND(ISNUMBER(System!$C24),System!AM24&lt;&gt;0),SIGN(System!AM24),0)</f>
        <v>0</v>
      </c>
      <c r="F380" s="966">
        <f>IF(AND(ISNUMBER(System!$C24),E380&lt;&gt;0),System!BC142,PlotData!$CB$3)</f>
        <v>0</v>
      </c>
      <c r="G380" s="967">
        <f>IF(AND(ISNUMBER(System!$C24),E380&lt;&gt;0),System!BD142,PlotData!$CB$3)</f>
        <v>0</v>
      </c>
      <c r="H380" s="968">
        <f>IF(AND(ISNUMBER(System!$C24),E380&lt;&gt;0),G380,PlotData!$CB$3)</f>
        <v>0</v>
      </c>
      <c r="I380" s="967">
        <f>IF(AND(ISNUMBER(System!$C24),E380&lt;&gt;0),F380,PlotData!$CB$3)</f>
        <v>0</v>
      </c>
      <c r="J380" s="968">
        <f>IF(AND(ISNUMBER(System!$C24),E380&lt;&gt;0),F380,PlotData!$CB$3)</f>
        <v>0</v>
      </c>
      <c r="K380" s="970">
        <f>IF(AND(ISNUMBER(System!$C24),E380&lt;&gt;0),G380,PlotData!$CB$3)</f>
        <v>0</v>
      </c>
      <c r="L380" s="966">
        <f>IF(AND(ISNUMBER(System!$C24),E380&lt;&gt;0),System!BE142-IF(D380&lt;&gt;0,1,0)*$J$1*MIN($E$1,B380)*ABS(C380)*E380 - $H$1*$E$1*ABS(D380)*E380,PlotData!$CB$4)</f>
        <v>0</v>
      </c>
      <c r="M380" s="967">
        <f>IF(AND(ISNUMBER(System!$C24),E380&lt;&gt;0),System!BF142-IF(D380&lt;&gt;0,1,0)*$J$1*MIN($E$1,B380)*ABS(C380)*E380 - $H$1*$E$1*ABS(D380)*E380,PlotData!$CB$4)</f>
        <v>0</v>
      </c>
      <c r="N380" s="968">
        <f>IF(AND(ISNUMBER(System!$C24),E380&lt;&gt;0),M380 - $E$1*ABS(D380)*E380,PlotData!$CB$4)</f>
        <v>0</v>
      </c>
      <c r="O380" s="967">
        <f>IF(AND(ISNUMBER(System!$C24),E380&lt;&gt;0),L380 - $E$1*ABS(D380)*E380,PlotData!$CB$4)</f>
        <v>0</v>
      </c>
      <c r="P380" s="968">
        <f>IF(AND(ISNUMBER(System!$C24),E380&lt;&gt;0),L380 - $N$1*$E$1*ABS(D380)*E380,PlotData!$CB$4)</f>
        <v>0</v>
      </c>
      <c r="Q380" s="970">
        <f>IF(AND(ISNUMBER(System!$C24),E380&lt;&gt;0),M380 -$N$1*$E$1*ABS(D380)*E380,PlotData!$CB$4)</f>
        <v>0</v>
      </c>
    </row>
    <row r="381" spans="1:17" x14ac:dyDescent="0.25">
      <c r="A381" s="910">
        <v>22</v>
      </c>
      <c r="B381" s="966">
        <f t="shared" si="129"/>
        <v>0</v>
      </c>
      <c r="C381" s="967">
        <f t="shared" si="129"/>
        <v>0</v>
      </c>
      <c r="D381" s="968">
        <f t="shared" si="129"/>
        <v>0</v>
      </c>
      <c r="E381" s="969">
        <f>IF(AND(ISNUMBER(System!$C25),System!AM25&lt;&gt;0),SIGN(System!AM25),0)</f>
        <v>0</v>
      </c>
      <c r="F381" s="966">
        <f>IF(AND(ISNUMBER(System!$C25),E381&lt;&gt;0),System!BC143,PlotData!$CB$3)</f>
        <v>0</v>
      </c>
      <c r="G381" s="967">
        <f>IF(AND(ISNUMBER(System!$C25),E381&lt;&gt;0),System!BD143,PlotData!$CB$3)</f>
        <v>0</v>
      </c>
      <c r="H381" s="968">
        <f>IF(AND(ISNUMBER(System!$C25),E381&lt;&gt;0),G381,PlotData!$CB$3)</f>
        <v>0</v>
      </c>
      <c r="I381" s="967">
        <f>IF(AND(ISNUMBER(System!$C25),E381&lt;&gt;0),F381,PlotData!$CB$3)</f>
        <v>0</v>
      </c>
      <c r="J381" s="968">
        <f>IF(AND(ISNUMBER(System!$C25),E381&lt;&gt;0),F381,PlotData!$CB$3)</f>
        <v>0</v>
      </c>
      <c r="K381" s="970">
        <f>IF(AND(ISNUMBER(System!$C25),E381&lt;&gt;0),G381,PlotData!$CB$3)</f>
        <v>0</v>
      </c>
      <c r="L381" s="966">
        <f>IF(AND(ISNUMBER(System!$C25),E381&lt;&gt;0),System!BE143-IF(D381&lt;&gt;0,1,0)*$J$1*MIN($E$1,B381)*ABS(C381)*E381 - $H$1*$E$1*ABS(D381)*E381,PlotData!$CB$4)</f>
        <v>0</v>
      </c>
      <c r="M381" s="967">
        <f>IF(AND(ISNUMBER(System!$C25),E381&lt;&gt;0),System!BF143-IF(D381&lt;&gt;0,1,0)*$J$1*MIN($E$1,B381)*ABS(C381)*E381 - $H$1*$E$1*ABS(D381)*E381,PlotData!$CB$4)</f>
        <v>0</v>
      </c>
      <c r="N381" s="968">
        <f>IF(AND(ISNUMBER(System!$C25),E381&lt;&gt;0),M381 - $E$1*ABS(D381)*E381,PlotData!$CB$4)</f>
        <v>0</v>
      </c>
      <c r="O381" s="967">
        <f>IF(AND(ISNUMBER(System!$C25),E381&lt;&gt;0),L381 - $E$1*ABS(D381)*E381,PlotData!$CB$4)</f>
        <v>0</v>
      </c>
      <c r="P381" s="968">
        <f>IF(AND(ISNUMBER(System!$C25),E381&lt;&gt;0),L381 - $N$1*$E$1*ABS(D381)*E381,PlotData!$CB$4)</f>
        <v>0</v>
      </c>
      <c r="Q381" s="970">
        <f>IF(AND(ISNUMBER(System!$C25),E381&lt;&gt;0),M381 -$N$1*$E$1*ABS(D381)*E381,PlotData!$CB$4)</f>
        <v>0</v>
      </c>
    </row>
    <row r="382" spans="1:17" x14ac:dyDescent="0.25">
      <c r="A382" s="910">
        <v>23</v>
      </c>
      <c r="B382" s="966">
        <f t="shared" si="129"/>
        <v>0</v>
      </c>
      <c r="C382" s="967">
        <f t="shared" si="129"/>
        <v>0</v>
      </c>
      <c r="D382" s="968">
        <f t="shared" si="129"/>
        <v>0</v>
      </c>
      <c r="E382" s="969">
        <f>IF(AND(ISNUMBER(System!$C26),System!AM26&lt;&gt;0),SIGN(System!AM26),0)</f>
        <v>0</v>
      </c>
      <c r="F382" s="966">
        <f>IF(AND(ISNUMBER(System!$C26),E382&lt;&gt;0),System!BC144,PlotData!$CB$3)</f>
        <v>0</v>
      </c>
      <c r="G382" s="967">
        <f>IF(AND(ISNUMBER(System!$C26),E382&lt;&gt;0),System!BD144,PlotData!$CB$3)</f>
        <v>0</v>
      </c>
      <c r="H382" s="968">
        <f>IF(AND(ISNUMBER(System!$C26),E382&lt;&gt;0),G382,PlotData!$CB$3)</f>
        <v>0</v>
      </c>
      <c r="I382" s="967">
        <f>IF(AND(ISNUMBER(System!$C26),E382&lt;&gt;0),F382,PlotData!$CB$3)</f>
        <v>0</v>
      </c>
      <c r="J382" s="968">
        <f>IF(AND(ISNUMBER(System!$C26),E382&lt;&gt;0),F382,PlotData!$CB$3)</f>
        <v>0</v>
      </c>
      <c r="K382" s="970">
        <f>IF(AND(ISNUMBER(System!$C26),E382&lt;&gt;0),G382,PlotData!$CB$3)</f>
        <v>0</v>
      </c>
      <c r="L382" s="966">
        <f>IF(AND(ISNUMBER(System!$C26),E382&lt;&gt;0),System!BE144-IF(D382&lt;&gt;0,1,0)*$J$1*MIN($E$1,B382)*ABS(C382)*E382 - $H$1*$E$1*ABS(D382)*E382,PlotData!$CB$4)</f>
        <v>0</v>
      </c>
      <c r="M382" s="967">
        <f>IF(AND(ISNUMBER(System!$C26),E382&lt;&gt;0),System!BF144-IF(D382&lt;&gt;0,1,0)*$J$1*MIN($E$1,B382)*ABS(C382)*E382 - $H$1*$E$1*ABS(D382)*E382,PlotData!$CB$4)</f>
        <v>0</v>
      </c>
      <c r="N382" s="968">
        <f>IF(AND(ISNUMBER(System!$C26),E382&lt;&gt;0),M382 - $E$1*ABS(D382)*E382,PlotData!$CB$4)</f>
        <v>0</v>
      </c>
      <c r="O382" s="967">
        <f>IF(AND(ISNUMBER(System!$C26),E382&lt;&gt;0),L382 - $E$1*ABS(D382)*E382,PlotData!$CB$4)</f>
        <v>0</v>
      </c>
      <c r="P382" s="968">
        <f>IF(AND(ISNUMBER(System!$C26),E382&lt;&gt;0),L382 - $N$1*$E$1*ABS(D382)*E382,PlotData!$CB$4)</f>
        <v>0</v>
      </c>
      <c r="Q382" s="970">
        <f>IF(AND(ISNUMBER(System!$C26),E382&lt;&gt;0),M382 -$N$1*$E$1*ABS(D382)*E382,PlotData!$CB$4)</f>
        <v>0</v>
      </c>
    </row>
    <row r="383" spans="1:17" x14ac:dyDescent="0.25">
      <c r="A383" s="910">
        <v>24</v>
      </c>
      <c r="B383" s="966">
        <f t="shared" si="129"/>
        <v>0</v>
      </c>
      <c r="C383" s="967">
        <f t="shared" si="129"/>
        <v>0</v>
      </c>
      <c r="D383" s="968">
        <f t="shared" si="129"/>
        <v>0</v>
      </c>
      <c r="E383" s="969">
        <f>IF(AND(ISNUMBER(System!$C27),System!AM27&lt;&gt;0),SIGN(System!AM27),0)</f>
        <v>0</v>
      </c>
      <c r="F383" s="966">
        <f>IF(AND(ISNUMBER(System!$C27),E383&lt;&gt;0),System!BC145,PlotData!$CB$3)</f>
        <v>0</v>
      </c>
      <c r="G383" s="967">
        <f>IF(AND(ISNUMBER(System!$C27),E383&lt;&gt;0),System!BD145,PlotData!$CB$3)</f>
        <v>0</v>
      </c>
      <c r="H383" s="968">
        <f>IF(AND(ISNUMBER(System!$C27),E383&lt;&gt;0),G383,PlotData!$CB$3)</f>
        <v>0</v>
      </c>
      <c r="I383" s="967">
        <f>IF(AND(ISNUMBER(System!$C27),E383&lt;&gt;0),F383,PlotData!$CB$3)</f>
        <v>0</v>
      </c>
      <c r="J383" s="968">
        <f>IF(AND(ISNUMBER(System!$C27),E383&lt;&gt;0),F383,PlotData!$CB$3)</f>
        <v>0</v>
      </c>
      <c r="K383" s="970">
        <f>IF(AND(ISNUMBER(System!$C27),E383&lt;&gt;0),G383,PlotData!$CB$3)</f>
        <v>0</v>
      </c>
      <c r="L383" s="966">
        <f>IF(AND(ISNUMBER(System!$C27),E383&lt;&gt;0),System!BE145-IF(D383&lt;&gt;0,1,0)*$J$1*MIN($E$1,B383)*ABS(C383)*E383 - $H$1*$E$1*ABS(D383)*E383,PlotData!$CB$4)</f>
        <v>0</v>
      </c>
      <c r="M383" s="967">
        <f>IF(AND(ISNUMBER(System!$C27),E383&lt;&gt;0),System!BF145-IF(D383&lt;&gt;0,1,0)*$J$1*MIN($E$1,B383)*ABS(C383)*E383 - $H$1*$E$1*ABS(D383)*E383,PlotData!$CB$4)</f>
        <v>0</v>
      </c>
      <c r="N383" s="968">
        <f>IF(AND(ISNUMBER(System!$C27),E383&lt;&gt;0),M383 - $E$1*ABS(D383)*E383,PlotData!$CB$4)</f>
        <v>0</v>
      </c>
      <c r="O383" s="967">
        <f>IF(AND(ISNUMBER(System!$C27),E383&lt;&gt;0),L383 - $E$1*ABS(D383)*E383,PlotData!$CB$4)</f>
        <v>0</v>
      </c>
      <c r="P383" s="968">
        <f>IF(AND(ISNUMBER(System!$C27),E383&lt;&gt;0),L383 - $N$1*$E$1*ABS(D383)*E383,PlotData!$CB$4)</f>
        <v>0</v>
      </c>
      <c r="Q383" s="970">
        <f>IF(AND(ISNUMBER(System!$C27),E383&lt;&gt;0),M383 -$N$1*$E$1*ABS(D383)*E383,PlotData!$CB$4)</f>
        <v>0</v>
      </c>
    </row>
    <row r="384" spans="1:17" x14ac:dyDescent="0.25">
      <c r="A384" s="910">
        <v>25</v>
      </c>
      <c r="B384" s="966">
        <f t="shared" si="129"/>
        <v>0</v>
      </c>
      <c r="C384" s="967">
        <f t="shared" si="129"/>
        <v>0</v>
      </c>
      <c r="D384" s="968">
        <f t="shared" si="129"/>
        <v>0</v>
      </c>
      <c r="E384" s="969">
        <f>IF(AND(ISNUMBER(System!$C28),System!AM28&lt;&gt;0),SIGN(System!AM28),0)</f>
        <v>0</v>
      </c>
      <c r="F384" s="966">
        <f>IF(AND(ISNUMBER(System!$C28),E384&lt;&gt;0),System!BC146,PlotData!$CB$3)</f>
        <v>0</v>
      </c>
      <c r="G384" s="967">
        <f>IF(AND(ISNUMBER(System!$C28),E384&lt;&gt;0),System!BD146,PlotData!$CB$3)</f>
        <v>0</v>
      </c>
      <c r="H384" s="968">
        <f>IF(AND(ISNUMBER(System!$C28),E384&lt;&gt;0),G384,PlotData!$CB$3)</f>
        <v>0</v>
      </c>
      <c r="I384" s="967">
        <f>IF(AND(ISNUMBER(System!$C28),E384&lt;&gt;0),F384,PlotData!$CB$3)</f>
        <v>0</v>
      </c>
      <c r="J384" s="968">
        <f>IF(AND(ISNUMBER(System!$C28),E384&lt;&gt;0),F384,PlotData!$CB$3)</f>
        <v>0</v>
      </c>
      <c r="K384" s="970">
        <f>IF(AND(ISNUMBER(System!$C28),E384&lt;&gt;0),G384,PlotData!$CB$3)</f>
        <v>0</v>
      </c>
      <c r="L384" s="966">
        <f>IF(AND(ISNUMBER(System!$C28),E384&lt;&gt;0),System!BE146-IF(D384&lt;&gt;0,1,0)*$J$1*MIN($E$1,B384)*ABS(C384)*E384 - $H$1*$E$1*ABS(D384)*E384,PlotData!$CB$4)</f>
        <v>0</v>
      </c>
      <c r="M384" s="967">
        <f>IF(AND(ISNUMBER(System!$C28),E384&lt;&gt;0),System!BF146-IF(D384&lt;&gt;0,1,0)*$J$1*MIN($E$1,B384)*ABS(C384)*E384 - $H$1*$E$1*ABS(D384)*E384,PlotData!$CB$4)</f>
        <v>0</v>
      </c>
      <c r="N384" s="968">
        <f>IF(AND(ISNUMBER(System!$C28),E384&lt;&gt;0),M384 - $E$1*ABS(D384)*E384,PlotData!$CB$4)</f>
        <v>0</v>
      </c>
      <c r="O384" s="967">
        <f>IF(AND(ISNUMBER(System!$C28),E384&lt;&gt;0),L384 - $E$1*ABS(D384)*E384,PlotData!$CB$4)</f>
        <v>0</v>
      </c>
      <c r="P384" s="968">
        <f>IF(AND(ISNUMBER(System!$C28),E384&lt;&gt;0),L384 - $N$1*$E$1*ABS(D384)*E384,PlotData!$CB$4)</f>
        <v>0</v>
      </c>
      <c r="Q384" s="970">
        <f>IF(AND(ISNUMBER(System!$C28),E384&lt;&gt;0),M384 -$N$1*$E$1*ABS(D384)*E384,PlotData!$CB$4)</f>
        <v>0</v>
      </c>
    </row>
    <row r="385" spans="1:17" x14ac:dyDescent="0.25">
      <c r="A385" s="910">
        <v>26</v>
      </c>
      <c r="B385" s="966">
        <f t="shared" si="129"/>
        <v>0</v>
      </c>
      <c r="C385" s="967">
        <f t="shared" si="129"/>
        <v>0</v>
      </c>
      <c r="D385" s="968">
        <f t="shared" si="129"/>
        <v>0</v>
      </c>
      <c r="E385" s="969">
        <f>IF(AND(ISNUMBER(System!$C29),System!AM29&lt;&gt;0),SIGN(System!AM29),0)</f>
        <v>0</v>
      </c>
      <c r="F385" s="966">
        <f>IF(AND(ISNUMBER(System!$C29),E385&lt;&gt;0),System!BC147,PlotData!$CB$3)</f>
        <v>0</v>
      </c>
      <c r="G385" s="967">
        <f>IF(AND(ISNUMBER(System!$C29),E385&lt;&gt;0),System!BD147,PlotData!$CB$3)</f>
        <v>0</v>
      </c>
      <c r="H385" s="968">
        <f>IF(AND(ISNUMBER(System!$C29),E385&lt;&gt;0),G385,PlotData!$CB$3)</f>
        <v>0</v>
      </c>
      <c r="I385" s="967">
        <f>IF(AND(ISNUMBER(System!$C29),E385&lt;&gt;0),F385,PlotData!$CB$3)</f>
        <v>0</v>
      </c>
      <c r="J385" s="968">
        <f>IF(AND(ISNUMBER(System!$C29),E385&lt;&gt;0),F385,PlotData!$CB$3)</f>
        <v>0</v>
      </c>
      <c r="K385" s="970">
        <f>IF(AND(ISNUMBER(System!$C29),E385&lt;&gt;0),G385,PlotData!$CB$3)</f>
        <v>0</v>
      </c>
      <c r="L385" s="966">
        <f>IF(AND(ISNUMBER(System!$C29),E385&lt;&gt;0),System!BE147-IF(D385&lt;&gt;0,1,0)*$J$1*MIN($E$1,B385)*ABS(C385)*E385 - $H$1*$E$1*ABS(D385)*E385,PlotData!$CB$4)</f>
        <v>0</v>
      </c>
      <c r="M385" s="967">
        <f>IF(AND(ISNUMBER(System!$C29),E385&lt;&gt;0),System!BF147-IF(D385&lt;&gt;0,1,0)*$J$1*MIN($E$1,B385)*ABS(C385)*E385 - $H$1*$E$1*ABS(D385)*E385,PlotData!$CB$4)</f>
        <v>0</v>
      </c>
      <c r="N385" s="968">
        <f>IF(AND(ISNUMBER(System!$C29),E385&lt;&gt;0),M385 - $E$1*ABS(D385)*E385,PlotData!$CB$4)</f>
        <v>0</v>
      </c>
      <c r="O385" s="967">
        <f>IF(AND(ISNUMBER(System!$C29),E385&lt;&gt;0),L385 - $E$1*ABS(D385)*E385,PlotData!$CB$4)</f>
        <v>0</v>
      </c>
      <c r="P385" s="968">
        <f>IF(AND(ISNUMBER(System!$C29),E385&lt;&gt;0),L385 - $N$1*$E$1*ABS(D385)*E385,PlotData!$CB$4)</f>
        <v>0</v>
      </c>
      <c r="Q385" s="970">
        <f>IF(AND(ISNUMBER(System!$C29),E385&lt;&gt;0),M385 -$N$1*$E$1*ABS(D385)*E385,PlotData!$CB$4)</f>
        <v>0</v>
      </c>
    </row>
    <row r="386" spans="1:17" x14ac:dyDescent="0.25">
      <c r="A386" s="910">
        <v>27</v>
      </c>
      <c r="B386" s="966">
        <f t="shared" si="129"/>
        <v>0</v>
      </c>
      <c r="C386" s="967">
        <f t="shared" si="129"/>
        <v>0</v>
      </c>
      <c r="D386" s="968">
        <f t="shared" si="129"/>
        <v>0</v>
      </c>
      <c r="E386" s="969">
        <f>IF(AND(ISNUMBER(System!$C30),System!AM30&lt;&gt;0),SIGN(System!AM30),0)</f>
        <v>0</v>
      </c>
      <c r="F386" s="966">
        <f>IF(AND(ISNUMBER(System!$C30),E386&lt;&gt;0),System!BC148,PlotData!$CB$3)</f>
        <v>0</v>
      </c>
      <c r="G386" s="967">
        <f>IF(AND(ISNUMBER(System!$C30),E386&lt;&gt;0),System!BD148,PlotData!$CB$3)</f>
        <v>0</v>
      </c>
      <c r="H386" s="968">
        <f>IF(AND(ISNUMBER(System!$C30),E386&lt;&gt;0),G386,PlotData!$CB$3)</f>
        <v>0</v>
      </c>
      <c r="I386" s="967">
        <f>IF(AND(ISNUMBER(System!$C30),E386&lt;&gt;0),F386,PlotData!$CB$3)</f>
        <v>0</v>
      </c>
      <c r="J386" s="968">
        <f>IF(AND(ISNUMBER(System!$C30),E386&lt;&gt;0),F386,PlotData!$CB$3)</f>
        <v>0</v>
      </c>
      <c r="K386" s="970">
        <f>IF(AND(ISNUMBER(System!$C30),E386&lt;&gt;0),G386,PlotData!$CB$3)</f>
        <v>0</v>
      </c>
      <c r="L386" s="966">
        <f>IF(AND(ISNUMBER(System!$C30),E386&lt;&gt;0),System!BE148-IF(D386&lt;&gt;0,1,0)*$J$1*MIN($E$1,B386)*ABS(C386)*E386 - $H$1*$E$1*ABS(D386)*E386,PlotData!$CB$4)</f>
        <v>0</v>
      </c>
      <c r="M386" s="967">
        <f>IF(AND(ISNUMBER(System!$C30),E386&lt;&gt;0),System!BF148-IF(D386&lt;&gt;0,1,0)*$J$1*MIN($E$1,B386)*ABS(C386)*E386 - $H$1*$E$1*ABS(D386)*E386,PlotData!$CB$4)</f>
        <v>0</v>
      </c>
      <c r="N386" s="968">
        <f>IF(AND(ISNUMBER(System!$C30),E386&lt;&gt;0),M386 - $E$1*ABS(D386)*E386,PlotData!$CB$4)</f>
        <v>0</v>
      </c>
      <c r="O386" s="967">
        <f>IF(AND(ISNUMBER(System!$C30),E386&lt;&gt;0),L386 - $E$1*ABS(D386)*E386,PlotData!$CB$4)</f>
        <v>0</v>
      </c>
      <c r="P386" s="968">
        <f>IF(AND(ISNUMBER(System!$C30),E386&lt;&gt;0),L386 - $N$1*$E$1*ABS(D386)*E386,PlotData!$CB$4)</f>
        <v>0</v>
      </c>
      <c r="Q386" s="970">
        <f>IF(AND(ISNUMBER(System!$C30),E386&lt;&gt;0),M386 -$N$1*$E$1*ABS(D386)*E386,PlotData!$CB$4)</f>
        <v>0</v>
      </c>
    </row>
    <row r="387" spans="1:17" x14ac:dyDescent="0.25">
      <c r="A387" s="910">
        <v>28</v>
      </c>
      <c r="B387" s="966">
        <f t="shared" si="129"/>
        <v>0</v>
      </c>
      <c r="C387" s="967">
        <f t="shared" si="129"/>
        <v>0</v>
      </c>
      <c r="D387" s="968">
        <f t="shared" si="129"/>
        <v>0</v>
      </c>
      <c r="E387" s="969">
        <f>IF(AND(ISNUMBER(System!$C31),System!AM31&lt;&gt;0),SIGN(System!AM31),0)</f>
        <v>0</v>
      </c>
      <c r="F387" s="966">
        <f>IF(AND(ISNUMBER(System!$C31),E387&lt;&gt;0),System!BC149,PlotData!$CB$3)</f>
        <v>0</v>
      </c>
      <c r="G387" s="967">
        <f>IF(AND(ISNUMBER(System!$C31),E387&lt;&gt;0),System!BD149,PlotData!$CB$3)</f>
        <v>0</v>
      </c>
      <c r="H387" s="968">
        <f>IF(AND(ISNUMBER(System!$C31),E387&lt;&gt;0),G387,PlotData!$CB$3)</f>
        <v>0</v>
      </c>
      <c r="I387" s="967">
        <f>IF(AND(ISNUMBER(System!$C31),E387&lt;&gt;0),F387,PlotData!$CB$3)</f>
        <v>0</v>
      </c>
      <c r="J387" s="968">
        <f>IF(AND(ISNUMBER(System!$C31),E387&lt;&gt;0),F387,PlotData!$CB$3)</f>
        <v>0</v>
      </c>
      <c r="K387" s="970">
        <f>IF(AND(ISNUMBER(System!$C31),E387&lt;&gt;0),G387,PlotData!$CB$3)</f>
        <v>0</v>
      </c>
      <c r="L387" s="966">
        <f>IF(AND(ISNUMBER(System!$C31),E387&lt;&gt;0),System!BE149-IF(D387&lt;&gt;0,1,0)*$J$1*MIN($E$1,B387)*ABS(C387)*E387 - $H$1*$E$1*ABS(D387)*E387,PlotData!$CB$4)</f>
        <v>0</v>
      </c>
      <c r="M387" s="967">
        <f>IF(AND(ISNUMBER(System!$C31),E387&lt;&gt;0),System!BF149-IF(D387&lt;&gt;0,1,0)*$J$1*MIN($E$1,B387)*ABS(C387)*E387 - $H$1*$E$1*ABS(D387)*E387,PlotData!$CB$4)</f>
        <v>0</v>
      </c>
      <c r="N387" s="968">
        <f>IF(AND(ISNUMBER(System!$C31),E387&lt;&gt;0),M387 - $E$1*ABS(D387)*E387,PlotData!$CB$4)</f>
        <v>0</v>
      </c>
      <c r="O387" s="967">
        <f>IF(AND(ISNUMBER(System!$C31),E387&lt;&gt;0),L387 - $E$1*ABS(D387)*E387,PlotData!$CB$4)</f>
        <v>0</v>
      </c>
      <c r="P387" s="968">
        <f>IF(AND(ISNUMBER(System!$C31),E387&lt;&gt;0),L387 - $N$1*$E$1*ABS(D387)*E387,PlotData!$CB$4)</f>
        <v>0</v>
      </c>
      <c r="Q387" s="970">
        <f>IF(AND(ISNUMBER(System!$C31),E387&lt;&gt;0),M387 -$N$1*$E$1*ABS(D387)*E387,PlotData!$CB$4)</f>
        <v>0</v>
      </c>
    </row>
    <row r="388" spans="1:17" x14ac:dyDescent="0.25">
      <c r="A388" s="910">
        <v>29</v>
      </c>
      <c r="B388" s="966">
        <f t="shared" si="129"/>
        <v>0</v>
      </c>
      <c r="C388" s="967">
        <f t="shared" si="129"/>
        <v>0</v>
      </c>
      <c r="D388" s="968">
        <f t="shared" si="129"/>
        <v>0</v>
      </c>
      <c r="E388" s="969">
        <f>IF(AND(ISNUMBER(System!$C32),System!AM32&lt;&gt;0),SIGN(System!AM32),0)</f>
        <v>0</v>
      </c>
      <c r="F388" s="966">
        <f>IF(AND(ISNUMBER(System!$C32),E388&lt;&gt;0),System!BC150,PlotData!$CB$3)</f>
        <v>0</v>
      </c>
      <c r="G388" s="967">
        <f>IF(AND(ISNUMBER(System!$C32),E388&lt;&gt;0),System!BD150,PlotData!$CB$3)</f>
        <v>0</v>
      </c>
      <c r="H388" s="968">
        <f>IF(AND(ISNUMBER(System!$C32),E388&lt;&gt;0),G388,PlotData!$CB$3)</f>
        <v>0</v>
      </c>
      <c r="I388" s="967">
        <f>IF(AND(ISNUMBER(System!$C32),E388&lt;&gt;0),F388,PlotData!$CB$3)</f>
        <v>0</v>
      </c>
      <c r="J388" s="968">
        <f>IF(AND(ISNUMBER(System!$C32),E388&lt;&gt;0),F388,PlotData!$CB$3)</f>
        <v>0</v>
      </c>
      <c r="K388" s="970">
        <f>IF(AND(ISNUMBER(System!$C32),E388&lt;&gt;0),G388,PlotData!$CB$3)</f>
        <v>0</v>
      </c>
      <c r="L388" s="966">
        <f>IF(AND(ISNUMBER(System!$C32),E388&lt;&gt;0),System!BE150-IF(D388&lt;&gt;0,1,0)*$J$1*MIN($E$1,B388)*ABS(C388)*E388 - $H$1*$E$1*ABS(D388)*E388,PlotData!$CB$4)</f>
        <v>0</v>
      </c>
      <c r="M388" s="967">
        <f>IF(AND(ISNUMBER(System!$C32),E388&lt;&gt;0),System!BF150-IF(D388&lt;&gt;0,1,0)*$J$1*MIN($E$1,B388)*ABS(C388)*E388 - $H$1*$E$1*ABS(D388)*E388,PlotData!$CB$4)</f>
        <v>0</v>
      </c>
      <c r="N388" s="968">
        <f>IF(AND(ISNUMBER(System!$C32),E388&lt;&gt;0),M388 - $E$1*ABS(D388)*E388,PlotData!$CB$4)</f>
        <v>0</v>
      </c>
      <c r="O388" s="967">
        <f>IF(AND(ISNUMBER(System!$C32),E388&lt;&gt;0),L388 - $E$1*ABS(D388)*E388,PlotData!$CB$4)</f>
        <v>0</v>
      </c>
      <c r="P388" s="968">
        <f>IF(AND(ISNUMBER(System!$C32),E388&lt;&gt;0),L388 - $N$1*$E$1*ABS(D388)*E388,PlotData!$CB$4)</f>
        <v>0</v>
      </c>
      <c r="Q388" s="970">
        <f>IF(AND(ISNUMBER(System!$C32),E388&lt;&gt;0),M388 -$N$1*$E$1*ABS(D388)*E388,PlotData!$CB$4)</f>
        <v>0</v>
      </c>
    </row>
    <row r="389" spans="1:17" x14ac:dyDescent="0.25">
      <c r="A389" s="910">
        <v>30</v>
      </c>
      <c r="B389" s="966">
        <f t="shared" si="129"/>
        <v>0</v>
      </c>
      <c r="C389" s="967">
        <f t="shared" si="129"/>
        <v>0</v>
      </c>
      <c r="D389" s="968">
        <f t="shared" si="129"/>
        <v>0</v>
      </c>
      <c r="E389" s="969">
        <f>IF(AND(ISNUMBER(System!$C33),System!AM33&lt;&gt;0),SIGN(System!AM33),0)</f>
        <v>0</v>
      </c>
      <c r="F389" s="966">
        <f>IF(AND(ISNUMBER(System!$C33),E389&lt;&gt;0),System!BC151,PlotData!$CB$3)</f>
        <v>0</v>
      </c>
      <c r="G389" s="967">
        <f>IF(AND(ISNUMBER(System!$C33),E389&lt;&gt;0),System!BD151,PlotData!$CB$3)</f>
        <v>0</v>
      </c>
      <c r="H389" s="968">
        <f>IF(AND(ISNUMBER(System!$C33),E389&lt;&gt;0),G389,PlotData!$CB$3)</f>
        <v>0</v>
      </c>
      <c r="I389" s="967">
        <f>IF(AND(ISNUMBER(System!$C33),E389&lt;&gt;0),F389,PlotData!$CB$3)</f>
        <v>0</v>
      </c>
      <c r="J389" s="968">
        <f>IF(AND(ISNUMBER(System!$C33),E389&lt;&gt;0),F389,PlotData!$CB$3)</f>
        <v>0</v>
      </c>
      <c r="K389" s="970">
        <f>IF(AND(ISNUMBER(System!$C33),E389&lt;&gt;0),G389,PlotData!$CB$3)</f>
        <v>0</v>
      </c>
      <c r="L389" s="966">
        <f>IF(AND(ISNUMBER(System!$C33),E389&lt;&gt;0),System!BE151-IF(D389&lt;&gt;0,1,0)*$J$1*MIN($E$1,B389)*ABS(C389)*E389 - $H$1*$E$1*ABS(D389)*E389,PlotData!$CB$4)</f>
        <v>0</v>
      </c>
      <c r="M389" s="967">
        <f>IF(AND(ISNUMBER(System!$C33),E389&lt;&gt;0),System!BF151-IF(D389&lt;&gt;0,1,0)*$J$1*MIN($E$1,B389)*ABS(C389)*E389 - $H$1*$E$1*ABS(D389)*E389,PlotData!$CB$4)</f>
        <v>0</v>
      </c>
      <c r="N389" s="968">
        <f>IF(AND(ISNUMBER(System!$C33),E389&lt;&gt;0),M389 - $E$1*ABS(D389)*E389,PlotData!$CB$4)</f>
        <v>0</v>
      </c>
      <c r="O389" s="967">
        <f>IF(AND(ISNUMBER(System!$C33),E389&lt;&gt;0),L389 - $E$1*ABS(D389)*E389,PlotData!$CB$4)</f>
        <v>0</v>
      </c>
      <c r="P389" s="968">
        <f>IF(AND(ISNUMBER(System!$C33),E389&lt;&gt;0),L389 - $N$1*$E$1*ABS(D389)*E389,PlotData!$CB$4)</f>
        <v>0</v>
      </c>
      <c r="Q389" s="970">
        <f>IF(AND(ISNUMBER(System!$C33),E389&lt;&gt;0),M389 -$N$1*$E$1*ABS(D389)*E389,PlotData!$CB$4)</f>
        <v>0</v>
      </c>
    </row>
    <row r="390" spans="1:17" x14ac:dyDescent="0.25">
      <c r="A390" s="910">
        <v>31</v>
      </c>
      <c r="B390" s="966">
        <f t="shared" si="129"/>
        <v>0</v>
      </c>
      <c r="C390" s="967">
        <f t="shared" si="129"/>
        <v>0</v>
      </c>
      <c r="D390" s="968">
        <f t="shared" si="129"/>
        <v>0</v>
      </c>
      <c r="E390" s="969">
        <f>IF(AND(ISNUMBER(System!$C34),System!AM34&lt;&gt;0),SIGN(System!AM34),0)</f>
        <v>0</v>
      </c>
      <c r="F390" s="966">
        <f>IF(AND(ISNUMBER(System!$C34),E390&lt;&gt;0),System!BC152,PlotData!$CB$3)</f>
        <v>0</v>
      </c>
      <c r="G390" s="967">
        <f>IF(AND(ISNUMBER(System!$C34),E390&lt;&gt;0),System!BD152,PlotData!$CB$3)</f>
        <v>0</v>
      </c>
      <c r="H390" s="968">
        <f>IF(AND(ISNUMBER(System!$C34),E390&lt;&gt;0),G390,PlotData!$CB$3)</f>
        <v>0</v>
      </c>
      <c r="I390" s="967">
        <f>IF(AND(ISNUMBER(System!$C34),E390&lt;&gt;0),F390,PlotData!$CB$3)</f>
        <v>0</v>
      </c>
      <c r="J390" s="968">
        <f>IF(AND(ISNUMBER(System!$C34),E390&lt;&gt;0),F390,PlotData!$CB$3)</f>
        <v>0</v>
      </c>
      <c r="K390" s="970">
        <f>IF(AND(ISNUMBER(System!$C34),E390&lt;&gt;0),G390,PlotData!$CB$3)</f>
        <v>0</v>
      </c>
      <c r="L390" s="966">
        <f>IF(AND(ISNUMBER(System!$C34),E390&lt;&gt;0),System!BE152-IF(D390&lt;&gt;0,1,0)*$J$1*MIN($E$1,B390)*ABS(C390)*E390 - $H$1*$E$1*ABS(D390)*E390,PlotData!$CB$4)</f>
        <v>0</v>
      </c>
      <c r="M390" s="967">
        <f>IF(AND(ISNUMBER(System!$C34),E390&lt;&gt;0),System!BF152-IF(D390&lt;&gt;0,1,0)*$J$1*MIN($E$1,B390)*ABS(C390)*E390 - $H$1*$E$1*ABS(D390)*E390,PlotData!$CB$4)</f>
        <v>0</v>
      </c>
      <c r="N390" s="968">
        <f>IF(AND(ISNUMBER(System!$C34),E390&lt;&gt;0),M390 - $E$1*ABS(D390)*E390,PlotData!$CB$4)</f>
        <v>0</v>
      </c>
      <c r="O390" s="967">
        <f>IF(AND(ISNUMBER(System!$C34),E390&lt;&gt;0),L390 - $E$1*ABS(D390)*E390,PlotData!$CB$4)</f>
        <v>0</v>
      </c>
      <c r="P390" s="968">
        <f>IF(AND(ISNUMBER(System!$C34),E390&lt;&gt;0),L390 - $N$1*$E$1*ABS(D390)*E390,PlotData!$CB$4)</f>
        <v>0</v>
      </c>
      <c r="Q390" s="970">
        <f>IF(AND(ISNUMBER(System!$C34),E390&lt;&gt;0),M390 -$N$1*$E$1*ABS(D390)*E390,PlotData!$CB$4)</f>
        <v>0</v>
      </c>
    </row>
    <row r="391" spans="1:17" x14ac:dyDescent="0.25">
      <c r="A391" s="910">
        <v>32</v>
      </c>
      <c r="B391" s="966">
        <f t="shared" si="129"/>
        <v>0</v>
      </c>
      <c r="C391" s="967">
        <f t="shared" si="129"/>
        <v>0</v>
      </c>
      <c r="D391" s="968">
        <f t="shared" si="129"/>
        <v>0</v>
      </c>
      <c r="E391" s="969">
        <f>IF(AND(ISNUMBER(System!$C35),System!AM35&lt;&gt;0),SIGN(System!AM35),0)</f>
        <v>0</v>
      </c>
      <c r="F391" s="966">
        <f>IF(AND(ISNUMBER(System!$C35),E391&lt;&gt;0),System!BC153,PlotData!$CB$3)</f>
        <v>0</v>
      </c>
      <c r="G391" s="967">
        <f>IF(AND(ISNUMBER(System!$C35),E391&lt;&gt;0),System!BD153,PlotData!$CB$3)</f>
        <v>0</v>
      </c>
      <c r="H391" s="968">
        <f>IF(AND(ISNUMBER(System!$C35),E391&lt;&gt;0),G391,PlotData!$CB$3)</f>
        <v>0</v>
      </c>
      <c r="I391" s="967">
        <f>IF(AND(ISNUMBER(System!$C35),E391&lt;&gt;0),F391,PlotData!$CB$3)</f>
        <v>0</v>
      </c>
      <c r="J391" s="968">
        <f>IF(AND(ISNUMBER(System!$C35),E391&lt;&gt;0),F391,PlotData!$CB$3)</f>
        <v>0</v>
      </c>
      <c r="K391" s="970">
        <f>IF(AND(ISNUMBER(System!$C35),E391&lt;&gt;0),G391,PlotData!$CB$3)</f>
        <v>0</v>
      </c>
      <c r="L391" s="966">
        <f>IF(AND(ISNUMBER(System!$C35),E391&lt;&gt;0),System!BE153-IF(D391&lt;&gt;0,1,0)*$J$1*MIN($E$1,B391)*ABS(C391)*E391 - $H$1*$E$1*ABS(D391)*E391,PlotData!$CB$4)</f>
        <v>0</v>
      </c>
      <c r="M391" s="967">
        <f>IF(AND(ISNUMBER(System!$C35),E391&lt;&gt;0),System!BF153-IF(D391&lt;&gt;0,1,0)*$J$1*MIN($E$1,B391)*ABS(C391)*E391 - $H$1*$E$1*ABS(D391)*E391,PlotData!$CB$4)</f>
        <v>0</v>
      </c>
      <c r="N391" s="968">
        <f>IF(AND(ISNUMBER(System!$C35),E391&lt;&gt;0),M391 - $E$1*ABS(D391)*E391,PlotData!$CB$4)</f>
        <v>0</v>
      </c>
      <c r="O391" s="967">
        <f>IF(AND(ISNUMBER(System!$C35),E391&lt;&gt;0),L391 - $E$1*ABS(D391)*E391,PlotData!$CB$4)</f>
        <v>0</v>
      </c>
      <c r="P391" s="968">
        <f>IF(AND(ISNUMBER(System!$C35),E391&lt;&gt;0),L391 - $N$1*$E$1*ABS(D391)*E391,PlotData!$CB$4)</f>
        <v>0</v>
      </c>
      <c r="Q391" s="970">
        <f>IF(AND(ISNUMBER(System!$C35),E391&lt;&gt;0),M391 -$N$1*$E$1*ABS(D391)*E391,PlotData!$CB$4)</f>
        <v>0</v>
      </c>
    </row>
    <row r="392" spans="1:17" x14ac:dyDescent="0.25">
      <c r="A392" s="910">
        <v>33</v>
      </c>
      <c r="B392" s="966">
        <f t="shared" si="129"/>
        <v>0</v>
      </c>
      <c r="C392" s="967">
        <f t="shared" si="129"/>
        <v>0</v>
      </c>
      <c r="D392" s="968">
        <f t="shared" si="129"/>
        <v>0</v>
      </c>
      <c r="E392" s="969">
        <f>IF(AND(ISNUMBER(System!$C36),System!AM36&lt;&gt;0),SIGN(System!AM36),0)</f>
        <v>0</v>
      </c>
      <c r="F392" s="966">
        <f>IF(AND(ISNUMBER(System!$C36),E392&lt;&gt;0),System!BC154,PlotData!$CB$3)</f>
        <v>0</v>
      </c>
      <c r="G392" s="967">
        <f>IF(AND(ISNUMBER(System!$C36),E392&lt;&gt;0),System!BD154,PlotData!$CB$3)</f>
        <v>0</v>
      </c>
      <c r="H392" s="968">
        <f>IF(AND(ISNUMBER(System!$C36),E392&lt;&gt;0),G392,PlotData!$CB$3)</f>
        <v>0</v>
      </c>
      <c r="I392" s="967">
        <f>IF(AND(ISNUMBER(System!$C36),E392&lt;&gt;0),F392,PlotData!$CB$3)</f>
        <v>0</v>
      </c>
      <c r="J392" s="968">
        <f>IF(AND(ISNUMBER(System!$C36),E392&lt;&gt;0),F392,PlotData!$CB$3)</f>
        <v>0</v>
      </c>
      <c r="K392" s="970">
        <f>IF(AND(ISNUMBER(System!$C36),E392&lt;&gt;0),G392,PlotData!$CB$3)</f>
        <v>0</v>
      </c>
      <c r="L392" s="966">
        <f>IF(AND(ISNUMBER(System!$C36),E392&lt;&gt;0),System!BE154-IF(D392&lt;&gt;0,1,0)*$J$1*MIN($E$1,B392)*ABS(C392)*E392 - $H$1*$E$1*ABS(D392)*E392,PlotData!$CB$4)</f>
        <v>0</v>
      </c>
      <c r="M392" s="967">
        <f>IF(AND(ISNUMBER(System!$C36),E392&lt;&gt;0),System!BF154-IF(D392&lt;&gt;0,1,0)*$J$1*MIN($E$1,B392)*ABS(C392)*E392 - $H$1*$E$1*ABS(D392)*E392,PlotData!$CB$4)</f>
        <v>0</v>
      </c>
      <c r="N392" s="968">
        <f>IF(AND(ISNUMBER(System!$C36),E392&lt;&gt;0),M392 - $E$1*ABS(D392)*E392,PlotData!$CB$4)</f>
        <v>0</v>
      </c>
      <c r="O392" s="967">
        <f>IF(AND(ISNUMBER(System!$C36),E392&lt;&gt;0),L392 - $E$1*ABS(D392)*E392,PlotData!$CB$4)</f>
        <v>0</v>
      </c>
      <c r="P392" s="968">
        <f>IF(AND(ISNUMBER(System!$C36),E392&lt;&gt;0),L392 - $N$1*$E$1*ABS(D392)*E392,PlotData!$CB$4)</f>
        <v>0</v>
      </c>
      <c r="Q392" s="970">
        <f>IF(AND(ISNUMBER(System!$C36),E392&lt;&gt;0),M392 -$N$1*$E$1*ABS(D392)*E392,PlotData!$CB$4)</f>
        <v>0</v>
      </c>
    </row>
    <row r="393" spans="1:17" x14ac:dyDescent="0.25">
      <c r="A393" s="910">
        <v>34</v>
      </c>
      <c r="B393" s="966">
        <f t="shared" si="129"/>
        <v>0</v>
      </c>
      <c r="C393" s="967">
        <f t="shared" si="129"/>
        <v>0</v>
      </c>
      <c r="D393" s="968">
        <f t="shared" si="129"/>
        <v>0</v>
      </c>
      <c r="E393" s="969">
        <f>IF(AND(ISNUMBER(System!$C37),System!AM37&lt;&gt;0),SIGN(System!AM37),0)</f>
        <v>0</v>
      </c>
      <c r="F393" s="966">
        <f>IF(AND(ISNUMBER(System!$C37),E393&lt;&gt;0),System!BC155,PlotData!$CB$3)</f>
        <v>0</v>
      </c>
      <c r="G393" s="967">
        <f>IF(AND(ISNUMBER(System!$C37),E393&lt;&gt;0),System!BD155,PlotData!$CB$3)</f>
        <v>0</v>
      </c>
      <c r="H393" s="968">
        <f>IF(AND(ISNUMBER(System!$C37),E393&lt;&gt;0),G393,PlotData!$CB$3)</f>
        <v>0</v>
      </c>
      <c r="I393" s="967">
        <f>IF(AND(ISNUMBER(System!$C37),E393&lt;&gt;0),F393,PlotData!$CB$3)</f>
        <v>0</v>
      </c>
      <c r="J393" s="968">
        <f>IF(AND(ISNUMBER(System!$C37),E393&lt;&gt;0),F393,PlotData!$CB$3)</f>
        <v>0</v>
      </c>
      <c r="K393" s="970">
        <f>IF(AND(ISNUMBER(System!$C37),E393&lt;&gt;0),G393,PlotData!$CB$3)</f>
        <v>0</v>
      </c>
      <c r="L393" s="966">
        <f>IF(AND(ISNUMBER(System!$C37),E393&lt;&gt;0),System!BE155-IF(D393&lt;&gt;0,1,0)*$J$1*MIN($E$1,B393)*ABS(C393)*E393 - $H$1*$E$1*ABS(D393)*E393,PlotData!$CB$4)</f>
        <v>0</v>
      </c>
      <c r="M393" s="967">
        <f>IF(AND(ISNUMBER(System!$C37),E393&lt;&gt;0),System!BF155-IF(D393&lt;&gt;0,1,0)*$J$1*MIN($E$1,B393)*ABS(C393)*E393 - $H$1*$E$1*ABS(D393)*E393,PlotData!$CB$4)</f>
        <v>0</v>
      </c>
      <c r="N393" s="968">
        <f>IF(AND(ISNUMBER(System!$C37),E393&lt;&gt;0),M393 - $E$1*ABS(D393)*E393,PlotData!$CB$4)</f>
        <v>0</v>
      </c>
      <c r="O393" s="967">
        <f>IF(AND(ISNUMBER(System!$C37),E393&lt;&gt;0),L393 - $E$1*ABS(D393)*E393,PlotData!$CB$4)</f>
        <v>0</v>
      </c>
      <c r="P393" s="968">
        <f>IF(AND(ISNUMBER(System!$C37),E393&lt;&gt;0),L393 - $N$1*$E$1*ABS(D393)*E393,PlotData!$CB$4)</f>
        <v>0</v>
      </c>
      <c r="Q393" s="970">
        <f>IF(AND(ISNUMBER(System!$C37),E393&lt;&gt;0),M393 -$N$1*$E$1*ABS(D393)*E393,PlotData!$CB$4)</f>
        <v>0</v>
      </c>
    </row>
    <row r="394" spans="1:17" x14ac:dyDescent="0.25">
      <c r="A394" s="910">
        <v>35</v>
      </c>
      <c r="B394" s="966">
        <f t="shared" si="129"/>
        <v>0</v>
      </c>
      <c r="C394" s="967">
        <f t="shared" si="129"/>
        <v>0</v>
      </c>
      <c r="D394" s="968">
        <f t="shared" si="129"/>
        <v>0</v>
      </c>
      <c r="E394" s="969">
        <f>IF(AND(ISNUMBER(System!$C38),System!AM38&lt;&gt;0),SIGN(System!AM38),0)</f>
        <v>0</v>
      </c>
      <c r="F394" s="966">
        <f>IF(AND(ISNUMBER(System!$C38),E394&lt;&gt;0),System!BC156,PlotData!$CB$3)</f>
        <v>0</v>
      </c>
      <c r="G394" s="967">
        <f>IF(AND(ISNUMBER(System!$C38),E394&lt;&gt;0),System!BD156,PlotData!$CB$3)</f>
        <v>0</v>
      </c>
      <c r="H394" s="968">
        <f>IF(AND(ISNUMBER(System!$C38),E394&lt;&gt;0),G394,PlotData!$CB$3)</f>
        <v>0</v>
      </c>
      <c r="I394" s="967">
        <f>IF(AND(ISNUMBER(System!$C38),E394&lt;&gt;0),F394,PlotData!$CB$3)</f>
        <v>0</v>
      </c>
      <c r="J394" s="968">
        <f>IF(AND(ISNUMBER(System!$C38),E394&lt;&gt;0),F394,PlotData!$CB$3)</f>
        <v>0</v>
      </c>
      <c r="K394" s="970">
        <f>IF(AND(ISNUMBER(System!$C38),E394&lt;&gt;0),G394,PlotData!$CB$3)</f>
        <v>0</v>
      </c>
      <c r="L394" s="966">
        <f>IF(AND(ISNUMBER(System!$C38),E394&lt;&gt;0),System!BE156-IF(D394&lt;&gt;0,1,0)*$J$1*MIN($E$1,B394)*ABS(C394)*E394 - $H$1*$E$1*ABS(D394)*E394,PlotData!$CB$4)</f>
        <v>0</v>
      </c>
      <c r="M394" s="967">
        <f>IF(AND(ISNUMBER(System!$C38),E394&lt;&gt;0),System!BF156-IF(D394&lt;&gt;0,1,0)*$J$1*MIN($E$1,B394)*ABS(C394)*E394 - $H$1*$E$1*ABS(D394)*E394,PlotData!$CB$4)</f>
        <v>0</v>
      </c>
      <c r="N394" s="968">
        <f>IF(AND(ISNUMBER(System!$C38),E394&lt;&gt;0),M394 - $E$1*ABS(D394)*E394,PlotData!$CB$4)</f>
        <v>0</v>
      </c>
      <c r="O394" s="967">
        <f>IF(AND(ISNUMBER(System!$C38),E394&lt;&gt;0),L394 - $E$1*ABS(D394)*E394,PlotData!$CB$4)</f>
        <v>0</v>
      </c>
      <c r="P394" s="968">
        <f>IF(AND(ISNUMBER(System!$C38),E394&lt;&gt;0),L394 - $N$1*$E$1*ABS(D394)*E394,PlotData!$CB$4)</f>
        <v>0</v>
      </c>
      <c r="Q394" s="970">
        <f>IF(AND(ISNUMBER(System!$C38),E394&lt;&gt;0),M394 -$N$1*$E$1*ABS(D394)*E394,PlotData!$CB$4)</f>
        <v>0</v>
      </c>
    </row>
    <row r="395" spans="1:17" x14ac:dyDescent="0.25">
      <c r="A395" s="910">
        <v>36</v>
      </c>
      <c r="B395" s="966">
        <f t="shared" si="129"/>
        <v>0</v>
      </c>
      <c r="C395" s="967">
        <f t="shared" si="129"/>
        <v>0</v>
      </c>
      <c r="D395" s="968">
        <f t="shared" si="129"/>
        <v>0</v>
      </c>
      <c r="E395" s="969">
        <f>IF(AND(ISNUMBER(System!$C39),System!AM39&lt;&gt;0),SIGN(System!AM39),0)</f>
        <v>0</v>
      </c>
      <c r="F395" s="966">
        <f>IF(AND(ISNUMBER(System!$C39),E395&lt;&gt;0),System!BC157,PlotData!$CB$3)</f>
        <v>0</v>
      </c>
      <c r="G395" s="967">
        <f>IF(AND(ISNUMBER(System!$C39),E395&lt;&gt;0),System!BD157,PlotData!$CB$3)</f>
        <v>0</v>
      </c>
      <c r="H395" s="968">
        <f>IF(AND(ISNUMBER(System!$C39),E395&lt;&gt;0),G395,PlotData!$CB$3)</f>
        <v>0</v>
      </c>
      <c r="I395" s="967">
        <f>IF(AND(ISNUMBER(System!$C39),E395&lt;&gt;0),F395,PlotData!$CB$3)</f>
        <v>0</v>
      </c>
      <c r="J395" s="968">
        <f>IF(AND(ISNUMBER(System!$C39),E395&lt;&gt;0),F395,PlotData!$CB$3)</f>
        <v>0</v>
      </c>
      <c r="K395" s="970">
        <f>IF(AND(ISNUMBER(System!$C39),E395&lt;&gt;0),G395,PlotData!$CB$3)</f>
        <v>0</v>
      </c>
      <c r="L395" s="966">
        <f>IF(AND(ISNUMBER(System!$C39),E395&lt;&gt;0),System!BE157-IF(D395&lt;&gt;0,1,0)*$J$1*MIN($E$1,B395)*ABS(C395)*E395 - $H$1*$E$1*ABS(D395)*E395,PlotData!$CB$4)</f>
        <v>0</v>
      </c>
      <c r="M395" s="967">
        <f>IF(AND(ISNUMBER(System!$C39),E395&lt;&gt;0),System!BF157-IF(D395&lt;&gt;0,1,0)*$J$1*MIN($E$1,B395)*ABS(C395)*E395 - $H$1*$E$1*ABS(D395)*E395,PlotData!$CB$4)</f>
        <v>0</v>
      </c>
      <c r="N395" s="968">
        <f>IF(AND(ISNUMBER(System!$C39),E395&lt;&gt;0),M395 - $E$1*ABS(D395)*E395,PlotData!$CB$4)</f>
        <v>0</v>
      </c>
      <c r="O395" s="967">
        <f>IF(AND(ISNUMBER(System!$C39),E395&lt;&gt;0),L395 - $E$1*ABS(D395)*E395,PlotData!$CB$4)</f>
        <v>0</v>
      </c>
      <c r="P395" s="968">
        <f>IF(AND(ISNUMBER(System!$C39),E395&lt;&gt;0),L395 - $N$1*$E$1*ABS(D395)*E395,PlotData!$CB$4)</f>
        <v>0</v>
      </c>
      <c r="Q395" s="970">
        <f>IF(AND(ISNUMBER(System!$C39),E395&lt;&gt;0),M395 -$N$1*$E$1*ABS(D395)*E395,PlotData!$CB$4)</f>
        <v>0</v>
      </c>
    </row>
    <row r="396" spans="1:17" x14ac:dyDescent="0.25">
      <c r="A396" s="910">
        <v>37</v>
      </c>
      <c r="B396" s="966">
        <f t="shared" si="129"/>
        <v>0</v>
      </c>
      <c r="C396" s="967">
        <f t="shared" si="129"/>
        <v>0</v>
      </c>
      <c r="D396" s="968">
        <f t="shared" si="129"/>
        <v>0</v>
      </c>
      <c r="E396" s="969">
        <f>IF(AND(ISNUMBER(System!$C40),System!AM40&lt;&gt;0),SIGN(System!AM40),0)</f>
        <v>0</v>
      </c>
      <c r="F396" s="966">
        <f>IF(AND(ISNUMBER(System!$C40),E396&lt;&gt;0),System!BC158,PlotData!$CB$3)</f>
        <v>0</v>
      </c>
      <c r="G396" s="967">
        <f>IF(AND(ISNUMBER(System!$C40),E396&lt;&gt;0),System!BD158,PlotData!$CB$3)</f>
        <v>0</v>
      </c>
      <c r="H396" s="968">
        <f>IF(AND(ISNUMBER(System!$C40),E396&lt;&gt;0),G396,PlotData!$CB$3)</f>
        <v>0</v>
      </c>
      <c r="I396" s="967">
        <f>IF(AND(ISNUMBER(System!$C40),E396&lt;&gt;0),F396,PlotData!$CB$3)</f>
        <v>0</v>
      </c>
      <c r="J396" s="968">
        <f>IF(AND(ISNUMBER(System!$C40),E396&lt;&gt;0),F396,PlotData!$CB$3)</f>
        <v>0</v>
      </c>
      <c r="K396" s="970">
        <f>IF(AND(ISNUMBER(System!$C40),E396&lt;&gt;0),G396,PlotData!$CB$3)</f>
        <v>0</v>
      </c>
      <c r="L396" s="966">
        <f>IF(AND(ISNUMBER(System!$C40),E396&lt;&gt;0),System!BE158-IF(D396&lt;&gt;0,1,0)*$J$1*MIN($E$1,B396)*ABS(C396)*E396 - $H$1*$E$1*ABS(D396)*E396,PlotData!$CB$4)</f>
        <v>0</v>
      </c>
      <c r="M396" s="967">
        <f>IF(AND(ISNUMBER(System!$C40),E396&lt;&gt;0),System!BF158-IF(D396&lt;&gt;0,1,0)*$J$1*MIN($E$1,B396)*ABS(C396)*E396 - $H$1*$E$1*ABS(D396)*E396,PlotData!$CB$4)</f>
        <v>0</v>
      </c>
      <c r="N396" s="968">
        <f>IF(AND(ISNUMBER(System!$C40),E396&lt;&gt;0),M396 - $E$1*ABS(D396)*E396,PlotData!$CB$4)</f>
        <v>0</v>
      </c>
      <c r="O396" s="967">
        <f>IF(AND(ISNUMBER(System!$C40),E396&lt;&gt;0),L396 - $E$1*ABS(D396)*E396,PlotData!$CB$4)</f>
        <v>0</v>
      </c>
      <c r="P396" s="968">
        <f>IF(AND(ISNUMBER(System!$C40),E396&lt;&gt;0),L396 - $N$1*$E$1*ABS(D396)*E396,PlotData!$CB$4)</f>
        <v>0</v>
      </c>
      <c r="Q396" s="970">
        <f>IF(AND(ISNUMBER(System!$C40),E396&lt;&gt;0),M396 -$N$1*$E$1*ABS(D396)*E396,PlotData!$CB$4)</f>
        <v>0</v>
      </c>
    </row>
    <row r="397" spans="1:17" x14ac:dyDescent="0.25">
      <c r="A397" s="910">
        <v>38</v>
      </c>
      <c r="B397" s="966">
        <f t="shared" si="129"/>
        <v>0</v>
      </c>
      <c r="C397" s="967">
        <f t="shared" si="129"/>
        <v>0</v>
      </c>
      <c r="D397" s="968">
        <f t="shared" si="129"/>
        <v>0</v>
      </c>
      <c r="E397" s="969">
        <f>IF(AND(ISNUMBER(System!$C41),System!AM41&lt;&gt;0),SIGN(System!AM41),0)</f>
        <v>0</v>
      </c>
      <c r="F397" s="966">
        <f>IF(AND(ISNUMBER(System!$C41),E397&lt;&gt;0),System!BC159,PlotData!$CB$3)</f>
        <v>0</v>
      </c>
      <c r="G397" s="967">
        <f>IF(AND(ISNUMBER(System!$C41),E397&lt;&gt;0),System!BD159,PlotData!$CB$3)</f>
        <v>0</v>
      </c>
      <c r="H397" s="968">
        <f>IF(AND(ISNUMBER(System!$C41),E397&lt;&gt;0),G397,PlotData!$CB$3)</f>
        <v>0</v>
      </c>
      <c r="I397" s="967">
        <f>IF(AND(ISNUMBER(System!$C41),E397&lt;&gt;0),F397,PlotData!$CB$3)</f>
        <v>0</v>
      </c>
      <c r="J397" s="968">
        <f>IF(AND(ISNUMBER(System!$C41),E397&lt;&gt;0),F397,PlotData!$CB$3)</f>
        <v>0</v>
      </c>
      <c r="K397" s="970">
        <f>IF(AND(ISNUMBER(System!$C41),E397&lt;&gt;0),G397,PlotData!$CB$3)</f>
        <v>0</v>
      </c>
      <c r="L397" s="966">
        <f>IF(AND(ISNUMBER(System!$C41),E397&lt;&gt;0),System!BE159-IF(D397&lt;&gt;0,1,0)*$J$1*MIN($E$1,B397)*ABS(C397)*E397 - $H$1*$E$1*ABS(D397)*E397,PlotData!$CB$4)</f>
        <v>0</v>
      </c>
      <c r="M397" s="967">
        <f>IF(AND(ISNUMBER(System!$C41),E397&lt;&gt;0),System!BF159-IF(D397&lt;&gt;0,1,0)*$J$1*MIN($E$1,B397)*ABS(C397)*E397 - $H$1*$E$1*ABS(D397)*E397,PlotData!$CB$4)</f>
        <v>0</v>
      </c>
      <c r="N397" s="968">
        <f>IF(AND(ISNUMBER(System!$C41),E397&lt;&gt;0),M397 - $E$1*ABS(D397)*E397,PlotData!$CB$4)</f>
        <v>0</v>
      </c>
      <c r="O397" s="967">
        <f>IF(AND(ISNUMBER(System!$C41),E397&lt;&gt;0),L397 - $E$1*ABS(D397)*E397,PlotData!$CB$4)</f>
        <v>0</v>
      </c>
      <c r="P397" s="968">
        <f>IF(AND(ISNUMBER(System!$C41),E397&lt;&gt;0),L397 - $N$1*$E$1*ABS(D397)*E397,PlotData!$CB$4)</f>
        <v>0</v>
      </c>
      <c r="Q397" s="970">
        <f>IF(AND(ISNUMBER(System!$C41),E397&lt;&gt;0),M397 -$N$1*$E$1*ABS(D397)*E397,PlotData!$CB$4)</f>
        <v>0</v>
      </c>
    </row>
    <row r="398" spans="1:17" x14ac:dyDescent="0.25">
      <c r="A398" s="910">
        <v>39</v>
      </c>
      <c r="B398" s="966">
        <f t="shared" si="129"/>
        <v>0</v>
      </c>
      <c r="C398" s="967">
        <f t="shared" si="129"/>
        <v>0</v>
      </c>
      <c r="D398" s="968">
        <f t="shared" si="129"/>
        <v>0</v>
      </c>
      <c r="E398" s="969">
        <f>IF(AND(ISNUMBER(System!$C42),System!AM42&lt;&gt;0),SIGN(System!AM42),0)</f>
        <v>0</v>
      </c>
      <c r="F398" s="966">
        <f>IF(AND(ISNUMBER(System!$C42),E398&lt;&gt;0),System!BC160,PlotData!$CB$3)</f>
        <v>0</v>
      </c>
      <c r="G398" s="967">
        <f>IF(AND(ISNUMBER(System!$C42),E398&lt;&gt;0),System!BD160,PlotData!$CB$3)</f>
        <v>0</v>
      </c>
      <c r="H398" s="968">
        <f>IF(AND(ISNUMBER(System!$C42),E398&lt;&gt;0),G398,PlotData!$CB$3)</f>
        <v>0</v>
      </c>
      <c r="I398" s="967">
        <f>IF(AND(ISNUMBER(System!$C42),E398&lt;&gt;0),F398,PlotData!$CB$3)</f>
        <v>0</v>
      </c>
      <c r="J398" s="968">
        <f>IF(AND(ISNUMBER(System!$C42),E398&lt;&gt;0),F398,PlotData!$CB$3)</f>
        <v>0</v>
      </c>
      <c r="K398" s="970">
        <f>IF(AND(ISNUMBER(System!$C42),E398&lt;&gt;0),G398,PlotData!$CB$3)</f>
        <v>0</v>
      </c>
      <c r="L398" s="966">
        <f>IF(AND(ISNUMBER(System!$C42),E398&lt;&gt;0),System!BE160-IF(D398&lt;&gt;0,1,0)*$J$1*MIN($E$1,B398)*ABS(C398)*E398 - $H$1*$E$1*ABS(D398)*E398,PlotData!$CB$4)</f>
        <v>0</v>
      </c>
      <c r="M398" s="967">
        <f>IF(AND(ISNUMBER(System!$C42),E398&lt;&gt;0),System!BF160-IF(D398&lt;&gt;0,1,0)*$J$1*MIN($E$1,B398)*ABS(C398)*E398 - $H$1*$E$1*ABS(D398)*E398,PlotData!$CB$4)</f>
        <v>0</v>
      </c>
      <c r="N398" s="968">
        <f>IF(AND(ISNUMBER(System!$C42),E398&lt;&gt;0),M398 - $E$1*ABS(D398)*E398,PlotData!$CB$4)</f>
        <v>0</v>
      </c>
      <c r="O398" s="967">
        <f>IF(AND(ISNUMBER(System!$C42),E398&lt;&gt;0),L398 - $E$1*ABS(D398)*E398,PlotData!$CB$4)</f>
        <v>0</v>
      </c>
      <c r="P398" s="968">
        <f>IF(AND(ISNUMBER(System!$C42),E398&lt;&gt;0),L398 - $N$1*$E$1*ABS(D398)*E398,PlotData!$CB$4)</f>
        <v>0</v>
      </c>
      <c r="Q398" s="970">
        <f>IF(AND(ISNUMBER(System!$C42),E398&lt;&gt;0),M398 -$N$1*$E$1*ABS(D398)*E398,PlotData!$CB$4)</f>
        <v>0</v>
      </c>
    </row>
    <row r="399" spans="1:17" ht="13.8" thickBot="1" x14ac:dyDescent="0.3">
      <c r="A399" s="911">
        <v>40</v>
      </c>
      <c r="B399" s="971">
        <f t="shared" si="129"/>
        <v>0</v>
      </c>
      <c r="C399" s="972">
        <f t="shared" si="129"/>
        <v>0</v>
      </c>
      <c r="D399" s="973">
        <f t="shared" si="129"/>
        <v>0</v>
      </c>
      <c r="E399" s="969">
        <f>IF(AND(ISNUMBER(System!$C43),System!AM43&lt;&gt;0),SIGN(System!AM43),0)</f>
        <v>0</v>
      </c>
      <c r="F399" s="966">
        <f>IF(AND(ISNUMBER(System!$C43),E399&lt;&gt;0),System!BC161,PlotData!$CB$3)</f>
        <v>0</v>
      </c>
      <c r="G399" s="967">
        <f>IF(AND(ISNUMBER(System!$C43),E399&lt;&gt;0),System!BD161,PlotData!$CB$3)</f>
        <v>0</v>
      </c>
      <c r="H399" s="968">
        <f>IF(AND(ISNUMBER(System!$C43),E399&lt;&gt;0),G399,PlotData!$CB$3)</f>
        <v>0</v>
      </c>
      <c r="I399" s="967">
        <f>IF(AND(ISNUMBER(System!$C43),E399&lt;&gt;0),F399,PlotData!$CB$3)</f>
        <v>0</v>
      </c>
      <c r="J399" s="968">
        <f>IF(AND(ISNUMBER(System!$C43),E399&lt;&gt;0),F399,PlotData!$CB$3)</f>
        <v>0</v>
      </c>
      <c r="K399" s="970">
        <f>IF(AND(ISNUMBER(System!$C43),E399&lt;&gt;0),G399,PlotData!$CB$3)</f>
        <v>0</v>
      </c>
      <c r="L399" s="966">
        <f>IF(AND(ISNUMBER(System!$C43),E399&lt;&gt;0),System!BE161-IF(D399&lt;&gt;0,1,0)*$J$1*MIN($E$1,B399)*ABS(C399)*E399 - $H$1*$E$1*ABS(D399)*E399,PlotData!$CB$4)</f>
        <v>0</v>
      </c>
      <c r="M399" s="967">
        <f>IF(AND(ISNUMBER(System!$C43),E399&lt;&gt;0),System!BF161-IF(D399&lt;&gt;0,1,0)*$J$1*MIN($E$1,B399)*ABS(C399)*E399 - $H$1*$E$1*ABS(D399)*E399,PlotData!$CB$4)</f>
        <v>0</v>
      </c>
      <c r="N399" s="968">
        <f>IF(AND(ISNUMBER(System!$C43),E399&lt;&gt;0),M399 - $E$1*ABS(D399)*E399,PlotData!$CB$4)</f>
        <v>0</v>
      </c>
      <c r="O399" s="967">
        <f>IF(AND(ISNUMBER(System!$C43),E399&lt;&gt;0),L399 - $E$1*ABS(D399)*E399,PlotData!$CB$4)</f>
        <v>0</v>
      </c>
      <c r="P399" s="968">
        <f>IF(AND(ISNUMBER(System!$C43),E399&lt;&gt;0),L399 - $N$1*$E$1*ABS(D399)*E399,PlotData!$CB$4)</f>
        <v>0</v>
      </c>
      <c r="Q399" s="970">
        <f>IF(AND(ISNUMBER(System!$C43),E399&lt;&gt;0),M399 -$N$1*$E$1*ABS(D399)*E399,PlotData!$CB$4)</f>
        <v>0</v>
      </c>
    </row>
    <row r="401" spans="1:35" ht="13.8" thickBot="1" x14ac:dyDescent="0.3"/>
    <row r="402" spans="1:35" ht="13.8" thickBot="1" x14ac:dyDescent="0.3">
      <c r="A402" s="904" t="s">
        <v>43</v>
      </c>
      <c r="B402" s="974" t="s">
        <v>291</v>
      </c>
      <c r="C402" s="963" t="s">
        <v>292</v>
      </c>
      <c r="D402" s="962" t="s">
        <v>293</v>
      </c>
      <c r="E402" s="963" t="s">
        <v>294</v>
      </c>
      <c r="F402" s="962" t="s">
        <v>295</v>
      </c>
      <c r="G402" s="963" t="s">
        <v>296</v>
      </c>
      <c r="H402" s="962" t="s">
        <v>297</v>
      </c>
      <c r="I402" s="963" t="s">
        <v>298</v>
      </c>
      <c r="J402" s="962" t="s">
        <v>299</v>
      </c>
      <c r="K402" s="963" t="s">
        <v>300</v>
      </c>
      <c r="L402" s="962" t="s">
        <v>301</v>
      </c>
      <c r="M402" s="963" t="s">
        <v>302</v>
      </c>
      <c r="N402" s="962" t="s">
        <v>303</v>
      </c>
      <c r="O402" s="963" t="s">
        <v>304</v>
      </c>
      <c r="P402" s="962" t="s">
        <v>305</v>
      </c>
      <c r="Q402" s="963" t="s">
        <v>306</v>
      </c>
      <c r="R402" s="965" t="s">
        <v>307</v>
      </c>
      <c r="S402" s="975" t="s">
        <v>308</v>
      </c>
      <c r="T402" s="976" t="s">
        <v>309</v>
      </c>
      <c r="U402" s="977" t="s">
        <v>310</v>
      </c>
      <c r="V402" s="976" t="s">
        <v>311</v>
      </c>
      <c r="W402" s="977" t="s">
        <v>312</v>
      </c>
      <c r="X402" s="976" t="s">
        <v>313</v>
      </c>
      <c r="Y402" s="977" t="s">
        <v>314</v>
      </c>
      <c r="Z402" s="976" t="s">
        <v>315</v>
      </c>
      <c r="AA402" s="977" t="s">
        <v>316</v>
      </c>
      <c r="AB402" s="976" t="s">
        <v>317</v>
      </c>
      <c r="AC402" s="977" t="s">
        <v>318</v>
      </c>
      <c r="AD402" s="976" t="s">
        <v>319</v>
      </c>
      <c r="AE402" s="977" t="s">
        <v>320</v>
      </c>
      <c r="AF402" s="976" t="s">
        <v>321</v>
      </c>
      <c r="AG402" s="977" t="s">
        <v>322</v>
      </c>
      <c r="AH402" s="976" t="s">
        <v>323</v>
      </c>
      <c r="AI402" s="978" t="s">
        <v>324</v>
      </c>
    </row>
    <row r="403" spans="1:35" x14ac:dyDescent="0.25">
      <c r="A403" s="910">
        <v>1</v>
      </c>
      <c r="B403" s="979">
        <f>I360</f>
        <v>0</v>
      </c>
      <c r="C403" s="968">
        <f>F360</f>
        <v>0</v>
      </c>
      <c r="D403" s="967">
        <f ca="1">J360+IF(D360&lt;&gt;0,E360*$T$1*D360,$T$1/2)</f>
        <v>0</v>
      </c>
      <c r="E403" s="968">
        <f ca="1">J360-IF(D360&lt;&gt;0,E360*$T$1*D360,$T$1/2)</f>
        <v>0</v>
      </c>
      <c r="F403" s="967">
        <f>C403</f>
        <v>0</v>
      </c>
      <c r="G403" s="968">
        <f>G360</f>
        <v>0</v>
      </c>
      <c r="H403" s="967">
        <f>K360</f>
        <v>0</v>
      </c>
      <c r="I403" s="968">
        <f>G360</f>
        <v>0</v>
      </c>
      <c r="J403" s="967">
        <f>G403</f>
        <v>0</v>
      </c>
      <c r="K403" s="968">
        <f ca="1">K360+IF(D360&lt;&gt;0,E360*$T$1*D360,$T$1/2)</f>
        <v>0</v>
      </c>
      <c r="L403" s="967">
        <f ca="1">K360-IF(D360&lt;&gt;0,E360*$T$1*D360,$T$1/2)</f>
        <v>0</v>
      </c>
      <c r="M403" s="968">
        <f>J403</f>
        <v>0</v>
      </c>
      <c r="N403" s="967">
        <f>H360</f>
        <v>0</v>
      </c>
      <c r="O403" s="968">
        <f>H360</f>
        <v>0</v>
      </c>
      <c r="P403" s="967">
        <f>G360</f>
        <v>0</v>
      </c>
      <c r="Q403" s="968">
        <f>N403</f>
        <v>0</v>
      </c>
      <c r="R403" s="969">
        <f>B403</f>
        <v>0</v>
      </c>
      <c r="S403" s="980">
        <f>O360</f>
        <v>0</v>
      </c>
      <c r="T403" s="981">
        <f>L360</f>
        <v>0</v>
      </c>
      <c r="U403" s="981">
        <f ca="1">P360-IF(D360=0,IF(C360&gt;0,1,-1),1)*E360*C360*$T$1</f>
        <v>0</v>
      </c>
      <c r="V403" s="981">
        <f ca="1">U403</f>
        <v>0</v>
      </c>
      <c r="W403" s="981">
        <f>T403</f>
        <v>0</v>
      </c>
      <c r="X403" s="981">
        <f>M360</f>
        <v>0</v>
      </c>
      <c r="Y403" s="981">
        <f>M360</f>
        <v>0</v>
      </c>
      <c r="Z403" s="981">
        <f>M360</f>
        <v>0</v>
      </c>
      <c r="AA403" s="981">
        <f>X403</f>
        <v>0</v>
      </c>
      <c r="AB403" s="981">
        <f ca="1">Q360 - IF(D360=0,IF(C360&gt;0,1,-1),1)*E360*C360*$T$1</f>
        <v>0</v>
      </c>
      <c r="AC403" s="981">
        <f ca="1">AB403</f>
        <v>0</v>
      </c>
      <c r="AD403" s="981">
        <f>AA403</f>
        <v>0</v>
      </c>
      <c r="AE403" s="981">
        <f>N360</f>
        <v>0</v>
      </c>
      <c r="AF403" s="981">
        <f>N360</f>
        <v>0</v>
      </c>
      <c r="AG403" s="981">
        <f>N360</f>
        <v>0</v>
      </c>
      <c r="AH403" s="981">
        <f>AE403</f>
        <v>0</v>
      </c>
      <c r="AI403" s="982">
        <f>S403</f>
        <v>0</v>
      </c>
    </row>
    <row r="404" spans="1:35" x14ac:dyDescent="0.25">
      <c r="A404" s="910">
        <v>2</v>
      </c>
      <c r="B404" s="979">
        <f t="shared" ref="B404:B442" si="130">I361</f>
        <v>0</v>
      </c>
      <c r="C404" s="968">
        <f t="shared" ref="C404:C442" si="131">F361</f>
        <v>0</v>
      </c>
      <c r="D404" s="967">
        <f t="shared" ref="D404:D442" ca="1" si="132">J361+IF(D361&lt;&gt;0,E361*$T$1*D361,$T$1/2)</f>
        <v>0.84852813742385713</v>
      </c>
      <c r="E404" s="968">
        <f t="shared" ref="E404:E442" ca="1" si="133">J361-IF(D361&lt;&gt;0,E361*$T$1*D361,$T$1/2)</f>
        <v>-0.84852813742385713</v>
      </c>
      <c r="F404" s="967">
        <f t="shared" ref="F404:F442" si="134">C404</f>
        <v>0</v>
      </c>
      <c r="G404" s="968">
        <f t="shared" ref="G404:G442" si="135">G361</f>
        <v>0</v>
      </c>
      <c r="H404" s="967">
        <f t="shared" ref="H404:H442" si="136">K361</f>
        <v>0</v>
      </c>
      <c r="I404" s="968">
        <f t="shared" ref="I404:I442" si="137">G361</f>
        <v>0</v>
      </c>
      <c r="J404" s="967">
        <f t="shared" ref="J404:J442" si="138">G404</f>
        <v>0</v>
      </c>
      <c r="K404" s="968">
        <f t="shared" ref="K404:K442" ca="1" si="139">K361+IF(D361&lt;&gt;0,E361*$T$1*D361,$T$1/2)</f>
        <v>0.84852813742385713</v>
      </c>
      <c r="L404" s="967">
        <f t="shared" ref="L404:L442" ca="1" si="140">K361-IF(D361&lt;&gt;0,E361*$T$1*D361,$T$1/2)</f>
        <v>-0.84852813742385713</v>
      </c>
      <c r="M404" s="968">
        <f t="shared" ref="M404:M442" si="141">J404</f>
        <v>0</v>
      </c>
      <c r="N404" s="967">
        <f t="shared" ref="N404:N442" si="142">H361</f>
        <v>0</v>
      </c>
      <c r="O404" s="968">
        <f t="shared" ref="O404:O442" si="143">H361</f>
        <v>0</v>
      </c>
      <c r="P404" s="967">
        <f t="shared" ref="P404:P442" si="144">G361</f>
        <v>0</v>
      </c>
      <c r="Q404" s="968">
        <f t="shared" ref="Q404:Q442" si="145">N404</f>
        <v>0</v>
      </c>
      <c r="R404" s="969">
        <f t="shared" ref="R404:R442" si="146">B404</f>
        <v>0</v>
      </c>
      <c r="S404" s="979">
        <f t="shared" ref="S404:S442" si="147">O361</f>
        <v>0</v>
      </c>
      <c r="T404" s="967">
        <f t="shared" ref="T404:T442" si="148">L361</f>
        <v>0</v>
      </c>
      <c r="U404" s="967">
        <f t="shared" ref="U404:U442" ca="1" si="149">P361-IF(D361=0,IF(C361&gt;0,1,-1),1)*E361*C361*$T$1</f>
        <v>0</v>
      </c>
      <c r="V404" s="967">
        <f t="shared" ref="V404:V442" ca="1" si="150">U404</f>
        <v>0</v>
      </c>
      <c r="W404" s="967">
        <f t="shared" ref="W404:W442" si="151">T404</f>
        <v>0</v>
      </c>
      <c r="X404" s="967">
        <f t="shared" ref="X404:X442" si="152">M361</f>
        <v>0</v>
      </c>
      <c r="Y404" s="967">
        <f t="shared" ref="Y404:Y442" si="153">M361</f>
        <v>0</v>
      </c>
      <c r="Z404" s="967">
        <f t="shared" ref="Z404:Z442" si="154">M361</f>
        <v>0</v>
      </c>
      <c r="AA404" s="967">
        <f t="shared" ref="AA404:AA442" si="155">X404</f>
        <v>0</v>
      </c>
      <c r="AB404" s="967">
        <f t="shared" ref="AB404:AB442" ca="1" si="156">Q361 - IF(D361=0,IF(C361&gt;0,1,-1),1)*E361*C361*$T$1</f>
        <v>0</v>
      </c>
      <c r="AC404" s="967">
        <f t="shared" ref="AC404:AC442" ca="1" si="157">AB404</f>
        <v>0</v>
      </c>
      <c r="AD404" s="967">
        <f t="shared" ref="AD404:AD442" si="158">AA404</f>
        <v>0</v>
      </c>
      <c r="AE404" s="967">
        <f t="shared" ref="AE404:AE442" si="159">N361</f>
        <v>0</v>
      </c>
      <c r="AF404" s="967">
        <f t="shared" ref="AF404:AF442" si="160">N361</f>
        <v>0</v>
      </c>
      <c r="AG404" s="967">
        <f t="shared" ref="AG404:AG442" si="161">N361</f>
        <v>0</v>
      </c>
      <c r="AH404" s="967">
        <f t="shared" ref="AH404:AH442" si="162">AE404</f>
        <v>0</v>
      </c>
      <c r="AI404" s="970">
        <f t="shared" ref="AI404:AI442" si="163">S404</f>
        <v>0</v>
      </c>
    </row>
    <row r="405" spans="1:35" x14ac:dyDescent="0.25">
      <c r="A405" s="910">
        <v>3</v>
      </c>
      <c r="B405" s="979">
        <f t="shared" si="130"/>
        <v>0</v>
      </c>
      <c r="C405" s="968">
        <f t="shared" si="131"/>
        <v>0</v>
      </c>
      <c r="D405" s="967">
        <f t="shared" ca="1" si="132"/>
        <v>0</v>
      </c>
      <c r="E405" s="968">
        <f t="shared" ca="1" si="133"/>
        <v>0</v>
      </c>
      <c r="F405" s="967">
        <f t="shared" si="134"/>
        <v>0</v>
      </c>
      <c r="G405" s="968">
        <f t="shared" si="135"/>
        <v>0</v>
      </c>
      <c r="H405" s="967">
        <f t="shared" si="136"/>
        <v>0</v>
      </c>
      <c r="I405" s="968">
        <f t="shared" si="137"/>
        <v>0</v>
      </c>
      <c r="J405" s="967">
        <f t="shared" si="138"/>
        <v>0</v>
      </c>
      <c r="K405" s="968">
        <f t="shared" ca="1" si="139"/>
        <v>0</v>
      </c>
      <c r="L405" s="967">
        <f t="shared" ca="1" si="140"/>
        <v>0</v>
      </c>
      <c r="M405" s="968">
        <f t="shared" si="141"/>
        <v>0</v>
      </c>
      <c r="N405" s="967">
        <f t="shared" si="142"/>
        <v>0</v>
      </c>
      <c r="O405" s="968">
        <f t="shared" si="143"/>
        <v>0</v>
      </c>
      <c r="P405" s="967">
        <f t="shared" si="144"/>
        <v>0</v>
      </c>
      <c r="Q405" s="968">
        <f t="shared" si="145"/>
        <v>0</v>
      </c>
      <c r="R405" s="969">
        <f t="shared" si="146"/>
        <v>0</v>
      </c>
      <c r="S405" s="979">
        <f t="shared" si="147"/>
        <v>0</v>
      </c>
      <c r="T405" s="967">
        <f t="shared" si="148"/>
        <v>0</v>
      </c>
      <c r="U405" s="967">
        <f t="shared" ca="1" si="149"/>
        <v>0</v>
      </c>
      <c r="V405" s="967">
        <f t="shared" ca="1" si="150"/>
        <v>0</v>
      </c>
      <c r="W405" s="967">
        <f t="shared" si="151"/>
        <v>0</v>
      </c>
      <c r="X405" s="967">
        <f t="shared" si="152"/>
        <v>0</v>
      </c>
      <c r="Y405" s="967">
        <f t="shared" si="153"/>
        <v>0</v>
      </c>
      <c r="Z405" s="967">
        <f t="shared" si="154"/>
        <v>0</v>
      </c>
      <c r="AA405" s="967">
        <f t="shared" si="155"/>
        <v>0</v>
      </c>
      <c r="AB405" s="967">
        <f t="shared" ca="1" si="156"/>
        <v>0</v>
      </c>
      <c r="AC405" s="967">
        <f t="shared" ca="1" si="157"/>
        <v>0</v>
      </c>
      <c r="AD405" s="967">
        <f t="shared" si="158"/>
        <v>0</v>
      </c>
      <c r="AE405" s="967">
        <f t="shared" si="159"/>
        <v>0</v>
      </c>
      <c r="AF405" s="967">
        <f t="shared" si="160"/>
        <v>0</v>
      </c>
      <c r="AG405" s="967">
        <f t="shared" si="161"/>
        <v>0</v>
      </c>
      <c r="AH405" s="967">
        <f t="shared" si="162"/>
        <v>0</v>
      </c>
      <c r="AI405" s="970">
        <f t="shared" si="163"/>
        <v>0</v>
      </c>
    </row>
    <row r="406" spans="1:35" x14ac:dyDescent="0.25">
      <c r="A406" s="910">
        <v>4</v>
      </c>
      <c r="B406" s="979">
        <f t="shared" si="130"/>
        <v>0</v>
      </c>
      <c r="C406" s="968">
        <f t="shared" si="131"/>
        <v>0</v>
      </c>
      <c r="D406" s="967">
        <f t="shared" ca="1" si="132"/>
        <v>0</v>
      </c>
      <c r="E406" s="968">
        <f t="shared" ca="1" si="133"/>
        <v>0</v>
      </c>
      <c r="F406" s="967">
        <f t="shared" si="134"/>
        <v>0</v>
      </c>
      <c r="G406" s="968">
        <f t="shared" si="135"/>
        <v>0</v>
      </c>
      <c r="H406" s="967">
        <f t="shared" si="136"/>
        <v>0</v>
      </c>
      <c r="I406" s="968">
        <f t="shared" si="137"/>
        <v>0</v>
      </c>
      <c r="J406" s="967">
        <f t="shared" si="138"/>
        <v>0</v>
      </c>
      <c r="K406" s="968">
        <f t="shared" ca="1" si="139"/>
        <v>0</v>
      </c>
      <c r="L406" s="967">
        <f t="shared" ca="1" si="140"/>
        <v>0</v>
      </c>
      <c r="M406" s="968">
        <f t="shared" si="141"/>
        <v>0</v>
      </c>
      <c r="N406" s="967">
        <f t="shared" si="142"/>
        <v>0</v>
      </c>
      <c r="O406" s="968">
        <f t="shared" si="143"/>
        <v>0</v>
      </c>
      <c r="P406" s="967">
        <f t="shared" si="144"/>
        <v>0</v>
      </c>
      <c r="Q406" s="968">
        <f t="shared" si="145"/>
        <v>0</v>
      </c>
      <c r="R406" s="969">
        <f t="shared" si="146"/>
        <v>0</v>
      </c>
      <c r="S406" s="979">
        <f t="shared" si="147"/>
        <v>0</v>
      </c>
      <c r="T406" s="967">
        <f t="shared" si="148"/>
        <v>0</v>
      </c>
      <c r="U406" s="967">
        <f t="shared" ca="1" si="149"/>
        <v>0</v>
      </c>
      <c r="V406" s="967">
        <f t="shared" ca="1" si="150"/>
        <v>0</v>
      </c>
      <c r="W406" s="967">
        <f t="shared" si="151"/>
        <v>0</v>
      </c>
      <c r="X406" s="967">
        <f t="shared" si="152"/>
        <v>0</v>
      </c>
      <c r="Y406" s="967">
        <f t="shared" si="153"/>
        <v>0</v>
      </c>
      <c r="Z406" s="967">
        <f t="shared" si="154"/>
        <v>0</v>
      </c>
      <c r="AA406" s="967">
        <f t="shared" si="155"/>
        <v>0</v>
      </c>
      <c r="AB406" s="967">
        <f t="shared" ca="1" si="156"/>
        <v>0</v>
      </c>
      <c r="AC406" s="967">
        <f t="shared" ca="1" si="157"/>
        <v>0</v>
      </c>
      <c r="AD406" s="967">
        <f t="shared" si="158"/>
        <v>0</v>
      </c>
      <c r="AE406" s="967">
        <f t="shared" si="159"/>
        <v>0</v>
      </c>
      <c r="AF406" s="967">
        <f t="shared" si="160"/>
        <v>0</v>
      </c>
      <c r="AG406" s="967">
        <f t="shared" si="161"/>
        <v>0</v>
      </c>
      <c r="AH406" s="967">
        <f t="shared" si="162"/>
        <v>0</v>
      </c>
      <c r="AI406" s="970">
        <f t="shared" si="163"/>
        <v>0</v>
      </c>
    </row>
    <row r="407" spans="1:35" x14ac:dyDescent="0.25">
      <c r="A407" s="910">
        <v>5</v>
      </c>
      <c r="B407" s="979">
        <f t="shared" si="130"/>
        <v>0</v>
      </c>
      <c r="C407" s="968">
        <f t="shared" si="131"/>
        <v>0</v>
      </c>
      <c r="D407" s="967">
        <f t="shared" ca="1" si="132"/>
        <v>0</v>
      </c>
      <c r="E407" s="968">
        <f t="shared" ca="1" si="133"/>
        <v>0</v>
      </c>
      <c r="F407" s="967">
        <f t="shared" si="134"/>
        <v>0</v>
      </c>
      <c r="G407" s="968">
        <f t="shared" si="135"/>
        <v>0</v>
      </c>
      <c r="H407" s="967">
        <f t="shared" si="136"/>
        <v>0</v>
      </c>
      <c r="I407" s="968">
        <f t="shared" si="137"/>
        <v>0</v>
      </c>
      <c r="J407" s="967">
        <f t="shared" si="138"/>
        <v>0</v>
      </c>
      <c r="K407" s="968">
        <f t="shared" ca="1" si="139"/>
        <v>0</v>
      </c>
      <c r="L407" s="967">
        <f t="shared" ca="1" si="140"/>
        <v>0</v>
      </c>
      <c r="M407" s="968">
        <f t="shared" si="141"/>
        <v>0</v>
      </c>
      <c r="N407" s="967">
        <f t="shared" si="142"/>
        <v>0</v>
      </c>
      <c r="O407" s="968">
        <f t="shared" si="143"/>
        <v>0</v>
      </c>
      <c r="P407" s="967">
        <f t="shared" si="144"/>
        <v>0</v>
      </c>
      <c r="Q407" s="968">
        <f t="shared" si="145"/>
        <v>0</v>
      </c>
      <c r="R407" s="969">
        <f t="shared" si="146"/>
        <v>0</v>
      </c>
      <c r="S407" s="979">
        <f t="shared" si="147"/>
        <v>0</v>
      </c>
      <c r="T407" s="967">
        <f t="shared" si="148"/>
        <v>0</v>
      </c>
      <c r="U407" s="967">
        <f t="shared" ca="1" si="149"/>
        <v>0</v>
      </c>
      <c r="V407" s="967">
        <f t="shared" ca="1" si="150"/>
        <v>0</v>
      </c>
      <c r="W407" s="967">
        <f t="shared" si="151"/>
        <v>0</v>
      </c>
      <c r="X407" s="967">
        <f t="shared" si="152"/>
        <v>0</v>
      </c>
      <c r="Y407" s="967">
        <f t="shared" si="153"/>
        <v>0</v>
      </c>
      <c r="Z407" s="967">
        <f t="shared" si="154"/>
        <v>0</v>
      </c>
      <c r="AA407" s="967">
        <f t="shared" si="155"/>
        <v>0</v>
      </c>
      <c r="AB407" s="967">
        <f t="shared" ca="1" si="156"/>
        <v>0</v>
      </c>
      <c r="AC407" s="967">
        <f t="shared" ca="1" si="157"/>
        <v>0</v>
      </c>
      <c r="AD407" s="967">
        <f t="shared" si="158"/>
        <v>0</v>
      </c>
      <c r="AE407" s="967">
        <f t="shared" si="159"/>
        <v>0</v>
      </c>
      <c r="AF407" s="967">
        <f t="shared" si="160"/>
        <v>0</v>
      </c>
      <c r="AG407" s="967">
        <f t="shared" si="161"/>
        <v>0</v>
      </c>
      <c r="AH407" s="967">
        <f t="shared" si="162"/>
        <v>0</v>
      </c>
      <c r="AI407" s="970">
        <f t="shared" si="163"/>
        <v>0</v>
      </c>
    </row>
    <row r="408" spans="1:35" x14ac:dyDescent="0.25">
      <c r="A408" s="910">
        <v>6</v>
      </c>
      <c r="B408" s="979">
        <f t="shared" si="130"/>
        <v>0</v>
      </c>
      <c r="C408" s="968">
        <f t="shared" si="131"/>
        <v>0</v>
      </c>
      <c r="D408" s="967">
        <f t="shared" si="132"/>
        <v>0.84852813742385713</v>
      </c>
      <c r="E408" s="968">
        <f t="shared" si="133"/>
        <v>-0.84852813742385713</v>
      </c>
      <c r="F408" s="967">
        <f t="shared" si="134"/>
        <v>0</v>
      </c>
      <c r="G408" s="968">
        <f t="shared" si="135"/>
        <v>0</v>
      </c>
      <c r="H408" s="967">
        <f t="shared" si="136"/>
        <v>0</v>
      </c>
      <c r="I408" s="968">
        <f t="shared" si="137"/>
        <v>0</v>
      </c>
      <c r="J408" s="967">
        <f t="shared" si="138"/>
        <v>0</v>
      </c>
      <c r="K408" s="968">
        <f t="shared" si="139"/>
        <v>0.84852813742385713</v>
      </c>
      <c r="L408" s="967">
        <f t="shared" si="140"/>
        <v>-0.84852813742385713</v>
      </c>
      <c r="M408" s="968">
        <f t="shared" si="141"/>
        <v>0</v>
      </c>
      <c r="N408" s="967">
        <f t="shared" si="142"/>
        <v>0</v>
      </c>
      <c r="O408" s="968">
        <f t="shared" si="143"/>
        <v>0</v>
      </c>
      <c r="P408" s="967">
        <f t="shared" si="144"/>
        <v>0</v>
      </c>
      <c r="Q408" s="968">
        <f t="shared" si="145"/>
        <v>0</v>
      </c>
      <c r="R408" s="969">
        <f t="shared" si="146"/>
        <v>0</v>
      </c>
      <c r="S408" s="979">
        <f t="shared" si="147"/>
        <v>0</v>
      </c>
      <c r="T408" s="967">
        <f t="shared" si="148"/>
        <v>0</v>
      </c>
      <c r="U408" s="967">
        <f t="shared" si="149"/>
        <v>0</v>
      </c>
      <c r="V408" s="967">
        <f t="shared" si="150"/>
        <v>0</v>
      </c>
      <c r="W408" s="967">
        <f t="shared" si="151"/>
        <v>0</v>
      </c>
      <c r="X408" s="967">
        <f t="shared" si="152"/>
        <v>0</v>
      </c>
      <c r="Y408" s="967">
        <f t="shared" si="153"/>
        <v>0</v>
      </c>
      <c r="Z408" s="967">
        <f t="shared" si="154"/>
        <v>0</v>
      </c>
      <c r="AA408" s="967">
        <f t="shared" si="155"/>
        <v>0</v>
      </c>
      <c r="AB408" s="967">
        <f t="shared" si="156"/>
        <v>0</v>
      </c>
      <c r="AC408" s="967">
        <f t="shared" si="157"/>
        <v>0</v>
      </c>
      <c r="AD408" s="967">
        <f t="shared" si="158"/>
        <v>0</v>
      </c>
      <c r="AE408" s="967">
        <f t="shared" si="159"/>
        <v>0</v>
      </c>
      <c r="AF408" s="967">
        <f t="shared" si="160"/>
        <v>0</v>
      </c>
      <c r="AG408" s="967">
        <f t="shared" si="161"/>
        <v>0</v>
      </c>
      <c r="AH408" s="967">
        <f t="shared" si="162"/>
        <v>0</v>
      </c>
      <c r="AI408" s="970">
        <f t="shared" si="163"/>
        <v>0</v>
      </c>
    </row>
    <row r="409" spans="1:35" x14ac:dyDescent="0.25">
      <c r="A409" s="910">
        <v>7</v>
      </c>
      <c r="B409" s="979">
        <f t="shared" si="130"/>
        <v>0</v>
      </c>
      <c r="C409" s="968">
        <f t="shared" si="131"/>
        <v>0</v>
      </c>
      <c r="D409" s="967">
        <f t="shared" si="132"/>
        <v>0.84852813742385713</v>
      </c>
      <c r="E409" s="968">
        <f t="shared" si="133"/>
        <v>-0.84852813742385713</v>
      </c>
      <c r="F409" s="967">
        <f t="shared" si="134"/>
        <v>0</v>
      </c>
      <c r="G409" s="968">
        <f t="shared" si="135"/>
        <v>0</v>
      </c>
      <c r="H409" s="967">
        <f t="shared" si="136"/>
        <v>0</v>
      </c>
      <c r="I409" s="968">
        <f t="shared" si="137"/>
        <v>0</v>
      </c>
      <c r="J409" s="967">
        <f t="shared" si="138"/>
        <v>0</v>
      </c>
      <c r="K409" s="968">
        <f t="shared" si="139"/>
        <v>0.84852813742385713</v>
      </c>
      <c r="L409" s="967">
        <f t="shared" si="140"/>
        <v>-0.84852813742385713</v>
      </c>
      <c r="M409" s="968">
        <f t="shared" si="141"/>
        <v>0</v>
      </c>
      <c r="N409" s="967">
        <f t="shared" si="142"/>
        <v>0</v>
      </c>
      <c r="O409" s="968">
        <f t="shared" si="143"/>
        <v>0</v>
      </c>
      <c r="P409" s="967">
        <f t="shared" si="144"/>
        <v>0</v>
      </c>
      <c r="Q409" s="968">
        <f t="shared" si="145"/>
        <v>0</v>
      </c>
      <c r="R409" s="969">
        <f t="shared" si="146"/>
        <v>0</v>
      </c>
      <c r="S409" s="979">
        <f t="shared" si="147"/>
        <v>0</v>
      </c>
      <c r="T409" s="967">
        <f t="shared" si="148"/>
        <v>0</v>
      </c>
      <c r="U409" s="967">
        <f t="shared" si="149"/>
        <v>0</v>
      </c>
      <c r="V409" s="967">
        <f t="shared" si="150"/>
        <v>0</v>
      </c>
      <c r="W409" s="967">
        <f t="shared" si="151"/>
        <v>0</v>
      </c>
      <c r="X409" s="967">
        <f t="shared" si="152"/>
        <v>0</v>
      </c>
      <c r="Y409" s="967">
        <f t="shared" si="153"/>
        <v>0</v>
      </c>
      <c r="Z409" s="967">
        <f t="shared" si="154"/>
        <v>0</v>
      </c>
      <c r="AA409" s="967">
        <f t="shared" si="155"/>
        <v>0</v>
      </c>
      <c r="AB409" s="967">
        <f t="shared" si="156"/>
        <v>0</v>
      </c>
      <c r="AC409" s="967">
        <f t="shared" si="157"/>
        <v>0</v>
      </c>
      <c r="AD409" s="967">
        <f t="shared" si="158"/>
        <v>0</v>
      </c>
      <c r="AE409" s="967">
        <f t="shared" si="159"/>
        <v>0</v>
      </c>
      <c r="AF409" s="967">
        <f t="shared" si="160"/>
        <v>0</v>
      </c>
      <c r="AG409" s="967">
        <f t="shared" si="161"/>
        <v>0</v>
      </c>
      <c r="AH409" s="967">
        <f t="shared" si="162"/>
        <v>0</v>
      </c>
      <c r="AI409" s="970">
        <f t="shared" si="163"/>
        <v>0</v>
      </c>
    </row>
    <row r="410" spans="1:35" x14ac:dyDescent="0.25">
      <c r="A410" s="910">
        <v>8</v>
      </c>
      <c r="B410" s="979">
        <f t="shared" si="130"/>
        <v>0</v>
      </c>
      <c r="C410" s="968">
        <f t="shared" si="131"/>
        <v>0</v>
      </c>
      <c r="D410" s="967">
        <f t="shared" si="132"/>
        <v>0.84852813742385713</v>
      </c>
      <c r="E410" s="968">
        <f t="shared" si="133"/>
        <v>-0.84852813742385713</v>
      </c>
      <c r="F410" s="967">
        <f t="shared" si="134"/>
        <v>0</v>
      </c>
      <c r="G410" s="968">
        <f t="shared" si="135"/>
        <v>0</v>
      </c>
      <c r="H410" s="967">
        <f t="shared" si="136"/>
        <v>0</v>
      </c>
      <c r="I410" s="968">
        <f t="shared" si="137"/>
        <v>0</v>
      </c>
      <c r="J410" s="967">
        <f t="shared" si="138"/>
        <v>0</v>
      </c>
      <c r="K410" s="968">
        <f t="shared" si="139"/>
        <v>0.84852813742385713</v>
      </c>
      <c r="L410" s="967">
        <f t="shared" si="140"/>
        <v>-0.84852813742385713</v>
      </c>
      <c r="M410" s="968">
        <f t="shared" si="141"/>
        <v>0</v>
      </c>
      <c r="N410" s="967">
        <f t="shared" si="142"/>
        <v>0</v>
      </c>
      <c r="O410" s="968">
        <f t="shared" si="143"/>
        <v>0</v>
      </c>
      <c r="P410" s="967">
        <f t="shared" si="144"/>
        <v>0</v>
      </c>
      <c r="Q410" s="968">
        <f t="shared" si="145"/>
        <v>0</v>
      </c>
      <c r="R410" s="969">
        <f t="shared" si="146"/>
        <v>0</v>
      </c>
      <c r="S410" s="979">
        <f t="shared" si="147"/>
        <v>0</v>
      </c>
      <c r="T410" s="967">
        <f t="shared" si="148"/>
        <v>0</v>
      </c>
      <c r="U410" s="967">
        <f t="shared" si="149"/>
        <v>0</v>
      </c>
      <c r="V410" s="967">
        <f t="shared" si="150"/>
        <v>0</v>
      </c>
      <c r="W410" s="967">
        <f t="shared" si="151"/>
        <v>0</v>
      </c>
      <c r="X410" s="967">
        <f t="shared" si="152"/>
        <v>0</v>
      </c>
      <c r="Y410" s="967">
        <f t="shared" si="153"/>
        <v>0</v>
      </c>
      <c r="Z410" s="967">
        <f t="shared" si="154"/>
        <v>0</v>
      </c>
      <c r="AA410" s="967">
        <f t="shared" si="155"/>
        <v>0</v>
      </c>
      <c r="AB410" s="967">
        <f t="shared" si="156"/>
        <v>0</v>
      </c>
      <c r="AC410" s="967">
        <f t="shared" si="157"/>
        <v>0</v>
      </c>
      <c r="AD410" s="967">
        <f t="shared" si="158"/>
        <v>0</v>
      </c>
      <c r="AE410" s="967">
        <f t="shared" si="159"/>
        <v>0</v>
      </c>
      <c r="AF410" s="967">
        <f t="shared" si="160"/>
        <v>0</v>
      </c>
      <c r="AG410" s="967">
        <f t="shared" si="161"/>
        <v>0</v>
      </c>
      <c r="AH410" s="967">
        <f t="shared" si="162"/>
        <v>0</v>
      </c>
      <c r="AI410" s="970">
        <f t="shared" si="163"/>
        <v>0</v>
      </c>
    </row>
    <row r="411" spans="1:35" x14ac:dyDescent="0.25">
      <c r="A411" s="910">
        <v>9</v>
      </c>
      <c r="B411" s="979">
        <f t="shared" si="130"/>
        <v>0</v>
      </c>
      <c r="C411" s="968">
        <f t="shared" si="131"/>
        <v>0</v>
      </c>
      <c r="D411" s="967">
        <f t="shared" si="132"/>
        <v>0.84852813742385713</v>
      </c>
      <c r="E411" s="968">
        <f t="shared" si="133"/>
        <v>-0.84852813742385713</v>
      </c>
      <c r="F411" s="967">
        <f t="shared" si="134"/>
        <v>0</v>
      </c>
      <c r="G411" s="968">
        <f t="shared" si="135"/>
        <v>0</v>
      </c>
      <c r="H411" s="967">
        <f t="shared" si="136"/>
        <v>0</v>
      </c>
      <c r="I411" s="968">
        <f t="shared" si="137"/>
        <v>0</v>
      </c>
      <c r="J411" s="967">
        <f t="shared" si="138"/>
        <v>0</v>
      </c>
      <c r="K411" s="968">
        <f t="shared" si="139"/>
        <v>0.84852813742385713</v>
      </c>
      <c r="L411" s="967">
        <f t="shared" si="140"/>
        <v>-0.84852813742385713</v>
      </c>
      <c r="M411" s="968">
        <f t="shared" si="141"/>
        <v>0</v>
      </c>
      <c r="N411" s="967">
        <f t="shared" si="142"/>
        <v>0</v>
      </c>
      <c r="O411" s="968">
        <f t="shared" si="143"/>
        <v>0</v>
      </c>
      <c r="P411" s="967">
        <f t="shared" si="144"/>
        <v>0</v>
      </c>
      <c r="Q411" s="968">
        <f t="shared" si="145"/>
        <v>0</v>
      </c>
      <c r="R411" s="969">
        <f t="shared" si="146"/>
        <v>0</v>
      </c>
      <c r="S411" s="979">
        <f t="shared" si="147"/>
        <v>0</v>
      </c>
      <c r="T411" s="967">
        <f t="shared" si="148"/>
        <v>0</v>
      </c>
      <c r="U411" s="967">
        <f t="shared" si="149"/>
        <v>0</v>
      </c>
      <c r="V411" s="967">
        <f t="shared" si="150"/>
        <v>0</v>
      </c>
      <c r="W411" s="967">
        <f t="shared" si="151"/>
        <v>0</v>
      </c>
      <c r="X411" s="967">
        <f t="shared" si="152"/>
        <v>0</v>
      </c>
      <c r="Y411" s="967">
        <f t="shared" si="153"/>
        <v>0</v>
      </c>
      <c r="Z411" s="967">
        <f t="shared" si="154"/>
        <v>0</v>
      </c>
      <c r="AA411" s="967">
        <f t="shared" si="155"/>
        <v>0</v>
      </c>
      <c r="AB411" s="967">
        <f t="shared" si="156"/>
        <v>0</v>
      </c>
      <c r="AC411" s="967">
        <f t="shared" si="157"/>
        <v>0</v>
      </c>
      <c r="AD411" s="967">
        <f t="shared" si="158"/>
        <v>0</v>
      </c>
      <c r="AE411" s="967">
        <f t="shared" si="159"/>
        <v>0</v>
      </c>
      <c r="AF411" s="967">
        <f t="shared" si="160"/>
        <v>0</v>
      </c>
      <c r="AG411" s="967">
        <f t="shared" si="161"/>
        <v>0</v>
      </c>
      <c r="AH411" s="967">
        <f t="shared" si="162"/>
        <v>0</v>
      </c>
      <c r="AI411" s="970">
        <f t="shared" si="163"/>
        <v>0</v>
      </c>
    </row>
    <row r="412" spans="1:35" x14ac:dyDescent="0.25">
      <c r="A412" s="910">
        <v>10</v>
      </c>
      <c r="B412" s="979">
        <f t="shared" si="130"/>
        <v>0</v>
      </c>
      <c r="C412" s="968">
        <f t="shared" si="131"/>
        <v>0</v>
      </c>
      <c r="D412" s="967">
        <f t="shared" si="132"/>
        <v>0.84852813742385713</v>
      </c>
      <c r="E412" s="968">
        <f t="shared" si="133"/>
        <v>-0.84852813742385713</v>
      </c>
      <c r="F412" s="967">
        <f t="shared" si="134"/>
        <v>0</v>
      </c>
      <c r="G412" s="968">
        <f t="shared" si="135"/>
        <v>0</v>
      </c>
      <c r="H412" s="967">
        <f t="shared" si="136"/>
        <v>0</v>
      </c>
      <c r="I412" s="968">
        <f t="shared" si="137"/>
        <v>0</v>
      </c>
      <c r="J412" s="967">
        <f t="shared" si="138"/>
        <v>0</v>
      </c>
      <c r="K412" s="968">
        <f t="shared" si="139"/>
        <v>0.84852813742385713</v>
      </c>
      <c r="L412" s="967">
        <f t="shared" si="140"/>
        <v>-0.84852813742385713</v>
      </c>
      <c r="M412" s="968">
        <f t="shared" si="141"/>
        <v>0</v>
      </c>
      <c r="N412" s="967">
        <f t="shared" si="142"/>
        <v>0</v>
      </c>
      <c r="O412" s="968">
        <f t="shared" si="143"/>
        <v>0</v>
      </c>
      <c r="P412" s="967">
        <f t="shared" si="144"/>
        <v>0</v>
      </c>
      <c r="Q412" s="968">
        <f t="shared" si="145"/>
        <v>0</v>
      </c>
      <c r="R412" s="969">
        <f t="shared" si="146"/>
        <v>0</v>
      </c>
      <c r="S412" s="979">
        <f t="shared" si="147"/>
        <v>0</v>
      </c>
      <c r="T412" s="967">
        <f t="shared" si="148"/>
        <v>0</v>
      </c>
      <c r="U412" s="967">
        <f t="shared" si="149"/>
        <v>0</v>
      </c>
      <c r="V412" s="967">
        <f t="shared" si="150"/>
        <v>0</v>
      </c>
      <c r="W412" s="967">
        <f t="shared" si="151"/>
        <v>0</v>
      </c>
      <c r="X412" s="967">
        <f t="shared" si="152"/>
        <v>0</v>
      </c>
      <c r="Y412" s="967">
        <f t="shared" si="153"/>
        <v>0</v>
      </c>
      <c r="Z412" s="967">
        <f t="shared" si="154"/>
        <v>0</v>
      </c>
      <c r="AA412" s="967">
        <f t="shared" si="155"/>
        <v>0</v>
      </c>
      <c r="AB412" s="967">
        <f t="shared" si="156"/>
        <v>0</v>
      </c>
      <c r="AC412" s="967">
        <f t="shared" si="157"/>
        <v>0</v>
      </c>
      <c r="AD412" s="967">
        <f t="shared" si="158"/>
        <v>0</v>
      </c>
      <c r="AE412" s="967">
        <f t="shared" si="159"/>
        <v>0</v>
      </c>
      <c r="AF412" s="967">
        <f t="shared" si="160"/>
        <v>0</v>
      </c>
      <c r="AG412" s="967">
        <f t="shared" si="161"/>
        <v>0</v>
      </c>
      <c r="AH412" s="967">
        <f t="shared" si="162"/>
        <v>0</v>
      </c>
      <c r="AI412" s="970">
        <f t="shared" si="163"/>
        <v>0</v>
      </c>
    </row>
    <row r="413" spans="1:35" x14ac:dyDescent="0.25">
      <c r="A413" s="910">
        <v>11</v>
      </c>
      <c r="B413" s="979">
        <f t="shared" si="130"/>
        <v>0</v>
      </c>
      <c r="C413" s="968">
        <f t="shared" si="131"/>
        <v>0</v>
      </c>
      <c r="D413" s="967">
        <f t="shared" si="132"/>
        <v>0.84852813742385713</v>
      </c>
      <c r="E413" s="968">
        <f t="shared" si="133"/>
        <v>-0.84852813742385713</v>
      </c>
      <c r="F413" s="967">
        <f t="shared" si="134"/>
        <v>0</v>
      </c>
      <c r="G413" s="968">
        <f t="shared" si="135"/>
        <v>0</v>
      </c>
      <c r="H413" s="967">
        <f t="shared" si="136"/>
        <v>0</v>
      </c>
      <c r="I413" s="968">
        <f t="shared" si="137"/>
        <v>0</v>
      </c>
      <c r="J413" s="967">
        <f t="shared" si="138"/>
        <v>0</v>
      </c>
      <c r="K413" s="968">
        <f t="shared" si="139"/>
        <v>0.84852813742385713</v>
      </c>
      <c r="L413" s="967">
        <f t="shared" si="140"/>
        <v>-0.84852813742385713</v>
      </c>
      <c r="M413" s="968">
        <f t="shared" si="141"/>
        <v>0</v>
      </c>
      <c r="N413" s="967">
        <f t="shared" si="142"/>
        <v>0</v>
      </c>
      <c r="O413" s="968">
        <f t="shared" si="143"/>
        <v>0</v>
      </c>
      <c r="P413" s="967">
        <f t="shared" si="144"/>
        <v>0</v>
      </c>
      <c r="Q413" s="968">
        <f t="shared" si="145"/>
        <v>0</v>
      </c>
      <c r="R413" s="969">
        <f t="shared" si="146"/>
        <v>0</v>
      </c>
      <c r="S413" s="979">
        <f t="shared" si="147"/>
        <v>0</v>
      </c>
      <c r="T413" s="967">
        <f t="shared" si="148"/>
        <v>0</v>
      </c>
      <c r="U413" s="967">
        <f t="shared" si="149"/>
        <v>0</v>
      </c>
      <c r="V413" s="967">
        <f t="shared" si="150"/>
        <v>0</v>
      </c>
      <c r="W413" s="967">
        <f t="shared" si="151"/>
        <v>0</v>
      </c>
      <c r="X413" s="967">
        <f t="shared" si="152"/>
        <v>0</v>
      </c>
      <c r="Y413" s="967">
        <f t="shared" si="153"/>
        <v>0</v>
      </c>
      <c r="Z413" s="967">
        <f t="shared" si="154"/>
        <v>0</v>
      </c>
      <c r="AA413" s="967">
        <f t="shared" si="155"/>
        <v>0</v>
      </c>
      <c r="AB413" s="967">
        <f t="shared" si="156"/>
        <v>0</v>
      </c>
      <c r="AC413" s="967">
        <f t="shared" si="157"/>
        <v>0</v>
      </c>
      <c r="AD413" s="967">
        <f t="shared" si="158"/>
        <v>0</v>
      </c>
      <c r="AE413" s="967">
        <f t="shared" si="159"/>
        <v>0</v>
      </c>
      <c r="AF413" s="967">
        <f t="shared" si="160"/>
        <v>0</v>
      </c>
      <c r="AG413" s="967">
        <f t="shared" si="161"/>
        <v>0</v>
      </c>
      <c r="AH413" s="967">
        <f t="shared" si="162"/>
        <v>0</v>
      </c>
      <c r="AI413" s="970">
        <f t="shared" si="163"/>
        <v>0</v>
      </c>
    </row>
    <row r="414" spans="1:35" x14ac:dyDescent="0.25">
      <c r="A414" s="910">
        <v>12</v>
      </c>
      <c r="B414" s="979">
        <f t="shared" si="130"/>
        <v>0</v>
      </c>
      <c r="C414" s="968">
        <f t="shared" si="131"/>
        <v>0</v>
      </c>
      <c r="D414" s="967">
        <f t="shared" si="132"/>
        <v>0.84852813742385713</v>
      </c>
      <c r="E414" s="968">
        <f t="shared" si="133"/>
        <v>-0.84852813742385713</v>
      </c>
      <c r="F414" s="967">
        <f t="shared" si="134"/>
        <v>0</v>
      </c>
      <c r="G414" s="968">
        <f t="shared" si="135"/>
        <v>0</v>
      </c>
      <c r="H414" s="967">
        <f t="shared" si="136"/>
        <v>0</v>
      </c>
      <c r="I414" s="968">
        <f t="shared" si="137"/>
        <v>0</v>
      </c>
      <c r="J414" s="967">
        <f t="shared" si="138"/>
        <v>0</v>
      </c>
      <c r="K414" s="968">
        <f t="shared" si="139"/>
        <v>0.84852813742385713</v>
      </c>
      <c r="L414" s="967">
        <f t="shared" si="140"/>
        <v>-0.84852813742385713</v>
      </c>
      <c r="M414" s="968">
        <f t="shared" si="141"/>
        <v>0</v>
      </c>
      <c r="N414" s="967">
        <f t="shared" si="142"/>
        <v>0</v>
      </c>
      <c r="O414" s="968">
        <f t="shared" si="143"/>
        <v>0</v>
      </c>
      <c r="P414" s="967">
        <f t="shared" si="144"/>
        <v>0</v>
      </c>
      <c r="Q414" s="968">
        <f t="shared" si="145"/>
        <v>0</v>
      </c>
      <c r="R414" s="969">
        <f t="shared" si="146"/>
        <v>0</v>
      </c>
      <c r="S414" s="979">
        <f t="shared" si="147"/>
        <v>0</v>
      </c>
      <c r="T414" s="967">
        <f t="shared" si="148"/>
        <v>0</v>
      </c>
      <c r="U414" s="967">
        <f t="shared" si="149"/>
        <v>0</v>
      </c>
      <c r="V414" s="967">
        <f t="shared" si="150"/>
        <v>0</v>
      </c>
      <c r="W414" s="967">
        <f t="shared" si="151"/>
        <v>0</v>
      </c>
      <c r="X414" s="967">
        <f t="shared" si="152"/>
        <v>0</v>
      </c>
      <c r="Y414" s="967">
        <f t="shared" si="153"/>
        <v>0</v>
      </c>
      <c r="Z414" s="967">
        <f t="shared" si="154"/>
        <v>0</v>
      </c>
      <c r="AA414" s="967">
        <f t="shared" si="155"/>
        <v>0</v>
      </c>
      <c r="AB414" s="967">
        <f t="shared" si="156"/>
        <v>0</v>
      </c>
      <c r="AC414" s="967">
        <f t="shared" si="157"/>
        <v>0</v>
      </c>
      <c r="AD414" s="967">
        <f t="shared" si="158"/>
        <v>0</v>
      </c>
      <c r="AE414" s="967">
        <f t="shared" si="159"/>
        <v>0</v>
      </c>
      <c r="AF414" s="967">
        <f t="shared" si="160"/>
        <v>0</v>
      </c>
      <c r="AG414" s="967">
        <f t="shared" si="161"/>
        <v>0</v>
      </c>
      <c r="AH414" s="967">
        <f t="shared" si="162"/>
        <v>0</v>
      </c>
      <c r="AI414" s="970">
        <f t="shared" si="163"/>
        <v>0</v>
      </c>
    </row>
    <row r="415" spans="1:35" x14ac:dyDescent="0.25">
      <c r="A415" s="910">
        <v>13</v>
      </c>
      <c r="B415" s="979">
        <f t="shared" si="130"/>
        <v>0</v>
      </c>
      <c r="C415" s="968">
        <f t="shared" si="131"/>
        <v>0</v>
      </c>
      <c r="D415" s="967">
        <f t="shared" si="132"/>
        <v>0.84852813742385713</v>
      </c>
      <c r="E415" s="968">
        <f t="shared" si="133"/>
        <v>-0.84852813742385713</v>
      </c>
      <c r="F415" s="967">
        <f t="shared" si="134"/>
        <v>0</v>
      </c>
      <c r="G415" s="968">
        <f t="shared" si="135"/>
        <v>0</v>
      </c>
      <c r="H415" s="967">
        <f t="shared" si="136"/>
        <v>0</v>
      </c>
      <c r="I415" s="968">
        <f t="shared" si="137"/>
        <v>0</v>
      </c>
      <c r="J415" s="967">
        <f t="shared" si="138"/>
        <v>0</v>
      </c>
      <c r="K415" s="968">
        <f t="shared" si="139"/>
        <v>0.84852813742385713</v>
      </c>
      <c r="L415" s="967">
        <f t="shared" si="140"/>
        <v>-0.84852813742385713</v>
      </c>
      <c r="M415" s="968">
        <f t="shared" si="141"/>
        <v>0</v>
      </c>
      <c r="N415" s="967">
        <f t="shared" si="142"/>
        <v>0</v>
      </c>
      <c r="O415" s="968">
        <f t="shared" si="143"/>
        <v>0</v>
      </c>
      <c r="P415" s="967">
        <f t="shared" si="144"/>
        <v>0</v>
      </c>
      <c r="Q415" s="968">
        <f t="shared" si="145"/>
        <v>0</v>
      </c>
      <c r="R415" s="969">
        <f t="shared" si="146"/>
        <v>0</v>
      </c>
      <c r="S415" s="979">
        <f t="shared" si="147"/>
        <v>0</v>
      </c>
      <c r="T415" s="967">
        <f t="shared" si="148"/>
        <v>0</v>
      </c>
      <c r="U415" s="967">
        <f t="shared" si="149"/>
        <v>0</v>
      </c>
      <c r="V415" s="967">
        <f t="shared" si="150"/>
        <v>0</v>
      </c>
      <c r="W415" s="967">
        <f t="shared" si="151"/>
        <v>0</v>
      </c>
      <c r="X415" s="967">
        <f t="shared" si="152"/>
        <v>0</v>
      </c>
      <c r="Y415" s="967">
        <f t="shared" si="153"/>
        <v>0</v>
      </c>
      <c r="Z415" s="967">
        <f t="shared" si="154"/>
        <v>0</v>
      </c>
      <c r="AA415" s="967">
        <f t="shared" si="155"/>
        <v>0</v>
      </c>
      <c r="AB415" s="967">
        <f t="shared" si="156"/>
        <v>0</v>
      </c>
      <c r="AC415" s="967">
        <f t="shared" si="157"/>
        <v>0</v>
      </c>
      <c r="AD415" s="967">
        <f t="shared" si="158"/>
        <v>0</v>
      </c>
      <c r="AE415" s="967">
        <f t="shared" si="159"/>
        <v>0</v>
      </c>
      <c r="AF415" s="967">
        <f t="shared" si="160"/>
        <v>0</v>
      </c>
      <c r="AG415" s="967">
        <f t="shared" si="161"/>
        <v>0</v>
      </c>
      <c r="AH415" s="967">
        <f t="shared" si="162"/>
        <v>0</v>
      </c>
      <c r="AI415" s="970">
        <f t="shared" si="163"/>
        <v>0</v>
      </c>
    </row>
    <row r="416" spans="1:35" x14ac:dyDescent="0.25">
      <c r="A416" s="910">
        <v>14</v>
      </c>
      <c r="B416" s="979">
        <f t="shared" si="130"/>
        <v>0</v>
      </c>
      <c r="C416" s="968">
        <f t="shared" si="131"/>
        <v>0</v>
      </c>
      <c r="D416" s="967">
        <f t="shared" si="132"/>
        <v>0.84852813742385713</v>
      </c>
      <c r="E416" s="968">
        <f t="shared" si="133"/>
        <v>-0.84852813742385713</v>
      </c>
      <c r="F416" s="967">
        <f t="shared" si="134"/>
        <v>0</v>
      </c>
      <c r="G416" s="968">
        <f t="shared" si="135"/>
        <v>0</v>
      </c>
      <c r="H416" s="967">
        <f t="shared" si="136"/>
        <v>0</v>
      </c>
      <c r="I416" s="968">
        <f t="shared" si="137"/>
        <v>0</v>
      </c>
      <c r="J416" s="967">
        <f t="shared" si="138"/>
        <v>0</v>
      </c>
      <c r="K416" s="968">
        <f t="shared" si="139"/>
        <v>0.84852813742385713</v>
      </c>
      <c r="L416" s="967">
        <f t="shared" si="140"/>
        <v>-0.84852813742385713</v>
      </c>
      <c r="M416" s="968">
        <f t="shared" si="141"/>
        <v>0</v>
      </c>
      <c r="N416" s="967">
        <f t="shared" si="142"/>
        <v>0</v>
      </c>
      <c r="O416" s="968">
        <f t="shared" si="143"/>
        <v>0</v>
      </c>
      <c r="P416" s="967">
        <f t="shared" si="144"/>
        <v>0</v>
      </c>
      <c r="Q416" s="968">
        <f t="shared" si="145"/>
        <v>0</v>
      </c>
      <c r="R416" s="969">
        <f t="shared" si="146"/>
        <v>0</v>
      </c>
      <c r="S416" s="979">
        <f t="shared" si="147"/>
        <v>0</v>
      </c>
      <c r="T416" s="967">
        <f t="shared" si="148"/>
        <v>0</v>
      </c>
      <c r="U416" s="967">
        <f t="shared" si="149"/>
        <v>0</v>
      </c>
      <c r="V416" s="967">
        <f t="shared" si="150"/>
        <v>0</v>
      </c>
      <c r="W416" s="967">
        <f t="shared" si="151"/>
        <v>0</v>
      </c>
      <c r="X416" s="967">
        <f t="shared" si="152"/>
        <v>0</v>
      </c>
      <c r="Y416" s="967">
        <f t="shared" si="153"/>
        <v>0</v>
      </c>
      <c r="Z416" s="967">
        <f t="shared" si="154"/>
        <v>0</v>
      </c>
      <c r="AA416" s="967">
        <f t="shared" si="155"/>
        <v>0</v>
      </c>
      <c r="AB416" s="967">
        <f t="shared" si="156"/>
        <v>0</v>
      </c>
      <c r="AC416" s="967">
        <f t="shared" si="157"/>
        <v>0</v>
      </c>
      <c r="AD416" s="967">
        <f t="shared" si="158"/>
        <v>0</v>
      </c>
      <c r="AE416" s="967">
        <f t="shared" si="159"/>
        <v>0</v>
      </c>
      <c r="AF416" s="967">
        <f t="shared" si="160"/>
        <v>0</v>
      </c>
      <c r="AG416" s="967">
        <f t="shared" si="161"/>
        <v>0</v>
      </c>
      <c r="AH416" s="967">
        <f t="shared" si="162"/>
        <v>0</v>
      </c>
      <c r="AI416" s="970">
        <f t="shared" si="163"/>
        <v>0</v>
      </c>
    </row>
    <row r="417" spans="1:35" x14ac:dyDescent="0.25">
      <c r="A417" s="910">
        <v>15</v>
      </c>
      <c r="B417" s="979">
        <f t="shared" si="130"/>
        <v>0</v>
      </c>
      <c r="C417" s="968">
        <f t="shared" si="131"/>
        <v>0</v>
      </c>
      <c r="D417" s="967">
        <f t="shared" si="132"/>
        <v>0.84852813742385713</v>
      </c>
      <c r="E417" s="968">
        <f t="shared" si="133"/>
        <v>-0.84852813742385713</v>
      </c>
      <c r="F417" s="967">
        <f t="shared" si="134"/>
        <v>0</v>
      </c>
      <c r="G417" s="968">
        <f t="shared" si="135"/>
        <v>0</v>
      </c>
      <c r="H417" s="967">
        <f t="shared" si="136"/>
        <v>0</v>
      </c>
      <c r="I417" s="968">
        <f t="shared" si="137"/>
        <v>0</v>
      </c>
      <c r="J417" s="967">
        <f t="shared" si="138"/>
        <v>0</v>
      </c>
      <c r="K417" s="968">
        <f t="shared" si="139"/>
        <v>0.84852813742385713</v>
      </c>
      <c r="L417" s="967">
        <f t="shared" si="140"/>
        <v>-0.84852813742385713</v>
      </c>
      <c r="M417" s="968">
        <f t="shared" si="141"/>
        <v>0</v>
      </c>
      <c r="N417" s="967">
        <f t="shared" si="142"/>
        <v>0</v>
      </c>
      <c r="O417" s="968">
        <f t="shared" si="143"/>
        <v>0</v>
      </c>
      <c r="P417" s="967">
        <f t="shared" si="144"/>
        <v>0</v>
      </c>
      <c r="Q417" s="968">
        <f t="shared" si="145"/>
        <v>0</v>
      </c>
      <c r="R417" s="969">
        <f t="shared" si="146"/>
        <v>0</v>
      </c>
      <c r="S417" s="979">
        <f t="shared" si="147"/>
        <v>0</v>
      </c>
      <c r="T417" s="967">
        <f t="shared" si="148"/>
        <v>0</v>
      </c>
      <c r="U417" s="967">
        <f t="shared" si="149"/>
        <v>0</v>
      </c>
      <c r="V417" s="967">
        <f t="shared" si="150"/>
        <v>0</v>
      </c>
      <c r="W417" s="967">
        <f t="shared" si="151"/>
        <v>0</v>
      </c>
      <c r="X417" s="967">
        <f t="shared" si="152"/>
        <v>0</v>
      </c>
      <c r="Y417" s="967">
        <f t="shared" si="153"/>
        <v>0</v>
      </c>
      <c r="Z417" s="967">
        <f t="shared" si="154"/>
        <v>0</v>
      </c>
      <c r="AA417" s="967">
        <f t="shared" si="155"/>
        <v>0</v>
      </c>
      <c r="AB417" s="967">
        <f t="shared" si="156"/>
        <v>0</v>
      </c>
      <c r="AC417" s="967">
        <f t="shared" si="157"/>
        <v>0</v>
      </c>
      <c r="AD417" s="967">
        <f t="shared" si="158"/>
        <v>0</v>
      </c>
      <c r="AE417" s="967">
        <f t="shared" si="159"/>
        <v>0</v>
      </c>
      <c r="AF417" s="967">
        <f t="shared" si="160"/>
        <v>0</v>
      </c>
      <c r="AG417" s="967">
        <f t="shared" si="161"/>
        <v>0</v>
      </c>
      <c r="AH417" s="967">
        <f t="shared" si="162"/>
        <v>0</v>
      </c>
      <c r="AI417" s="970">
        <f t="shared" si="163"/>
        <v>0</v>
      </c>
    </row>
    <row r="418" spans="1:35" x14ac:dyDescent="0.25">
      <c r="A418" s="910">
        <v>16</v>
      </c>
      <c r="B418" s="979">
        <f t="shared" si="130"/>
        <v>0</v>
      </c>
      <c r="C418" s="968">
        <f t="shared" si="131"/>
        <v>0</v>
      </c>
      <c r="D418" s="967">
        <f t="shared" si="132"/>
        <v>0.84852813742385713</v>
      </c>
      <c r="E418" s="968">
        <f t="shared" si="133"/>
        <v>-0.84852813742385713</v>
      </c>
      <c r="F418" s="967">
        <f t="shared" si="134"/>
        <v>0</v>
      </c>
      <c r="G418" s="968">
        <f t="shared" si="135"/>
        <v>0</v>
      </c>
      <c r="H418" s="967">
        <f t="shared" si="136"/>
        <v>0</v>
      </c>
      <c r="I418" s="968">
        <f t="shared" si="137"/>
        <v>0</v>
      </c>
      <c r="J418" s="967">
        <f t="shared" si="138"/>
        <v>0</v>
      </c>
      <c r="K418" s="968">
        <f t="shared" si="139"/>
        <v>0.84852813742385713</v>
      </c>
      <c r="L418" s="967">
        <f t="shared" si="140"/>
        <v>-0.84852813742385713</v>
      </c>
      <c r="M418" s="968">
        <f t="shared" si="141"/>
        <v>0</v>
      </c>
      <c r="N418" s="967">
        <f t="shared" si="142"/>
        <v>0</v>
      </c>
      <c r="O418" s="968">
        <f t="shared" si="143"/>
        <v>0</v>
      </c>
      <c r="P418" s="967">
        <f t="shared" si="144"/>
        <v>0</v>
      </c>
      <c r="Q418" s="968">
        <f t="shared" si="145"/>
        <v>0</v>
      </c>
      <c r="R418" s="969">
        <f t="shared" si="146"/>
        <v>0</v>
      </c>
      <c r="S418" s="979">
        <f t="shared" si="147"/>
        <v>0</v>
      </c>
      <c r="T418" s="967">
        <f t="shared" si="148"/>
        <v>0</v>
      </c>
      <c r="U418" s="967">
        <f t="shared" si="149"/>
        <v>0</v>
      </c>
      <c r="V418" s="967">
        <f t="shared" si="150"/>
        <v>0</v>
      </c>
      <c r="W418" s="967">
        <f t="shared" si="151"/>
        <v>0</v>
      </c>
      <c r="X418" s="967">
        <f t="shared" si="152"/>
        <v>0</v>
      </c>
      <c r="Y418" s="967">
        <f t="shared" si="153"/>
        <v>0</v>
      </c>
      <c r="Z418" s="967">
        <f t="shared" si="154"/>
        <v>0</v>
      </c>
      <c r="AA418" s="967">
        <f t="shared" si="155"/>
        <v>0</v>
      </c>
      <c r="AB418" s="967">
        <f t="shared" si="156"/>
        <v>0</v>
      </c>
      <c r="AC418" s="967">
        <f t="shared" si="157"/>
        <v>0</v>
      </c>
      <c r="AD418" s="967">
        <f t="shared" si="158"/>
        <v>0</v>
      </c>
      <c r="AE418" s="967">
        <f t="shared" si="159"/>
        <v>0</v>
      </c>
      <c r="AF418" s="967">
        <f t="shared" si="160"/>
        <v>0</v>
      </c>
      <c r="AG418" s="967">
        <f t="shared" si="161"/>
        <v>0</v>
      </c>
      <c r="AH418" s="967">
        <f t="shared" si="162"/>
        <v>0</v>
      </c>
      <c r="AI418" s="970">
        <f t="shared" si="163"/>
        <v>0</v>
      </c>
    </row>
    <row r="419" spans="1:35" x14ac:dyDescent="0.25">
      <c r="A419" s="910">
        <v>17</v>
      </c>
      <c r="B419" s="979">
        <f t="shared" si="130"/>
        <v>0</v>
      </c>
      <c r="C419" s="968">
        <f t="shared" si="131"/>
        <v>0</v>
      </c>
      <c r="D419" s="967">
        <f t="shared" si="132"/>
        <v>0.84852813742385713</v>
      </c>
      <c r="E419" s="968">
        <f t="shared" si="133"/>
        <v>-0.84852813742385713</v>
      </c>
      <c r="F419" s="967">
        <f t="shared" si="134"/>
        <v>0</v>
      </c>
      <c r="G419" s="968">
        <f t="shared" si="135"/>
        <v>0</v>
      </c>
      <c r="H419" s="967">
        <f t="shared" si="136"/>
        <v>0</v>
      </c>
      <c r="I419" s="968">
        <f t="shared" si="137"/>
        <v>0</v>
      </c>
      <c r="J419" s="967">
        <f t="shared" si="138"/>
        <v>0</v>
      </c>
      <c r="K419" s="968">
        <f t="shared" si="139"/>
        <v>0.84852813742385713</v>
      </c>
      <c r="L419" s="967">
        <f t="shared" si="140"/>
        <v>-0.84852813742385713</v>
      </c>
      <c r="M419" s="968">
        <f t="shared" si="141"/>
        <v>0</v>
      </c>
      <c r="N419" s="967">
        <f t="shared" si="142"/>
        <v>0</v>
      </c>
      <c r="O419" s="968">
        <f t="shared" si="143"/>
        <v>0</v>
      </c>
      <c r="P419" s="967">
        <f t="shared" si="144"/>
        <v>0</v>
      </c>
      <c r="Q419" s="968">
        <f t="shared" si="145"/>
        <v>0</v>
      </c>
      <c r="R419" s="969">
        <f t="shared" si="146"/>
        <v>0</v>
      </c>
      <c r="S419" s="979">
        <f t="shared" si="147"/>
        <v>0</v>
      </c>
      <c r="T419" s="967">
        <f t="shared" si="148"/>
        <v>0</v>
      </c>
      <c r="U419" s="967">
        <f t="shared" si="149"/>
        <v>0</v>
      </c>
      <c r="V419" s="967">
        <f t="shared" si="150"/>
        <v>0</v>
      </c>
      <c r="W419" s="967">
        <f t="shared" si="151"/>
        <v>0</v>
      </c>
      <c r="X419" s="967">
        <f t="shared" si="152"/>
        <v>0</v>
      </c>
      <c r="Y419" s="967">
        <f t="shared" si="153"/>
        <v>0</v>
      </c>
      <c r="Z419" s="967">
        <f t="shared" si="154"/>
        <v>0</v>
      </c>
      <c r="AA419" s="967">
        <f t="shared" si="155"/>
        <v>0</v>
      </c>
      <c r="AB419" s="967">
        <f t="shared" si="156"/>
        <v>0</v>
      </c>
      <c r="AC419" s="967">
        <f t="shared" si="157"/>
        <v>0</v>
      </c>
      <c r="AD419" s="967">
        <f t="shared" si="158"/>
        <v>0</v>
      </c>
      <c r="AE419" s="967">
        <f t="shared" si="159"/>
        <v>0</v>
      </c>
      <c r="AF419" s="967">
        <f t="shared" si="160"/>
        <v>0</v>
      </c>
      <c r="AG419" s="967">
        <f t="shared" si="161"/>
        <v>0</v>
      </c>
      <c r="AH419" s="967">
        <f t="shared" si="162"/>
        <v>0</v>
      </c>
      <c r="AI419" s="970">
        <f t="shared" si="163"/>
        <v>0</v>
      </c>
    </row>
    <row r="420" spans="1:35" x14ac:dyDescent="0.25">
      <c r="A420" s="910">
        <v>18</v>
      </c>
      <c r="B420" s="979">
        <f t="shared" si="130"/>
        <v>0</v>
      </c>
      <c r="C420" s="968">
        <f t="shared" si="131"/>
        <v>0</v>
      </c>
      <c r="D420" s="967">
        <f t="shared" si="132"/>
        <v>0.84852813742385713</v>
      </c>
      <c r="E420" s="968">
        <f t="shared" si="133"/>
        <v>-0.84852813742385713</v>
      </c>
      <c r="F420" s="967">
        <f t="shared" si="134"/>
        <v>0</v>
      </c>
      <c r="G420" s="968">
        <f t="shared" si="135"/>
        <v>0</v>
      </c>
      <c r="H420" s="967">
        <f t="shared" si="136"/>
        <v>0</v>
      </c>
      <c r="I420" s="968">
        <f t="shared" si="137"/>
        <v>0</v>
      </c>
      <c r="J420" s="967">
        <f t="shared" si="138"/>
        <v>0</v>
      </c>
      <c r="K420" s="968">
        <f t="shared" si="139"/>
        <v>0.84852813742385713</v>
      </c>
      <c r="L420" s="967">
        <f t="shared" si="140"/>
        <v>-0.84852813742385713</v>
      </c>
      <c r="M420" s="968">
        <f t="shared" si="141"/>
        <v>0</v>
      </c>
      <c r="N420" s="967">
        <f t="shared" si="142"/>
        <v>0</v>
      </c>
      <c r="O420" s="968">
        <f t="shared" si="143"/>
        <v>0</v>
      </c>
      <c r="P420" s="967">
        <f t="shared" si="144"/>
        <v>0</v>
      </c>
      <c r="Q420" s="968">
        <f t="shared" si="145"/>
        <v>0</v>
      </c>
      <c r="R420" s="969">
        <f t="shared" si="146"/>
        <v>0</v>
      </c>
      <c r="S420" s="979">
        <f t="shared" si="147"/>
        <v>0</v>
      </c>
      <c r="T420" s="967">
        <f t="shared" si="148"/>
        <v>0</v>
      </c>
      <c r="U420" s="967">
        <f t="shared" si="149"/>
        <v>0</v>
      </c>
      <c r="V420" s="967">
        <f t="shared" si="150"/>
        <v>0</v>
      </c>
      <c r="W420" s="967">
        <f t="shared" si="151"/>
        <v>0</v>
      </c>
      <c r="X420" s="967">
        <f t="shared" si="152"/>
        <v>0</v>
      </c>
      <c r="Y420" s="967">
        <f t="shared" si="153"/>
        <v>0</v>
      </c>
      <c r="Z420" s="967">
        <f t="shared" si="154"/>
        <v>0</v>
      </c>
      <c r="AA420" s="967">
        <f t="shared" si="155"/>
        <v>0</v>
      </c>
      <c r="AB420" s="967">
        <f t="shared" si="156"/>
        <v>0</v>
      </c>
      <c r="AC420" s="967">
        <f t="shared" si="157"/>
        <v>0</v>
      </c>
      <c r="AD420" s="967">
        <f t="shared" si="158"/>
        <v>0</v>
      </c>
      <c r="AE420" s="967">
        <f t="shared" si="159"/>
        <v>0</v>
      </c>
      <c r="AF420" s="967">
        <f t="shared" si="160"/>
        <v>0</v>
      </c>
      <c r="AG420" s="967">
        <f t="shared" si="161"/>
        <v>0</v>
      </c>
      <c r="AH420" s="967">
        <f t="shared" si="162"/>
        <v>0</v>
      </c>
      <c r="AI420" s="970">
        <f t="shared" si="163"/>
        <v>0</v>
      </c>
    </row>
    <row r="421" spans="1:35" x14ac:dyDescent="0.25">
      <c r="A421" s="910">
        <v>19</v>
      </c>
      <c r="B421" s="979">
        <f t="shared" si="130"/>
        <v>0</v>
      </c>
      <c r="C421" s="968">
        <f t="shared" si="131"/>
        <v>0</v>
      </c>
      <c r="D421" s="967">
        <f t="shared" si="132"/>
        <v>0.84852813742385713</v>
      </c>
      <c r="E421" s="968">
        <f t="shared" si="133"/>
        <v>-0.84852813742385713</v>
      </c>
      <c r="F421" s="967">
        <f t="shared" si="134"/>
        <v>0</v>
      </c>
      <c r="G421" s="968">
        <f t="shared" si="135"/>
        <v>0</v>
      </c>
      <c r="H421" s="967">
        <f t="shared" si="136"/>
        <v>0</v>
      </c>
      <c r="I421" s="968">
        <f t="shared" si="137"/>
        <v>0</v>
      </c>
      <c r="J421" s="967">
        <f t="shared" si="138"/>
        <v>0</v>
      </c>
      <c r="K421" s="968">
        <f t="shared" si="139"/>
        <v>0.84852813742385713</v>
      </c>
      <c r="L421" s="967">
        <f t="shared" si="140"/>
        <v>-0.84852813742385713</v>
      </c>
      <c r="M421" s="968">
        <f t="shared" si="141"/>
        <v>0</v>
      </c>
      <c r="N421" s="967">
        <f t="shared" si="142"/>
        <v>0</v>
      </c>
      <c r="O421" s="968">
        <f t="shared" si="143"/>
        <v>0</v>
      </c>
      <c r="P421" s="967">
        <f t="shared" si="144"/>
        <v>0</v>
      </c>
      <c r="Q421" s="968">
        <f t="shared" si="145"/>
        <v>0</v>
      </c>
      <c r="R421" s="969">
        <f t="shared" si="146"/>
        <v>0</v>
      </c>
      <c r="S421" s="979">
        <f t="shared" si="147"/>
        <v>0</v>
      </c>
      <c r="T421" s="967">
        <f t="shared" si="148"/>
        <v>0</v>
      </c>
      <c r="U421" s="967">
        <f t="shared" si="149"/>
        <v>0</v>
      </c>
      <c r="V421" s="967">
        <f t="shared" si="150"/>
        <v>0</v>
      </c>
      <c r="W421" s="967">
        <f t="shared" si="151"/>
        <v>0</v>
      </c>
      <c r="X421" s="967">
        <f t="shared" si="152"/>
        <v>0</v>
      </c>
      <c r="Y421" s="967">
        <f t="shared" si="153"/>
        <v>0</v>
      </c>
      <c r="Z421" s="967">
        <f t="shared" si="154"/>
        <v>0</v>
      </c>
      <c r="AA421" s="967">
        <f t="shared" si="155"/>
        <v>0</v>
      </c>
      <c r="AB421" s="967">
        <f t="shared" si="156"/>
        <v>0</v>
      </c>
      <c r="AC421" s="967">
        <f t="shared" si="157"/>
        <v>0</v>
      </c>
      <c r="AD421" s="967">
        <f t="shared" si="158"/>
        <v>0</v>
      </c>
      <c r="AE421" s="967">
        <f t="shared" si="159"/>
        <v>0</v>
      </c>
      <c r="AF421" s="967">
        <f t="shared" si="160"/>
        <v>0</v>
      </c>
      <c r="AG421" s="967">
        <f t="shared" si="161"/>
        <v>0</v>
      </c>
      <c r="AH421" s="967">
        <f t="shared" si="162"/>
        <v>0</v>
      </c>
      <c r="AI421" s="970">
        <f t="shared" si="163"/>
        <v>0</v>
      </c>
    </row>
    <row r="422" spans="1:35" x14ac:dyDescent="0.25">
      <c r="A422" s="910">
        <v>20</v>
      </c>
      <c r="B422" s="979">
        <f t="shared" si="130"/>
        <v>0</v>
      </c>
      <c r="C422" s="968">
        <f t="shared" si="131"/>
        <v>0</v>
      </c>
      <c r="D422" s="967">
        <f t="shared" si="132"/>
        <v>0.84852813742385713</v>
      </c>
      <c r="E422" s="968">
        <f t="shared" si="133"/>
        <v>-0.84852813742385713</v>
      </c>
      <c r="F422" s="967">
        <f t="shared" si="134"/>
        <v>0</v>
      </c>
      <c r="G422" s="968">
        <f t="shared" si="135"/>
        <v>0</v>
      </c>
      <c r="H422" s="967">
        <f t="shared" si="136"/>
        <v>0</v>
      </c>
      <c r="I422" s="968">
        <f t="shared" si="137"/>
        <v>0</v>
      </c>
      <c r="J422" s="967">
        <f t="shared" si="138"/>
        <v>0</v>
      </c>
      <c r="K422" s="968">
        <f t="shared" si="139"/>
        <v>0.84852813742385713</v>
      </c>
      <c r="L422" s="967">
        <f t="shared" si="140"/>
        <v>-0.84852813742385713</v>
      </c>
      <c r="M422" s="968">
        <f t="shared" si="141"/>
        <v>0</v>
      </c>
      <c r="N422" s="967">
        <f t="shared" si="142"/>
        <v>0</v>
      </c>
      <c r="O422" s="968">
        <f t="shared" si="143"/>
        <v>0</v>
      </c>
      <c r="P422" s="967">
        <f t="shared" si="144"/>
        <v>0</v>
      </c>
      <c r="Q422" s="968">
        <f t="shared" si="145"/>
        <v>0</v>
      </c>
      <c r="R422" s="969">
        <f t="shared" si="146"/>
        <v>0</v>
      </c>
      <c r="S422" s="979">
        <f t="shared" si="147"/>
        <v>0</v>
      </c>
      <c r="T422" s="967">
        <f t="shared" si="148"/>
        <v>0</v>
      </c>
      <c r="U422" s="967">
        <f t="shared" si="149"/>
        <v>0</v>
      </c>
      <c r="V422" s="967">
        <f t="shared" si="150"/>
        <v>0</v>
      </c>
      <c r="W422" s="967">
        <f t="shared" si="151"/>
        <v>0</v>
      </c>
      <c r="X422" s="967">
        <f t="shared" si="152"/>
        <v>0</v>
      </c>
      <c r="Y422" s="967">
        <f t="shared" si="153"/>
        <v>0</v>
      </c>
      <c r="Z422" s="967">
        <f t="shared" si="154"/>
        <v>0</v>
      </c>
      <c r="AA422" s="967">
        <f t="shared" si="155"/>
        <v>0</v>
      </c>
      <c r="AB422" s="967">
        <f t="shared" si="156"/>
        <v>0</v>
      </c>
      <c r="AC422" s="967">
        <f t="shared" si="157"/>
        <v>0</v>
      </c>
      <c r="AD422" s="967">
        <f t="shared" si="158"/>
        <v>0</v>
      </c>
      <c r="AE422" s="967">
        <f t="shared" si="159"/>
        <v>0</v>
      </c>
      <c r="AF422" s="967">
        <f t="shared" si="160"/>
        <v>0</v>
      </c>
      <c r="AG422" s="967">
        <f t="shared" si="161"/>
        <v>0</v>
      </c>
      <c r="AH422" s="967">
        <f t="shared" si="162"/>
        <v>0</v>
      </c>
      <c r="AI422" s="970">
        <f t="shared" si="163"/>
        <v>0</v>
      </c>
    </row>
    <row r="423" spans="1:35" x14ac:dyDescent="0.25">
      <c r="A423" s="910">
        <v>21</v>
      </c>
      <c r="B423" s="979">
        <f t="shared" si="130"/>
        <v>0</v>
      </c>
      <c r="C423" s="968">
        <f t="shared" si="131"/>
        <v>0</v>
      </c>
      <c r="D423" s="967">
        <f t="shared" si="132"/>
        <v>0.84852813742385713</v>
      </c>
      <c r="E423" s="968">
        <f t="shared" si="133"/>
        <v>-0.84852813742385713</v>
      </c>
      <c r="F423" s="967">
        <f t="shared" si="134"/>
        <v>0</v>
      </c>
      <c r="G423" s="968">
        <f t="shared" si="135"/>
        <v>0</v>
      </c>
      <c r="H423" s="967">
        <f t="shared" si="136"/>
        <v>0</v>
      </c>
      <c r="I423" s="968">
        <f t="shared" si="137"/>
        <v>0</v>
      </c>
      <c r="J423" s="967">
        <f t="shared" si="138"/>
        <v>0</v>
      </c>
      <c r="K423" s="968">
        <f t="shared" si="139"/>
        <v>0.84852813742385713</v>
      </c>
      <c r="L423" s="967">
        <f t="shared" si="140"/>
        <v>-0.84852813742385713</v>
      </c>
      <c r="M423" s="968">
        <f t="shared" si="141"/>
        <v>0</v>
      </c>
      <c r="N423" s="967">
        <f t="shared" si="142"/>
        <v>0</v>
      </c>
      <c r="O423" s="968">
        <f t="shared" si="143"/>
        <v>0</v>
      </c>
      <c r="P423" s="967">
        <f t="shared" si="144"/>
        <v>0</v>
      </c>
      <c r="Q423" s="968">
        <f t="shared" si="145"/>
        <v>0</v>
      </c>
      <c r="R423" s="969">
        <f t="shared" si="146"/>
        <v>0</v>
      </c>
      <c r="S423" s="979">
        <f t="shared" si="147"/>
        <v>0</v>
      </c>
      <c r="T423" s="967">
        <f t="shared" si="148"/>
        <v>0</v>
      </c>
      <c r="U423" s="967">
        <f t="shared" si="149"/>
        <v>0</v>
      </c>
      <c r="V423" s="967">
        <f t="shared" si="150"/>
        <v>0</v>
      </c>
      <c r="W423" s="967">
        <f t="shared" si="151"/>
        <v>0</v>
      </c>
      <c r="X423" s="967">
        <f t="shared" si="152"/>
        <v>0</v>
      </c>
      <c r="Y423" s="967">
        <f t="shared" si="153"/>
        <v>0</v>
      </c>
      <c r="Z423" s="967">
        <f t="shared" si="154"/>
        <v>0</v>
      </c>
      <c r="AA423" s="967">
        <f t="shared" si="155"/>
        <v>0</v>
      </c>
      <c r="AB423" s="967">
        <f t="shared" si="156"/>
        <v>0</v>
      </c>
      <c r="AC423" s="967">
        <f t="shared" si="157"/>
        <v>0</v>
      </c>
      <c r="AD423" s="967">
        <f t="shared" si="158"/>
        <v>0</v>
      </c>
      <c r="AE423" s="967">
        <f t="shared" si="159"/>
        <v>0</v>
      </c>
      <c r="AF423" s="967">
        <f t="shared" si="160"/>
        <v>0</v>
      </c>
      <c r="AG423" s="967">
        <f t="shared" si="161"/>
        <v>0</v>
      </c>
      <c r="AH423" s="967">
        <f t="shared" si="162"/>
        <v>0</v>
      </c>
      <c r="AI423" s="970">
        <f t="shared" si="163"/>
        <v>0</v>
      </c>
    </row>
    <row r="424" spans="1:35" x14ac:dyDescent="0.25">
      <c r="A424" s="910">
        <v>22</v>
      </c>
      <c r="B424" s="979">
        <f t="shared" si="130"/>
        <v>0</v>
      </c>
      <c r="C424" s="968">
        <f t="shared" si="131"/>
        <v>0</v>
      </c>
      <c r="D424" s="967">
        <f t="shared" si="132"/>
        <v>0.84852813742385713</v>
      </c>
      <c r="E424" s="968">
        <f t="shared" si="133"/>
        <v>-0.84852813742385713</v>
      </c>
      <c r="F424" s="967">
        <f t="shared" si="134"/>
        <v>0</v>
      </c>
      <c r="G424" s="968">
        <f t="shared" si="135"/>
        <v>0</v>
      </c>
      <c r="H424" s="967">
        <f t="shared" si="136"/>
        <v>0</v>
      </c>
      <c r="I424" s="968">
        <f t="shared" si="137"/>
        <v>0</v>
      </c>
      <c r="J424" s="967">
        <f t="shared" si="138"/>
        <v>0</v>
      </c>
      <c r="K424" s="968">
        <f t="shared" si="139"/>
        <v>0.84852813742385713</v>
      </c>
      <c r="L424" s="967">
        <f t="shared" si="140"/>
        <v>-0.84852813742385713</v>
      </c>
      <c r="M424" s="968">
        <f t="shared" si="141"/>
        <v>0</v>
      </c>
      <c r="N424" s="967">
        <f t="shared" si="142"/>
        <v>0</v>
      </c>
      <c r="O424" s="968">
        <f t="shared" si="143"/>
        <v>0</v>
      </c>
      <c r="P424" s="967">
        <f t="shared" si="144"/>
        <v>0</v>
      </c>
      <c r="Q424" s="968">
        <f t="shared" si="145"/>
        <v>0</v>
      </c>
      <c r="R424" s="969">
        <f t="shared" si="146"/>
        <v>0</v>
      </c>
      <c r="S424" s="979">
        <f t="shared" si="147"/>
        <v>0</v>
      </c>
      <c r="T424" s="967">
        <f t="shared" si="148"/>
        <v>0</v>
      </c>
      <c r="U424" s="967">
        <f t="shared" si="149"/>
        <v>0</v>
      </c>
      <c r="V424" s="967">
        <f t="shared" si="150"/>
        <v>0</v>
      </c>
      <c r="W424" s="967">
        <f t="shared" si="151"/>
        <v>0</v>
      </c>
      <c r="X424" s="967">
        <f t="shared" si="152"/>
        <v>0</v>
      </c>
      <c r="Y424" s="967">
        <f t="shared" si="153"/>
        <v>0</v>
      </c>
      <c r="Z424" s="967">
        <f t="shared" si="154"/>
        <v>0</v>
      </c>
      <c r="AA424" s="967">
        <f t="shared" si="155"/>
        <v>0</v>
      </c>
      <c r="AB424" s="967">
        <f t="shared" si="156"/>
        <v>0</v>
      </c>
      <c r="AC424" s="967">
        <f t="shared" si="157"/>
        <v>0</v>
      </c>
      <c r="AD424" s="967">
        <f t="shared" si="158"/>
        <v>0</v>
      </c>
      <c r="AE424" s="967">
        <f t="shared" si="159"/>
        <v>0</v>
      </c>
      <c r="AF424" s="967">
        <f t="shared" si="160"/>
        <v>0</v>
      </c>
      <c r="AG424" s="967">
        <f t="shared" si="161"/>
        <v>0</v>
      </c>
      <c r="AH424" s="967">
        <f t="shared" si="162"/>
        <v>0</v>
      </c>
      <c r="AI424" s="970">
        <f t="shared" si="163"/>
        <v>0</v>
      </c>
    </row>
    <row r="425" spans="1:35" x14ac:dyDescent="0.25">
      <c r="A425" s="910">
        <v>23</v>
      </c>
      <c r="B425" s="979">
        <f t="shared" si="130"/>
        <v>0</v>
      </c>
      <c r="C425" s="968">
        <f t="shared" si="131"/>
        <v>0</v>
      </c>
      <c r="D425" s="967">
        <f t="shared" si="132"/>
        <v>0.84852813742385713</v>
      </c>
      <c r="E425" s="968">
        <f t="shared" si="133"/>
        <v>-0.84852813742385713</v>
      </c>
      <c r="F425" s="967">
        <f t="shared" si="134"/>
        <v>0</v>
      </c>
      <c r="G425" s="968">
        <f t="shared" si="135"/>
        <v>0</v>
      </c>
      <c r="H425" s="967">
        <f t="shared" si="136"/>
        <v>0</v>
      </c>
      <c r="I425" s="968">
        <f t="shared" si="137"/>
        <v>0</v>
      </c>
      <c r="J425" s="967">
        <f t="shared" si="138"/>
        <v>0</v>
      </c>
      <c r="K425" s="968">
        <f t="shared" si="139"/>
        <v>0.84852813742385713</v>
      </c>
      <c r="L425" s="967">
        <f t="shared" si="140"/>
        <v>-0.84852813742385713</v>
      </c>
      <c r="M425" s="968">
        <f t="shared" si="141"/>
        <v>0</v>
      </c>
      <c r="N425" s="967">
        <f t="shared" si="142"/>
        <v>0</v>
      </c>
      <c r="O425" s="968">
        <f t="shared" si="143"/>
        <v>0</v>
      </c>
      <c r="P425" s="967">
        <f t="shared" si="144"/>
        <v>0</v>
      </c>
      <c r="Q425" s="968">
        <f t="shared" si="145"/>
        <v>0</v>
      </c>
      <c r="R425" s="969">
        <f t="shared" si="146"/>
        <v>0</v>
      </c>
      <c r="S425" s="979">
        <f t="shared" si="147"/>
        <v>0</v>
      </c>
      <c r="T425" s="967">
        <f t="shared" si="148"/>
        <v>0</v>
      </c>
      <c r="U425" s="967">
        <f t="shared" si="149"/>
        <v>0</v>
      </c>
      <c r="V425" s="967">
        <f t="shared" si="150"/>
        <v>0</v>
      </c>
      <c r="W425" s="967">
        <f t="shared" si="151"/>
        <v>0</v>
      </c>
      <c r="X425" s="967">
        <f t="shared" si="152"/>
        <v>0</v>
      </c>
      <c r="Y425" s="967">
        <f t="shared" si="153"/>
        <v>0</v>
      </c>
      <c r="Z425" s="967">
        <f t="shared" si="154"/>
        <v>0</v>
      </c>
      <c r="AA425" s="967">
        <f t="shared" si="155"/>
        <v>0</v>
      </c>
      <c r="AB425" s="967">
        <f t="shared" si="156"/>
        <v>0</v>
      </c>
      <c r="AC425" s="967">
        <f t="shared" si="157"/>
        <v>0</v>
      </c>
      <c r="AD425" s="967">
        <f t="shared" si="158"/>
        <v>0</v>
      </c>
      <c r="AE425" s="967">
        <f t="shared" si="159"/>
        <v>0</v>
      </c>
      <c r="AF425" s="967">
        <f t="shared" si="160"/>
        <v>0</v>
      </c>
      <c r="AG425" s="967">
        <f t="shared" si="161"/>
        <v>0</v>
      </c>
      <c r="AH425" s="967">
        <f t="shared" si="162"/>
        <v>0</v>
      </c>
      <c r="AI425" s="970">
        <f t="shared" si="163"/>
        <v>0</v>
      </c>
    </row>
    <row r="426" spans="1:35" x14ac:dyDescent="0.25">
      <c r="A426" s="910">
        <v>24</v>
      </c>
      <c r="B426" s="979">
        <f t="shared" si="130"/>
        <v>0</v>
      </c>
      <c r="C426" s="968">
        <f t="shared" si="131"/>
        <v>0</v>
      </c>
      <c r="D426" s="967">
        <f t="shared" si="132"/>
        <v>0.84852813742385713</v>
      </c>
      <c r="E426" s="968">
        <f t="shared" si="133"/>
        <v>-0.84852813742385713</v>
      </c>
      <c r="F426" s="967">
        <f t="shared" si="134"/>
        <v>0</v>
      </c>
      <c r="G426" s="968">
        <f t="shared" si="135"/>
        <v>0</v>
      </c>
      <c r="H426" s="967">
        <f t="shared" si="136"/>
        <v>0</v>
      </c>
      <c r="I426" s="968">
        <f t="shared" si="137"/>
        <v>0</v>
      </c>
      <c r="J426" s="967">
        <f t="shared" si="138"/>
        <v>0</v>
      </c>
      <c r="K426" s="968">
        <f t="shared" si="139"/>
        <v>0.84852813742385713</v>
      </c>
      <c r="L426" s="967">
        <f t="shared" si="140"/>
        <v>-0.84852813742385713</v>
      </c>
      <c r="M426" s="968">
        <f t="shared" si="141"/>
        <v>0</v>
      </c>
      <c r="N426" s="967">
        <f t="shared" si="142"/>
        <v>0</v>
      </c>
      <c r="O426" s="968">
        <f t="shared" si="143"/>
        <v>0</v>
      </c>
      <c r="P426" s="967">
        <f t="shared" si="144"/>
        <v>0</v>
      </c>
      <c r="Q426" s="968">
        <f t="shared" si="145"/>
        <v>0</v>
      </c>
      <c r="R426" s="969">
        <f t="shared" si="146"/>
        <v>0</v>
      </c>
      <c r="S426" s="979">
        <f t="shared" si="147"/>
        <v>0</v>
      </c>
      <c r="T426" s="967">
        <f t="shared" si="148"/>
        <v>0</v>
      </c>
      <c r="U426" s="967">
        <f t="shared" si="149"/>
        <v>0</v>
      </c>
      <c r="V426" s="967">
        <f t="shared" si="150"/>
        <v>0</v>
      </c>
      <c r="W426" s="967">
        <f t="shared" si="151"/>
        <v>0</v>
      </c>
      <c r="X426" s="967">
        <f t="shared" si="152"/>
        <v>0</v>
      </c>
      <c r="Y426" s="967">
        <f t="shared" si="153"/>
        <v>0</v>
      </c>
      <c r="Z426" s="967">
        <f t="shared" si="154"/>
        <v>0</v>
      </c>
      <c r="AA426" s="967">
        <f t="shared" si="155"/>
        <v>0</v>
      </c>
      <c r="AB426" s="967">
        <f t="shared" si="156"/>
        <v>0</v>
      </c>
      <c r="AC426" s="967">
        <f t="shared" si="157"/>
        <v>0</v>
      </c>
      <c r="AD426" s="967">
        <f t="shared" si="158"/>
        <v>0</v>
      </c>
      <c r="AE426" s="967">
        <f t="shared" si="159"/>
        <v>0</v>
      </c>
      <c r="AF426" s="967">
        <f t="shared" si="160"/>
        <v>0</v>
      </c>
      <c r="AG426" s="967">
        <f t="shared" si="161"/>
        <v>0</v>
      </c>
      <c r="AH426" s="967">
        <f t="shared" si="162"/>
        <v>0</v>
      </c>
      <c r="AI426" s="970">
        <f t="shared" si="163"/>
        <v>0</v>
      </c>
    </row>
    <row r="427" spans="1:35" x14ac:dyDescent="0.25">
      <c r="A427" s="910">
        <v>25</v>
      </c>
      <c r="B427" s="979">
        <f t="shared" si="130"/>
        <v>0</v>
      </c>
      <c r="C427" s="968">
        <f t="shared" si="131"/>
        <v>0</v>
      </c>
      <c r="D427" s="967">
        <f t="shared" si="132"/>
        <v>0.84852813742385713</v>
      </c>
      <c r="E427" s="968">
        <f t="shared" si="133"/>
        <v>-0.84852813742385713</v>
      </c>
      <c r="F427" s="967">
        <f t="shared" si="134"/>
        <v>0</v>
      </c>
      <c r="G427" s="968">
        <f t="shared" si="135"/>
        <v>0</v>
      </c>
      <c r="H427" s="967">
        <f t="shared" si="136"/>
        <v>0</v>
      </c>
      <c r="I427" s="968">
        <f t="shared" si="137"/>
        <v>0</v>
      </c>
      <c r="J427" s="967">
        <f t="shared" si="138"/>
        <v>0</v>
      </c>
      <c r="K427" s="968">
        <f t="shared" si="139"/>
        <v>0.84852813742385713</v>
      </c>
      <c r="L427" s="967">
        <f t="shared" si="140"/>
        <v>-0.84852813742385713</v>
      </c>
      <c r="M427" s="968">
        <f t="shared" si="141"/>
        <v>0</v>
      </c>
      <c r="N427" s="967">
        <f t="shared" si="142"/>
        <v>0</v>
      </c>
      <c r="O427" s="968">
        <f t="shared" si="143"/>
        <v>0</v>
      </c>
      <c r="P427" s="967">
        <f t="shared" si="144"/>
        <v>0</v>
      </c>
      <c r="Q427" s="968">
        <f t="shared" si="145"/>
        <v>0</v>
      </c>
      <c r="R427" s="969">
        <f t="shared" si="146"/>
        <v>0</v>
      </c>
      <c r="S427" s="979">
        <f t="shared" si="147"/>
        <v>0</v>
      </c>
      <c r="T427" s="967">
        <f t="shared" si="148"/>
        <v>0</v>
      </c>
      <c r="U427" s="967">
        <f t="shared" si="149"/>
        <v>0</v>
      </c>
      <c r="V427" s="967">
        <f t="shared" si="150"/>
        <v>0</v>
      </c>
      <c r="W427" s="967">
        <f t="shared" si="151"/>
        <v>0</v>
      </c>
      <c r="X427" s="967">
        <f t="shared" si="152"/>
        <v>0</v>
      </c>
      <c r="Y427" s="967">
        <f t="shared" si="153"/>
        <v>0</v>
      </c>
      <c r="Z427" s="967">
        <f t="shared" si="154"/>
        <v>0</v>
      </c>
      <c r="AA427" s="967">
        <f t="shared" si="155"/>
        <v>0</v>
      </c>
      <c r="AB427" s="967">
        <f t="shared" si="156"/>
        <v>0</v>
      </c>
      <c r="AC427" s="967">
        <f t="shared" si="157"/>
        <v>0</v>
      </c>
      <c r="AD427" s="967">
        <f t="shared" si="158"/>
        <v>0</v>
      </c>
      <c r="AE427" s="967">
        <f t="shared" si="159"/>
        <v>0</v>
      </c>
      <c r="AF427" s="967">
        <f t="shared" si="160"/>
        <v>0</v>
      </c>
      <c r="AG427" s="967">
        <f t="shared" si="161"/>
        <v>0</v>
      </c>
      <c r="AH427" s="967">
        <f t="shared" si="162"/>
        <v>0</v>
      </c>
      <c r="AI427" s="970">
        <f t="shared" si="163"/>
        <v>0</v>
      </c>
    </row>
    <row r="428" spans="1:35" x14ac:dyDescent="0.25">
      <c r="A428" s="910">
        <v>26</v>
      </c>
      <c r="B428" s="979">
        <f t="shared" si="130"/>
        <v>0</v>
      </c>
      <c r="C428" s="968">
        <f t="shared" si="131"/>
        <v>0</v>
      </c>
      <c r="D428" s="967">
        <f t="shared" si="132"/>
        <v>0.84852813742385713</v>
      </c>
      <c r="E428" s="968">
        <f t="shared" si="133"/>
        <v>-0.84852813742385713</v>
      </c>
      <c r="F428" s="967">
        <f t="shared" si="134"/>
        <v>0</v>
      </c>
      <c r="G428" s="968">
        <f t="shared" si="135"/>
        <v>0</v>
      </c>
      <c r="H428" s="967">
        <f t="shared" si="136"/>
        <v>0</v>
      </c>
      <c r="I428" s="968">
        <f t="shared" si="137"/>
        <v>0</v>
      </c>
      <c r="J428" s="967">
        <f t="shared" si="138"/>
        <v>0</v>
      </c>
      <c r="K428" s="968">
        <f t="shared" si="139"/>
        <v>0.84852813742385713</v>
      </c>
      <c r="L428" s="967">
        <f t="shared" si="140"/>
        <v>-0.84852813742385713</v>
      </c>
      <c r="M428" s="968">
        <f t="shared" si="141"/>
        <v>0</v>
      </c>
      <c r="N428" s="967">
        <f t="shared" si="142"/>
        <v>0</v>
      </c>
      <c r="O428" s="968">
        <f t="shared" si="143"/>
        <v>0</v>
      </c>
      <c r="P428" s="967">
        <f t="shared" si="144"/>
        <v>0</v>
      </c>
      <c r="Q428" s="968">
        <f t="shared" si="145"/>
        <v>0</v>
      </c>
      <c r="R428" s="969">
        <f t="shared" si="146"/>
        <v>0</v>
      </c>
      <c r="S428" s="979">
        <f t="shared" si="147"/>
        <v>0</v>
      </c>
      <c r="T428" s="967">
        <f t="shared" si="148"/>
        <v>0</v>
      </c>
      <c r="U428" s="967">
        <f t="shared" si="149"/>
        <v>0</v>
      </c>
      <c r="V428" s="967">
        <f t="shared" si="150"/>
        <v>0</v>
      </c>
      <c r="W428" s="967">
        <f t="shared" si="151"/>
        <v>0</v>
      </c>
      <c r="X428" s="967">
        <f t="shared" si="152"/>
        <v>0</v>
      </c>
      <c r="Y428" s="967">
        <f t="shared" si="153"/>
        <v>0</v>
      </c>
      <c r="Z428" s="967">
        <f t="shared" si="154"/>
        <v>0</v>
      </c>
      <c r="AA428" s="967">
        <f t="shared" si="155"/>
        <v>0</v>
      </c>
      <c r="AB428" s="967">
        <f t="shared" si="156"/>
        <v>0</v>
      </c>
      <c r="AC428" s="967">
        <f t="shared" si="157"/>
        <v>0</v>
      </c>
      <c r="AD428" s="967">
        <f t="shared" si="158"/>
        <v>0</v>
      </c>
      <c r="AE428" s="967">
        <f t="shared" si="159"/>
        <v>0</v>
      </c>
      <c r="AF428" s="967">
        <f t="shared" si="160"/>
        <v>0</v>
      </c>
      <c r="AG428" s="967">
        <f t="shared" si="161"/>
        <v>0</v>
      </c>
      <c r="AH428" s="967">
        <f t="shared" si="162"/>
        <v>0</v>
      </c>
      <c r="AI428" s="970">
        <f t="shared" si="163"/>
        <v>0</v>
      </c>
    </row>
    <row r="429" spans="1:35" x14ac:dyDescent="0.25">
      <c r="A429" s="910">
        <v>27</v>
      </c>
      <c r="B429" s="979">
        <f t="shared" si="130"/>
        <v>0</v>
      </c>
      <c r="C429" s="968">
        <f t="shared" si="131"/>
        <v>0</v>
      </c>
      <c r="D429" s="967">
        <f t="shared" si="132"/>
        <v>0.84852813742385713</v>
      </c>
      <c r="E429" s="968">
        <f t="shared" si="133"/>
        <v>-0.84852813742385713</v>
      </c>
      <c r="F429" s="967">
        <f t="shared" si="134"/>
        <v>0</v>
      </c>
      <c r="G429" s="968">
        <f t="shared" si="135"/>
        <v>0</v>
      </c>
      <c r="H429" s="967">
        <f t="shared" si="136"/>
        <v>0</v>
      </c>
      <c r="I429" s="968">
        <f t="shared" si="137"/>
        <v>0</v>
      </c>
      <c r="J429" s="967">
        <f t="shared" si="138"/>
        <v>0</v>
      </c>
      <c r="K429" s="968">
        <f t="shared" si="139"/>
        <v>0.84852813742385713</v>
      </c>
      <c r="L429" s="967">
        <f t="shared" si="140"/>
        <v>-0.84852813742385713</v>
      </c>
      <c r="M429" s="968">
        <f t="shared" si="141"/>
        <v>0</v>
      </c>
      <c r="N429" s="967">
        <f t="shared" si="142"/>
        <v>0</v>
      </c>
      <c r="O429" s="968">
        <f t="shared" si="143"/>
        <v>0</v>
      </c>
      <c r="P429" s="967">
        <f t="shared" si="144"/>
        <v>0</v>
      </c>
      <c r="Q429" s="968">
        <f t="shared" si="145"/>
        <v>0</v>
      </c>
      <c r="R429" s="969">
        <f t="shared" si="146"/>
        <v>0</v>
      </c>
      <c r="S429" s="979">
        <f t="shared" si="147"/>
        <v>0</v>
      </c>
      <c r="T429" s="967">
        <f t="shared" si="148"/>
        <v>0</v>
      </c>
      <c r="U429" s="967">
        <f t="shared" si="149"/>
        <v>0</v>
      </c>
      <c r="V429" s="967">
        <f t="shared" si="150"/>
        <v>0</v>
      </c>
      <c r="W429" s="967">
        <f t="shared" si="151"/>
        <v>0</v>
      </c>
      <c r="X429" s="967">
        <f t="shared" si="152"/>
        <v>0</v>
      </c>
      <c r="Y429" s="967">
        <f t="shared" si="153"/>
        <v>0</v>
      </c>
      <c r="Z429" s="967">
        <f t="shared" si="154"/>
        <v>0</v>
      </c>
      <c r="AA429" s="967">
        <f t="shared" si="155"/>
        <v>0</v>
      </c>
      <c r="AB429" s="967">
        <f t="shared" si="156"/>
        <v>0</v>
      </c>
      <c r="AC429" s="967">
        <f t="shared" si="157"/>
        <v>0</v>
      </c>
      <c r="AD429" s="967">
        <f t="shared" si="158"/>
        <v>0</v>
      </c>
      <c r="AE429" s="967">
        <f t="shared" si="159"/>
        <v>0</v>
      </c>
      <c r="AF429" s="967">
        <f t="shared" si="160"/>
        <v>0</v>
      </c>
      <c r="AG429" s="967">
        <f t="shared" si="161"/>
        <v>0</v>
      </c>
      <c r="AH429" s="967">
        <f t="shared" si="162"/>
        <v>0</v>
      </c>
      <c r="AI429" s="970">
        <f t="shared" si="163"/>
        <v>0</v>
      </c>
    </row>
    <row r="430" spans="1:35" x14ac:dyDescent="0.25">
      <c r="A430" s="910">
        <v>28</v>
      </c>
      <c r="B430" s="979">
        <f t="shared" si="130"/>
        <v>0</v>
      </c>
      <c r="C430" s="968">
        <f t="shared" si="131"/>
        <v>0</v>
      </c>
      <c r="D430" s="967">
        <f t="shared" si="132"/>
        <v>0.84852813742385713</v>
      </c>
      <c r="E430" s="968">
        <f t="shared" si="133"/>
        <v>-0.84852813742385713</v>
      </c>
      <c r="F430" s="967">
        <f t="shared" si="134"/>
        <v>0</v>
      </c>
      <c r="G430" s="968">
        <f t="shared" si="135"/>
        <v>0</v>
      </c>
      <c r="H430" s="967">
        <f t="shared" si="136"/>
        <v>0</v>
      </c>
      <c r="I430" s="968">
        <f t="shared" si="137"/>
        <v>0</v>
      </c>
      <c r="J430" s="967">
        <f t="shared" si="138"/>
        <v>0</v>
      </c>
      <c r="K430" s="968">
        <f t="shared" si="139"/>
        <v>0.84852813742385713</v>
      </c>
      <c r="L430" s="967">
        <f t="shared" si="140"/>
        <v>-0.84852813742385713</v>
      </c>
      <c r="M430" s="968">
        <f t="shared" si="141"/>
        <v>0</v>
      </c>
      <c r="N430" s="967">
        <f t="shared" si="142"/>
        <v>0</v>
      </c>
      <c r="O430" s="968">
        <f t="shared" si="143"/>
        <v>0</v>
      </c>
      <c r="P430" s="967">
        <f t="shared" si="144"/>
        <v>0</v>
      </c>
      <c r="Q430" s="968">
        <f t="shared" si="145"/>
        <v>0</v>
      </c>
      <c r="R430" s="969">
        <f t="shared" si="146"/>
        <v>0</v>
      </c>
      <c r="S430" s="979">
        <f t="shared" si="147"/>
        <v>0</v>
      </c>
      <c r="T430" s="967">
        <f t="shared" si="148"/>
        <v>0</v>
      </c>
      <c r="U430" s="967">
        <f t="shared" si="149"/>
        <v>0</v>
      </c>
      <c r="V430" s="967">
        <f t="shared" si="150"/>
        <v>0</v>
      </c>
      <c r="W430" s="967">
        <f t="shared" si="151"/>
        <v>0</v>
      </c>
      <c r="X430" s="967">
        <f t="shared" si="152"/>
        <v>0</v>
      </c>
      <c r="Y430" s="967">
        <f t="shared" si="153"/>
        <v>0</v>
      </c>
      <c r="Z430" s="967">
        <f t="shared" si="154"/>
        <v>0</v>
      </c>
      <c r="AA430" s="967">
        <f t="shared" si="155"/>
        <v>0</v>
      </c>
      <c r="AB430" s="967">
        <f t="shared" si="156"/>
        <v>0</v>
      </c>
      <c r="AC430" s="967">
        <f t="shared" si="157"/>
        <v>0</v>
      </c>
      <c r="AD430" s="967">
        <f t="shared" si="158"/>
        <v>0</v>
      </c>
      <c r="AE430" s="967">
        <f t="shared" si="159"/>
        <v>0</v>
      </c>
      <c r="AF430" s="967">
        <f t="shared" si="160"/>
        <v>0</v>
      </c>
      <c r="AG430" s="967">
        <f t="shared" si="161"/>
        <v>0</v>
      </c>
      <c r="AH430" s="967">
        <f t="shared" si="162"/>
        <v>0</v>
      </c>
      <c r="AI430" s="970">
        <f t="shared" si="163"/>
        <v>0</v>
      </c>
    </row>
    <row r="431" spans="1:35" x14ac:dyDescent="0.25">
      <c r="A431" s="910">
        <v>29</v>
      </c>
      <c r="B431" s="979">
        <f t="shared" si="130"/>
        <v>0</v>
      </c>
      <c r="C431" s="968">
        <f t="shared" si="131"/>
        <v>0</v>
      </c>
      <c r="D431" s="967">
        <f t="shared" si="132"/>
        <v>0.84852813742385713</v>
      </c>
      <c r="E431" s="968">
        <f t="shared" si="133"/>
        <v>-0.84852813742385713</v>
      </c>
      <c r="F431" s="967">
        <f t="shared" si="134"/>
        <v>0</v>
      </c>
      <c r="G431" s="968">
        <f t="shared" si="135"/>
        <v>0</v>
      </c>
      <c r="H431" s="967">
        <f t="shared" si="136"/>
        <v>0</v>
      </c>
      <c r="I431" s="968">
        <f t="shared" si="137"/>
        <v>0</v>
      </c>
      <c r="J431" s="967">
        <f t="shared" si="138"/>
        <v>0</v>
      </c>
      <c r="K431" s="968">
        <f t="shared" si="139"/>
        <v>0.84852813742385713</v>
      </c>
      <c r="L431" s="967">
        <f t="shared" si="140"/>
        <v>-0.84852813742385713</v>
      </c>
      <c r="M431" s="968">
        <f t="shared" si="141"/>
        <v>0</v>
      </c>
      <c r="N431" s="967">
        <f t="shared" si="142"/>
        <v>0</v>
      </c>
      <c r="O431" s="968">
        <f t="shared" si="143"/>
        <v>0</v>
      </c>
      <c r="P431" s="967">
        <f t="shared" si="144"/>
        <v>0</v>
      </c>
      <c r="Q431" s="968">
        <f t="shared" si="145"/>
        <v>0</v>
      </c>
      <c r="R431" s="969">
        <f t="shared" si="146"/>
        <v>0</v>
      </c>
      <c r="S431" s="979">
        <f t="shared" si="147"/>
        <v>0</v>
      </c>
      <c r="T431" s="967">
        <f t="shared" si="148"/>
        <v>0</v>
      </c>
      <c r="U431" s="967">
        <f t="shared" si="149"/>
        <v>0</v>
      </c>
      <c r="V431" s="967">
        <f t="shared" si="150"/>
        <v>0</v>
      </c>
      <c r="W431" s="967">
        <f t="shared" si="151"/>
        <v>0</v>
      </c>
      <c r="X431" s="967">
        <f t="shared" si="152"/>
        <v>0</v>
      </c>
      <c r="Y431" s="967">
        <f t="shared" si="153"/>
        <v>0</v>
      </c>
      <c r="Z431" s="967">
        <f t="shared" si="154"/>
        <v>0</v>
      </c>
      <c r="AA431" s="967">
        <f t="shared" si="155"/>
        <v>0</v>
      </c>
      <c r="AB431" s="967">
        <f t="shared" si="156"/>
        <v>0</v>
      </c>
      <c r="AC431" s="967">
        <f t="shared" si="157"/>
        <v>0</v>
      </c>
      <c r="AD431" s="967">
        <f t="shared" si="158"/>
        <v>0</v>
      </c>
      <c r="AE431" s="967">
        <f t="shared" si="159"/>
        <v>0</v>
      </c>
      <c r="AF431" s="967">
        <f t="shared" si="160"/>
        <v>0</v>
      </c>
      <c r="AG431" s="967">
        <f t="shared" si="161"/>
        <v>0</v>
      </c>
      <c r="AH431" s="967">
        <f t="shared" si="162"/>
        <v>0</v>
      </c>
      <c r="AI431" s="970">
        <f t="shared" si="163"/>
        <v>0</v>
      </c>
    </row>
    <row r="432" spans="1:35" x14ac:dyDescent="0.25">
      <c r="A432" s="910">
        <v>30</v>
      </c>
      <c r="B432" s="979">
        <f t="shared" si="130"/>
        <v>0</v>
      </c>
      <c r="C432" s="968">
        <f t="shared" si="131"/>
        <v>0</v>
      </c>
      <c r="D432" s="967">
        <f t="shared" si="132"/>
        <v>0.84852813742385713</v>
      </c>
      <c r="E432" s="968">
        <f t="shared" si="133"/>
        <v>-0.84852813742385713</v>
      </c>
      <c r="F432" s="967">
        <f t="shared" si="134"/>
        <v>0</v>
      </c>
      <c r="G432" s="968">
        <f t="shared" si="135"/>
        <v>0</v>
      </c>
      <c r="H432" s="967">
        <f t="shared" si="136"/>
        <v>0</v>
      </c>
      <c r="I432" s="968">
        <f t="shared" si="137"/>
        <v>0</v>
      </c>
      <c r="J432" s="967">
        <f t="shared" si="138"/>
        <v>0</v>
      </c>
      <c r="K432" s="968">
        <f t="shared" si="139"/>
        <v>0.84852813742385713</v>
      </c>
      <c r="L432" s="967">
        <f t="shared" si="140"/>
        <v>-0.84852813742385713</v>
      </c>
      <c r="M432" s="968">
        <f t="shared" si="141"/>
        <v>0</v>
      </c>
      <c r="N432" s="967">
        <f t="shared" si="142"/>
        <v>0</v>
      </c>
      <c r="O432" s="968">
        <f t="shared" si="143"/>
        <v>0</v>
      </c>
      <c r="P432" s="967">
        <f t="shared" si="144"/>
        <v>0</v>
      </c>
      <c r="Q432" s="968">
        <f t="shared" si="145"/>
        <v>0</v>
      </c>
      <c r="R432" s="969">
        <f t="shared" si="146"/>
        <v>0</v>
      </c>
      <c r="S432" s="979">
        <f t="shared" si="147"/>
        <v>0</v>
      </c>
      <c r="T432" s="967">
        <f t="shared" si="148"/>
        <v>0</v>
      </c>
      <c r="U432" s="967">
        <f t="shared" si="149"/>
        <v>0</v>
      </c>
      <c r="V432" s="967">
        <f t="shared" si="150"/>
        <v>0</v>
      </c>
      <c r="W432" s="967">
        <f t="shared" si="151"/>
        <v>0</v>
      </c>
      <c r="X432" s="967">
        <f t="shared" si="152"/>
        <v>0</v>
      </c>
      <c r="Y432" s="967">
        <f t="shared" si="153"/>
        <v>0</v>
      </c>
      <c r="Z432" s="967">
        <f t="shared" si="154"/>
        <v>0</v>
      </c>
      <c r="AA432" s="967">
        <f t="shared" si="155"/>
        <v>0</v>
      </c>
      <c r="AB432" s="967">
        <f t="shared" si="156"/>
        <v>0</v>
      </c>
      <c r="AC432" s="967">
        <f t="shared" si="157"/>
        <v>0</v>
      </c>
      <c r="AD432" s="967">
        <f t="shared" si="158"/>
        <v>0</v>
      </c>
      <c r="AE432" s="967">
        <f t="shared" si="159"/>
        <v>0</v>
      </c>
      <c r="AF432" s="967">
        <f t="shared" si="160"/>
        <v>0</v>
      </c>
      <c r="AG432" s="967">
        <f t="shared" si="161"/>
        <v>0</v>
      </c>
      <c r="AH432" s="967">
        <f t="shared" si="162"/>
        <v>0</v>
      </c>
      <c r="AI432" s="970">
        <f t="shared" si="163"/>
        <v>0</v>
      </c>
    </row>
    <row r="433" spans="1:35" x14ac:dyDescent="0.25">
      <c r="A433" s="910">
        <v>31</v>
      </c>
      <c r="B433" s="979">
        <f t="shared" si="130"/>
        <v>0</v>
      </c>
      <c r="C433" s="968">
        <f t="shared" si="131"/>
        <v>0</v>
      </c>
      <c r="D433" s="967">
        <f t="shared" si="132"/>
        <v>0.84852813742385713</v>
      </c>
      <c r="E433" s="968">
        <f t="shared" si="133"/>
        <v>-0.84852813742385713</v>
      </c>
      <c r="F433" s="967">
        <f t="shared" si="134"/>
        <v>0</v>
      </c>
      <c r="G433" s="968">
        <f t="shared" si="135"/>
        <v>0</v>
      </c>
      <c r="H433" s="967">
        <f t="shared" si="136"/>
        <v>0</v>
      </c>
      <c r="I433" s="968">
        <f t="shared" si="137"/>
        <v>0</v>
      </c>
      <c r="J433" s="967">
        <f t="shared" si="138"/>
        <v>0</v>
      </c>
      <c r="K433" s="968">
        <f t="shared" si="139"/>
        <v>0.84852813742385713</v>
      </c>
      <c r="L433" s="967">
        <f t="shared" si="140"/>
        <v>-0.84852813742385713</v>
      </c>
      <c r="M433" s="968">
        <f t="shared" si="141"/>
        <v>0</v>
      </c>
      <c r="N433" s="967">
        <f t="shared" si="142"/>
        <v>0</v>
      </c>
      <c r="O433" s="968">
        <f t="shared" si="143"/>
        <v>0</v>
      </c>
      <c r="P433" s="967">
        <f t="shared" si="144"/>
        <v>0</v>
      </c>
      <c r="Q433" s="968">
        <f t="shared" si="145"/>
        <v>0</v>
      </c>
      <c r="R433" s="969">
        <f t="shared" si="146"/>
        <v>0</v>
      </c>
      <c r="S433" s="979">
        <f t="shared" si="147"/>
        <v>0</v>
      </c>
      <c r="T433" s="967">
        <f t="shared" si="148"/>
        <v>0</v>
      </c>
      <c r="U433" s="967">
        <f t="shared" si="149"/>
        <v>0</v>
      </c>
      <c r="V433" s="967">
        <f t="shared" si="150"/>
        <v>0</v>
      </c>
      <c r="W433" s="967">
        <f t="shared" si="151"/>
        <v>0</v>
      </c>
      <c r="X433" s="967">
        <f t="shared" si="152"/>
        <v>0</v>
      </c>
      <c r="Y433" s="967">
        <f t="shared" si="153"/>
        <v>0</v>
      </c>
      <c r="Z433" s="967">
        <f t="shared" si="154"/>
        <v>0</v>
      </c>
      <c r="AA433" s="967">
        <f t="shared" si="155"/>
        <v>0</v>
      </c>
      <c r="AB433" s="967">
        <f t="shared" si="156"/>
        <v>0</v>
      </c>
      <c r="AC433" s="967">
        <f t="shared" si="157"/>
        <v>0</v>
      </c>
      <c r="AD433" s="967">
        <f t="shared" si="158"/>
        <v>0</v>
      </c>
      <c r="AE433" s="967">
        <f t="shared" si="159"/>
        <v>0</v>
      </c>
      <c r="AF433" s="967">
        <f t="shared" si="160"/>
        <v>0</v>
      </c>
      <c r="AG433" s="967">
        <f t="shared" si="161"/>
        <v>0</v>
      </c>
      <c r="AH433" s="967">
        <f t="shared" si="162"/>
        <v>0</v>
      </c>
      <c r="AI433" s="970">
        <f t="shared" si="163"/>
        <v>0</v>
      </c>
    </row>
    <row r="434" spans="1:35" x14ac:dyDescent="0.25">
      <c r="A434" s="910">
        <v>32</v>
      </c>
      <c r="B434" s="979">
        <f t="shared" si="130"/>
        <v>0</v>
      </c>
      <c r="C434" s="968">
        <f t="shared" si="131"/>
        <v>0</v>
      </c>
      <c r="D434" s="967">
        <f t="shared" si="132"/>
        <v>0.84852813742385713</v>
      </c>
      <c r="E434" s="968">
        <f t="shared" si="133"/>
        <v>-0.84852813742385713</v>
      </c>
      <c r="F434" s="967">
        <f t="shared" si="134"/>
        <v>0</v>
      </c>
      <c r="G434" s="968">
        <f t="shared" si="135"/>
        <v>0</v>
      </c>
      <c r="H434" s="967">
        <f t="shared" si="136"/>
        <v>0</v>
      </c>
      <c r="I434" s="968">
        <f t="shared" si="137"/>
        <v>0</v>
      </c>
      <c r="J434" s="967">
        <f t="shared" si="138"/>
        <v>0</v>
      </c>
      <c r="K434" s="968">
        <f t="shared" si="139"/>
        <v>0.84852813742385713</v>
      </c>
      <c r="L434" s="967">
        <f t="shared" si="140"/>
        <v>-0.84852813742385713</v>
      </c>
      <c r="M434" s="968">
        <f t="shared" si="141"/>
        <v>0</v>
      </c>
      <c r="N434" s="967">
        <f t="shared" si="142"/>
        <v>0</v>
      </c>
      <c r="O434" s="968">
        <f t="shared" si="143"/>
        <v>0</v>
      </c>
      <c r="P434" s="967">
        <f t="shared" si="144"/>
        <v>0</v>
      </c>
      <c r="Q434" s="968">
        <f t="shared" si="145"/>
        <v>0</v>
      </c>
      <c r="R434" s="969">
        <f t="shared" si="146"/>
        <v>0</v>
      </c>
      <c r="S434" s="979">
        <f t="shared" si="147"/>
        <v>0</v>
      </c>
      <c r="T434" s="967">
        <f t="shared" si="148"/>
        <v>0</v>
      </c>
      <c r="U434" s="967">
        <f t="shared" si="149"/>
        <v>0</v>
      </c>
      <c r="V434" s="967">
        <f t="shared" si="150"/>
        <v>0</v>
      </c>
      <c r="W434" s="967">
        <f t="shared" si="151"/>
        <v>0</v>
      </c>
      <c r="X434" s="967">
        <f t="shared" si="152"/>
        <v>0</v>
      </c>
      <c r="Y434" s="967">
        <f t="shared" si="153"/>
        <v>0</v>
      </c>
      <c r="Z434" s="967">
        <f t="shared" si="154"/>
        <v>0</v>
      </c>
      <c r="AA434" s="967">
        <f t="shared" si="155"/>
        <v>0</v>
      </c>
      <c r="AB434" s="967">
        <f t="shared" si="156"/>
        <v>0</v>
      </c>
      <c r="AC434" s="967">
        <f t="shared" si="157"/>
        <v>0</v>
      </c>
      <c r="AD434" s="967">
        <f t="shared" si="158"/>
        <v>0</v>
      </c>
      <c r="AE434" s="967">
        <f t="shared" si="159"/>
        <v>0</v>
      </c>
      <c r="AF434" s="967">
        <f t="shared" si="160"/>
        <v>0</v>
      </c>
      <c r="AG434" s="967">
        <f t="shared" si="161"/>
        <v>0</v>
      </c>
      <c r="AH434" s="967">
        <f t="shared" si="162"/>
        <v>0</v>
      </c>
      <c r="AI434" s="970">
        <f t="shared" si="163"/>
        <v>0</v>
      </c>
    </row>
    <row r="435" spans="1:35" x14ac:dyDescent="0.25">
      <c r="A435" s="910">
        <v>33</v>
      </c>
      <c r="B435" s="979">
        <f t="shared" si="130"/>
        <v>0</v>
      </c>
      <c r="C435" s="968">
        <f t="shared" si="131"/>
        <v>0</v>
      </c>
      <c r="D435" s="967">
        <f t="shared" si="132"/>
        <v>0.84852813742385713</v>
      </c>
      <c r="E435" s="968">
        <f t="shared" si="133"/>
        <v>-0.84852813742385713</v>
      </c>
      <c r="F435" s="967">
        <f t="shared" si="134"/>
        <v>0</v>
      </c>
      <c r="G435" s="968">
        <f t="shared" si="135"/>
        <v>0</v>
      </c>
      <c r="H435" s="967">
        <f t="shared" si="136"/>
        <v>0</v>
      </c>
      <c r="I435" s="968">
        <f t="shared" si="137"/>
        <v>0</v>
      </c>
      <c r="J435" s="967">
        <f t="shared" si="138"/>
        <v>0</v>
      </c>
      <c r="K435" s="968">
        <f t="shared" si="139"/>
        <v>0.84852813742385713</v>
      </c>
      <c r="L435" s="967">
        <f t="shared" si="140"/>
        <v>-0.84852813742385713</v>
      </c>
      <c r="M435" s="968">
        <f t="shared" si="141"/>
        <v>0</v>
      </c>
      <c r="N435" s="967">
        <f t="shared" si="142"/>
        <v>0</v>
      </c>
      <c r="O435" s="968">
        <f t="shared" si="143"/>
        <v>0</v>
      </c>
      <c r="P435" s="967">
        <f t="shared" si="144"/>
        <v>0</v>
      </c>
      <c r="Q435" s="968">
        <f t="shared" si="145"/>
        <v>0</v>
      </c>
      <c r="R435" s="969">
        <f t="shared" si="146"/>
        <v>0</v>
      </c>
      <c r="S435" s="979">
        <f t="shared" si="147"/>
        <v>0</v>
      </c>
      <c r="T435" s="967">
        <f t="shared" si="148"/>
        <v>0</v>
      </c>
      <c r="U435" s="967">
        <f t="shared" si="149"/>
        <v>0</v>
      </c>
      <c r="V435" s="967">
        <f t="shared" si="150"/>
        <v>0</v>
      </c>
      <c r="W435" s="967">
        <f t="shared" si="151"/>
        <v>0</v>
      </c>
      <c r="X435" s="967">
        <f t="shared" si="152"/>
        <v>0</v>
      </c>
      <c r="Y435" s="967">
        <f t="shared" si="153"/>
        <v>0</v>
      </c>
      <c r="Z435" s="967">
        <f t="shared" si="154"/>
        <v>0</v>
      </c>
      <c r="AA435" s="967">
        <f t="shared" si="155"/>
        <v>0</v>
      </c>
      <c r="AB435" s="967">
        <f t="shared" si="156"/>
        <v>0</v>
      </c>
      <c r="AC435" s="967">
        <f t="shared" si="157"/>
        <v>0</v>
      </c>
      <c r="AD435" s="967">
        <f t="shared" si="158"/>
        <v>0</v>
      </c>
      <c r="AE435" s="967">
        <f t="shared" si="159"/>
        <v>0</v>
      </c>
      <c r="AF435" s="967">
        <f t="shared" si="160"/>
        <v>0</v>
      </c>
      <c r="AG435" s="967">
        <f t="shared" si="161"/>
        <v>0</v>
      </c>
      <c r="AH435" s="967">
        <f t="shared" si="162"/>
        <v>0</v>
      </c>
      <c r="AI435" s="970">
        <f t="shared" si="163"/>
        <v>0</v>
      </c>
    </row>
    <row r="436" spans="1:35" x14ac:dyDescent="0.25">
      <c r="A436" s="910">
        <v>34</v>
      </c>
      <c r="B436" s="979">
        <f t="shared" si="130"/>
        <v>0</v>
      </c>
      <c r="C436" s="968">
        <f t="shared" si="131"/>
        <v>0</v>
      </c>
      <c r="D436" s="967">
        <f t="shared" si="132"/>
        <v>0.84852813742385713</v>
      </c>
      <c r="E436" s="968">
        <f t="shared" si="133"/>
        <v>-0.84852813742385713</v>
      </c>
      <c r="F436" s="967">
        <f t="shared" si="134"/>
        <v>0</v>
      </c>
      <c r="G436" s="968">
        <f t="shared" si="135"/>
        <v>0</v>
      </c>
      <c r="H436" s="967">
        <f t="shared" si="136"/>
        <v>0</v>
      </c>
      <c r="I436" s="968">
        <f t="shared" si="137"/>
        <v>0</v>
      </c>
      <c r="J436" s="967">
        <f t="shared" si="138"/>
        <v>0</v>
      </c>
      <c r="K436" s="968">
        <f t="shared" si="139"/>
        <v>0.84852813742385713</v>
      </c>
      <c r="L436" s="967">
        <f t="shared" si="140"/>
        <v>-0.84852813742385713</v>
      </c>
      <c r="M436" s="968">
        <f t="shared" si="141"/>
        <v>0</v>
      </c>
      <c r="N436" s="967">
        <f t="shared" si="142"/>
        <v>0</v>
      </c>
      <c r="O436" s="968">
        <f t="shared" si="143"/>
        <v>0</v>
      </c>
      <c r="P436" s="967">
        <f t="shared" si="144"/>
        <v>0</v>
      </c>
      <c r="Q436" s="968">
        <f t="shared" si="145"/>
        <v>0</v>
      </c>
      <c r="R436" s="969">
        <f t="shared" si="146"/>
        <v>0</v>
      </c>
      <c r="S436" s="979">
        <f t="shared" si="147"/>
        <v>0</v>
      </c>
      <c r="T436" s="967">
        <f t="shared" si="148"/>
        <v>0</v>
      </c>
      <c r="U436" s="967">
        <f t="shared" si="149"/>
        <v>0</v>
      </c>
      <c r="V436" s="967">
        <f t="shared" si="150"/>
        <v>0</v>
      </c>
      <c r="W436" s="967">
        <f t="shared" si="151"/>
        <v>0</v>
      </c>
      <c r="X436" s="967">
        <f t="shared" si="152"/>
        <v>0</v>
      </c>
      <c r="Y436" s="967">
        <f t="shared" si="153"/>
        <v>0</v>
      </c>
      <c r="Z436" s="967">
        <f t="shared" si="154"/>
        <v>0</v>
      </c>
      <c r="AA436" s="967">
        <f t="shared" si="155"/>
        <v>0</v>
      </c>
      <c r="AB436" s="967">
        <f t="shared" si="156"/>
        <v>0</v>
      </c>
      <c r="AC436" s="967">
        <f t="shared" si="157"/>
        <v>0</v>
      </c>
      <c r="AD436" s="967">
        <f t="shared" si="158"/>
        <v>0</v>
      </c>
      <c r="AE436" s="967">
        <f t="shared" si="159"/>
        <v>0</v>
      </c>
      <c r="AF436" s="967">
        <f t="shared" si="160"/>
        <v>0</v>
      </c>
      <c r="AG436" s="967">
        <f t="shared" si="161"/>
        <v>0</v>
      </c>
      <c r="AH436" s="967">
        <f t="shared" si="162"/>
        <v>0</v>
      </c>
      <c r="AI436" s="970">
        <f t="shared" si="163"/>
        <v>0</v>
      </c>
    </row>
    <row r="437" spans="1:35" x14ac:dyDescent="0.25">
      <c r="A437" s="910">
        <v>35</v>
      </c>
      <c r="B437" s="979">
        <f t="shared" si="130"/>
        <v>0</v>
      </c>
      <c r="C437" s="968">
        <f t="shared" si="131"/>
        <v>0</v>
      </c>
      <c r="D437" s="967">
        <f t="shared" si="132"/>
        <v>0.84852813742385713</v>
      </c>
      <c r="E437" s="968">
        <f t="shared" si="133"/>
        <v>-0.84852813742385713</v>
      </c>
      <c r="F437" s="967">
        <f t="shared" si="134"/>
        <v>0</v>
      </c>
      <c r="G437" s="968">
        <f t="shared" si="135"/>
        <v>0</v>
      </c>
      <c r="H437" s="967">
        <f t="shared" si="136"/>
        <v>0</v>
      </c>
      <c r="I437" s="968">
        <f t="shared" si="137"/>
        <v>0</v>
      </c>
      <c r="J437" s="967">
        <f t="shared" si="138"/>
        <v>0</v>
      </c>
      <c r="K437" s="968">
        <f t="shared" si="139"/>
        <v>0.84852813742385713</v>
      </c>
      <c r="L437" s="967">
        <f t="shared" si="140"/>
        <v>-0.84852813742385713</v>
      </c>
      <c r="M437" s="968">
        <f t="shared" si="141"/>
        <v>0</v>
      </c>
      <c r="N437" s="967">
        <f t="shared" si="142"/>
        <v>0</v>
      </c>
      <c r="O437" s="968">
        <f t="shared" si="143"/>
        <v>0</v>
      </c>
      <c r="P437" s="967">
        <f t="shared" si="144"/>
        <v>0</v>
      </c>
      <c r="Q437" s="968">
        <f t="shared" si="145"/>
        <v>0</v>
      </c>
      <c r="R437" s="969">
        <f t="shared" si="146"/>
        <v>0</v>
      </c>
      <c r="S437" s="979">
        <f t="shared" si="147"/>
        <v>0</v>
      </c>
      <c r="T437" s="967">
        <f t="shared" si="148"/>
        <v>0</v>
      </c>
      <c r="U437" s="967">
        <f t="shared" si="149"/>
        <v>0</v>
      </c>
      <c r="V437" s="967">
        <f t="shared" si="150"/>
        <v>0</v>
      </c>
      <c r="W437" s="967">
        <f t="shared" si="151"/>
        <v>0</v>
      </c>
      <c r="X437" s="967">
        <f t="shared" si="152"/>
        <v>0</v>
      </c>
      <c r="Y437" s="967">
        <f t="shared" si="153"/>
        <v>0</v>
      </c>
      <c r="Z437" s="967">
        <f t="shared" si="154"/>
        <v>0</v>
      </c>
      <c r="AA437" s="967">
        <f t="shared" si="155"/>
        <v>0</v>
      </c>
      <c r="AB437" s="967">
        <f t="shared" si="156"/>
        <v>0</v>
      </c>
      <c r="AC437" s="967">
        <f t="shared" si="157"/>
        <v>0</v>
      </c>
      <c r="AD437" s="967">
        <f t="shared" si="158"/>
        <v>0</v>
      </c>
      <c r="AE437" s="967">
        <f t="shared" si="159"/>
        <v>0</v>
      </c>
      <c r="AF437" s="967">
        <f t="shared" si="160"/>
        <v>0</v>
      </c>
      <c r="AG437" s="967">
        <f t="shared" si="161"/>
        <v>0</v>
      </c>
      <c r="AH437" s="967">
        <f t="shared" si="162"/>
        <v>0</v>
      </c>
      <c r="AI437" s="970">
        <f t="shared" si="163"/>
        <v>0</v>
      </c>
    </row>
    <row r="438" spans="1:35" x14ac:dyDescent="0.25">
      <c r="A438" s="910">
        <v>36</v>
      </c>
      <c r="B438" s="979">
        <f t="shared" si="130"/>
        <v>0</v>
      </c>
      <c r="C438" s="968">
        <f t="shared" si="131"/>
        <v>0</v>
      </c>
      <c r="D438" s="967">
        <f t="shared" si="132"/>
        <v>0.84852813742385713</v>
      </c>
      <c r="E438" s="968">
        <f t="shared" si="133"/>
        <v>-0.84852813742385713</v>
      </c>
      <c r="F438" s="967">
        <f t="shared" si="134"/>
        <v>0</v>
      </c>
      <c r="G438" s="968">
        <f t="shared" si="135"/>
        <v>0</v>
      </c>
      <c r="H438" s="967">
        <f t="shared" si="136"/>
        <v>0</v>
      </c>
      <c r="I438" s="968">
        <f t="shared" si="137"/>
        <v>0</v>
      </c>
      <c r="J438" s="967">
        <f t="shared" si="138"/>
        <v>0</v>
      </c>
      <c r="K438" s="968">
        <f t="shared" si="139"/>
        <v>0.84852813742385713</v>
      </c>
      <c r="L438" s="967">
        <f t="shared" si="140"/>
        <v>-0.84852813742385713</v>
      </c>
      <c r="M438" s="968">
        <f t="shared" si="141"/>
        <v>0</v>
      </c>
      <c r="N438" s="967">
        <f t="shared" si="142"/>
        <v>0</v>
      </c>
      <c r="O438" s="968">
        <f t="shared" si="143"/>
        <v>0</v>
      </c>
      <c r="P438" s="967">
        <f t="shared" si="144"/>
        <v>0</v>
      </c>
      <c r="Q438" s="968">
        <f t="shared" si="145"/>
        <v>0</v>
      </c>
      <c r="R438" s="969">
        <f t="shared" si="146"/>
        <v>0</v>
      </c>
      <c r="S438" s="979">
        <f t="shared" si="147"/>
        <v>0</v>
      </c>
      <c r="T438" s="967">
        <f t="shared" si="148"/>
        <v>0</v>
      </c>
      <c r="U438" s="967">
        <f t="shared" si="149"/>
        <v>0</v>
      </c>
      <c r="V438" s="967">
        <f t="shared" si="150"/>
        <v>0</v>
      </c>
      <c r="W438" s="967">
        <f t="shared" si="151"/>
        <v>0</v>
      </c>
      <c r="X438" s="967">
        <f t="shared" si="152"/>
        <v>0</v>
      </c>
      <c r="Y438" s="967">
        <f t="shared" si="153"/>
        <v>0</v>
      </c>
      <c r="Z438" s="967">
        <f t="shared" si="154"/>
        <v>0</v>
      </c>
      <c r="AA438" s="967">
        <f t="shared" si="155"/>
        <v>0</v>
      </c>
      <c r="AB438" s="967">
        <f t="shared" si="156"/>
        <v>0</v>
      </c>
      <c r="AC438" s="967">
        <f t="shared" si="157"/>
        <v>0</v>
      </c>
      <c r="AD438" s="967">
        <f t="shared" si="158"/>
        <v>0</v>
      </c>
      <c r="AE438" s="967">
        <f t="shared" si="159"/>
        <v>0</v>
      </c>
      <c r="AF438" s="967">
        <f t="shared" si="160"/>
        <v>0</v>
      </c>
      <c r="AG438" s="967">
        <f t="shared" si="161"/>
        <v>0</v>
      </c>
      <c r="AH438" s="967">
        <f t="shared" si="162"/>
        <v>0</v>
      </c>
      <c r="AI438" s="970">
        <f t="shared" si="163"/>
        <v>0</v>
      </c>
    </row>
    <row r="439" spans="1:35" x14ac:dyDescent="0.25">
      <c r="A439" s="910">
        <v>37</v>
      </c>
      <c r="B439" s="979">
        <f t="shared" si="130"/>
        <v>0</v>
      </c>
      <c r="C439" s="968">
        <f t="shared" si="131"/>
        <v>0</v>
      </c>
      <c r="D439" s="967">
        <f t="shared" si="132"/>
        <v>0.84852813742385713</v>
      </c>
      <c r="E439" s="968">
        <f t="shared" si="133"/>
        <v>-0.84852813742385713</v>
      </c>
      <c r="F439" s="967">
        <f t="shared" si="134"/>
        <v>0</v>
      </c>
      <c r="G439" s="968">
        <f t="shared" si="135"/>
        <v>0</v>
      </c>
      <c r="H439" s="967">
        <f t="shared" si="136"/>
        <v>0</v>
      </c>
      <c r="I439" s="968">
        <f t="shared" si="137"/>
        <v>0</v>
      </c>
      <c r="J439" s="967">
        <f t="shared" si="138"/>
        <v>0</v>
      </c>
      <c r="K439" s="968">
        <f t="shared" si="139"/>
        <v>0.84852813742385713</v>
      </c>
      <c r="L439" s="967">
        <f t="shared" si="140"/>
        <v>-0.84852813742385713</v>
      </c>
      <c r="M439" s="968">
        <f t="shared" si="141"/>
        <v>0</v>
      </c>
      <c r="N439" s="967">
        <f t="shared" si="142"/>
        <v>0</v>
      </c>
      <c r="O439" s="968">
        <f t="shared" si="143"/>
        <v>0</v>
      </c>
      <c r="P439" s="967">
        <f t="shared" si="144"/>
        <v>0</v>
      </c>
      <c r="Q439" s="968">
        <f t="shared" si="145"/>
        <v>0</v>
      </c>
      <c r="R439" s="969">
        <f t="shared" si="146"/>
        <v>0</v>
      </c>
      <c r="S439" s="979">
        <f t="shared" si="147"/>
        <v>0</v>
      </c>
      <c r="T439" s="967">
        <f t="shared" si="148"/>
        <v>0</v>
      </c>
      <c r="U439" s="967">
        <f t="shared" si="149"/>
        <v>0</v>
      </c>
      <c r="V439" s="967">
        <f t="shared" si="150"/>
        <v>0</v>
      </c>
      <c r="W439" s="967">
        <f t="shared" si="151"/>
        <v>0</v>
      </c>
      <c r="X439" s="967">
        <f t="shared" si="152"/>
        <v>0</v>
      </c>
      <c r="Y439" s="967">
        <f t="shared" si="153"/>
        <v>0</v>
      </c>
      <c r="Z439" s="967">
        <f t="shared" si="154"/>
        <v>0</v>
      </c>
      <c r="AA439" s="967">
        <f t="shared" si="155"/>
        <v>0</v>
      </c>
      <c r="AB439" s="967">
        <f t="shared" si="156"/>
        <v>0</v>
      </c>
      <c r="AC439" s="967">
        <f t="shared" si="157"/>
        <v>0</v>
      </c>
      <c r="AD439" s="967">
        <f t="shared" si="158"/>
        <v>0</v>
      </c>
      <c r="AE439" s="967">
        <f t="shared" si="159"/>
        <v>0</v>
      </c>
      <c r="AF439" s="967">
        <f t="shared" si="160"/>
        <v>0</v>
      </c>
      <c r="AG439" s="967">
        <f t="shared" si="161"/>
        <v>0</v>
      </c>
      <c r="AH439" s="967">
        <f t="shared" si="162"/>
        <v>0</v>
      </c>
      <c r="AI439" s="970">
        <f t="shared" si="163"/>
        <v>0</v>
      </c>
    </row>
    <row r="440" spans="1:35" x14ac:dyDescent="0.25">
      <c r="A440" s="910">
        <v>38</v>
      </c>
      <c r="B440" s="979">
        <f t="shared" si="130"/>
        <v>0</v>
      </c>
      <c r="C440" s="968">
        <f t="shared" si="131"/>
        <v>0</v>
      </c>
      <c r="D440" s="967">
        <f t="shared" si="132"/>
        <v>0.84852813742385713</v>
      </c>
      <c r="E440" s="968">
        <f t="shared" si="133"/>
        <v>-0.84852813742385713</v>
      </c>
      <c r="F440" s="967">
        <f t="shared" si="134"/>
        <v>0</v>
      </c>
      <c r="G440" s="968">
        <f t="shared" si="135"/>
        <v>0</v>
      </c>
      <c r="H440" s="967">
        <f t="shared" si="136"/>
        <v>0</v>
      </c>
      <c r="I440" s="968">
        <f t="shared" si="137"/>
        <v>0</v>
      </c>
      <c r="J440" s="967">
        <f t="shared" si="138"/>
        <v>0</v>
      </c>
      <c r="K440" s="968">
        <f t="shared" si="139"/>
        <v>0.84852813742385713</v>
      </c>
      <c r="L440" s="967">
        <f t="shared" si="140"/>
        <v>-0.84852813742385713</v>
      </c>
      <c r="M440" s="968">
        <f t="shared" si="141"/>
        <v>0</v>
      </c>
      <c r="N440" s="967">
        <f t="shared" si="142"/>
        <v>0</v>
      </c>
      <c r="O440" s="968">
        <f t="shared" si="143"/>
        <v>0</v>
      </c>
      <c r="P440" s="967">
        <f t="shared" si="144"/>
        <v>0</v>
      </c>
      <c r="Q440" s="968">
        <f t="shared" si="145"/>
        <v>0</v>
      </c>
      <c r="R440" s="969">
        <f t="shared" si="146"/>
        <v>0</v>
      </c>
      <c r="S440" s="979">
        <f t="shared" si="147"/>
        <v>0</v>
      </c>
      <c r="T440" s="967">
        <f t="shared" si="148"/>
        <v>0</v>
      </c>
      <c r="U440" s="967">
        <f t="shared" si="149"/>
        <v>0</v>
      </c>
      <c r="V440" s="967">
        <f t="shared" si="150"/>
        <v>0</v>
      </c>
      <c r="W440" s="967">
        <f t="shared" si="151"/>
        <v>0</v>
      </c>
      <c r="X440" s="967">
        <f t="shared" si="152"/>
        <v>0</v>
      </c>
      <c r="Y440" s="967">
        <f t="shared" si="153"/>
        <v>0</v>
      </c>
      <c r="Z440" s="967">
        <f t="shared" si="154"/>
        <v>0</v>
      </c>
      <c r="AA440" s="967">
        <f t="shared" si="155"/>
        <v>0</v>
      </c>
      <c r="AB440" s="967">
        <f t="shared" si="156"/>
        <v>0</v>
      </c>
      <c r="AC440" s="967">
        <f t="shared" si="157"/>
        <v>0</v>
      </c>
      <c r="AD440" s="967">
        <f t="shared" si="158"/>
        <v>0</v>
      </c>
      <c r="AE440" s="967">
        <f t="shared" si="159"/>
        <v>0</v>
      </c>
      <c r="AF440" s="967">
        <f t="shared" si="160"/>
        <v>0</v>
      </c>
      <c r="AG440" s="967">
        <f t="shared" si="161"/>
        <v>0</v>
      </c>
      <c r="AH440" s="967">
        <f t="shared" si="162"/>
        <v>0</v>
      </c>
      <c r="AI440" s="970">
        <f t="shared" si="163"/>
        <v>0</v>
      </c>
    </row>
    <row r="441" spans="1:35" x14ac:dyDescent="0.25">
      <c r="A441" s="910">
        <v>39</v>
      </c>
      <c r="B441" s="979">
        <f t="shared" si="130"/>
        <v>0</v>
      </c>
      <c r="C441" s="968">
        <f t="shared" si="131"/>
        <v>0</v>
      </c>
      <c r="D441" s="967">
        <f t="shared" si="132"/>
        <v>0.84852813742385713</v>
      </c>
      <c r="E441" s="968">
        <f t="shared" si="133"/>
        <v>-0.84852813742385713</v>
      </c>
      <c r="F441" s="967">
        <f t="shared" si="134"/>
        <v>0</v>
      </c>
      <c r="G441" s="968">
        <f t="shared" si="135"/>
        <v>0</v>
      </c>
      <c r="H441" s="967">
        <f t="shared" si="136"/>
        <v>0</v>
      </c>
      <c r="I441" s="968">
        <f t="shared" si="137"/>
        <v>0</v>
      </c>
      <c r="J441" s="967">
        <f t="shared" si="138"/>
        <v>0</v>
      </c>
      <c r="K441" s="968">
        <f t="shared" si="139"/>
        <v>0.84852813742385713</v>
      </c>
      <c r="L441" s="967">
        <f t="shared" si="140"/>
        <v>-0.84852813742385713</v>
      </c>
      <c r="M441" s="968">
        <f t="shared" si="141"/>
        <v>0</v>
      </c>
      <c r="N441" s="967">
        <f t="shared" si="142"/>
        <v>0</v>
      </c>
      <c r="O441" s="968">
        <f t="shared" si="143"/>
        <v>0</v>
      </c>
      <c r="P441" s="967">
        <f t="shared" si="144"/>
        <v>0</v>
      </c>
      <c r="Q441" s="968">
        <f t="shared" si="145"/>
        <v>0</v>
      </c>
      <c r="R441" s="969">
        <f t="shared" si="146"/>
        <v>0</v>
      </c>
      <c r="S441" s="979">
        <f t="shared" si="147"/>
        <v>0</v>
      </c>
      <c r="T441" s="967">
        <f t="shared" si="148"/>
        <v>0</v>
      </c>
      <c r="U441" s="967">
        <f t="shared" si="149"/>
        <v>0</v>
      </c>
      <c r="V441" s="967">
        <f t="shared" si="150"/>
        <v>0</v>
      </c>
      <c r="W441" s="967">
        <f t="shared" si="151"/>
        <v>0</v>
      </c>
      <c r="X441" s="967">
        <f t="shared" si="152"/>
        <v>0</v>
      </c>
      <c r="Y441" s="967">
        <f t="shared" si="153"/>
        <v>0</v>
      </c>
      <c r="Z441" s="967">
        <f t="shared" si="154"/>
        <v>0</v>
      </c>
      <c r="AA441" s="967">
        <f t="shared" si="155"/>
        <v>0</v>
      </c>
      <c r="AB441" s="967">
        <f t="shared" si="156"/>
        <v>0</v>
      </c>
      <c r="AC441" s="967">
        <f t="shared" si="157"/>
        <v>0</v>
      </c>
      <c r="AD441" s="967">
        <f t="shared" si="158"/>
        <v>0</v>
      </c>
      <c r="AE441" s="967">
        <f t="shared" si="159"/>
        <v>0</v>
      </c>
      <c r="AF441" s="967">
        <f t="shared" si="160"/>
        <v>0</v>
      </c>
      <c r="AG441" s="967">
        <f t="shared" si="161"/>
        <v>0</v>
      </c>
      <c r="AH441" s="967">
        <f t="shared" si="162"/>
        <v>0</v>
      </c>
      <c r="AI441" s="970">
        <f t="shared" si="163"/>
        <v>0</v>
      </c>
    </row>
    <row r="442" spans="1:35" ht="13.8" thickBot="1" x14ac:dyDescent="0.3">
      <c r="A442" s="911">
        <v>40</v>
      </c>
      <c r="B442" s="979">
        <f t="shared" si="130"/>
        <v>0</v>
      </c>
      <c r="C442" s="968">
        <f t="shared" si="131"/>
        <v>0</v>
      </c>
      <c r="D442" s="967">
        <f t="shared" si="132"/>
        <v>0.84852813742385713</v>
      </c>
      <c r="E442" s="968">
        <f t="shared" si="133"/>
        <v>-0.84852813742385713</v>
      </c>
      <c r="F442" s="967">
        <f t="shared" si="134"/>
        <v>0</v>
      </c>
      <c r="G442" s="973">
        <f t="shared" si="135"/>
        <v>0</v>
      </c>
      <c r="H442" s="972">
        <f t="shared" si="136"/>
        <v>0</v>
      </c>
      <c r="I442" s="973">
        <f t="shared" si="137"/>
        <v>0</v>
      </c>
      <c r="J442" s="972">
        <f t="shared" si="138"/>
        <v>0</v>
      </c>
      <c r="K442" s="968">
        <f t="shared" si="139"/>
        <v>0.84852813742385713</v>
      </c>
      <c r="L442" s="967">
        <f t="shared" si="140"/>
        <v>-0.84852813742385713</v>
      </c>
      <c r="M442" s="973">
        <f t="shared" si="141"/>
        <v>0</v>
      </c>
      <c r="N442" s="972">
        <f t="shared" si="142"/>
        <v>0</v>
      </c>
      <c r="O442" s="973">
        <f t="shared" si="143"/>
        <v>0</v>
      </c>
      <c r="P442" s="972">
        <f t="shared" si="144"/>
        <v>0</v>
      </c>
      <c r="Q442" s="973">
        <f t="shared" si="145"/>
        <v>0</v>
      </c>
      <c r="R442" s="983">
        <f t="shared" si="146"/>
        <v>0</v>
      </c>
      <c r="S442" s="984">
        <f t="shared" si="147"/>
        <v>0</v>
      </c>
      <c r="T442" s="972">
        <f t="shared" si="148"/>
        <v>0</v>
      </c>
      <c r="U442" s="972">
        <f t="shared" si="149"/>
        <v>0</v>
      </c>
      <c r="V442" s="972">
        <f t="shared" si="150"/>
        <v>0</v>
      </c>
      <c r="W442" s="972">
        <f t="shared" si="151"/>
        <v>0</v>
      </c>
      <c r="X442" s="972">
        <f t="shared" si="152"/>
        <v>0</v>
      </c>
      <c r="Y442" s="972">
        <f t="shared" si="153"/>
        <v>0</v>
      </c>
      <c r="Z442" s="972">
        <f t="shared" si="154"/>
        <v>0</v>
      </c>
      <c r="AA442" s="972">
        <f t="shared" si="155"/>
        <v>0</v>
      </c>
      <c r="AB442" s="972">
        <f t="shared" si="156"/>
        <v>0</v>
      </c>
      <c r="AC442" s="972">
        <f t="shared" si="157"/>
        <v>0</v>
      </c>
      <c r="AD442" s="972">
        <f t="shared" si="158"/>
        <v>0</v>
      </c>
      <c r="AE442" s="972">
        <f t="shared" si="159"/>
        <v>0</v>
      </c>
      <c r="AF442" s="972">
        <f t="shared" si="160"/>
        <v>0</v>
      </c>
      <c r="AG442" s="972">
        <f t="shared" si="161"/>
        <v>0</v>
      </c>
      <c r="AH442" s="972">
        <f t="shared" si="162"/>
        <v>0</v>
      </c>
      <c r="AI442" s="985">
        <f t="shared" si="163"/>
        <v>0</v>
      </c>
    </row>
    <row r="445" spans="1:35" ht="13.8" thickBot="1" x14ac:dyDescent="0.3"/>
    <row r="446" spans="1:35" ht="20.25" customHeight="1" thickBot="1" x14ac:dyDescent="0.3">
      <c r="B446" s="1373" t="s">
        <v>374</v>
      </c>
      <c r="C446" s="1374"/>
    </row>
    <row r="447" spans="1:35" s="9" customFormat="1" ht="18.75" customHeight="1" thickBot="1" x14ac:dyDescent="0.35">
      <c r="A447" s="904" t="s">
        <v>43</v>
      </c>
      <c r="B447" s="986" t="str">
        <f t="shared" ref="B447:D462" si="164">D90</f>
        <v>L</v>
      </c>
      <c r="C447" s="987" t="str">
        <f t="shared" si="164"/>
        <v>sin</v>
      </c>
      <c r="D447" s="986" t="str">
        <f t="shared" si="164"/>
        <v>cos</v>
      </c>
      <c r="E447" s="988" t="s">
        <v>172</v>
      </c>
      <c r="F447" s="986" t="s">
        <v>180</v>
      </c>
      <c r="G447" s="989" t="s">
        <v>181</v>
      </c>
      <c r="H447" s="990" t="s">
        <v>279</v>
      </c>
      <c r="I447" s="989" t="s">
        <v>280</v>
      </c>
      <c r="J447" s="990" t="s">
        <v>281</v>
      </c>
      <c r="K447" s="991" t="s">
        <v>282</v>
      </c>
      <c r="L447" s="986" t="s">
        <v>182</v>
      </c>
      <c r="M447" s="989" t="s">
        <v>183</v>
      </c>
      <c r="N447" s="990" t="s">
        <v>285</v>
      </c>
      <c r="O447" s="989" t="s">
        <v>286</v>
      </c>
      <c r="P447" s="990" t="s">
        <v>287</v>
      </c>
      <c r="Q447" s="991" t="s">
        <v>288</v>
      </c>
    </row>
    <row r="448" spans="1:35" ht="12.75" customHeight="1" x14ac:dyDescent="0.25">
      <c r="A448" s="910">
        <v>1</v>
      </c>
      <c r="B448" s="992">
        <f t="shared" ca="1" si="164"/>
        <v>100</v>
      </c>
      <c r="C448" s="993">
        <f t="shared" ca="1" si="164"/>
        <v>-0.6</v>
      </c>
      <c r="D448" s="994">
        <f t="shared" ca="1" si="164"/>
        <v>0.8</v>
      </c>
      <c r="E448" s="995">
        <f>IF(AND(ISNUMBER(System!$C4),System!AN4&lt;&gt;0),SIGN(System!AN4),0)</f>
        <v>0</v>
      </c>
      <c r="F448" s="996">
        <f>IF(AND(ISNUMBER(System!$C4),E448&lt;&gt;0),System!BC122,PlotData!$CB$3)</f>
        <v>0</v>
      </c>
      <c r="G448" s="997">
        <f>IF(AND(ISNUMBER(System!$C4),E448&lt;&gt;0),System!BD122,PlotData!$CB$3)</f>
        <v>0</v>
      </c>
      <c r="H448" s="997">
        <f>IF(AND(ISNUMBER(System!$C4),E448&lt;&gt;0),G448,PlotData!$CB$3)</f>
        <v>0</v>
      </c>
      <c r="I448" s="997">
        <f>IF(AND(ISNUMBER(System!$C4),E448&lt;&gt;0),F448,PlotData!$CB$3)</f>
        <v>0</v>
      </c>
      <c r="J448" s="997">
        <f>IF(AND(ISNUMBER(System!$C4),E448&lt;&gt;0),F448,PlotData!$CB$3)</f>
        <v>0</v>
      </c>
      <c r="K448" s="998">
        <f>IF(AND(ISNUMBER(System!$C4),E448&lt;&gt;0),G448,PlotData!$CB$3)</f>
        <v>0</v>
      </c>
      <c r="L448" s="996">
        <f>IF(AND(ISNUMBER(System!$C4),E448&lt;&gt;0),IF(C448&lt;0,System!BE122,System!BF122)-IF(D360=0,0,1)*$J$1*MIN($E$1,B448)*ABS(C448)*E448-$H$1*$E$1*ABS(D448)*E448,PlotData!$CB$4)</f>
        <v>0</v>
      </c>
      <c r="M448" s="997">
        <f>IF(AND(ISNUMBER(System!$C4),E448&lt;&gt;0),IF(D448=0,IF(C448&gt;0,System!$BE122,System!$BF122),L448),PlotData!$CB$4)</f>
        <v>0</v>
      </c>
      <c r="N448" s="997">
        <f>IF(AND(ISNUMBER(System!$C4),E448&lt;&gt;0),M448 - $E$1*ABS(D448)*E448,PlotData!$CB$4)</f>
        <v>0</v>
      </c>
      <c r="O448" s="997">
        <f>IF(AND(ISNUMBER(System!$C4),E448&lt;&gt;0),N448,PlotData!$CB$4)</f>
        <v>0</v>
      </c>
      <c r="P448" s="997">
        <f>IF(AND(ISNUMBER(System!$C4),E448&lt;&gt;0),L448 - $N$1*$E$1*ABS(D448)*E448,PlotData!$CB$4)</f>
        <v>0</v>
      </c>
      <c r="Q448" s="998">
        <f>IF(AND(ISNUMBER(System!$C4),E448&lt;&gt;0),M448 -$N$1*$E$1*ABS(D448)*E448,PlotData!$CB$4)</f>
        <v>0</v>
      </c>
    </row>
    <row r="449" spans="1:17" x14ac:dyDescent="0.25">
      <c r="A449" s="910">
        <v>2</v>
      </c>
      <c r="B449" s="994">
        <f t="shared" ca="1" si="164"/>
        <v>60</v>
      </c>
      <c r="C449" s="999">
        <f t="shared" ca="1" si="164"/>
        <v>-1</v>
      </c>
      <c r="D449" s="994">
        <f t="shared" ca="1" si="164"/>
        <v>0</v>
      </c>
      <c r="E449" s="995">
        <f>IF(AND(ISNUMBER(System!$C5),System!AN5&lt;&gt;0),SIGN(System!AN5),0)</f>
        <v>0</v>
      </c>
      <c r="F449" s="996">
        <f>IF(AND(ISNUMBER(System!$C5),E449&lt;&gt;0),System!BC123,PlotData!$CB$3)</f>
        <v>0</v>
      </c>
      <c r="G449" s="997">
        <f>IF(AND(ISNUMBER(System!$C5),E449&lt;&gt;0),System!BD123,PlotData!$CB$3)</f>
        <v>0</v>
      </c>
      <c r="H449" s="997">
        <f>IF(AND(ISNUMBER(System!$C5),E449&lt;&gt;0),G449,PlotData!$CB$3)</f>
        <v>0</v>
      </c>
      <c r="I449" s="997">
        <f>IF(AND(ISNUMBER(System!$C5),E449&lt;&gt;0),F449,PlotData!$CB$3)</f>
        <v>0</v>
      </c>
      <c r="J449" s="997">
        <f>IF(AND(ISNUMBER(System!$C5),E449&lt;&gt;0),F449,PlotData!$CB$3)</f>
        <v>0</v>
      </c>
      <c r="K449" s="998">
        <f>IF(AND(ISNUMBER(System!$C5),E449&lt;&gt;0),G449,PlotData!$CB$3)</f>
        <v>0</v>
      </c>
      <c r="L449" s="996">
        <f>IF(AND(ISNUMBER(System!$C5),E449&lt;&gt;0),IF(C449&lt;0,System!BE123,System!BF123)-IF(D361=0,0,1)*$J$1*MIN($E$1,B449)*ABS(C449)*E449-$H$1*$E$1*ABS(D449)*E449,PlotData!$CB$4)</f>
        <v>0</v>
      </c>
      <c r="M449" s="997">
        <f>IF(AND(ISNUMBER(System!$C5),E449&lt;&gt;0),IF(D449=0,IF(C449&gt;0,System!$BE123,System!$BF123),L449),PlotData!$CB$4)</f>
        <v>0</v>
      </c>
      <c r="N449" s="997">
        <f>IF(AND(ISNUMBER(System!$C5),E449&lt;&gt;0),M449 - $E$1*ABS(D449)*E449,PlotData!$CB$4)</f>
        <v>0</v>
      </c>
      <c r="O449" s="997">
        <f>IF(AND(ISNUMBER(System!$C5),E449&lt;&gt;0),N449,PlotData!$CB$4)</f>
        <v>0</v>
      </c>
      <c r="P449" s="997">
        <f>IF(AND(ISNUMBER(System!$C5),E449&lt;&gt;0),L449 - $N$1*$E$1*ABS(D449)*E449,PlotData!$CB$4)</f>
        <v>0</v>
      </c>
      <c r="Q449" s="998">
        <f>IF(AND(ISNUMBER(System!$C5),E449&lt;&gt;0),M449 -$N$1*$E$1*ABS(D449)*E449,PlotData!$CB$4)</f>
        <v>0</v>
      </c>
    </row>
    <row r="450" spans="1:17" x14ac:dyDescent="0.25">
      <c r="A450" s="910">
        <v>3</v>
      </c>
      <c r="B450" s="994">
        <f t="shared" ca="1" si="164"/>
        <v>72.111025509279784</v>
      </c>
      <c r="C450" s="999">
        <f t="shared" ca="1" si="164"/>
        <v>0.83205029433784372</v>
      </c>
      <c r="D450" s="994">
        <f t="shared" ca="1" si="164"/>
        <v>0.55470019622522915</v>
      </c>
      <c r="E450" s="995">
        <f>IF(AND(ISNUMBER(System!$C6),System!AN6&lt;&gt;0),SIGN(System!AN6),0)</f>
        <v>0</v>
      </c>
      <c r="F450" s="996">
        <f>IF(AND(ISNUMBER(System!$C6),E450&lt;&gt;0),System!BC124,PlotData!$CB$3)</f>
        <v>0</v>
      </c>
      <c r="G450" s="997">
        <f>IF(AND(ISNUMBER(System!$C6),E450&lt;&gt;0),System!BD124,PlotData!$CB$3)</f>
        <v>0</v>
      </c>
      <c r="H450" s="997">
        <f>IF(AND(ISNUMBER(System!$C6),E450&lt;&gt;0),G450,PlotData!$CB$3)</f>
        <v>0</v>
      </c>
      <c r="I450" s="997">
        <f>IF(AND(ISNUMBER(System!$C6),E450&lt;&gt;0),F450,PlotData!$CB$3)</f>
        <v>0</v>
      </c>
      <c r="J450" s="997">
        <f>IF(AND(ISNUMBER(System!$C6),E450&lt;&gt;0),F450,PlotData!$CB$3)</f>
        <v>0</v>
      </c>
      <c r="K450" s="998">
        <f>IF(AND(ISNUMBER(System!$C6),E450&lt;&gt;0),G450,PlotData!$CB$3)</f>
        <v>0</v>
      </c>
      <c r="L450" s="996">
        <f>IF(AND(ISNUMBER(System!$C6),E450&lt;&gt;0),IF(C450&lt;0,System!BE124,System!BF124)-IF(D362=0,0,1)*$J$1*MIN($E$1,B450)*ABS(C450)*E450-$H$1*$E$1*ABS(D450)*E450,PlotData!$CB$4)</f>
        <v>0</v>
      </c>
      <c r="M450" s="997">
        <f>IF(AND(ISNUMBER(System!$C6),E450&lt;&gt;0),IF(D450=0,IF(C450&gt;0,System!$BE124,System!$BF124),L450),PlotData!$CB$4)</f>
        <v>0</v>
      </c>
      <c r="N450" s="997">
        <f>IF(AND(ISNUMBER(System!$C6),E450&lt;&gt;0),M450 - $E$1*ABS(D450)*E450,PlotData!$CB$4)</f>
        <v>0</v>
      </c>
      <c r="O450" s="997">
        <f>IF(AND(ISNUMBER(System!$C6),E450&lt;&gt;0),N450,PlotData!$CB$4)</f>
        <v>0</v>
      </c>
      <c r="P450" s="997">
        <f>IF(AND(ISNUMBER(System!$C6),E450&lt;&gt;0),L450 - $N$1*$E$1*ABS(D450)*E450,PlotData!$CB$4)</f>
        <v>0</v>
      </c>
      <c r="Q450" s="998">
        <f>IF(AND(ISNUMBER(System!$C6),E450&lt;&gt;0),M450 -$N$1*$E$1*ABS(D450)*E450,PlotData!$CB$4)</f>
        <v>0</v>
      </c>
    </row>
    <row r="451" spans="1:17" x14ac:dyDescent="0.25">
      <c r="A451" s="910">
        <v>4</v>
      </c>
      <c r="B451" s="994">
        <f t="shared" ca="1" si="164"/>
        <v>76.157731058639087</v>
      </c>
      <c r="C451" s="999">
        <f t="shared" ca="1" si="164"/>
        <v>0.39391929857916763</v>
      </c>
      <c r="D451" s="994">
        <f t="shared" ca="1" si="164"/>
        <v>-0.91914503001805781</v>
      </c>
      <c r="E451" s="995">
        <f>IF(AND(ISNUMBER(System!$C7),System!AN7&lt;&gt;0),SIGN(System!AN7),0)</f>
        <v>0</v>
      </c>
      <c r="F451" s="996">
        <f>IF(AND(ISNUMBER(System!$C7),E451&lt;&gt;0),System!BC125,PlotData!$CB$3)</f>
        <v>0</v>
      </c>
      <c r="G451" s="997">
        <f>IF(AND(ISNUMBER(System!$C7),E451&lt;&gt;0),System!BD125,PlotData!$CB$3)</f>
        <v>0</v>
      </c>
      <c r="H451" s="997">
        <f>IF(AND(ISNUMBER(System!$C7),E451&lt;&gt;0),G451,PlotData!$CB$3)</f>
        <v>0</v>
      </c>
      <c r="I451" s="997">
        <f>IF(AND(ISNUMBER(System!$C7),E451&lt;&gt;0),F451,PlotData!$CB$3)</f>
        <v>0</v>
      </c>
      <c r="J451" s="997">
        <f>IF(AND(ISNUMBER(System!$C7),E451&lt;&gt;0),F451,PlotData!$CB$3)</f>
        <v>0</v>
      </c>
      <c r="K451" s="998">
        <f>IF(AND(ISNUMBER(System!$C7),E451&lt;&gt;0),G451,PlotData!$CB$3)</f>
        <v>0</v>
      </c>
      <c r="L451" s="996">
        <f>IF(AND(ISNUMBER(System!$C7),E451&lt;&gt;0),IF(C451&lt;0,System!BE125,System!BF125)-IF(D363=0,0,1)*$J$1*MIN($E$1,B451)*ABS(C451)*E451-$H$1*$E$1*ABS(D451)*E451,PlotData!$CB$4)</f>
        <v>0</v>
      </c>
      <c r="M451" s="997">
        <f>IF(AND(ISNUMBER(System!$C7),E451&lt;&gt;0),IF(D451=0,IF(C451&gt;0,System!$BE125,System!$BF125),L451),PlotData!$CB$4)</f>
        <v>0</v>
      </c>
      <c r="N451" s="997">
        <f>IF(AND(ISNUMBER(System!$C7),E451&lt;&gt;0),M451 - $E$1*ABS(D451)*E451,PlotData!$CB$4)</f>
        <v>0</v>
      </c>
      <c r="O451" s="997">
        <f>IF(AND(ISNUMBER(System!$C7),E451&lt;&gt;0),N451,PlotData!$CB$4)</f>
        <v>0</v>
      </c>
      <c r="P451" s="997">
        <f>IF(AND(ISNUMBER(System!$C7),E451&lt;&gt;0),L451 - $N$1*$E$1*ABS(D451)*E451,PlotData!$CB$4)</f>
        <v>0</v>
      </c>
      <c r="Q451" s="998">
        <f>IF(AND(ISNUMBER(System!$C7),E451&lt;&gt;0),M451 -$N$1*$E$1*ABS(D451)*E451,PlotData!$CB$4)</f>
        <v>0</v>
      </c>
    </row>
    <row r="452" spans="1:17" x14ac:dyDescent="0.25">
      <c r="A452" s="910">
        <v>5</v>
      </c>
      <c r="B452" s="994">
        <f t="shared" ca="1" si="164"/>
        <v>184.39088914585776</v>
      </c>
      <c r="C452" s="999">
        <f t="shared" ca="1" si="164"/>
        <v>-0.75925660236529657</v>
      </c>
      <c r="D452" s="994">
        <f t="shared" ca="1" si="164"/>
        <v>-0.65079137345596849</v>
      </c>
      <c r="E452" s="995">
        <f>IF(AND(ISNUMBER(System!$C8),System!AN8&lt;&gt;0),SIGN(System!AN8),0)</f>
        <v>0</v>
      </c>
      <c r="F452" s="996">
        <f>IF(AND(ISNUMBER(System!$C8),E452&lt;&gt;0),System!BC126,PlotData!$CB$3)</f>
        <v>0</v>
      </c>
      <c r="G452" s="997">
        <f>IF(AND(ISNUMBER(System!$C8),E452&lt;&gt;0),System!BD126,PlotData!$CB$3)</f>
        <v>0</v>
      </c>
      <c r="H452" s="997">
        <f>IF(AND(ISNUMBER(System!$C8),E452&lt;&gt;0),G452,PlotData!$CB$3)</f>
        <v>0</v>
      </c>
      <c r="I452" s="997">
        <f>IF(AND(ISNUMBER(System!$C8),E452&lt;&gt;0),F452,PlotData!$CB$3)</f>
        <v>0</v>
      </c>
      <c r="J452" s="997">
        <f>IF(AND(ISNUMBER(System!$C8),E452&lt;&gt;0),F452,PlotData!$CB$3)</f>
        <v>0</v>
      </c>
      <c r="K452" s="998">
        <f>IF(AND(ISNUMBER(System!$C8),E452&lt;&gt;0),G452,PlotData!$CB$3)</f>
        <v>0</v>
      </c>
      <c r="L452" s="996">
        <f>IF(AND(ISNUMBER(System!$C8),E452&lt;&gt;0),IF(C452&lt;0,System!BE126,System!BF126)-IF(D364=0,0,1)*$J$1*MIN($E$1,B452)*ABS(C452)*E452-$H$1*$E$1*ABS(D452)*E452,PlotData!$CB$4)</f>
        <v>0</v>
      </c>
      <c r="M452" s="997">
        <f>IF(AND(ISNUMBER(System!$C8),E452&lt;&gt;0),IF(D452=0,IF(C452&gt;0,System!$BE126,System!$BF126),L452),PlotData!$CB$4)</f>
        <v>0</v>
      </c>
      <c r="N452" s="997">
        <f>IF(AND(ISNUMBER(System!$C8),E452&lt;&gt;0),M452 - $E$1*ABS(D452)*E452,PlotData!$CB$4)</f>
        <v>0</v>
      </c>
      <c r="O452" s="997">
        <f>IF(AND(ISNUMBER(System!$C8),E452&lt;&gt;0),N452,PlotData!$CB$4)</f>
        <v>0</v>
      </c>
      <c r="P452" s="997">
        <f>IF(AND(ISNUMBER(System!$C8),E452&lt;&gt;0),L452 - $N$1*$E$1*ABS(D452)*E452,PlotData!$CB$4)</f>
        <v>0</v>
      </c>
      <c r="Q452" s="998">
        <f>IF(AND(ISNUMBER(System!$C8),E452&lt;&gt;0),M452 -$N$1*$E$1*ABS(D452)*E452,PlotData!$CB$4)</f>
        <v>0</v>
      </c>
    </row>
    <row r="453" spans="1:17" x14ac:dyDescent="0.25">
      <c r="A453" s="910">
        <v>6</v>
      </c>
      <c r="B453" s="994">
        <f t="shared" si="164"/>
        <v>0</v>
      </c>
      <c r="C453" s="999">
        <f t="shared" si="164"/>
        <v>0</v>
      </c>
      <c r="D453" s="994">
        <f t="shared" si="164"/>
        <v>0</v>
      </c>
      <c r="E453" s="995">
        <f>IF(AND(ISNUMBER(System!$C9),System!AN9&lt;&gt;0),SIGN(System!AN9),0)</f>
        <v>0</v>
      </c>
      <c r="F453" s="996">
        <f>IF(AND(ISNUMBER(System!$C9),E453&lt;&gt;0),System!BC127,PlotData!$CB$3)</f>
        <v>0</v>
      </c>
      <c r="G453" s="997">
        <f>IF(AND(ISNUMBER(System!$C9),E453&lt;&gt;0),System!BD127,PlotData!$CB$3)</f>
        <v>0</v>
      </c>
      <c r="H453" s="997">
        <f>IF(AND(ISNUMBER(System!$C9),E453&lt;&gt;0),G453,PlotData!$CB$3)</f>
        <v>0</v>
      </c>
      <c r="I453" s="997">
        <f>IF(AND(ISNUMBER(System!$C9),E453&lt;&gt;0),F453,PlotData!$CB$3)</f>
        <v>0</v>
      </c>
      <c r="J453" s="997">
        <f>IF(AND(ISNUMBER(System!$C9),E453&lt;&gt;0),F453,PlotData!$CB$3)</f>
        <v>0</v>
      </c>
      <c r="K453" s="998">
        <f>IF(AND(ISNUMBER(System!$C9),E453&lt;&gt;0),G453,PlotData!$CB$3)</f>
        <v>0</v>
      </c>
      <c r="L453" s="996">
        <f>IF(AND(ISNUMBER(System!$C9),E453&lt;&gt;0),IF(C453&lt;0,System!BE127,System!BF127)-IF(D365=0,0,1)*$J$1*MIN($E$1,B453)*ABS(C453)*E453-$H$1*$E$1*ABS(D453)*E453,PlotData!$CB$4)</f>
        <v>0</v>
      </c>
      <c r="M453" s="997">
        <f>IF(AND(ISNUMBER(System!$C9),E453&lt;&gt;0),IF(D453=0,IF(C453&gt;0,System!$BE127,System!$BF127),L453),PlotData!$CB$4)</f>
        <v>0</v>
      </c>
      <c r="N453" s="997">
        <f>IF(AND(ISNUMBER(System!$C9),E453&lt;&gt;0),M453 - $E$1*ABS(D453)*E453,PlotData!$CB$4)</f>
        <v>0</v>
      </c>
      <c r="O453" s="997">
        <f>IF(AND(ISNUMBER(System!$C9),E453&lt;&gt;0),N453,PlotData!$CB$4)</f>
        <v>0</v>
      </c>
      <c r="P453" s="997">
        <f>IF(AND(ISNUMBER(System!$C9),E453&lt;&gt;0),L453 - $N$1*$E$1*ABS(D453)*E453,PlotData!$CB$4)</f>
        <v>0</v>
      </c>
      <c r="Q453" s="998">
        <f>IF(AND(ISNUMBER(System!$C9),E453&lt;&gt;0),M453 -$N$1*$E$1*ABS(D453)*E453,PlotData!$CB$4)</f>
        <v>0</v>
      </c>
    </row>
    <row r="454" spans="1:17" x14ac:dyDescent="0.25">
      <c r="A454" s="910">
        <v>7</v>
      </c>
      <c r="B454" s="994">
        <f t="shared" si="164"/>
        <v>0</v>
      </c>
      <c r="C454" s="999">
        <f t="shared" si="164"/>
        <v>0</v>
      </c>
      <c r="D454" s="994">
        <f t="shared" si="164"/>
        <v>0</v>
      </c>
      <c r="E454" s="995">
        <f>IF(AND(ISNUMBER(System!$C10),System!AN10&lt;&gt;0),SIGN(System!AN10),0)</f>
        <v>0</v>
      </c>
      <c r="F454" s="996">
        <f>IF(AND(ISNUMBER(System!$C10),E454&lt;&gt;0),System!BC128,PlotData!$CB$3)</f>
        <v>0</v>
      </c>
      <c r="G454" s="997">
        <f>IF(AND(ISNUMBER(System!$C10),E454&lt;&gt;0),System!BD128,PlotData!$CB$3)</f>
        <v>0</v>
      </c>
      <c r="H454" s="997">
        <f>IF(AND(ISNUMBER(System!$C10),E454&lt;&gt;0),G454,PlotData!$CB$3)</f>
        <v>0</v>
      </c>
      <c r="I454" s="997">
        <f>IF(AND(ISNUMBER(System!$C10),E454&lt;&gt;0),F454,PlotData!$CB$3)</f>
        <v>0</v>
      </c>
      <c r="J454" s="997">
        <f>IF(AND(ISNUMBER(System!$C10),E454&lt;&gt;0),F454,PlotData!$CB$3)</f>
        <v>0</v>
      </c>
      <c r="K454" s="998">
        <f>IF(AND(ISNUMBER(System!$C10),E454&lt;&gt;0),G454,PlotData!$CB$3)</f>
        <v>0</v>
      </c>
      <c r="L454" s="996">
        <f>IF(AND(ISNUMBER(System!$C10),E454&lt;&gt;0),IF(C454&lt;0,System!BE128,System!BF128)-IF(D366=0,0,1)*$J$1*MIN($E$1,B454)*ABS(C454)*E454-$H$1*$E$1*ABS(D454)*E454,PlotData!$CB$4)</f>
        <v>0</v>
      </c>
      <c r="M454" s="997">
        <f>IF(AND(ISNUMBER(System!$C10),E454&lt;&gt;0),IF(D454=0,IF(C454&gt;0,System!$BE128,System!$BF128),L454),PlotData!$CB$4)</f>
        <v>0</v>
      </c>
      <c r="N454" s="997">
        <f>IF(AND(ISNUMBER(System!$C10),E454&lt;&gt;0),M454 - $E$1*ABS(D454)*E454,PlotData!$CB$4)</f>
        <v>0</v>
      </c>
      <c r="O454" s="997">
        <f>IF(AND(ISNUMBER(System!$C10),E454&lt;&gt;0),N454,PlotData!$CB$4)</f>
        <v>0</v>
      </c>
      <c r="P454" s="997">
        <f>IF(AND(ISNUMBER(System!$C10),E454&lt;&gt;0),L454 - $N$1*$E$1*ABS(D454)*E454,PlotData!$CB$4)</f>
        <v>0</v>
      </c>
      <c r="Q454" s="998">
        <f>IF(AND(ISNUMBER(System!$C10),E454&lt;&gt;0),M454 -$N$1*$E$1*ABS(D454)*E454,PlotData!$CB$4)</f>
        <v>0</v>
      </c>
    </row>
    <row r="455" spans="1:17" x14ac:dyDescent="0.25">
      <c r="A455" s="910">
        <v>8</v>
      </c>
      <c r="B455" s="994">
        <f t="shared" si="164"/>
        <v>0</v>
      </c>
      <c r="C455" s="999">
        <f t="shared" si="164"/>
        <v>0</v>
      </c>
      <c r="D455" s="994">
        <f t="shared" si="164"/>
        <v>0</v>
      </c>
      <c r="E455" s="995">
        <f>IF(AND(ISNUMBER(System!$C11),System!AN11&lt;&gt;0),SIGN(System!AN11),0)</f>
        <v>0</v>
      </c>
      <c r="F455" s="996">
        <f>IF(AND(ISNUMBER(System!$C11),E455&lt;&gt;0),System!BC129,PlotData!$CB$3)</f>
        <v>0</v>
      </c>
      <c r="G455" s="997">
        <f>IF(AND(ISNUMBER(System!$C11),E455&lt;&gt;0),System!BD129,PlotData!$CB$3)</f>
        <v>0</v>
      </c>
      <c r="H455" s="997">
        <f>IF(AND(ISNUMBER(System!$C11),E455&lt;&gt;0),G455,PlotData!$CB$3)</f>
        <v>0</v>
      </c>
      <c r="I455" s="997">
        <f>IF(AND(ISNUMBER(System!$C11),E455&lt;&gt;0),F455,PlotData!$CB$3)</f>
        <v>0</v>
      </c>
      <c r="J455" s="997">
        <f>IF(AND(ISNUMBER(System!$C11),E455&lt;&gt;0),F455,PlotData!$CB$3)</f>
        <v>0</v>
      </c>
      <c r="K455" s="998">
        <f>IF(AND(ISNUMBER(System!$C11),E455&lt;&gt;0),G455,PlotData!$CB$3)</f>
        <v>0</v>
      </c>
      <c r="L455" s="996">
        <f>IF(AND(ISNUMBER(System!$C11),E455&lt;&gt;0),IF(C455&lt;0,System!BE129,System!BF129)-IF(D367=0,0,1)*$J$1*MIN($E$1,B455)*ABS(C455)*E455-$H$1*$E$1*ABS(D455)*E455,PlotData!$CB$4)</f>
        <v>0</v>
      </c>
      <c r="M455" s="997">
        <f>IF(AND(ISNUMBER(System!$C11),E455&lt;&gt;0),IF(D455=0,IF(C455&gt;0,System!$BE129,System!$BF129),L455),PlotData!$CB$4)</f>
        <v>0</v>
      </c>
      <c r="N455" s="997">
        <f>IF(AND(ISNUMBER(System!$C11),E455&lt;&gt;0),M455 - $E$1*ABS(D455)*E455,PlotData!$CB$4)</f>
        <v>0</v>
      </c>
      <c r="O455" s="997">
        <f>IF(AND(ISNUMBER(System!$C11),E455&lt;&gt;0),N455,PlotData!$CB$4)</f>
        <v>0</v>
      </c>
      <c r="P455" s="997">
        <f>IF(AND(ISNUMBER(System!$C11),E455&lt;&gt;0),L455 - $N$1*$E$1*ABS(D455)*E455,PlotData!$CB$4)</f>
        <v>0</v>
      </c>
      <c r="Q455" s="998">
        <f>IF(AND(ISNUMBER(System!$C11),E455&lt;&gt;0),M455 -$N$1*$E$1*ABS(D455)*E455,PlotData!$CB$4)</f>
        <v>0</v>
      </c>
    </row>
    <row r="456" spans="1:17" x14ac:dyDescent="0.25">
      <c r="A456" s="910">
        <v>9</v>
      </c>
      <c r="B456" s="994">
        <f t="shared" si="164"/>
        <v>0</v>
      </c>
      <c r="C456" s="999">
        <f t="shared" si="164"/>
        <v>0</v>
      </c>
      <c r="D456" s="994">
        <f t="shared" si="164"/>
        <v>0</v>
      </c>
      <c r="E456" s="995">
        <f>IF(AND(ISNUMBER(System!$C12),System!AN12&lt;&gt;0),SIGN(System!AN12),0)</f>
        <v>0</v>
      </c>
      <c r="F456" s="996">
        <f>IF(AND(ISNUMBER(System!$C12),E456&lt;&gt;0),System!BC130,PlotData!$CB$3)</f>
        <v>0</v>
      </c>
      <c r="G456" s="997">
        <f>IF(AND(ISNUMBER(System!$C12),E456&lt;&gt;0),System!BD130,PlotData!$CB$3)</f>
        <v>0</v>
      </c>
      <c r="H456" s="997">
        <f>IF(AND(ISNUMBER(System!$C12),E456&lt;&gt;0),G456,PlotData!$CB$3)</f>
        <v>0</v>
      </c>
      <c r="I456" s="997">
        <f>IF(AND(ISNUMBER(System!$C12),E456&lt;&gt;0),F456,PlotData!$CB$3)</f>
        <v>0</v>
      </c>
      <c r="J456" s="997">
        <f>IF(AND(ISNUMBER(System!$C12),E456&lt;&gt;0),F456,PlotData!$CB$3)</f>
        <v>0</v>
      </c>
      <c r="K456" s="998">
        <f>IF(AND(ISNUMBER(System!$C12),E456&lt;&gt;0),G456,PlotData!$CB$3)</f>
        <v>0</v>
      </c>
      <c r="L456" s="996">
        <f>IF(AND(ISNUMBER(System!$C12),E456&lt;&gt;0),IF(C456&lt;0,System!BE130,System!BF130)-IF(D368=0,0,1)*$J$1*MIN($E$1,B456)*ABS(C456)*E456-$H$1*$E$1*ABS(D456)*E456,PlotData!$CB$4)</f>
        <v>0</v>
      </c>
      <c r="M456" s="997">
        <f>IF(AND(ISNUMBER(System!$C12),E456&lt;&gt;0),IF(D456=0,IF(C456&gt;0,System!$BE130,System!$BF130),L456),PlotData!$CB$4)</f>
        <v>0</v>
      </c>
      <c r="N456" s="997">
        <f>IF(AND(ISNUMBER(System!$C12),E456&lt;&gt;0),M456 - $E$1*ABS(D456)*E456,PlotData!$CB$4)</f>
        <v>0</v>
      </c>
      <c r="O456" s="997">
        <f>IF(AND(ISNUMBER(System!$C12),E456&lt;&gt;0),N456,PlotData!$CB$4)</f>
        <v>0</v>
      </c>
      <c r="P456" s="997">
        <f>IF(AND(ISNUMBER(System!$C12),E456&lt;&gt;0),L456 - $N$1*$E$1*ABS(D456)*E456,PlotData!$CB$4)</f>
        <v>0</v>
      </c>
      <c r="Q456" s="998">
        <f>IF(AND(ISNUMBER(System!$C12),E456&lt;&gt;0),M456 -$N$1*$E$1*ABS(D456)*E456,PlotData!$CB$4)</f>
        <v>0</v>
      </c>
    </row>
    <row r="457" spans="1:17" x14ac:dyDescent="0.25">
      <c r="A457" s="910">
        <v>10</v>
      </c>
      <c r="B457" s="994">
        <f t="shared" si="164"/>
        <v>0</v>
      </c>
      <c r="C457" s="999">
        <f t="shared" si="164"/>
        <v>0</v>
      </c>
      <c r="D457" s="994">
        <f t="shared" si="164"/>
        <v>0</v>
      </c>
      <c r="E457" s="995">
        <f>IF(AND(ISNUMBER(System!$C13),System!AN13&lt;&gt;0),SIGN(System!AN13),0)</f>
        <v>0</v>
      </c>
      <c r="F457" s="996">
        <f>IF(AND(ISNUMBER(System!$C13),E457&lt;&gt;0),System!BC131,PlotData!$CB$3)</f>
        <v>0</v>
      </c>
      <c r="G457" s="997">
        <f>IF(AND(ISNUMBER(System!$C13),E457&lt;&gt;0),System!BD131,PlotData!$CB$3)</f>
        <v>0</v>
      </c>
      <c r="H457" s="997">
        <f>IF(AND(ISNUMBER(System!$C13),E457&lt;&gt;0),G457,PlotData!$CB$3)</f>
        <v>0</v>
      </c>
      <c r="I457" s="997">
        <f>IF(AND(ISNUMBER(System!$C13),E457&lt;&gt;0),F457,PlotData!$CB$3)</f>
        <v>0</v>
      </c>
      <c r="J457" s="997">
        <f>IF(AND(ISNUMBER(System!$C13),E457&lt;&gt;0),F457,PlotData!$CB$3)</f>
        <v>0</v>
      </c>
      <c r="K457" s="998">
        <f>IF(AND(ISNUMBER(System!$C13),E457&lt;&gt;0),G457,PlotData!$CB$3)</f>
        <v>0</v>
      </c>
      <c r="L457" s="996">
        <f>IF(AND(ISNUMBER(System!$C13),E457&lt;&gt;0),IF(C457&lt;0,System!BE131,System!BF131)-IF(D369=0,0,1)*$J$1*MIN($E$1,B457)*ABS(C457)*E457-$H$1*$E$1*ABS(D457)*E457,PlotData!$CB$4)</f>
        <v>0</v>
      </c>
      <c r="M457" s="997">
        <f>IF(AND(ISNUMBER(System!$C13),E457&lt;&gt;0),IF(D457=0,IF(C457&gt;0,System!$BE131,System!$BF131),L457),PlotData!$CB$4)</f>
        <v>0</v>
      </c>
      <c r="N457" s="997">
        <f>IF(AND(ISNUMBER(System!$C13),E457&lt;&gt;0),M457 - $E$1*ABS(D457)*E457,PlotData!$CB$4)</f>
        <v>0</v>
      </c>
      <c r="O457" s="997">
        <f>IF(AND(ISNUMBER(System!$C13),E457&lt;&gt;0),N457,PlotData!$CB$4)</f>
        <v>0</v>
      </c>
      <c r="P457" s="997">
        <f>IF(AND(ISNUMBER(System!$C13),E457&lt;&gt;0),L457 - $N$1*$E$1*ABS(D457)*E457,PlotData!$CB$4)</f>
        <v>0</v>
      </c>
      <c r="Q457" s="998">
        <f>IF(AND(ISNUMBER(System!$C13),E457&lt;&gt;0),M457 -$N$1*$E$1*ABS(D457)*E457,PlotData!$CB$4)</f>
        <v>0</v>
      </c>
    </row>
    <row r="458" spans="1:17" x14ac:dyDescent="0.25">
      <c r="A458" s="910">
        <v>11</v>
      </c>
      <c r="B458" s="994">
        <f t="shared" si="164"/>
        <v>0</v>
      </c>
      <c r="C458" s="999">
        <f t="shared" si="164"/>
        <v>0</v>
      </c>
      <c r="D458" s="994">
        <f t="shared" si="164"/>
        <v>0</v>
      </c>
      <c r="E458" s="995">
        <f>IF(AND(ISNUMBER(System!$C14),System!AN14&lt;&gt;0),SIGN(System!AN14),0)</f>
        <v>0</v>
      </c>
      <c r="F458" s="996">
        <f>IF(AND(ISNUMBER(System!$C14),E458&lt;&gt;0),System!BC132,PlotData!$CB$3)</f>
        <v>0</v>
      </c>
      <c r="G458" s="997">
        <f>IF(AND(ISNUMBER(System!$C14),E458&lt;&gt;0),System!BD132,PlotData!$CB$3)</f>
        <v>0</v>
      </c>
      <c r="H458" s="997">
        <f>IF(AND(ISNUMBER(System!$C14),E458&lt;&gt;0),G458,PlotData!$CB$3)</f>
        <v>0</v>
      </c>
      <c r="I458" s="997">
        <f>IF(AND(ISNUMBER(System!$C14),E458&lt;&gt;0),F458,PlotData!$CB$3)</f>
        <v>0</v>
      </c>
      <c r="J458" s="997">
        <f>IF(AND(ISNUMBER(System!$C14),E458&lt;&gt;0),F458,PlotData!$CB$3)</f>
        <v>0</v>
      </c>
      <c r="K458" s="998">
        <f>IF(AND(ISNUMBER(System!$C14),E458&lt;&gt;0),G458,PlotData!$CB$3)</f>
        <v>0</v>
      </c>
      <c r="L458" s="996">
        <f>IF(AND(ISNUMBER(System!$C14),E458&lt;&gt;0),IF(C458&lt;0,System!BE132,System!BF132)-IF(D370=0,0,1)*$J$1*MIN($E$1,B458)*ABS(C458)*E458-$H$1*$E$1*ABS(D458)*E458,PlotData!$CB$4)</f>
        <v>0</v>
      </c>
      <c r="M458" s="997">
        <f>IF(AND(ISNUMBER(System!$C14),E458&lt;&gt;0),IF(D458=0,IF(C458&gt;0,System!$BE132,System!$BF132),L458),PlotData!$CB$4)</f>
        <v>0</v>
      </c>
      <c r="N458" s="997">
        <f>IF(AND(ISNUMBER(System!$C14),E458&lt;&gt;0),M458 - $E$1*ABS(D458)*E458,PlotData!$CB$4)</f>
        <v>0</v>
      </c>
      <c r="O458" s="997">
        <f>IF(AND(ISNUMBER(System!$C14),E458&lt;&gt;0),N458,PlotData!$CB$4)</f>
        <v>0</v>
      </c>
      <c r="P458" s="997">
        <f>IF(AND(ISNUMBER(System!$C14),E458&lt;&gt;0),L458 - $N$1*$E$1*ABS(D458)*E458,PlotData!$CB$4)</f>
        <v>0</v>
      </c>
      <c r="Q458" s="998">
        <f>IF(AND(ISNUMBER(System!$C14),E458&lt;&gt;0),M458 -$N$1*$E$1*ABS(D458)*E458,PlotData!$CB$4)</f>
        <v>0</v>
      </c>
    </row>
    <row r="459" spans="1:17" x14ac:dyDescent="0.25">
      <c r="A459" s="910">
        <v>12</v>
      </c>
      <c r="B459" s="994">
        <f t="shared" si="164"/>
        <v>0</v>
      </c>
      <c r="C459" s="999">
        <f t="shared" si="164"/>
        <v>0</v>
      </c>
      <c r="D459" s="994">
        <f t="shared" si="164"/>
        <v>0</v>
      </c>
      <c r="E459" s="995">
        <f>IF(AND(ISNUMBER(System!$C15),System!AN15&lt;&gt;0),SIGN(System!AN15),0)</f>
        <v>0</v>
      </c>
      <c r="F459" s="996">
        <f>IF(AND(ISNUMBER(System!$C15),E459&lt;&gt;0),System!BC133,PlotData!$CB$3)</f>
        <v>0</v>
      </c>
      <c r="G459" s="997">
        <f>IF(AND(ISNUMBER(System!$C15),E459&lt;&gt;0),System!BD133,PlotData!$CB$3)</f>
        <v>0</v>
      </c>
      <c r="H459" s="997">
        <f>IF(AND(ISNUMBER(System!$C15),E459&lt;&gt;0),G459,PlotData!$CB$3)</f>
        <v>0</v>
      </c>
      <c r="I459" s="997">
        <f>IF(AND(ISNUMBER(System!$C15),E459&lt;&gt;0),F459,PlotData!$CB$3)</f>
        <v>0</v>
      </c>
      <c r="J459" s="997">
        <f>IF(AND(ISNUMBER(System!$C15),E459&lt;&gt;0),F459,PlotData!$CB$3)</f>
        <v>0</v>
      </c>
      <c r="K459" s="998">
        <f>IF(AND(ISNUMBER(System!$C15),E459&lt;&gt;0),G459,PlotData!$CB$3)</f>
        <v>0</v>
      </c>
      <c r="L459" s="996">
        <f>IF(AND(ISNUMBER(System!$C15),E459&lt;&gt;0),IF(C459&lt;0,System!BE133,System!BF133)-IF(D371=0,0,1)*$J$1*MIN($E$1,B459)*ABS(C459)*E459-$H$1*$E$1*ABS(D459)*E459,PlotData!$CB$4)</f>
        <v>0</v>
      </c>
      <c r="M459" s="997">
        <f>IF(AND(ISNUMBER(System!$C15),E459&lt;&gt;0),IF(D459=0,IF(C459&gt;0,System!$BE133,System!$BF133),L459),PlotData!$CB$4)</f>
        <v>0</v>
      </c>
      <c r="N459" s="997">
        <f>IF(AND(ISNUMBER(System!$C15),E459&lt;&gt;0),M459 - $E$1*ABS(D459)*E459,PlotData!$CB$4)</f>
        <v>0</v>
      </c>
      <c r="O459" s="997">
        <f>IF(AND(ISNUMBER(System!$C15),E459&lt;&gt;0),N459,PlotData!$CB$4)</f>
        <v>0</v>
      </c>
      <c r="P459" s="997">
        <f>IF(AND(ISNUMBER(System!$C15),E459&lt;&gt;0),L459 - $N$1*$E$1*ABS(D459)*E459,PlotData!$CB$4)</f>
        <v>0</v>
      </c>
      <c r="Q459" s="998">
        <f>IF(AND(ISNUMBER(System!$C15),E459&lt;&gt;0),M459 -$N$1*$E$1*ABS(D459)*E459,PlotData!$CB$4)</f>
        <v>0</v>
      </c>
    </row>
    <row r="460" spans="1:17" x14ac:dyDescent="0.25">
      <c r="A460" s="910">
        <v>13</v>
      </c>
      <c r="B460" s="994">
        <f t="shared" si="164"/>
        <v>0</v>
      </c>
      <c r="C460" s="999">
        <f t="shared" si="164"/>
        <v>0</v>
      </c>
      <c r="D460" s="994">
        <f t="shared" si="164"/>
        <v>0</v>
      </c>
      <c r="E460" s="995">
        <f>IF(AND(ISNUMBER(System!$C16),System!AN16&lt;&gt;0),SIGN(System!AN16),0)</f>
        <v>0</v>
      </c>
      <c r="F460" s="996">
        <f>IF(AND(ISNUMBER(System!$C16),E460&lt;&gt;0),System!BC134,PlotData!$CB$3)</f>
        <v>0</v>
      </c>
      <c r="G460" s="997">
        <f>IF(AND(ISNUMBER(System!$C16),E460&lt;&gt;0),System!BD134,PlotData!$CB$3)</f>
        <v>0</v>
      </c>
      <c r="H460" s="997">
        <f>IF(AND(ISNUMBER(System!$C16),E460&lt;&gt;0),G460,PlotData!$CB$3)</f>
        <v>0</v>
      </c>
      <c r="I460" s="997">
        <f>IF(AND(ISNUMBER(System!$C16),E460&lt;&gt;0),F460,PlotData!$CB$3)</f>
        <v>0</v>
      </c>
      <c r="J460" s="997">
        <f>IF(AND(ISNUMBER(System!$C16),E460&lt;&gt;0),F460,PlotData!$CB$3)</f>
        <v>0</v>
      </c>
      <c r="K460" s="998">
        <f>IF(AND(ISNUMBER(System!$C16),E460&lt;&gt;0),G460,PlotData!$CB$3)</f>
        <v>0</v>
      </c>
      <c r="L460" s="996">
        <f>IF(AND(ISNUMBER(System!$C16),E460&lt;&gt;0),IF(C460&lt;0,System!BE134,System!BF134)-IF(D372=0,0,1)*$J$1*MIN($E$1,B460)*ABS(C460)*E460-$H$1*$E$1*ABS(D460)*E460,PlotData!$CB$4)</f>
        <v>0</v>
      </c>
      <c r="M460" s="997">
        <f>IF(AND(ISNUMBER(System!$C16),E460&lt;&gt;0),IF(D460=0,IF(C460&gt;0,System!$BE134,System!$BF134),L460),PlotData!$CB$4)</f>
        <v>0</v>
      </c>
      <c r="N460" s="997">
        <f>IF(AND(ISNUMBER(System!$C16),E460&lt;&gt;0),M460 - $E$1*ABS(D460)*E460,PlotData!$CB$4)</f>
        <v>0</v>
      </c>
      <c r="O460" s="997">
        <f>IF(AND(ISNUMBER(System!$C16),E460&lt;&gt;0),N460,PlotData!$CB$4)</f>
        <v>0</v>
      </c>
      <c r="P460" s="997">
        <f>IF(AND(ISNUMBER(System!$C16),E460&lt;&gt;0),L460 - $N$1*$E$1*ABS(D460)*E460,PlotData!$CB$4)</f>
        <v>0</v>
      </c>
      <c r="Q460" s="998">
        <f>IF(AND(ISNUMBER(System!$C16),E460&lt;&gt;0),M460 -$N$1*$E$1*ABS(D460)*E460,PlotData!$CB$4)</f>
        <v>0</v>
      </c>
    </row>
    <row r="461" spans="1:17" x14ac:dyDescent="0.25">
      <c r="A461" s="910">
        <v>14</v>
      </c>
      <c r="B461" s="994">
        <f t="shared" si="164"/>
        <v>0</v>
      </c>
      <c r="C461" s="999">
        <f t="shared" si="164"/>
        <v>0</v>
      </c>
      <c r="D461" s="994">
        <f t="shared" si="164"/>
        <v>0</v>
      </c>
      <c r="E461" s="995">
        <f>IF(AND(ISNUMBER(System!$C17),System!AN17&lt;&gt;0),SIGN(System!AN17),0)</f>
        <v>0</v>
      </c>
      <c r="F461" s="996">
        <f>IF(AND(ISNUMBER(System!$C17),E461&lt;&gt;0),System!BC135,PlotData!$CB$3)</f>
        <v>0</v>
      </c>
      <c r="G461" s="997">
        <f>IF(AND(ISNUMBER(System!$C17),E461&lt;&gt;0),System!BD135,PlotData!$CB$3)</f>
        <v>0</v>
      </c>
      <c r="H461" s="997">
        <f>IF(AND(ISNUMBER(System!$C17),E461&lt;&gt;0),G461,PlotData!$CB$3)</f>
        <v>0</v>
      </c>
      <c r="I461" s="997">
        <f>IF(AND(ISNUMBER(System!$C17),E461&lt;&gt;0),F461,PlotData!$CB$3)</f>
        <v>0</v>
      </c>
      <c r="J461" s="997">
        <f>IF(AND(ISNUMBER(System!$C17),E461&lt;&gt;0),F461,PlotData!$CB$3)</f>
        <v>0</v>
      </c>
      <c r="K461" s="998">
        <f>IF(AND(ISNUMBER(System!$C17),E461&lt;&gt;0),G461,PlotData!$CB$3)</f>
        <v>0</v>
      </c>
      <c r="L461" s="996">
        <f>IF(AND(ISNUMBER(System!$C17),E461&lt;&gt;0),IF(C461&lt;0,System!BE135,System!BF135)-IF(D373=0,0,1)*$J$1*MIN($E$1,B461)*ABS(C461)*E461-$H$1*$E$1*ABS(D461)*E461,PlotData!$CB$4)</f>
        <v>0</v>
      </c>
      <c r="M461" s="997">
        <f>IF(AND(ISNUMBER(System!$C17),E461&lt;&gt;0),IF(D461=0,IF(C461&gt;0,System!$BE135,System!$BF135),L461),PlotData!$CB$4)</f>
        <v>0</v>
      </c>
      <c r="N461" s="997">
        <f>IF(AND(ISNUMBER(System!$C17),E461&lt;&gt;0),M461 - $E$1*ABS(D461)*E461,PlotData!$CB$4)</f>
        <v>0</v>
      </c>
      <c r="O461" s="997">
        <f>IF(AND(ISNUMBER(System!$C17),E461&lt;&gt;0),N461,PlotData!$CB$4)</f>
        <v>0</v>
      </c>
      <c r="P461" s="997">
        <f>IF(AND(ISNUMBER(System!$C17),E461&lt;&gt;0),L461 - $N$1*$E$1*ABS(D461)*E461,PlotData!$CB$4)</f>
        <v>0</v>
      </c>
      <c r="Q461" s="998">
        <f>IF(AND(ISNUMBER(System!$C17),E461&lt;&gt;0),M461 -$N$1*$E$1*ABS(D461)*E461,PlotData!$CB$4)</f>
        <v>0</v>
      </c>
    </row>
    <row r="462" spans="1:17" x14ac:dyDescent="0.25">
      <c r="A462" s="910">
        <v>15</v>
      </c>
      <c r="B462" s="994">
        <f t="shared" si="164"/>
        <v>0</v>
      </c>
      <c r="C462" s="999">
        <f t="shared" si="164"/>
        <v>0</v>
      </c>
      <c r="D462" s="994">
        <f t="shared" si="164"/>
        <v>0</v>
      </c>
      <c r="E462" s="995">
        <f>IF(AND(ISNUMBER(System!$C18),System!AN18&lt;&gt;0),SIGN(System!AN18),0)</f>
        <v>0</v>
      </c>
      <c r="F462" s="996">
        <f>IF(AND(ISNUMBER(System!$C18),E462&lt;&gt;0),System!BC136,PlotData!$CB$3)</f>
        <v>0</v>
      </c>
      <c r="G462" s="997">
        <f>IF(AND(ISNUMBER(System!$C18),E462&lt;&gt;0),System!BD136,PlotData!$CB$3)</f>
        <v>0</v>
      </c>
      <c r="H462" s="997">
        <f>IF(AND(ISNUMBER(System!$C18),E462&lt;&gt;0),G462,PlotData!$CB$3)</f>
        <v>0</v>
      </c>
      <c r="I462" s="997">
        <f>IF(AND(ISNUMBER(System!$C18),E462&lt;&gt;0),F462,PlotData!$CB$3)</f>
        <v>0</v>
      </c>
      <c r="J462" s="997">
        <f>IF(AND(ISNUMBER(System!$C18),E462&lt;&gt;0),F462,PlotData!$CB$3)</f>
        <v>0</v>
      </c>
      <c r="K462" s="998">
        <f>IF(AND(ISNUMBER(System!$C18),E462&lt;&gt;0),G462,PlotData!$CB$3)</f>
        <v>0</v>
      </c>
      <c r="L462" s="996">
        <f>IF(AND(ISNUMBER(System!$C18),E462&lt;&gt;0),IF(C462&lt;0,System!BE136,System!BF136)-IF(D374=0,0,1)*$J$1*MIN($E$1,B462)*ABS(C462)*E462-$H$1*$E$1*ABS(D462)*E462,PlotData!$CB$4)</f>
        <v>0</v>
      </c>
      <c r="M462" s="997">
        <f>IF(AND(ISNUMBER(System!$C18),E462&lt;&gt;0),IF(D462=0,IF(C462&gt;0,System!$BE136,System!$BF136),L462),PlotData!$CB$4)</f>
        <v>0</v>
      </c>
      <c r="N462" s="997">
        <f>IF(AND(ISNUMBER(System!$C18),E462&lt;&gt;0),M462 - $E$1*ABS(D462)*E462,PlotData!$CB$4)</f>
        <v>0</v>
      </c>
      <c r="O462" s="997">
        <f>IF(AND(ISNUMBER(System!$C18),E462&lt;&gt;0),N462,PlotData!$CB$4)</f>
        <v>0</v>
      </c>
      <c r="P462" s="997">
        <f>IF(AND(ISNUMBER(System!$C18),E462&lt;&gt;0),L462 - $N$1*$E$1*ABS(D462)*E462,PlotData!$CB$4)</f>
        <v>0</v>
      </c>
      <c r="Q462" s="998">
        <f>IF(AND(ISNUMBER(System!$C18),E462&lt;&gt;0),M462 -$N$1*$E$1*ABS(D462)*E462,PlotData!$CB$4)</f>
        <v>0</v>
      </c>
    </row>
    <row r="463" spans="1:17" x14ac:dyDescent="0.25">
      <c r="A463" s="910">
        <v>16</v>
      </c>
      <c r="B463" s="994">
        <f t="shared" ref="B463:D487" si="165">D106</f>
        <v>0</v>
      </c>
      <c r="C463" s="999">
        <f t="shared" si="165"/>
        <v>0</v>
      </c>
      <c r="D463" s="994">
        <f t="shared" si="165"/>
        <v>0</v>
      </c>
      <c r="E463" s="995">
        <f>IF(AND(ISNUMBER(System!$C19),System!AN19&lt;&gt;0),SIGN(System!AN19),0)</f>
        <v>0</v>
      </c>
      <c r="F463" s="996">
        <f>IF(AND(ISNUMBER(System!$C19),E463&lt;&gt;0),System!BC137,PlotData!$CB$3)</f>
        <v>0</v>
      </c>
      <c r="G463" s="997">
        <f>IF(AND(ISNUMBER(System!$C19),E463&lt;&gt;0),System!BD137,PlotData!$CB$3)</f>
        <v>0</v>
      </c>
      <c r="H463" s="997">
        <f>IF(AND(ISNUMBER(System!$C19),E463&lt;&gt;0),G463,PlotData!$CB$3)</f>
        <v>0</v>
      </c>
      <c r="I463" s="997">
        <f>IF(AND(ISNUMBER(System!$C19),E463&lt;&gt;0),F463,PlotData!$CB$3)</f>
        <v>0</v>
      </c>
      <c r="J463" s="997">
        <f>IF(AND(ISNUMBER(System!$C19),E463&lt;&gt;0),F463,PlotData!$CB$3)</f>
        <v>0</v>
      </c>
      <c r="K463" s="998">
        <f>IF(AND(ISNUMBER(System!$C19),E463&lt;&gt;0),G463,PlotData!$CB$3)</f>
        <v>0</v>
      </c>
      <c r="L463" s="996">
        <f>IF(AND(ISNUMBER(System!$C19),E463&lt;&gt;0),IF(C463&lt;0,System!BE137,System!BF137)-IF(D375=0,0,1)*$J$1*MIN($E$1,B463)*ABS(C463)*E463-$H$1*$E$1*ABS(D463)*E463,PlotData!$CB$4)</f>
        <v>0</v>
      </c>
      <c r="M463" s="997">
        <f>IF(AND(ISNUMBER(System!$C19),E463&lt;&gt;0),IF(D463=0,IF(C463&gt;0,System!$BE137,System!$BF137),L463),PlotData!$CB$4)</f>
        <v>0</v>
      </c>
      <c r="N463" s="997">
        <f>IF(AND(ISNUMBER(System!$C19),E463&lt;&gt;0),M463 - $E$1*ABS(D463)*E463,PlotData!$CB$4)</f>
        <v>0</v>
      </c>
      <c r="O463" s="997">
        <f>IF(AND(ISNUMBER(System!$C19),E463&lt;&gt;0),N463,PlotData!$CB$4)</f>
        <v>0</v>
      </c>
      <c r="P463" s="997">
        <f>IF(AND(ISNUMBER(System!$C19),E463&lt;&gt;0),L463 - $N$1*$E$1*ABS(D463)*E463,PlotData!$CB$4)</f>
        <v>0</v>
      </c>
      <c r="Q463" s="998">
        <f>IF(AND(ISNUMBER(System!$C19),E463&lt;&gt;0),M463 -$N$1*$E$1*ABS(D463)*E463,PlotData!$CB$4)</f>
        <v>0</v>
      </c>
    </row>
    <row r="464" spans="1:17" x14ac:dyDescent="0.25">
      <c r="A464" s="910">
        <v>17</v>
      </c>
      <c r="B464" s="994">
        <f t="shared" si="165"/>
        <v>0</v>
      </c>
      <c r="C464" s="999">
        <f t="shared" si="165"/>
        <v>0</v>
      </c>
      <c r="D464" s="994">
        <f t="shared" si="165"/>
        <v>0</v>
      </c>
      <c r="E464" s="995">
        <f>IF(AND(ISNUMBER(System!$C20),System!AN20&lt;&gt;0),SIGN(System!AN20),0)</f>
        <v>0</v>
      </c>
      <c r="F464" s="996">
        <f>IF(AND(ISNUMBER(System!$C20),E464&lt;&gt;0),System!BC138,PlotData!$CB$3)</f>
        <v>0</v>
      </c>
      <c r="G464" s="997">
        <f>IF(AND(ISNUMBER(System!$C20),E464&lt;&gt;0),System!BD138,PlotData!$CB$3)</f>
        <v>0</v>
      </c>
      <c r="H464" s="997">
        <f>IF(AND(ISNUMBER(System!$C20),E464&lt;&gt;0),G464,PlotData!$CB$3)</f>
        <v>0</v>
      </c>
      <c r="I464" s="997">
        <f>IF(AND(ISNUMBER(System!$C20),E464&lt;&gt;0),F464,PlotData!$CB$3)</f>
        <v>0</v>
      </c>
      <c r="J464" s="997">
        <f>IF(AND(ISNUMBER(System!$C20),E464&lt;&gt;0),F464,PlotData!$CB$3)</f>
        <v>0</v>
      </c>
      <c r="K464" s="998">
        <f>IF(AND(ISNUMBER(System!$C20),E464&lt;&gt;0),G464,PlotData!$CB$3)</f>
        <v>0</v>
      </c>
      <c r="L464" s="996">
        <f>IF(AND(ISNUMBER(System!$C20),E464&lt;&gt;0),IF(C464&lt;0,System!BE138,System!BF138)-IF(D376=0,0,1)*$J$1*MIN($E$1,B464)*ABS(C464)*E464-$H$1*$E$1*ABS(D464)*E464,PlotData!$CB$4)</f>
        <v>0</v>
      </c>
      <c r="M464" s="997">
        <f>IF(AND(ISNUMBER(System!$C20),E464&lt;&gt;0),IF(D464=0,IF(C464&gt;0,System!$BE138,System!$BF138),L464),PlotData!$CB$4)</f>
        <v>0</v>
      </c>
      <c r="N464" s="997">
        <f>IF(AND(ISNUMBER(System!$C20),E464&lt;&gt;0),M464 - $E$1*ABS(D464)*E464,PlotData!$CB$4)</f>
        <v>0</v>
      </c>
      <c r="O464" s="997">
        <f>IF(AND(ISNUMBER(System!$C20),E464&lt;&gt;0),N464,PlotData!$CB$4)</f>
        <v>0</v>
      </c>
      <c r="P464" s="997">
        <f>IF(AND(ISNUMBER(System!$C20),E464&lt;&gt;0),L464 - $N$1*$E$1*ABS(D464)*E464,PlotData!$CB$4)</f>
        <v>0</v>
      </c>
      <c r="Q464" s="998">
        <f>IF(AND(ISNUMBER(System!$C20),E464&lt;&gt;0),M464 -$N$1*$E$1*ABS(D464)*E464,PlotData!$CB$4)</f>
        <v>0</v>
      </c>
    </row>
    <row r="465" spans="1:17" x14ac:dyDescent="0.25">
      <c r="A465" s="910">
        <v>18</v>
      </c>
      <c r="B465" s="994">
        <f t="shared" si="165"/>
        <v>0</v>
      </c>
      <c r="C465" s="999">
        <f t="shared" si="165"/>
        <v>0</v>
      </c>
      <c r="D465" s="994">
        <f t="shared" si="165"/>
        <v>0</v>
      </c>
      <c r="E465" s="995">
        <f>IF(AND(ISNUMBER(System!$C21),System!AN21&lt;&gt;0),SIGN(System!AN21),0)</f>
        <v>0</v>
      </c>
      <c r="F465" s="996">
        <f>IF(AND(ISNUMBER(System!$C21),E465&lt;&gt;0),System!BC139,PlotData!$CB$3)</f>
        <v>0</v>
      </c>
      <c r="G465" s="997">
        <f>IF(AND(ISNUMBER(System!$C21),E465&lt;&gt;0),System!BD139,PlotData!$CB$3)</f>
        <v>0</v>
      </c>
      <c r="H465" s="997">
        <f>IF(AND(ISNUMBER(System!$C21),E465&lt;&gt;0),G465,PlotData!$CB$3)</f>
        <v>0</v>
      </c>
      <c r="I465" s="997">
        <f>IF(AND(ISNUMBER(System!$C21),E465&lt;&gt;0),F465,PlotData!$CB$3)</f>
        <v>0</v>
      </c>
      <c r="J465" s="997">
        <f>IF(AND(ISNUMBER(System!$C21),E465&lt;&gt;0),F465,PlotData!$CB$3)</f>
        <v>0</v>
      </c>
      <c r="K465" s="998">
        <f>IF(AND(ISNUMBER(System!$C21),E465&lt;&gt;0),G465,PlotData!$CB$3)</f>
        <v>0</v>
      </c>
      <c r="L465" s="996">
        <f>IF(AND(ISNUMBER(System!$C21),E465&lt;&gt;0),IF(C465&lt;0,System!BE139,System!BF139)-IF(D377=0,0,1)*$J$1*MIN($E$1,B465)*ABS(C465)*E465-$H$1*$E$1*ABS(D465)*E465,PlotData!$CB$4)</f>
        <v>0</v>
      </c>
      <c r="M465" s="997">
        <f>IF(AND(ISNUMBER(System!$C21),E465&lt;&gt;0),IF(D465=0,IF(C465&gt;0,System!$BE139,System!$BF139),L465),PlotData!$CB$4)</f>
        <v>0</v>
      </c>
      <c r="N465" s="997">
        <f>IF(AND(ISNUMBER(System!$C21),E465&lt;&gt;0),M465 - $E$1*ABS(D465)*E465,PlotData!$CB$4)</f>
        <v>0</v>
      </c>
      <c r="O465" s="997">
        <f>IF(AND(ISNUMBER(System!$C21),E465&lt;&gt;0),N465,PlotData!$CB$4)</f>
        <v>0</v>
      </c>
      <c r="P465" s="997">
        <f>IF(AND(ISNUMBER(System!$C21),E465&lt;&gt;0),L465 - $N$1*$E$1*ABS(D465)*E465,PlotData!$CB$4)</f>
        <v>0</v>
      </c>
      <c r="Q465" s="998">
        <f>IF(AND(ISNUMBER(System!$C21),E465&lt;&gt;0),M465 -$N$1*$E$1*ABS(D465)*E465,PlotData!$CB$4)</f>
        <v>0</v>
      </c>
    </row>
    <row r="466" spans="1:17" x14ac:dyDescent="0.25">
      <c r="A466" s="910">
        <v>19</v>
      </c>
      <c r="B466" s="994">
        <f t="shared" si="165"/>
        <v>0</v>
      </c>
      <c r="C466" s="999">
        <f t="shared" si="165"/>
        <v>0</v>
      </c>
      <c r="D466" s="994">
        <f t="shared" si="165"/>
        <v>0</v>
      </c>
      <c r="E466" s="995">
        <f>IF(AND(ISNUMBER(System!$C22),System!AN22&lt;&gt;0),SIGN(System!AN22),0)</f>
        <v>0</v>
      </c>
      <c r="F466" s="996">
        <f>IF(AND(ISNUMBER(System!$C22),E466&lt;&gt;0),System!BC140,PlotData!$CB$3)</f>
        <v>0</v>
      </c>
      <c r="G466" s="997">
        <f>IF(AND(ISNUMBER(System!$C22),E466&lt;&gt;0),System!BD140,PlotData!$CB$3)</f>
        <v>0</v>
      </c>
      <c r="H466" s="997">
        <f>IF(AND(ISNUMBER(System!$C22),E466&lt;&gt;0),G466,PlotData!$CB$3)</f>
        <v>0</v>
      </c>
      <c r="I466" s="997">
        <f>IF(AND(ISNUMBER(System!$C22),E466&lt;&gt;0),F466,PlotData!$CB$3)</f>
        <v>0</v>
      </c>
      <c r="J466" s="997">
        <f>IF(AND(ISNUMBER(System!$C22),E466&lt;&gt;0),F466,PlotData!$CB$3)</f>
        <v>0</v>
      </c>
      <c r="K466" s="998">
        <f>IF(AND(ISNUMBER(System!$C22),E466&lt;&gt;0),G466,PlotData!$CB$3)</f>
        <v>0</v>
      </c>
      <c r="L466" s="996">
        <f>IF(AND(ISNUMBER(System!$C22),E466&lt;&gt;0),IF(C466&lt;0,System!BE140,System!BF140)-IF(D378=0,0,1)*$J$1*MIN($E$1,B466)*ABS(C466)*E466-$H$1*$E$1*ABS(D466)*E466,PlotData!$CB$4)</f>
        <v>0</v>
      </c>
      <c r="M466" s="997">
        <f>IF(AND(ISNUMBER(System!$C22),E466&lt;&gt;0),IF(D466=0,IF(C466&gt;0,System!$BE140,System!$BF140),L466),PlotData!$CB$4)</f>
        <v>0</v>
      </c>
      <c r="N466" s="997">
        <f>IF(AND(ISNUMBER(System!$C22),E466&lt;&gt;0),M466 - $E$1*ABS(D466)*E466,PlotData!$CB$4)</f>
        <v>0</v>
      </c>
      <c r="O466" s="997">
        <f>IF(AND(ISNUMBER(System!$C22),E466&lt;&gt;0),N466,PlotData!$CB$4)</f>
        <v>0</v>
      </c>
      <c r="P466" s="997">
        <f>IF(AND(ISNUMBER(System!$C22),E466&lt;&gt;0),L466 - $N$1*$E$1*ABS(D466)*E466,PlotData!$CB$4)</f>
        <v>0</v>
      </c>
      <c r="Q466" s="998">
        <f>IF(AND(ISNUMBER(System!$C22),E466&lt;&gt;0),M466 -$N$1*$E$1*ABS(D466)*E466,PlotData!$CB$4)</f>
        <v>0</v>
      </c>
    </row>
    <row r="467" spans="1:17" x14ac:dyDescent="0.25">
      <c r="A467" s="910">
        <v>20</v>
      </c>
      <c r="B467" s="994">
        <f t="shared" si="165"/>
        <v>0</v>
      </c>
      <c r="C467" s="999">
        <f t="shared" si="165"/>
        <v>0</v>
      </c>
      <c r="D467" s="994">
        <f t="shared" si="165"/>
        <v>0</v>
      </c>
      <c r="E467" s="995">
        <f>IF(AND(ISNUMBER(System!$C23),System!AN23&lt;&gt;0),SIGN(System!AN23),0)</f>
        <v>0</v>
      </c>
      <c r="F467" s="996">
        <f>IF(AND(ISNUMBER(System!$C23),E467&lt;&gt;0),System!BC141,PlotData!$CB$3)</f>
        <v>0</v>
      </c>
      <c r="G467" s="997">
        <f>IF(AND(ISNUMBER(System!$C23),E467&lt;&gt;0),System!BD141,PlotData!$CB$3)</f>
        <v>0</v>
      </c>
      <c r="H467" s="997">
        <f>IF(AND(ISNUMBER(System!$C23),E467&lt;&gt;0),G467,PlotData!$CB$3)</f>
        <v>0</v>
      </c>
      <c r="I467" s="997">
        <f>IF(AND(ISNUMBER(System!$C23),E467&lt;&gt;0),F467,PlotData!$CB$3)</f>
        <v>0</v>
      </c>
      <c r="J467" s="997">
        <f>IF(AND(ISNUMBER(System!$C23),E467&lt;&gt;0),F467,PlotData!$CB$3)</f>
        <v>0</v>
      </c>
      <c r="K467" s="998">
        <f>IF(AND(ISNUMBER(System!$C23),E467&lt;&gt;0),G467,PlotData!$CB$3)</f>
        <v>0</v>
      </c>
      <c r="L467" s="996">
        <f>IF(AND(ISNUMBER(System!$C23),E467&lt;&gt;0),IF(C467&lt;0,System!BE141,System!BF141)-IF(D379=0,0,1)*$J$1*MIN($E$1,B467)*ABS(C467)*E467-$H$1*$E$1*ABS(D467)*E467,PlotData!$CB$4)</f>
        <v>0</v>
      </c>
      <c r="M467" s="997">
        <f>IF(AND(ISNUMBER(System!$C23),E467&lt;&gt;0),IF(D467=0,IF(C467&gt;0,System!$BE141,System!$BF141),L467),PlotData!$CB$4)</f>
        <v>0</v>
      </c>
      <c r="N467" s="997">
        <f>IF(AND(ISNUMBER(System!$C23),E467&lt;&gt;0),M467 - $E$1*ABS(D467)*E467,PlotData!$CB$4)</f>
        <v>0</v>
      </c>
      <c r="O467" s="997">
        <f>IF(AND(ISNUMBER(System!$C23),E467&lt;&gt;0),N467,PlotData!$CB$4)</f>
        <v>0</v>
      </c>
      <c r="P467" s="997">
        <f>IF(AND(ISNUMBER(System!$C23),E467&lt;&gt;0),L467 - $N$1*$E$1*ABS(D467)*E467,PlotData!$CB$4)</f>
        <v>0</v>
      </c>
      <c r="Q467" s="998">
        <f>IF(AND(ISNUMBER(System!$C23),E467&lt;&gt;0),M467 -$N$1*$E$1*ABS(D467)*E467,PlotData!$CB$4)</f>
        <v>0</v>
      </c>
    </row>
    <row r="468" spans="1:17" x14ac:dyDescent="0.25">
      <c r="A468" s="910">
        <v>21</v>
      </c>
      <c r="B468" s="994">
        <f t="shared" si="165"/>
        <v>0</v>
      </c>
      <c r="C468" s="999">
        <f t="shared" si="165"/>
        <v>0</v>
      </c>
      <c r="D468" s="994">
        <f t="shared" si="165"/>
        <v>0</v>
      </c>
      <c r="E468" s="995">
        <f>IF(AND(ISNUMBER(System!$C24),System!AN24&lt;&gt;0),SIGN(System!AN24),0)</f>
        <v>0</v>
      </c>
      <c r="F468" s="996">
        <f>IF(AND(ISNUMBER(System!$C24),E468&lt;&gt;0),System!BC142,PlotData!$CB$3)</f>
        <v>0</v>
      </c>
      <c r="G468" s="997">
        <f>IF(AND(ISNUMBER(System!$C24),E468&lt;&gt;0),System!BD142,PlotData!$CB$3)</f>
        <v>0</v>
      </c>
      <c r="H468" s="997">
        <f>IF(AND(ISNUMBER(System!$C24),E468&lt;&gt;0),G468,PlotData!$CB$3)</f>
        <v>0</v>
      </c>
      <c r="I468" s="997">
        <f>IF(AND(ISNUMBER(System!$C24),E468&lt;&gt;0),F468,PlotData!$CB$3)</f>
        <v>0</v>
      </c>
      <c r="J468" s="997">
        <f>IF(AND(ISNUMBER(System!$C24),E468&lt;&gt;0),F468,PlotData!$CB$3)</f>
        <v>0</v>
      </c>
      <c r="K468" s="998">
        <f>IF(AND(ISNUMBER(System!$C24),E468&lt;&gt;0),G468,PlotData!$CB$3)</f>
        <v>0</v>
      </c>
      <c r="L468" s="996">
        <f>IF(AND(ISNUMBER(System!$C24),E468&lt;&gt;0),IF(C468&lt;0,System!BE142,System!BF142)-IF(D380=0,0,1)*$J$1*MIN($E$1,B468)*ABS(C468)*E468-$H$1*$E$1*ABS(D468)*E468,PlotData!$CB$4)</f>
        <v>0</v>
      </c>
      <c r="M468" s="997">
        <f>IF(AND(ISNUMBER(System!$C24),E468&lt;&gt;0),IF(D468=0,IF(C468&gt;0,System!$BE142,System!$BF142),L468),PlotData!$CB$4)</f>
        <v>0</v>
      </c>
      <c r="N468" s="997">
        <f>IF(AND(ISNUMBER(System!$C24),E468&lt;&gt;0),M468 - $E$1*ABS(D468)*E468,PlotData!$CB$4)</f>
        <v>0</v>
      </c>
      <c r="O468" s="997">
        <f>IF(AND(ISNUMBER(System!$C24),E468&lt;&gt;0),N468,PlotData!$CB$4)</f>
        <v>0</v>
      </c>
      <c r="P468" s="997">
        <f>IF(AND(ISNUMBER(System!$C24),E468&lt;&gt;0),L468 - $N$1*$E$1*ABS(D468)*E468,PlotData!$CB$4)</f>
        <v>0</v>
      </c>
      <c r="Q468" s="998">
        <f>IF(AND(ISNUMBER(System!$C24),E468&lt;&gt;0),M468 -$N$1*$E$1*ABS(D468)*E468,PlotData!$CB$4)</f>
        <v>0</v>
      </c>
    </row>
    <row r="469" spans="1:17" x14ac:dyDescent="0.25">
      <c r="A469" s="910">
        <v>22</v>
      </c>
      <c r="B469" s="994">
        <f t="shared" si="165"/>
        <v>0</v>
      </c>
      <c r="C469" s="999">
        <f t="shared" si="165"/>
        <v>0</v>
      </c>
      <c r="D469" s="994">
        <f t="shared" si="165"/>
        <v>0</v>
      </c>
      <c r="E469" s="995">
        <f>IF(AND(ISNUMBER(System!$C25),System!AN25&lt;&gt;0),SIGN(System!AN25),0)</f>
        <v>0</v>
      </c>
      <c r="F469" s="996">
        <f>IF(AND(ISNUMBER(System!$C25),E469&lt;&gt;0),System!BC143,PlotData!$CB$3)</f>
        <v>0</v>
      </c>
      <c r="G469" s="997">
        <f>IF(AND(ISNUMBER(System!$C25),E469&lt;&gt;0),System!BD143,PlotData!$CB$3)</f>
        <v>0</v>
      </c>
      <c r="H469" s="997">
        <f>IF(AND(ISNUMBER(System!$C25),E469&lt;&gt;0),G469,PlotData!$CB$3)</f>
        <v>0</v>
      </c>
      <c r="I469" s="997">
        <f>IF(AND(ISNUMBER(System!$C25),E469&lt;&gt;0),F469,PlotData!$CB$3)</f>
        <v>0</v>
      </c>
      <c r="J469" s="997">
        <f>IF(AND(ISNUMBER(System!$C25),E469&lt;&gt;0),F469,PlotData!$CB$3)</f>
        <v>0</v>
      </c>
      <c r="K469" s="998">
        <f>IF(AND(ISNUMBER(System!$C25),E469&lt;&gt;0),G469,PlotData!$CB$3)</f>
        <v>0</v>
      </c>
      <c r="L469" s="996">
        <f>IF(AND(ISNUMBER(System!$C25),E469&lt;&gt;0),IF(C469&lt;0,System!BE143,System!BF143)-IF(D381=0,0,1)*$J$1*MIN($E$1,B469)*ABS(C469)*E469-$H$1*$E$1*ABS(D469)*E469,PlotData!$CB$4)</f>
        <v>0</v>
      </c>
      <c r="M469" s="997">
        <f>IF(AND(ISNUMBER(System!$C25),E469&lt;&gt;0),IF(D469=0,IF(C469&gt;0,System!$BE143,System!$BF143),L469),PlotData!$CB$4)</f>
        <v>0</v>
      </c>
      <c r="N469" s="997">
        <f>IF(AND(ISNUMBER(System!$C25),E469&lt;&gt;0),M469 - $E$1*ABS(D469)*E469,PlotData!$CB$4)</f>
        <v>0</v>
      </c>
      <c r="O469" s="997">
        <f>IF(AND(ISNUMBER(System!$C25),E469&lt;&gt;0),N469,PlotData!$CB$4)</f>
        <v>0</v>
      </c>
      <c r="P469" s="997">
        <f>IF(AND(ISNUMBER(System!$C25),E469&lt;&gt;0),L469 - $N$1*$E$1*ABS(D469)*E469,PlotData!$CB$4)</f>
        <v>0</v>
      </c>
      <c r="Q469" s="998">
        <f>IF(AND(ISNUMBER(System!$C25),E469&lt;&gt;0),M469 -$N$1*$E$1*ABS(D469)*E469,PlotData!$CB$4)</f>
        <v>0</v>
      </c>
    </row>
    <row r="470" spans="1:17" x14ac:dyDescent="0.25">
      <c r="A470" s="910">
        <v>23</v>
      </c>
      <c r="B470" s="994">
        <f t="shared" si="165"/>
        <v>0</v>
      </c>
      <c r="C470" s="999">
        <f t="shared" si="165"/>
        <v>0</v>
      </c>
      <c r="D470" s="994">
        <f t="shared" si="165"/>
        <v>0</v>
      </c>
      <c r="E470" s="995">
        <f>IF(AND(ISNUMBER(System!$C26),System!AN26&lt;&gt;0),SIGN(System!AN26),0)</f>
        <v>0</v>
      </c>
      <c r="F470" s="996">
        <f>IF(AND(ISNUMBER(System!$C26),E470&lt;&gt;0),System!BC144,PlotData!$CB$3)</f>
        <v>0</v>
      </c>
      <c r="G470" s="997">
        <f>IF(AND(ISNUMBER(System!$C26),E470&lt;&gt;0),System!BD144,PlotData!$CB$3)</f>
        <v>0</v>
      </c>
      <c r="H470" s="997">
        <f>IF(AND(ISNUMBER(System!$C26),E470&lt;&gt;0),G470,PlotData!$CB$3)</f>
        <v>0</v>
      </c>
      <c r="I470" s="997">
        <f>IF(AND(ISNUMBER(System!$C26),E470&lt;&gt;0),F470,PlotData!$CB$3)</f>
        <v>0</v>
      </c>
      <c r="J470" s="997">
        <f>IF(AND(ISNUMBER(System!$C26),E470&lt;&gt;0),F470,PlotData!$CB$3)</f>
        <v>0</v>
      </c>
      <c r="K470" s="998">
        <f>IF(AND(ISNUMBER(System!$C26),E470&lt;&gt;0),G470,PlotData!$CB$3)</f>
        <v>0</v>
      </c>
      <c r="L470" s="996">
        <f>IF(AND(ISNUMBER(System!$C26),E470&lt;&gt;0),IF(C470&lt;0,System!BE144,System!BF144)-IF(D382=0,0,1)*$J$1*MIN($E$1,B470)*ABS(C470)*E470-$H$1*$E$1*ABS(D470)*E470,PlotData!$CB$4)</f>
        <v>0</v>
      </c>
      <c r="M470" s="997">
        <f>IF(AND(ISNUMBER(System!$C26),E470&lt;&gt;0),IF(D470=0,IF(C470&gt;0,System!$BE144,System!$BF144),L470),PlotData!$CB$4)</f>
        <v>0</v>
      </c>
      <c r="N470" s="997">
        <f>IF(AND(ISNUMBER(System!$C26),E470&lt;&gt;0),M470 - $E$1*ABS(D470)*E470,PlotData!$CB$4)</f>
        <v>0</v>
      </c>
      <c r="O470" s="997">
        <f>IF(AND(ISNUMBER(System!$C26),E470&lt;&gt;0),N470,PlotData!$CB$4)</f>
        <v>0</v>
      </c>
      <c r="P470" s="997">
        <f>IF(AND(ISNUMBER(System!$C26),E470&lt;&gt;0),L470 - $N$1*$E$1*ABS(D470)*E470,PlotData!$CB$4)</f>
        <v>0</v>
      </c>
      <c r="Q470" s="998">
        <f>IF(AND(ISNUMBER(System!$C26),E470&lt;&gt;0),M470 -$N$1*$E$1*ABS(D470)*E470,PlotData!$CB$4)</f>
        <v>0</v>
      </c>
    </row>
    <row r="471" spans="1:17" x14ac:dyDescent="0.25">
      <c r="A471" s="910">
        <v>24</v>
      </c>
      <c r="B471" s="994">
        <f t="shared" si="165"/>
        <v>0</v>
      </c>
      <c r="C471" s="999">
        <f t="shared" si="165"/>
        <v>0</v>
      </c>
      <c r="D471" s="994">
        <f t="shared" si="165"/>
        <v>0</v>
      </c>
      <c r="E471" s="995">
        <f>IF(AND(ISNUMBER(System!$C27),System!AN27&lt;&gt;0),SIGN(System!AN27),0)</f>
        <v>0</v>
      </c>
      <c r="F471" s="996">
        <f>IF(AND(ISNUMBER(System!$C27),E471&lt;&gt;0),System!BC145,PlotData!$CB$3)</f>
        <v>0</v>
      </c>
      <c r="G471" s="997">
        <f>IF(AND(ISNUMBER(System!$C27),E471&lt;&gt;0),System!BD145,PlotData!$CB$3)</f>
        <v>0</v>
      </c>
      <c r="H471" s="997">
        <f>IF(AND(ISNUMBER(System!$C27),E471&lt;&gt;0),G471,PlotData!$CB$3)</f>
        <v>0</v>
      </c>
      <c r="I471" s="997">
        <f>IF(AND(ISNUMBER(System!$C27),E471&lt;&gt;0),F471,PlotData!$CB$3)</f>
        <v>0</v>
      </c>
      <c r="J471" s="997">
        <f>IF(AND(ISNUMBER(System!$C27),E471&lt;&gt;0),F471,PlotData!$CB$3)</f>
        <v>0</v>
      </c>
      <c r="K471" s="998">
        <f>IF(AND(ISNUMBER(System!$C27),E471&lt;&gt;0),G471,PlotData!$CB$3)</f>
        <v>0</v>
      </c>
      <c r="L471" s="996">
        <f>IF(AND(ISNUMBER(System!$C27),E471&lt;&gt;0),IF(C471&lt;0,System!BE145,System!BF145)-IF(D383=0,0,1)*$J$1*MIN($E$1,B471)*ABS(C471)*E471-$H$1*$E$1*ABS(D471)*E471,PlotData!$CB$4)</f>
        <v>0</v>
      </c>
      <c r="M471" s="997">
        <f>IF(AND(ISNUMBER(System!$C27),E471&lt;&gt;0),IF(D471=0,IF(C471&gt;0,System!$BE145,System!$BF145),L471),PlotData!$CB$4)</f>
        <v>0</v>
      </c>
      <c r="N471" s="997">
        <f>IF(AND(ISNUMBER(System!$C27),E471&lt;&gt;0),M471 - $E$1*ABS(D471)*E471,PlotData!$CB$4)</f>
        <v>0</v>
      </c>
      <c r="O471" s="997">
        <f>IF(AND(ISNUMBER(System!$C27),E471&lt;&gt;0),N471,PlotData!$CB$4)</f>
        <v>0</v>
      </c>
      <c r="P471" s="997">
        <f>IF(AND(ISNUMBER(System!$C27),E471&lt;&gt;0),L471 - $N$1*$E$1*ABS(D471)*E471,PlotData!$CB$4)</f>
        <v>0</v>
      </c>
      <c r="Q471" s="998">
        <f>IF(AND(ISNUMBER(System!$C27),E471&lt;&gt;0),M471 -$N$1*$E$1*ABS(D471)*E471,PlotData!$CB$4)</f>
        <v>0</v>
      </c>
    </row>
    <row r="472" spans="1:17" x14ac:dyDescent="0.25">
      <c r="A472" s="910">
        <v>25</v>
      </c>
      <c r="B472" s="994">
        <f t="shared" si="165"/>
        <v>0</v>
      </c>
      <c r="C472" s="999">
        <f t="shared" si="165"/>
        <v>0</v>
      </c>
      <c r="D472" s="994">
        <f t="shared" si="165"/>
        <v>0</v>
      </c>
      <c r="E472" s="995">
        <f>IF(AND(ISNUMBER(System!$C28),System!AN28&lt;&gt;0),SIGN(System!AN28),0)</f>
        <v>0</v>
      </c>
      <c r="F472" s="996">
        <f>IF(AND(ISNUMBER(System!$C28),E472&lt;&gt;0),System!BC146,PlotData!$CB$3)</f>
        <v>0</v>
      </c>
      <c r="G472" s="997">
        <f>IF(AND(ISNUMBER(System!$C28),E472&lt;&gt;0),System!BD146,PlotData!$CB$3)</f>
        <v>0</v>
      </c>
      <c r="H472" s="997">
        <f>IF(AND(ISNUMBER(System!$C28),E472&lt;&gt;0),G472,PlotData!$CB$3)</f>
        <v>0</v>
      </c>
      <c r="I472" s="997">
        <f>IF(AND(ISNUMBER(System!$C28),E472&lt;&gt;0),F472,PlotData!$CB$3)</f>
        <v>0</v>
      </c>
      <c r="J472" s="997">
        <f>IF(AND(ISNUMBER(System!$C28),E472&lt;&gt;0),F472,PlotData!$CB$3)</f>
        <v>0</v>
      </c>
      <c r="K472" s="998">
        <f>IF(AND(ISNUMBER(System!$C28),E472&lt;&gt;0),G472,PlotData!$CB$3)</f>
        <v>0</v>
      </c>
      <c r="L472" s="996">
        <f>IF(AND(ISNUMBER(System!$C28),E472&lt;&gt;0),IF(C472&lt;0,System!BE146,System!BF146)-IF(D384=0,0,1)*$J$1*MIN($E$1,B472)*ABS(C472)*E472-$H$1*$E$1*ABS(D472)*E472,PlotData!$CB$4)</f>
        <v>0</v>
      </c>
      <c r="M472" s="997">
        <f>IF(AND(ISNUMBER(System!$C28),E472&lt;&gt;0),IF(D472=0,IF(C472&gt;0,System!$BE146,System!$BF146),L472),PlotData!$CB$4)</f>
        <v>0</v>
      </c>
      <c r="N472" s="997">
        <f>IF(AND(ISNUMBER(System!$C28),E472&lt;&gt;0),M472 - $E$1*ABS(D472)*E472,PlotData!$CB$4)</f>
        <v>0</v>
      </c>
      <c r="O472" s="997">
        <f>IF(AND(ISNUMBER(System!$C28),E472&lt;&gt;0),N472,PlotData!$CB$4)</f>
        <v>0</v>
      </c>
      <c r="P472" s="997">
        <f>IF(AND(ISNUMBER(System!$C28),E472&lt;&gt;0),L472 - $N$1*$E$1*ABS(D472)*E472,PlotData!$CB$4)</f>
        <v>0</v>
      </c>
      <c r="Q472" s="998">
        <f>IF(AND(ISNUMBER(System!$C28),E472&lt;&gt;0),M472 -$N$1*$E$1*ABS(D472)*E472,PlotData!$CB$4)</f>
        <v>0</v>
      </c>
    </row>
    <row r="473" spans="1:17" x14ac:dyDescent="0.25">
      <c r="A473" s="910">
        <v>26</v>
      </c>
      <c r="B473" s="994">
        <f t="shared" si="165"/>
        <v>0</v>
      </c>
      <c r="C473" s="999">
        <f t="shared" si="165"/>
        <v>0</v>
      </c>
      <c r="D473" s="994">
        <f t="shared" si="165"/>
        <v>0</v>
      </c>
      <c r="E473" s="995">
        <f>IF(AND(ISNUMBER(System!$C29),System!AN29&lt;&gt;0),SIGN(System!AN29),0)</f>
        <v>0</v>
      </c>
      <c r="F473" s="996">
        <f>IF(AND(ISNUMBER(System!$C29),E473&lt;&gt;0),System!BC147,PlotData!$CB$3)</f>
        <v>0</v>
      </c>
      <c r="G473" s="997">
        <f>IF(AND(ISNUMBER(System!$C29),E473&lt;&gt;0),System!BD147,PlotData!$CB$3)</f>
        <v>0</v>
      </c>
      <c r="H473" s="997">
        <f>IF(AND(ISNUMBER(System!$C29),E473&lt;&gt;0),G473,PlotData!$CB$3)</f>
        <v>0</v>
      </c>
      <c r="I473" s="997">
        <f>IF(AND(ISNUMBER(System!$C29),E473&lt;&gt;0),F473,PlotData!$CB$3)</f>
        <v>0</v>
      </c>
      <c r="J473" s="997">
        <f>IF(AND(ISNUMBER(System!$C29),E473&lt;&gt;0),F473,PlotData!$CB$3)</f>
        <v>0</v>
      </c>
      <c r="K473" s="998">
        <f>IF(AND(ISNUMBER(System!$C29),E473&lt;&gt;0),G473,PlotData!$CB$3)</f>
        <v>0</v>
      </c>
      <c r="L473" s="996">
        <f>IF(AND(ISNUMBER(System!$C29),E473&lt;&gt;0),IF(C473&lt;0,System!BE147,System!BF147)-IF(D385=0,0,1)*$J$1*MIN($E$1,B473)*ABS(C473)*E473-$H$1*$E$1*ABS(D473)*E473,PlotData!$CB$4)</f>
        <v>0</v>
      </c>
      <c r="M473" s="997">
        <f>IF(AND(ISNUMBER(System!$C29),E473&lt;&gt;0),IF(D473=0,IF(C473&gt;0,System!$BE147,System!$BF147),L473),PlotData!$CB$4)</f>
        <v>0</v>
      </c>
      <c r="N473" s="997">
        <f>IF(AND(ISNUMBER(System!$C29),E473&lt;&gt;0),M473 - $E$1*ABS(D473)*E473,PlotData!$CB$4)</f>
        <v>0</v>
      </c>
      <c r="O473" s="997">
        <f>IF(AND(ISNUMBER(System!$C29),E473&lt;&gt;0),N473,PlotData!$CB$4)</f>
        <v>0</v>
      </c>
      <c r="P473" s="997">
        <f>IF(AND(ISNUMBER(System!$C29),E473&lt;&gt;0),L473 - $N$1*$E$1*ABS(D473)*E473,PlotData!$CB$4)</f>
        <v>0</v>
      </c>
      <c r="Q473" s="998">
        <f>IF(AND(ISNUMBER(System!$C29),E473&lt;&gt;0),M473 -$N$1*$E$1*ABS(D473)*E473,PlotData!$CB$4)</f>
        <v>0</v>
      </c>
    </row>
    <row r="474" spans="1:17" x14ac:dyDescent="0.25">
      <c r="A474" s="910">
        <v>27</v>
      </c>
      <c r="B474" s="994">
        <f t="shared" si="165"/>
        <v>0</v>
      </c>
      <c r="C474" s="999">
        <f t="shared" si="165"/>
        <v>0</v>
      </c>
      <c r="D474" s="994">
        <f t="shared" si="165"/>
        <v>0</v>
      </c>
      <c r="E474" s="995">
        <f>IF(AND(ISNUMBER(System!$C30),System!AN30&lt;&gt;0),SIGN(System!AN30),0)</f>
        <v>0</v>
      </c>
      <c r="F474" s="996">
        <f>IF(AND(ISNUMBER(System!$C30),E474&lt;&gt;0),System!BC148,PlotData!$CB$3)</f>
        <v>0</v>
      </c>
      <c r="G474" s="997">
        <f>IF(AND(ISNUMBER(System!$C30),E474&lt;&gt;0),System!BD148,PlotData!$CB$3)</f>
        <v>0</v>
      </c>
      <c r="H474" s="997">
        <f>IF(AND(ISNUMBER(System!$C30),E474&lt;&gt;0),G474,PlotData!$CB$3)</f>
        <v>0</v>
      </c>
      <c r="I474" s="997">
        <f>IF(AND(ISNUMBER(System!$C30),E474&lt;&gt;0),F474,PlotData!$CB$3)</f>
        <v>0</v>
      </c>
      <c r="J474" s="997">
        <f>IF(AND(ISNUMBER(System!$C30),E474&lt;&gt;0),F474,PlotData!$CB$3)</f>
        <v>0</v>
      </c>
      <c r="K474" s="998">
        <f>IF(AND(ISNUMBER(System!$C30),E474&lt;&gt;0),G474,PlotData!$CB$3)</f>
        <v>0</v>
      </c>
      <c r="L474" s="996">
        <f>IF(AND(ISNUMBER(System!$C30),E474&lt;&gt;0),IF(C474&lt;0,System!BE148,System!BF148)-IF(D386=0,0,1)*$J$1*MIN($E$1,B474)*ABS(C474)*E474-$H$1*$E$1*ABS(D474)*E474,PlotData!$CB$4)</f>
        <v>0</v>
      </c>
      <c r="M474" s="997">
        <f>IF(AND(ISNUMBER(System!$C30),E474&lt;&gt;0),IF(D474=0,IF(C474&gt;0,System!$BE148,System!$BF148),L474),PlotData!$CB$4)</f>
        <v>0</v>
      </c>
      <c r="N474" s="997">
        <f>IF(AND(ISNUMBER(System!$C30),E474&lt;&gt;0),M474 - $E$1*ABS(D474)*E474,PlotData!$CB$4)</f>
        <v>0</v>
      </c>
      <c r="O474" s="997">
        <f>IF(AND(ISNUMBER(System!$C30),E474&lt;&gt;0),N474,PlotData!$CB$4)</f>
        <v>0</v>
      </c>
      <c r="P474" s="997">
        <f>IF(AND(ISNUMBER(System!$C30),E474&lt;&gt;0),L474 - $N$1*$E$1*ABS(D474)*E474,PlotData!$CB$4)</f>
        <v>0</v>
      </c>
      <c r="Q474" s="998">
        <f>IF(AND(ISNUMBER(System!$C30),E474&lt;&gt;0),M474 -$N$1*$E$1*ABS(D474)*E474,PlotData!$CB$4)</f>
        <v>0</v>
      </c>
    </row>
    <row r="475" spans="1:17" x14ac:dyDescent="0.25">
      <c r="A475" s="910">
        <v>28</v>
      </c>
      <c r="B475" s="994">
        <f t="shared" si="165"/>
        <v>0</v>
      </c>
      <c r="C475" s="999">
        <f t="shared" si="165"/>
        <v>0</v>
      </c>
      <c r="D475" s="994">
        <f t="shared" si="165"/>
        <v>0</v>
      </c>
      <c r="E475" s="995">
        <f>IF(AND(ISNUMBER(System!$C31),System!AN31&lt;&gt;0),SIGN(System!AN31),0)</f>
        <v>0</v>
      </c>
      <c r="F475" s="996">
        <f>IF(AND(ISNUMBER(System!$C31),E475&lt;&gt;0),System!BC149,PlotData!$CB$3)</f>
        <v>0</v>
      </c>
      <c r="G475" s="997">
        <f>IF(AND(ISNUMBER(System!$C31),E475&lt;&gt;0),System!BD149,PlotData!$CB$3)</f>
        <v>0</v>
      </c>
      <c r="H475" s="997">
        <f>IF(AND(ISNUMBER(System!$C31),E475&lt;&gt;0),G475,PlotData!$CB$3)</f>
        <v>0</v>
      </c>
      <c r="I475" s="997">
        <f>IF(AND(ISNUMBER(System!$C31),E475&lt;&gt;0),F475,PlotData!$CB$3)</f>
        <v>0</v>
      </c>
      <c r="J475" s="997">
        <f>IF(AND(ISNUMBER(System!$C31),E475&lt;&gt;0),F475,PlotData!$CB$3)</f>
        <v>0</v>
      </c>
      <c r="K475" s="998">
        <f>IF(AND(ISNUMBER(System!$C31),E475&lt;&gt;0),G475,PlotData!$CB$3)</f>
        <v>0</v>
      </c>
      <c r="L475" s="996">
        <f>IF(AND(ISNUMBER(System!$C31),E475&lt;&gt;0),IF(C475&lt;0,System!BE149,System!BF149)-IF(D387=0,0,1)*$J$1*MIN($E$1,B475)*ABS(C475)*E475-$H$1*$E$1*ABS(D475)*E475,PlotData!$CB$4)</f>
        <v>0</v>
      </c>
      <c r="M475" s="997">
        <f>IF(AND(ISNUMBER(System!$C31),E475&lt;&gt;0),IF(D475=0,IF(C475&gt;0,System!$BE149,System!$BF149),L475),PlotData!$CB$4)</f>
        <v>0</v>
      </c>
      <c r="N475" s="997">
        <f>IF(AND(ISNUMBER(System!$C31),E475&lt;&gt;0),M475 - $E$1*ABS(D475)*E475,PlotData!$CB$4)</f>
        <v>0</v>
      </c>
      <c r="O475" s="997">
        <f>IF(AND(ISNUMBER(System!$C31),E475&lt;&gt;0),N475,PlotData!$CB$4)</f>
        <v>0</v>
      </c>
      <c r="P475" s="997">
        <f>IF(AND(ISNUMBER(System!$C31),E475&lt;&gt;0),L475 - $N$1*$E$1*ABS(D475)*E475,PlotData!$CB$4)</f>
        <v>0</v>
      </c>
      <c r="Q475" s="998">
        <f>IF(AND(ISNUMBER(System!$C31),E475&lt;&gt;0),M475 -$N$1*$E$1*ABS(D475)*E475,PlotData!$CB$4)</f>
        <v>0</v>
      </c>
    </row>
    <row r="476" spans="1:17" x14ac:dyDescent="0.25">
      <c r="A476" s="910">
        <v>29</v>
      </c>
      <c r="B476" s="994">
        <f t="shared" si="165"/>
        <v>0</v>
      </c>
      <c r="C476" s="999">
        <f t="shared" si="165"/>
        <v>0</v>
      </c>
      <c r="D476" s="994">
        <f t="shared" si="165"/>
        <v>0</v>
      </c>
      <c r="E476" s="995">
        <f>IF(AND(ISNUMBER(System!$C32),System!AN32&lt;&gt;0),SIGN(System!AN32),0)</f>
        <v>0</v>
      </c>
      <c r="F476" s="996">
        <f>IF(AND(ISNUMBER(System!$C32),E476&lt;&gt;0),System!BC150,PlotData!$CB$3)</f>
        <v>0</v>
      </c>
      <c r="G476" s="997">
        <f>IF(AND(ISNUMBER(System!$C32),E476&lt;&gt;0),System!BD150,PlotData!$CB$3)</f>
        <v>0</v>
      </c>
      <c r="H476" s="997">
        <f>IF(AND(ISNUMBER(System!$C32),E476&lt;&gt;0),G476,PlotData!$CB$3)</f>
        <v>0</v>
      </c>
      <c r="I476" s="997">
        <f>IF(AND(ISNUMBER(System!$C32),E476&lt;&gt;0),F476,PlotData!$CB$3)</f>
        <v>0</v>
      </c>
      <c r="J476" s="997">
        <f>IF(AND(ISNUMBER(System!$C32),E476&lt;&gt;0),F476,PlotData!$CB$3)</f>
        <v>0</v>
      </c>
      <c r="K476" s="998">
        <f>IF(AND(ISNUMBER(System!$C32),E476&lt;&gt;0),G476,PlotData!$CB$3)</f>
        <v>0</v>
      </c>
      <c r="L476" s="996">
        <f>IF(AND(ISNUMBER(System!$C32),E476&lt;&gt;0),IF(C476&lt;0,System!BE150,System!BF150)-IF(D388=0,0,1)*$J$1*MIN($E$1,B476)*ABS(C476)*E476-$H$1*$E$1*ABS(D476)*E476,PlotData!$CB$4)</f>
        <v>0</v>
      </c>
      <c r="M476" s="997">
        <f>IF(AND(ISNUMBER(System!$C32),E476&lt;&gt;0),IF(D476=0,IF(C476&gt;0,System!$BE150,System!$BF150),L476),PlotData!$CB$4)</f>
        <v>0</v>
      </c>
      <c r="N476" s="997">
        <f>IF(AND(ISNUMBER(System!$C32),E476&lt;&gt;0),M476 - $E$1*ABS(D476)*E476,PlotData!$CB$4)</f>
        <v>0</v>
      </c>
      <c r="O476" s="997">
        <f>IF(AND(ISNUMBER(System!$C32),E476&lt;&gt;0),N476,PlotData!$CB$4)</f>
        <v>0</v>
      </c>
      <c r="P476" s="997">
        <f>IF(AND(ISNUMBER(System!$C32),E476&lt;&gt;0),L476 - $N$1*$E$1*ABS(D476)*E476,PlotData!$CB$4)</f>
        <v>0</v>
      </c>
      <c r="Q476" s="998">
        <f>IF(AND(ISNUMBER(System!$C32),E476&lt;&gt;0),M476 -$N$1*$E$1*ABS(D476)*E476,PlotData!$CB$4)</f>
        <v>0</v>
      </c>
    </row>
    <row r="477" spans="1:17" x14ac:dyDescent="0.25">
      <c r="A477" s="910">
        <v>30</v>
      </c>
      <c r="B477" s="994">
        <f t="shared" si="165"/>
        <v>0</v>
      </c>
      <c r="C477" s="999">
        <f t="shared" si="165"/>
        <v>0</v>
      </c>
      <c r="D477" s="994">
        <f t="shared" si="165"/>
        <v>0</v>
      </c>
      <c r="E477" s="995">
        <f>IF(AND(ISNUMBER(System!$C33),System!AN33&lt;&gt;0),SIGN(System!AN33),0)</f>
        <v>0</v>
      </c>
      <c r="F477" s="996">
        <f>IF(AND(ISNUMBER(System!$C33),E477&lt;&gt;0),System!BC151,PlotData!$CB$3)</f>
        <v>0</v>
      </c>
      <c r="G477" s="997">
        <f>IF(AND(ISNUMBER(System!$C33),E477&lt;&gt;0),System!BD151,PlotData!$CB$3)</f>
        <v>0</v>
      </c>
      <c r="H477" s="997">
        <f>IF(AND(ISNUMBER(System!$C33),E477&lt;&gt;0),G477,PlotData!$CB$3)</f>
        <v>0</v>
      </c>
      <c r="I477" s="997">
        <f>IF(AND(ISNUMBER(System!$C33),E477&lt;&gt;0),F477,PlotData!$CB$3)</f>
        <v>0</v>
      </c>
      <c r="J477" s="997">
        <f>IF(AND(ISNUMBER(System!$C33),E477&lt;&gt;0),F477,PlotData!$CB$3)</f>
        <v>0</v>
      </c>
      <c r="K477" s="998">
        <f>IF(AND(ISNUMBER(System!$C33),E477&lt;&gt;0),G477,PlotData!$CB$3)</f>
        <v>0</v>
      </c>
      <c r="L477" s="996">
        <f>IF(AND(ISNUMBER(System!$C33),E477&lt;&gt;0),IF(C477&lt;0,System!BE151,System!BF151)-IF(D389=0,0,1)*$J$1*MIN($E$1,B477)*ABS(C477)*E477-$H$1*$E$1*ABS(D477)*E477,PlotData!$CB$4)</f>
        <v>0</v>
      </c>
      <c r="M477" s="997">
        <f>IF(AND(ISNUMBER(System!$C33),E477&lt;&gt;0),IF(D477=0,IF(C477&gt;0,System!$BE151,System!$BF151),L477),PlotData!$CB$4)</f>
        <v>0</v>
      </c>
      <c r="N477" s="997">
        <f>IF(AND(ISNUMBER(System!$C33),E477&lt;&gt;0),M477 - $E$1*ABS(D477)*E477,PlotData!$CB$4)</f>
        <v>0</v>
      </c>
      <c r="O477" s="997">
        <f>IF(AND(ISNUMBER(System!$C33),E477&lt;&gt;0),N477,PlotData!$CB$4)</f>
        <v>0</v>
      </c>
      <c r="P477" s="997">
        <f>IF(AND(ISNUMBER(System!$C33),E477&lt;&gt;0),L477 - $N$1*$E$1*ABS(D477)*E477,PlotData!$CB$4)</f>
        <v>0</v>
      </c>
      <c r="Q477" s="998">
        <f>IF(AND(ISNUMBER(System!$C33),E477&lt;&gt;0),M477 -$N$1*$E$1*ABS(D477)*E477,PlotData!$CB$4)</f>
        <v>0</v>
      </c>
    </row>
    <row r="478" spans="1:17" x14ac:dyDescent="0.25">
      <c r="A478" s="910">
        <v>31</v>
      </c>
      <c r="B478" s="994">
        <f t="shared" si="165"/>
        <v>0</v>
      </c>
      <c r="C478" s="999">
        <f t="shared" si="165"/>
        <v>0</v>
      </c>
      <c r="D478" s="994">
        <f t="shared" si="165"/>
        <v>0</v>
      </c>
      <c r="E478" s="995">
        <f>IF(AND(ISNUMBER(System!$C34),System!AN34&lt;&gt;0),SIGN(System!AN34),0)</f>
        <v>0</v>
      </c>
      <c r="F478" s="996">
        <f>IF(AND(ISNUMBER(System!$C34),E478&lt;&gt;0),System!BC152,PlotData!$CB$3)</f>
        <v>0</v>
      </c>
      <c r="G478" s="997">
        <f>IF(AND(ISNUMBER(System!$C34),E478&lt;&gt;0),System!BD152,PlotData!$CB$3)</f>
        <v>0</v>
      </c>
      <c r="H478" s="997">
        <f>IF(AND(ISNUMBER(System!$C34),E478&lt;&gt;0),G478,PlotData!$CB$3)</f>
        <v>0</v>
      </c>
      <c r="I478" s="997">
        <f>IF(AND(ISNUMBER(System!$C34),E478&lt;&gt;0),F478,PlotData!$CB$3)</f>
        <v>0</v>
      </c>
      <c r="J478" s="997">
        <f>IF(AND(ISNUMBER(System!$C34),E478&lt;&gt;0),F478,PlotData!$CB$3)</f>
        <v>0</v>
      </c>
      <c r="K478" s="998">
        <f>IF(AND(ISNUMBER(System!$C34),E478&lt;&gt;0),G478,PlotData!$CB$3)</f>
        <v>0</v>
      </c>
      <c r="L478" s="996">
        <f>IF(AND(ISNUMBER(System!$C34),E478&lt;&gt;0),IF(C478&lt;0,System!BE152,System!BF152)-IF(D390=0,0,1)*$J$1*MIN($E$1,B478)*ABS(C478)*E478-$H$1*$E$1*ABS(D478)*E478,PlotData!$CB$4)</f>
        <v>0</v>
      </c>
      <c r="M478" s="997">
        <f>IF(AND(ISNUMBER(System!$C34),E478&lt;&gt;0),IF(D478=0,IF(C478&gt;0,System!$BE152,System!$BF152),L478),PlotData!$CB$4)</f>
        <v>0</v>
      </c>
      <c r="N478" s="997">
        <f>IF(AND(ISNUMBER(System!$C34),E478&lt;&gt;0),M478 - $E$1*ABS(D478)*E478,PlotData!$CB$4)</f>
        <v>0</v>
      </c>
      <c r="O478" s="997">
        <f>IF(AND(ISNUMBER(System!$C34),E478&lt;&gt;0),N478,PlotData!$CB$4)</f>
        <v>0</v>
      </c>
      <c r="P478" s="997">
        <f>IF(AND(ISNUMBER(System!$C34),E478&lt;&gt;0),L478 - $N$1*$E$1*ABS(D478)*E478,PlotData!$CB$4)</f>
        <v>0</v>
      </c>
      <c r="Q478" s="998">
        <f>IF(AND(ISNUMBER(System!$C34),E478&lt;&gt;0),M478 -$N$1*$E$1*ABS(D478)*E478,PlotData!$CB$4)</f>
        <v>0</v>
      </c>
    </row>
    <row r="479" spans="1:17" x14ac:dyDescent="0.25">
      <c r="A479" s="910">
        <v>32</v>
      </c>
      <c r="B479" s="994">
        <f t="shared" si="165"/>
        <v>0</v>
      </c>
      <c r="C479" s="999">
        <f t="shared" si="165"/>
        <v>0</v>
      </c>
      <c r="D479" s="994">
        <f t="shared" si="165"/>
        <v>0</v>
      </c>
      <c r="E479" s="995">
        <f>IF(AND(ISNUMBER(System!$C35),System!AN35&lt;&gt;0),SIGN(System!AN35),0)</f>
        <v>0</v>
      </c>
      <c r="F479" s="996">
        <f>IF(AND(ISNUMBER(System!$C35),E479&lt;&gt;0),System!BC153,PlotData!$CB$3)</f>
        <v>0</v>
      </c>
      <c r="G479" s="997">
        <f>IF(AND(ISNUMBER(System!$C35),E479&lt;&gt;0),System!BD153,PlotData!$CB$3)</f>
        <v>0</v>
      </c>
      <c r="H479" s="997">
        <f>IF(AND(ISNUMBER(System!$C35),E479&lt;&gt;0),G479,PlotData!$CB$3)</f>
        <v>0</v>
      </c>
      <c r="I479" s="997">
        <f>IF(AND(ISNUMBER(System!$C35),E479&lt;&gt;0),F479,PlotData!$CB$3)</f>
        <v>0</v>
      </c>
      <c r="J479" s="997">
        <f>IF(AND(ISNUMBER(System!$C35),E479&lt;&gt;0),F479,PlotData!$CB$3)</f>
        <v>0</v>
      </c>
      <c r="K479" s="998">
        <f>IF(AND(ISNUMBER(System!$C35),E479&lt;&gt;0),G479,PlotData!$CB$3)</f>
        <v>0</v>
      </c>
      <c r="L479" s="996">
        <f>IF(AND(ISNUMBER(System!$C35),E479&lt;&gt;0),IF(C479&lt;0,System!BE153,System!BF153)-IF(D391=0,0,1)*$J$1*MIN($E$1,B479)*ABS(C479)*E479-$H$1*$E$1*ABS(D479)*E479,PlotData!$CB$4)</f>
        <v>0</v>
      </c>
      <c r="M479" s="997">
        <f>IF(AND(ISNUMBER(System!$C35),E479&lt;&gt;0),IF(D479=0,IF(C479&gt;0,System!$BE153,System!$BF153),L479),PlotData!$CB$4)</f>
        <v>0</v>
      </c>
      <c r="N479" s="997">
        <f>IF(AND(ISNUMBER(System!$C35),E479&lt;&gt;0),M479 - $E$1*ABS(D479)*E479,PlotData!$CB$4)</f>
        <v>0</v>
      </c>
      <c r="O479" s="997">
        <f>IF(AND(ISNUMBER(System!$C35),E479&lt;&gt;0),N479,PlotData!$CB$4)</f>
        <v>0</v>
      </c>
      <c r="P479" s="997">
        <f>IF(AND(ISNUMBER(System!$C35),E479&lt;&gt;0),L479 - $N$1*$E$1*ABS(D479)*E479,PlotData!$CB$4)</f>
        <v>0</v>
      </c>
      <c r="Q479" s="998">
        <f>IF(AND(ISNUMBER(System!$C35),E479&lt;&gt;0),M479 -$N$1*$E$1*ABS(D479)*E479,PlotData!$CB$4)</f>
        <v>0</v>
      </c>
    </row>
    <row r="480" spans="1:17" x14ac:dyDescent="0.25">
      <c r="A480" s="910">
        <v>33</v>
      </c>
      <c r="B480" s="994">
        <f t="shared" si="165"/>
        <v>0</v>
      </c>
      <c r="C480" s="999">
        <f t="shared" si="165"/>
        <v>0</v>
      </c>
      <c r="D480" s="994">
        <f t="shared" si="165"/>
        <v>0</v>
      </c>
      <c r="E480" s="995">
        <f>IF(AND(ISNUMBER(System!$C36),System!AN36&lt;&gt;0),SIGN(System!AN36),0)</f>
        <v>0</v>
      </c>
      <c r="F480" s="996">
        <f>IF(AND(ISNUMBER(System!$C36),E480&lt;&gt;0),System!BC154,PlotData!$CB$3)</f>
        <v>0</v>
      </c>
      <c r="G480" s="997">
        <f>IF(AND(ISNUMBER(System!$C36),E480&lt;&gt;0),System!BD154,PlotData!$CB$3)</f>
        <v>0</v>
      </c>
      <c r="H480" s="997">
        <f>IF(AND(ISNUMBER(System!$C36),E480&lt;&gt;0),G480,PlotData!$CB$3)</f>
        <v>0</v>
      </c>
      <c r="I480" s="997">
        <f>IF(AND(ISNUMBER(System!$C36),E480&lt;&gt;0),F480,PlotData!$CB$3)</f>
        <v>0</v>
      </c>
      <c r="J480" s="997">
        <f>IF(AND(ISNUMBER(System!$C36),E480&lt;&gt;0),F480,PlotData!$CB$3)</f>
        <v>0</v>
      </c>
      <c r="K480" s="998">
        <f>IF(AND(ISNUMBER(System!$C36),E480&lt;&gt;0),G480,PlotData!$CB$3)</f>
        <v>0</v>
      </c>
      <c r="L480" s="996">
        <f>IF(AND(ISNUMBER(System!$C36),E480&lt;&gt;0),IF(C480&lt;0,System!BE154,System!BF154)-IF(D392=0,0,1)*$J$1*MIN($E$1,B480)*ABS(C480)*E480-$H$1*$E$1*ABS(D480)*E480,PlotData!$CB$4)</f>
        <v>0</v>
      </c>
      <c r="M480" s="997">
        <f>IF(AND(ISNUMBER(System!$C36),E480&lt;&gt;0),IF(D480=0,IF(C480&gt;0,System!$BE154,System!$BF154),L480),PlotData!$CB$4)</f>
        <v>0</v>
      </c>
      <c r="N480" s="997">
        <f>IF(AND(ISNUMBER(System!$C36),E480&lt;&gt;0),M480 - $E$1*ABS(D480)*E480,PlotData!$CB$4)</f>
        <v>0</v>
      </c>
      <c r="O480" s="997">
        <f>IF(AND(ISNUMBER(System!$C36),E480&lt;&gt;0),N480,PlotData!$CB$4)</f>
        <v>0</v>
      </c>
      <c r="P480" s="997">
        <f>IF(AND(ISNUMBER(System!$C36),E480&lt;&gt;0),L480 - $N$1*$E$1*ABS(D480)*E480,PlotData!$CB$4)</f>
        <v>0</v>
      </c>
      <c r="Q480" s="998">
        <f>IF(AND(ISNUMBER(System!$C36),E480&lt;&gt;0),M480 -$N$1*$E$1*ABS(D480)*E480,PlotData!$CB$4)</f>
        <v>0</v>
      </c>
    </row>
    <row r="481" spans="1:35" x14ac:dyDescent="0.25">
      <c r="A481" s="910">
        <v>34</v>
      </c>
      <c r="B481" s="994">
        <f t="shared" si="165"/>
        <v>0</v>
      </c>
      <c r="C481" s="999">
        <f t="shared" si="165"/>
        <v>0</v>
      </c>
      <c r="D481" s="994">
        <f t="shared" si="165"/>
        <v>0</v>
      </c>
      <c r="E481" s="995">
        <f>IF(AND(ISNUMBER(System!$C37),System!AN37&lt;&gt;0),SIGN(System!AN37),0)</f>
        <v>0</v>
      </c>
      <c r="F481" s="996">
        <f>IF(AND(ISNUMBER(System!$C37),E481&lt;&gt;0),System!BC155,PlotData!$CB$3)</f>
        <v>0</v>
      </c>
      <c r="G481" s="997">
        <f>IF(AND(ISNUMBER(System!$C37),E481&lt;&gt;0),System!BD155,PlotData!$CB$3)</f>
        <v>0</v>
      </c>
      <c r="H481" s="997">
        <f>IF(AND(ISNUMBER(System!$C37),E481&lt;&gt;0),G481,PlotData!$CB$3)</f>
        <v>0</v>
      </c>
      <c r="I481" s="997">
        <f>IF(AND(ISNUMBER(System!$C37),E481&lt;&gt;0),F481,PlotData!$CB$3)</f>
        <v>0</v>
      </c>
      <c r="J481" s="997">
        <f>IF(AND(ISNUMBER(System!$C37),E481&lt;&gt;0),F481,PlotData!$CB$3)</f>
        <v>0</v>
      </c>
      <c r="K481" s="998">
        <f>IF(AND(ISNUMBER(System!$C37),E481&lt;&gt;0),G481,PlotData!$CB$3)</f>
        <v>0</v>
      </c>
      <c r="L481" s="996">
        <f>IF(AND(ISNUMBER(System!$C37),E481&lt;&gt;0),IF(C481&lt;0,System!BE155,System!BF155)-IF(D393=0,0,1)*$J$1*MIN($E$1,B481)*ABS(C481)*E481-$H$1*$E$1*ABS(D481)*E481,PlotData!$CB$4)</f>
        <v>0</v>
      </c>
      <c r="M481" s="997">
        <f>IF(AND(ISNUMBER(System!$C37),E481&lt;&gt;0),IF(D481=0,IF(C481&gt;0,System!$BE155,System!$BF155),L481),PlotData!$CB$4)</f>
        <v>0</v>
      </c>
      <c r="N481" s="997">
        <f>IF(AND(ISNUMBER(System!$C37),E481&lt;&gt;0),M481 - $E$1*ABS(D481)*E481,PlotData!$CB$4)</f>
        <v>0</v>
      </c>
      <c r="O481" s="997">
        <f>IF(AND(ISNUMBER(System!$C37),E481&lt;&gt;0),N481,PlotData!$CB$4)</f>
        <v>0</v>
      </c>
      <c r="P481" s="997">
        <f>IF(AND(ISNUMBER(System!$C37),E481&lt;&gt;0),L481 - $N$1*$E$1*ABS(D481)*E481,PlotData!$CB$4)</f>
        <v>0</v>
      </c>
      <c r="Q481" s="998">
        <f>IF(AND(ISNUMBER(System!$C37),E481&lt;&gt;0),M481 -$N$1*$E$1*ABS(D481)*E481,PlotData!$CB$4)</f>
        <v>0</v>
      </c>
    </row>
    <row r="482" spans="1:35" x14ac:dyDescent="0.25">
      <c r="A482" s="910">
        <v>35</v>
      </c>
      <c r="B482" s="994">
        <f t="shared" si="165"/>
        <v>0</v>
      </c>
      <c r="C482" s="999">
        <f t="shared" si="165"/>
        <v>0</v>
      </c>
      <c r="D482" s="994">
        <f t="shared" si="165"/>
        <v>0</v>
      </c>
      <c r="E482" s="995">
        <f>IF(AND(ISNUMBER(System!$C38),System!AN38&lt;&gt;0),SIGN(System!AN38),0)</f>
        <v>0</v>
      </c>
      <c r="F482" s="996">
        <f>IF(AND(ISNUMBER(System!$C38),E482&lt;&gt;0),System!BC156,PlotData!$CB$3)</f>
        <v>0</v>
      </c>
      <c r="G482" s="997">
        <f>IF(AND(ISNUMBER(System!$C38),E482&lt;&gt;0),System!BD156,PlotData!$CB$3)</f>
        <v>0</v>
      </c>
      <c r="H482" s="997">
        <f>IF(AND(ISNUMBER(System!$C38),E482&lt;&gt;0),G482,PlotData!$CB$3)</f>
        <v>0</v>
      </c>
      <c r="I482" s="997">
        <f>IF(AND(ISNUMBER(System!$C38),E482&lt;&gt;0),F482,PlotData!$CB$3)</f>
        <v>0</v>
      </c>
      <c r="J482" s="997">
        <f>IF(AND(ISNUMBER(System!$C38),E482&lt;&gt;0),F482,PlotData!$CB$3)</f>
        <v>0</v>
      </c>
      <c r="K482" s="998">
        <f>IF(AND(ISNUMBER(System!$C38),E482&lt;&gt;0),G482,PlotData!$CB$3)</f>
        <v>0</v>
      </c>
      <c r="L482" s="996">
        <f>IF(AND(ISNUMBER(System!$C38),E482&lt;&gt;0),IF(C482&lt;0,System!BE156,System!BF156)-IF(D394=0,0,1)*$J$1*MIN($E$1,B482)*ABS(C482)*E482-$H$1*$E$1*ABS(D482)*E482,PlotData!$CB$4)</f>
        <v>0</v>
      </c>
      <c r="M482" s="997">
        <f>IF(AND(ISNUMBER(System!$C38),E482&lt;&gt;0),IF(D482=0,IF(C482&gt;0,System!$BE156,System!$BF156),L482),PlotData!$CB$4)</f>
        <v>0</v>
      </c>
      <c r="N482" s="997">
        <f>IF(AND(ISNUMBER(System!$C38),E482&lt;&gt;0),M482 - $E$1*ABS(D482)*E482,PlotData!$CB$4)</f>
        <v>0</v>
      </c>
      <c r="O482" s="997">
        <f>IF(AND(ISNUMBER(System!$C38),E482&lt;&gt;0),N482,PlotData!$CB$4)</f>
        <v>0</v>
      </c>
      <c r="P482" s="997">
        <f>IF(AND(ISNUMBER(System!$C38),E482&lt;&gt;0),L482 - $N$1*$E$1*ABS(D482)*E482,PlotData!$CB$4)</f>
        <v>0</v>
      </c>
      <c r="Q482" s="998">
        <f>IF(AND(ISNUMBER(System!$C38),E482&lt;&gt;0),M482 -$N$1*$E$1*ABS(D482)*E482,PlotData!$CB$4)</f>
        <v>0</v>
      </c>
    </row>
    <row r="483" spans="1:35" x14ac:dyDescent="0.25">
      <c r="A483" s="910">
        <v>36</v>
      </c>
      <c r="B483" s="994">
        <f t="shared" si="165"/>
        <v>0</v>
      </c>
      <c r="C483" s="999">
        <f t="shared" si="165"/>
        <v>0</v>
      </c>
      <c r="D483" s="994">
        <f t="shared" si="165"/>
        <v>0</v>
      </c>
      <c r="E483" s="995">
        <f>IF(AND(ISNUMBER(System!$C39),System!AN39&lt;&gt;0),SIGN(System!AN39),0)</f>
        <v>0</v>
      </c>
      <c r="F483" s="996">
        <f>IF(AND(ISNUMBER(System!$C39),E483&lt;&gt;0),System!BC157,PlotData!$CB$3)</f>
        <v>0</v>
      </c>
      <c r="G483" s="997">
        <f>IF(AND(ISNUMBER(System!$C39),E483&lt;&gt;0),System!BD157,PlotData!$CB$3)</f>
        <v>0</v>
      </c>
      <c r="H483" s="997">
        <f>IF(AND(ISNUMBER(System!$C39),E483&lt;&gt;0),G483,PlotData!$CB$3)</f>
        <v>0</v>
      </c>
      <c r="I483" s="997">
        <f>IF(AND(ISNUMBER(System!$C39),E483&lt;&gt;0),F483,PlotData!$CB$3)</f>
        <v>0</v>
      </c>
      <c r="J483" s="997">
        <f>IF(AND(ISNUMBER(System!$C39),E483&lt;&gt;0),F483,PlotData!$CB$3)</f>
        <v>0</v>
      </c>
      <c r="K483" s="998">
        <f>IF(AND(ISNUMBER(System!$C39),E483&lt;&gt;0),G483,PlotData!$CB$3)</f>
        <v>0</v>
      </c>
      <c r="L483" s="996">
        <f>IF(AND(ISNUMBER(System!$C39),E483&lt;&gt;0),IF(C483&lt;0,System!BE157,System!BF157)-IF(D395=0,0,1)*$J$1*MIN($E$1,B483)*ABS(C483)*E483-$H$1*$E$1*ABS(D483)*E483,PlotData!$CB$4)</f>
        <v>0</v>
      </c>
      <c r="M483" s="997">
        <f>IF(AND(ISNUMBER(System!$C39),E483&lt;&gt;0),IF(D483=0,IF(C483&gt;0,System!$BE157,System!$BF157),L483),PlotData!$CB$4)</f>
        <v>0</v>
      </c>
      <c r="N483" s="997">
        <f>IF(AND(ISNUMBER(System!$C39),E483&lt;&gt;0),M483 - $E$1*ABS(D483)*E483,PlotData!$CB$4)</f>
        <v>0</v>
      </c>
      <c r="O483" s="997">
        <f>IF(AND(ISNUMBER(System!$C39),E483&lt;&gt;0),N483,PlotData!$CB$4)</f>
        <v>0</v>
      </c>
      <c r="P483" s="997">
        <f>IF(AND(ISNUMBER(System!$C39),E483&lt;&gt;0),L483 - $N$1*$E$1*ABS(D483)*E483,PlotData!$CB$4)</f>
        <v>0</v>
      </c>
      <c r="Q483" s="998">
        <f>IF(AND(ISNUMBER(System!$C39),E483&lt;&gt;0),M483 -$N$1*$E$1*ABS(D483)*E483,PlotData!$CB$4)</f>
        <v>0</v>
      </c>
    </row>
    <row r="484" spans="1:35" x14ac:dyDescent="0.25">
      <c r="A484" s="910">
        <v>37</v>
      </c>
      <c r="B484" s="994">
        <f t="shared" si="165"/>
        <v>0</v>
      </c>
      <c r="C484" s="999">
        <f t="shared" si="165"/>
        <v>0</v>
      </c>
      <c r="D484" s="994">
        <f t="shared" si="165"/>
        <v>0</v>
      </c>
      <c r="E484" s="995">
        <f>IF(AND(ISNUMBER(System!$C40),System!AN40&lt;&gt;0),SIGN(System!AN40),0)</f>
        <v>0</v>
      </c>
      <c r="F484" s="996">
        <f>IF(AND(ISNUMBER(System!$C40),E484&lt;&gt;0),System!BC158,PlotData!$CB$3)</f>
        <v>0</v>
      </c>
      <c r="G484" s="997">
        <f>IF(AND(ISNUMBER(System!$C40),E484&lt;&gt;0),System!BD158,PlotData!$CB$3)</f>
        <v>0</v>
      </c>
      <c r="H484" s="997">
        <f>IF(AND(ISNUMBER(System!$C40),E484&lt;&gt;0),G484,PlotData!$CB$3)</f>
        <v>0</v>
      </c>
      <c r="I484" s="997">
        <f>IF(AND(ISNUMBER(System!$C40),E484&lt;&gt;0),F484,PlotData!$CB$3)</f>
        <v>0</v>
      </c>
      <c r="J484" s="997">
        <f>IF(AND(ISNUMBER(System!$C40),E484&lt;&gt;0),F484,PlotData!$CB$3)</f>
        <v>0</v>
      </c>
      <c r="K484" s="998">
        <f>IF(AND(ISNUMBER(System!$C40),E484&lt;&gt;0),G484,PlotData!$CB$3)</f>
        <v>0</v>
      </c>
      <c r="L484" s="996">
        <f>IF(AND(ISNUMBER(System!$C40),E484&lt;&gt;0),IF(C484&lt;0,System!BE158,System!BF158)-IF(D396=0,0,1)*$J$1*MIN($E$1,B484)*ABS(C484)*E484-$H$1*$E$1*ABS(D484)*E484,PlotData!$CB$4)</f>
        <v>0</v>
      </c>
      <c r="M484" s="997">
        <f>IF(AND(ISNUMBER(System!$C40),E484&lt;&gt;0),IF(D484=0,IF(C484&gt;0,System!$BE158,System!$BF158),L484),PlotData!$CB$4)</f>
        <v>0</v>
      </c>
      <c r="N484" s="997">
        <f>IF(AND(ISNUMBER(System!$C40),E484&lt;&gt;0),M484 - $E$1*ABS(D484)*E484,PlotData!$CB$4)</f>
        <v>0</v>
      </c>
      <c r="O484" s="997">
        <f>IF(AND(ISNUMBER(System!$C40),E484&lt;&gt;0),N484,PlotData!$CB$4)</f>
        <v>0</v>
      </c>
      <c r="P484" s="997">
        <f>IF(AND(ISNUMBER(System!$C40),E484&lt;&gt;0),L484 - $N$1*$E$1*ABS(D484)*E484,PlotData!$CB$4)</f>
        <v>0</v>
      </c>
      <c r="Q484" s="998">
        <f>IF(AND(ISNUMBER(System!$C40),E484&lt;&gt;0),M484 -$N$1*$E$1*ABS(D484)*E484,PlotData!$CB$4)</f>
        <v>0</v>
      </c>
    </row>
    <row r="485" spans="1:35" x14ac:dyDescent="0.25">
      <c r="A485" s="910">
        <v>38</v>
      </c>
      <c r="B485" s="994">
        <f t="shared" si="165"/>
        <v>0</v>
      </c>
      <c r="C485" s="999">
        <f t="shared" si="165"/>
        <v>0</v>
      </c>
      <c r="D485" s="994">
        <f t="shared" si="165"/>
        <v>0</v>
      </c>
      <c r="E485" s="995">
        <f>IF(AND(ISNUMBER(System!$C41),System!AN41&lt;&gt;0),SIGN(System!AN41),0)</f>
        <v>0</v>
      </c>
      <c r="F485" s="996">
        <f>IF(AND(ISNUMBER(System!$C41),E485&lt;&gt;0),System!BC159,PlotData!$CB$3)</f>
        <v>0</v>
      </c>
      <c r="G485" s="997">
        <f>IF(AND(ISNUMBER(System!$C41),E485&lt;&gt;0),System!BD159,PlotData!$CB$3)</f>
        <v>0</v>
      </c>
      <c r="H485" s="997">
        <f>IF(AND(ISNUMBER(System!$C41),E485&lt;&gt;0),G485,PlotData!$CB$3)</f>
        <v>0</v>
      </c>
      <c r="I485" s="997">
        <f>IF(AND(ISNUMBER(System!$C41),E485&lt;&gt;0),F485,PlotData!$CB$3)</f>
        <v>0</v>
      </c>
      <c r="J485" s="997">
        <f>IF(AND(ISNUMBER(System!$C41),E485&lt;&gt;0),F485,PlotData!$CB$3)</f>
        <v>0</v>
      </c>
      <c r="K485" s="998">
        <f>IF(AND(ISNUMBER(System!$C41),E485&lt;&gt;0),G485,PlotData!$CB$3)</f>
        <v>0</v>
      </c>
      <c r="L485" s="996">
        <f>IF(AND(ISNUMBER(System!$C41),E485&lt;&gt;0),IF(C485&lt;0,System!BE159,System!BF159)-IF(D397=0,0,1)*$J$1*MIN($E$1,B485)*ABS(C485)*E485-$H$1*$E$1*ABS(D485)*E485,PlotData!$CB$4)</f>
        <v>0</v>
      </c>
      <c r="M485" s="997">
        <f>IF(AND(ISNUMBER(System!$C41),E485&lt;&gt;0),IF(D485=0,IF(C485&gt;0,System!$BE159,System!$BF159),L485),PlotData!$CB$4)</f>
        <v>0</v>
      </c>
      <c r="N485" s="997">
        <f>IF(AND(ISNUMBER(System!$C41),E485&lt;&gt;0),M485 - $E$1*ABS(D485)*E485,PlotData!$CB$4)</f>
        <v>0</v>
      </c>
      <c r="O485" s="997">
        <f>IF(AND(ISNUMBER(System!$C41),E485&lt;&gt;0),N485,PlotData!$CB$4)</f>
        <v>0</v>
      </c>
      <c r="P485" s="997">
        <f>IF(AND(ISNUMBER(System!$C41),E485&lt;&gt;0),L485 - $N$1*$E$1*ABS(D485)*E485,PlotData!$CB$4)</f>
        <v>0</v>
      </c>
      <c r="Q485" s="998">
        <f>IF(AND(ISNUMBER(System!$C41),E485&lt;&gt;0),M485 -$N$1*$E$1*ABS(D485)*E485,PlotData!$CB$4)</f>
        <v>0</v>
      </c>
    </row>
    <row r="486" spans="1:35" x14ac:dyDescent="0.25">
      <c r="A486" s="910">
        <v>39</v>
      </c>
      <c r="B486" s="994">
        <f t="shared" si="165"/>
        <v>0</v>
      </c>
      <c r="C486" s="999">
        <f t="shared" si="165"/>
        <v>0</v>
      </c>
      <c r="D486" s="994">
        <f t="shared" si="165"/>
        <v>0</v>
      </c>
      <c r="E486" s="995">
        <f>IF(AND(ISNUMBER(System!$C42),System!AN42&lt;&gt;0),SIGN(System!AN42),0)</f>
        <v>0</v>
      </c>
      <c r="F486" s="996">
        <f>IF(AND(ISNUMBER(System!$C42),E486&lt;&gt;0),System!BC160,PlotData!$CB$3)</f>
        <v>0</v>
      </c>
      <c r="G486" s="997">
        <f>IF(AND(ISNUMBER(System!$C42),E486&lt;&gt;0),System!BD160,PlotData!$CB$3)</f>
        <v>0</v>
      </c>
      <c r="H486" s="997">
        <f>IF(AND(ISNUMBER(System!$C42),E486&lt;&gt;0),G486,PlotData!$CB$3)</f>
        <v>0</v>
      </c>
      <c r="I486" s="997">
        <f>IF(AND(ISNUMBER(System!$C42),E486&lt;&gt;0),F486,PlotData!$CB$3)</f>
        <v>0</v>
      </c>
      <c r="J486" s="997">
        <f>IF(AND(ISNUMBER(System!$C42),E486&lt;&gt;0),F486,PlotData!$CB$3)</f>
        <v>0</v>
      </c>
      <c r="K486" s="998">
        <f>IF(AND(ISNUMBER(System!$C42),E486&lt;&gt;0),G486,PlotData!$CB$3)</f>
        <v>0</v>
      </c>
      <c r="L486" s="996">
        <f>IF(AND(ISNUMBER(System!$C42),E486&lt;&gt;0),IF(C486&lt;0,System!BE160,System!BF160)-IF(D398=0,0,1)*$J$1*MIN($E$1,B486)*ABS(C486)*E486-$H$1*$E$1*ABS(D486)*E486,PlotData!$CB$4)</f>
        <v>0</v>
      </c>
      <c r="M486" s="997">
        <f>IF(AND(ISNUMBER(System!$C42),E486&lt;&gt;0),IF(D486=0,IF(C486&gt;0,System!$BE160,System!$BF160),L486),PlotData!$CB$4)</f>
        <v>0</v>
      </c>
      <c r="N486" s="997">
        <f>IF(AND(ISNUMBER(System!$C42),E486&lt;&gt;0),M486 - $E$1*ABS(D486)*E486,PlotData!$CB$4)</f>
        <v>0</v>
      </c>
      <c r="O486" s="997">
        <f>IF(AND(ISNUMBER(System!$C42),E486&lt;&gt;0),N486,PlotData!$CB$4)</f>
        <v>0</v>
      </c>
      <c r="P486" s="997">
        <f>IF(AND(ISNUMBER(System!$C42),E486&lt;&gt;0),L486 - $N$1*$E$1*ABS(D486)*E486,PlotData!$CB$4)</f>
        <v>0</v>
      </c>
      <c r="Q486" s="998">
        <f>IF(AND(ISNUMBER(System!$C42),E486&lt;&gt;0),M486 -$N$1*$E$1*ABS(D486)*E486,PlotData!$CB$4)</f>
        <v>0</v>
      </c>
    </row>
    <row r="487" spans="1:35" ht="13.8" thickBot="1" x14ac:dyDescent="0.3">
      <c r="A487" s="911">
        <v>40</v>
      </c>
      <c r="B487" s="1000">
        <f t="shared" si="165"/>
        <v>0</v>
      </c>
      <c r="C487" s="1001">
        <f t="shared" si="165"/>
        <v>0</v>
      </c>
      <c r="D487" s="1000">
        <f t="shared" si="165"/>
        <v>0</v>
      </c>
      <c r="E487" s="1002">
        <f>IF(AND(ISNUMBER(System!$C43),System!AN43&lt;&gt;0),SIGN(System!AN43),0)</f>
        <v>0</v>
      </c>
      <c r="F487" s="1003">
        <f>IF(AND(ISNUMBER(System!$C43),E487&lt;&gt;0),System!BC161,PlotData!$CB$3)</f>
        <v>0</v>
      </c>
      <c r="G487" s="1004">
        <f>IF(AND(ISNUMBER(System!$C43),E487&lt;&gt;0),System!BD161,PlotData!$CB$3)</f>
        <v>0</v>
      </c>
      <c r="H487" s="1004">
        <f>IF(AND(ISNUMBER(System!$C43),E487&lt;&gt;0),G487,PlotData!$CB$3)</f>
        <v>0</v>
      </c>
      <c r="I487" s="1004">
        <f>IF(AND(ISNUMBER(System!$C43),E487&lt;&gt;0),F487,PlotData!$CB$3)</f>
        <v>0</v>
      </c>
      <c r="J487" s="1004">
        <f>IF(AND(ISNUMBER(System!$C43),E487&lt;&gt;0),F487,PlotData!$CB$3)</f>
        <v>0</v>
      </c>
      <c r="K487" s="1005">
        <f>IF(AND(ISNUMBER(System!$C43),E487&lt;&gt;0),G487,PlotData!$CB$3)</f>
        <v>0</v>
      </c>
      <c r="L487" s="1003">
        <f>IF(AND(ISNUMBER(System!$C43),E487&lt;&gt;0),IF(C487&lt;0,System!BE161,System!BF161)-IF(D399=0,0,1)*$J$1*MIN($E$1,B487)*ABS(C487)*E487-$H$1*$E$1*ABS(D487)*E487,PlotData!$CB$4)</f>
        <v>0</v>
      </c>
      <c r="M487" s="1004">
        <f>IF(AND(ISNUMBER(System!$C43),E487&lt;&gt;0),IF(D487=0,IF(C487&gt;0,System!$BE161,System!$BF161),L487),PlotData!$CB$4)</f>
        <v>0</v>
      </c>
      <c r="N487" s="1004">
        <f>IF(AND(ISNUMBER(System!$C43),E487&lt;&gt;0),M487 - $E$1*ABS(D487)*E487,PlotData!$CB$4)</f>
        <v>0</v>
      </c>
      <c r="O487" s="1004">
        <f>IF(AND(ISNUMBER(System!$C43),E487&lt;&gt;0),N487,PlotData!$CB$4)</f>
        <v>0</v>
      </c>
      <c r="P487" s="1004">
        <f>IF(AND(ISNUMBER(System!$C43),E487&lt;&gt;0),L487 - $N$1*$E$1*ABS(D487)*E487,PlotData!$CB$4)</f>
        <v>0</v>
      </c>
      <c r="Q487" s="1005">
        <f>IF(AND(ISNUMBER(System!$C43),E487&lt;&gt;0),M487 -$N$1*$E$1*ABS(D487)*E487,PlotData!$CB$4)</f>
        <v>0</v>
      </c>
    </row>
    <row r="489" spans="1:35" ht="13.8" thickBot="1" x14ac:dyDescent="0.3">
      <c r="U489" s="41" t="s">
        <v>375</v>
      </c>
      <c r="AB489" s="41" t="s">
        <v>376</v>
      </c>
    </row>
    <row r="490" spans="1:35" ht="13.8" thickBot="1" x14ac:dyDescent="0.3">
      <c r="A490" s="904" t="s">
        <v>43</v>
      </c>
      <c r="B490" s="1006" t="s">
        <v>291</v>
      </c>
      <c r="C490" s="990" t="s">
        <v>292</v>
      </c>
      <c r="D490" s="989" t="s">
        <v>293</v>
      </c>
      <c r="E490" s="990" t="s">
        <v>294</v>
      </c>
      <c r="F490" s="989" t="s">
        <v>295</v>
      </c>
      <c r="G490" s="990" t="s">
        <v>296</v>
      </c>
      <c r="H490" s="989" t="s">
        <v>297</v>
      </c>
      <c r="I490" s="990" t="s">
        <v>298</v>
      </c>
      <c r="J490" s="989" t="s">
        <v>299</v>
      </c>
      <c r="K490" s="990" t="s">
        <v>300</v>
      </c>
      <c r="L490" s="989" t="s">
        <v>301</v>
      </c>
      <c r="M490" s="990" t="s">
        <v>302</v>
      </c>
      <c r="N490" s="989" t="s">
        <v>303</v>
      </c>
      <c r="O490" s="990" t="s">
        <v>304</v>
      </c>
      <c r="P490" s="989" t="s">
        <v>305</v>
      </c>
      <c r="Q490" s="990" t="s">
        <v>306</v>
      </c>
      <c r="R490" s="991" t="s">
        <v>307</v>
      </c>
      <c r="S490" s="1007" t="s">
        <v>308</v>
      </c>
      <c r="T490" s="1008" t="s">
        <v>309</v>
      </c>
      <c r="U490" s="1009" t="s">
        <v>310</v>
      </c>
      <c r="V490" s="1008" t="s">
        <v>311</v>
      </c>
      <c r="W490" s="1009" t="s">
        <v>312</v>
      </c>
      <c r="X490" s="1008" t="s">
        <v>313</v>
      </c>
      <c r="Y490" s="1009" t="s">
        <v>314</v>
      </c>
      <c r="Z490" s="1008" t="s">
        <v>315</v>
      </c>
      <c r="AA490" s="1009" t="s">
        <v>316</v>
      </c>
      <c r="AB490" s="1008" t="s">
        <v>317</v>
      </c>
      <c r="AC490" s="1009" t="s">
        <v>318</v>
      </c>
      <c r="AD490" s="1008" t="s">
        <v>319</v>
      </c>
      <c r="AE490" s="1009" t="s">
        <v>320</v>
      </c>
      <c r="AF490" s="1008" t="s">
        <v>321</v>
      </c>
      <c r="AG490" s="1009" t="s">
        <v>322</v>
      </c>
      <c r="AH490" s="1008" t="s">
        <v>323</v>
      </c>
      <c r="AI490" s="1010" t="s">
        <v>324</v>
      </c>
    </row>
    <row r="491" spans="1:35" x14ac:dyDescent="0.25">
      <c r="A491" s="910">
        <v>1</v>
      </c>
      <c r="B491" s="996">
        <f>I448</f>
        <v>0</v>
      </c>
      <c r="C491" s="1011">
        <f>F448</f>
        <v>0</v>
      </c>
      <c r="D491" s="997">
        <f ca="1">J448+IF(D448&lt;&gt;0,E448*$T$1*D448,$T$1/2)</f>
        <v>0</v>
      </c>
      <c r="E491" s="1011">
        <f ca="1">J448-IF(D448&lt;&gt;0,E448*$T$1*D448,$T$1/2)</f>
        <v>0</v>
      </c>
      <c r="F491" s="997">
        <f>C491</f>
        <v>0</v>
      </c>
      <c r="G491" s="1011">
        <f>G448</f>
        <v>0</v>
      </c>
      <c r="H491" s="997">
        <f>K448</f>
        <v>0</v>
      </c>
      <c r="I491" s="1011">
        <f>G448</f>
        <v>0</v>
      </c>
      <c r="J491" s="997">
        <f>G491</f>
        <v>0</v>
      </c>
      <c r="K491" s="1011">
        <f ca="1">K448 + IF(D448&lt;&gt;0,E448*$T$1*D448,$T$1/2)</f>
        <v>0</v>
      </c>
      <c r="L491" s="997">
        <f ca="1">K448 - IF(D448&lt;&gt;0,E448*$T$1*D448,$T$1/2)</f>
        <v>0</v>
      </c>
      <c r="M491" s="1011">
        <f>J491</f>
        <v>0</v>
      </c>
      <c r="N491" s="997">
        <f>H448</f>
        <v>0</v>
      </c>
      <c r="O491" s="1011">
        <f>H448</f>
        <v>0</v>
      </c>
      <c r="P491" s="997">
        <f>G448</f>
        <v>0</v>
      </c>
      <c r="Q491" s="1011">
        <f>N491</f>
        <v>0</v>
      </c>
      <c r="R491" s="999">
        <f>B491</f>
        <v>0</v>
      </c>
      <c r="S491" s="1012">
        <f>O448</f>
        <v>0</v>
      </c>
      <c r="T491" s="1013">
        <f>L448</f>
        <v>0</v>
      </c>
      <c r="U491" s="1013">
        <f ca="1">P448-IF(D448=0,IF(C448&gt;0,1,-1)*E448*C448*$T$1)</f>
        <v>0</v>
      </c>
      <c r="V491" s="1013">
        <f ca="1">U491</f>
        <v>0</v>
      </c>
      <c r="W491" s="1013">
        <f>T491</f>
        <v>0</v>
      </c>
      <c r="X491" s="1013">
        <f>M448</f>
        <v>0</v>
      </c>
      <c r="Y491" s="1013">
        <f>M448</f>
        <v>0</v>
      </c>
      <c r="Z491" s="1013">
        <f>M448</f>
        <v>0</v>
      </c>
      <c r="AA491" s="1013">
        <f>X491</f>
        <v>0</v>
      </c>
      <c r="AB491" s="1013">
        <f ca="1">Q448 - IF(D448=0,IF(C448&gt;0,1,-1)*E448*C448*$T$1)</f>
        <v>0</v>
      </c>
      <c r="AC491" s="1013">
        <f ca="1">AB491</f>
        <v>0</v>
      </c>
      <c r="AD491" s="1013">
        <f>AA491</f>
        <v>0</v>
      </c>
      <c r="AE491" s="1013">
        <f>N448</f>
        <v>0</v>
      </c>
      <c r="AF491" s="1013">
        <f>N448</f>
        <v>0</v>
      </c>
      <c r="AG491" s="1013">
        <f>N448</f>
        <v>0</v>
      </c>
      <c r="AH491" s="1013">
        <f>AE491</f>
        <v>0</v>
      </c>
      <c r="AI491" s="1014">
        <f>S491</f>
        <v>0</v>
      </c>
    </row>
    <row r="492" spans="1:35" x14ac:dyDescent="0.25">
      <c r="A492" s="910">
        <v>2</v>
      </c>
      <c r="B492" s="996">
        <f t="shared" ref="B492:B530" si="166">I449</f>
        <v>0</v>
      </c>
      <c r="C492" s="1011">
        <f t="shared" ref="C492:C530" si="167">F449</f>
        <v>0</v>
      </c>
      <c r="D492" s="997">
        <f t="shared" ref="D492:D530" ca="1" si="168">J449+IF(D449&lt;&gt;0,E449*$T$1*D449,$T$1/2)</f>
        <v>0.84852813742385713</v>
      </c>
      <c r="E492" s="1011">
        <f t="shared" ref="E492:E530" ca="1" si="169">J449-IF(D449&lt;&gt;0,E449*$T$1*D449,$T$1/2)</f>
        <v>-0.84852813742385713</v>
      </c>
      <c r="F492" s="997">
        <f t="shared" ref="F492:F530" si="170">C492</f>
        <v>0</v>
      </c>
      <c r="G492" s="1011">
        <f t="shared" ref="G492:G530" si="171">G449</f>
        <v>0</v>
      </c>
      <c r="H492" s="997">
        <f t="shared" ref="H492:H530" si="172">K449</f>
        <v>0</v>
      </c>
      <c r="I492" s="1011">
        <f t="shared" ref="I492:I530" si="173">G449</f>
        <v>0</v>
      </c>
      <c r="J492" s="997">
        <f t="shared" ref="J492:J530" si="174">G492</f>
        <v>0</v>
      </c>
      <c r="K492" s="1011">
        <f t="shared" ref="K492:K530" ca="1" si="175">K449 + IF(D449&lt;&gt;0,E449*$T$1*D449,$T$1/2)</f>
        <v>0.84852813742385713</v>
      </c>
      <c r="L492" s="997">
        <f t="shared" ref="L492:L530" ca="1" si="176">K449 - IF(D449&lt;&gt;0,E449*$T$1*D449,$T$1/2)</f>
        <v>-0.84852813742385713</v>
      </c>
      <c r="M492" s="1011">
        <f t="shared" ref="M492:M530" si="177">J492</f>
        <v>0</v>
      </c>
      <c r="N492" s="997">
        <f t="shared" ref="N492:N530" si="178">H449</f>
        <v>0</v>
      </c>
      <c r="O492" s="1011">
        <f t="shared" ref="O492:O530" si="179">H449</f>
        <v>0</v>
      </c>
      <c r="P492" s="997">
        <f t="shared" ref="P492:P530" si="180">G449</f>
        <v>0</v>
      </c>
      <c r="Q492" s="1011">
        <f t="shared" ref="Q492:Q530" si="181">N492</f>
        <v>0</v>
      </c>
      <c r="R492" s="999">
        <f t="shared" ref="R492:R530" si="182">B492</f>
        <v>0</v>
      </c>
      <c r="S492" s="996">
        <f t="shared" ref="S492:S530" si="183">O449</f>
        <v>0</v>
      </c>
      <c r="T492" s="997">
        <f t="shared" ref="T492:T530" si="184">L449</f>
        <v>0</v>
      </c>
      <c r="U492" s="997">
        <f t="shared" ref="U492:U530" ca="1" si="185">P449-IF(D449=0,IF(C449&gt;0,1,-1)*E449*C449*$T$1)</f>
        <v>0</v>
      </c>
      <c r="V492" s="997">
        <f t="shared" ref="V492:V530" ca="1" si="186">U492</f>
        <v>0</v>
      </c>
      <c r="W492" s="997">
        <f t="shared" ref="W492:W530" si="187">T492</f>
        <v>0</v>
      </c>
      <c r="X492" s="997">
        <f t="shared" ref="X492:X530" si="188">M449</f>
        <v>0</v>
      </c>
      <c r="Y492" s="997">
        <f t="shared" ref="Y492:Y530" si="189">M449</f>
        <v>0</v>
      </c>
      <c r="Z492" s="997">
        <f t="shared" ref="Z492:Z530" si="190">M449</f>
        <v>0</v>
      </c>
      <c r="AA492" s="997">
        <f t="shared" ref="AA492:AA530" si="191">X492</f>
        <v>0</v>
      </c>
      <c r="AB492" s="997">
        <f t="shared" ref="AB492:AB530" ca="1" si="192">Q449 - IF(D449=0,IF(C449&gt;0,1,-1)*E449*C449*$T$1)</f>
        <v>0</v>
      </c>
      <c r="AC492" s="997">
        <f t="shared" ref="AC492:AC530" ca="1" si="193">AB492</f>
        <v>0</v>
      </c>
      <c r="AD492" s="997">
        <f t="shared" ref="AD492:AD530" si="194">AA492</f>
        <v>0</v>
      </c>
      <c r="AE492" s="997">
        <f t="shared" ref="AE492:AE530" si="195">N449</f>
        <v>0</v>
      </c>
      <c r="AF492" s="997">
        <f t="shared" ref="AF492:AF530" si="196">N449</f>
        <v>0</v>
      </c>
      <c r="AG492" s="997">
        <f t="shared" ref="AG492:AG530" si="197">N449</f>
        <v>0</v>
      </c>
      <c r="AH492" s="997">
        <f t="shared" ref="AH492:AH530" si="198">AE492</f>
        <v>0</v>
      </c>
      <c r="AI492" s="998">
        <f t="shared" ref="AI492:AI530" si="199">S492</f>
        <v>0</v>
      </c>
    </row>
    <row r="493" spans="1:35" x14ac:dyDescent="0.25">
      <c r="A493" s="910">
        <v>3</v>
      </c>
      <c r="B493" s="996">
        <f t="shared" si="166"/>
        <v>0</v>
      </c>
      <c r="C493" s="1011">
        <f t="shared" si="167"/>
        <v>0</v>
      </c>
      <c r="D493" s="997">
        <f t="shared" ca="1" si="168"/>
        <v>0</v>
      </c>
      <c r="E493" s="1011">
        <f t="shared" ca="1" si="169"/>
        <v>0</v>
      </c>
      <c r="F493" s="997">
        <f t="shared" si="170"/>
        <v>0</v>
      </c>
      <c r="G493" s="1011">
        <f t="shared" si="171"/>
        <v>0</v>
      </c>
      <c r="H493" s="997">
        <f t="shared" si="172"/>
        <v>0</v>
      </c>
      <c r="I493" s="1011">
        <f t="shared" si="173"/>
        <v>0</v>
      </c>
      <c r="J493" s="997">
        <f t="shared" si="174"/>
        <v>0</v>
      </c>
      <c r="K493" s="1011">
        <f t="shared" ca="1" si="175"/>
        <v>0</v>
      </c>
      <c r="L493" s="997">
        <f t="shared" ca="1" si="176"/>
        <v>0</v>
      </c>
      <c r="M493" s="1011">
        <f t="shared" si="177"/>
        <v>0</v>
      </c>
      <c r="N493" s="997">
        <f t="shared" si="178"/>
        <v>0</v>
      </c>
      <c r="O493" s="1011">
        <f t="shared" si="179"/>
        <v>0</v>
      </c>
      <c r="P493" s="997">
        <f t="shared" si="180"/>
        <v>0</v>
      </c>
      <c r="Q493" s="1011">
        <f t="shared" si="181"/>
        <v>0</v>
      </c>
      <c r="R493" s="999">
        <f t="shared" si="182"/>
        <v>0</v>
      </c>
      <c r="S493" s="996">
        <f t="shared" si="183"/>
        <v>0</v>
      </c>
      <c r="T493" s="997">
        <f t="shared" si="184"/>
        <v>0</v>
      </c>
      <c r="U493" s="997">
        <f t="shared" ca="1" si="185"/>
        <v>0</v>
      </c>
      <c r="V493" s="997">
        <f t="shared" ca="1" si="186"/>
        <v>0</v>
      </c>
      <c r="W493" s="997">
        <f t="shared" si="187"/>
        <v>0</v>
      </c>
      <c r="X493" s="997">
        <f t="shared" si="188"/>
        <v>0</v>
      </c>
      <c r="Y493" s="997">
        <f t="shared" si="189"/>
        <v>0</v>
      </c>
      <c r="Z493" s="997">
        <f t="shared" si="190"/>
        <v>0</v>
      </c>
      <c r="AA493" s="997">
        <f t="shared" si="191"/>
        <v>0</v>
      </c>
      <c r="AB493" s="997">
        <f t="shared" ca="1" si="192"/>
        <v>0</v>
      </c>
      <c r="AC493" s="997">
        <f t="shared" ca="1" si="193"/>
        <v>0</v>
      </c>
      <c r="AD493" s="997">
        <f t="shared" si="194"/>
        <v>0</v>
      </c>
      <c r="AE493" s="997">
        <f t="shared" si="195"/>
        <v>0</v>
      </c>
      <c r="AF493" s="997">
        <f t="shared" si="196"/>
        <v>0</v>
      </c>
      <c r="AG493" s="997">
        <f t="shared" si="197"/>
        <v>0</v>
      </c>
      <c r="AH493" s="997">
        <f t="shared" si="198"/>
        <v>0</v>
      </c>
      <c r="AI493" s="998">
        <f t="shared" si="199"/>
        <v>0</v>
      </c>
    </row>
    <row r="494" spans="1:35" x14ac:dyDescent="0.25">
      <c r="A494" s="910">
        <v>4</v>
      </c>
      <c r="B494" s="996">
        <f t="shared" si="166"/>
        <v>0</v>
      </c>
      <c r="C494" s="1011">
        <f t="shared" si="167"/>
        <v>0</v>
      </c>
      <c r="D494" s="997">
        <f t="shared" ca="1" si="168"/>
        <v>0</v>
      </c>
      <c r="E494" s="1011">
        <f t="shared" ca="1" si="169"/>
        <v>0</v>
      </c>
      <c r="F494" s="997">
        <f t="shared" si="170"/>
        <v>0</v>
      </c>
      <c r="G494" s="1011">
        <f t="shared" si="171"/>
        <v>0</v>
      </c>
      <c r="H494" s="997">
        <f t="shared" si="172"/>
        <v>0</v>
      </c>
      <c r="I494" s="1011">
        <f t="shared" si="173"/>
        <v>0</v>
      </c>
      <c r="J494" s="997">
        <f t="shared" si="174"/>
        <v>0</v>
      </c>
      <c r="K494" s="1011">
        <f t="shared" ca="1" si="175"/>
        <v>0</v>
      </c>
      <c r="L494" s="997">
        <f t="shared" ca="1" si="176"/>
        <v>0</v>
      </c>
      <c r="M494" s="1011">
        <f t="shared" si="177"/>
        <v>0</v>
      </c>
      <c r="N494" s="997">
        <f t="shared" si="178"/>
        <v>0</v>
      </c>
      <c r="O494" s="1011">
        <f t="shared" si="179"/>
        <v>0</v>
      </c>
      <c r="P494" s="997">
        <f t="shared" si="180"/>
        <v>0</v>
      </c>
      <c r="Q494" s="1011">
        <f t="shared" si="181"/>
        <v>0</v>
      </c>
      <c r="R494" s="999">
        <f t="shared" si="182"/>
        <v>0</v>
      </c>
      <c r="S494" s="996">
        <f t="shared" si="183"/>
        <v>0</v>
      </c>
      <c r="T494" s="997">
        <f t="shared" si="184"/>
        <v>0</v>
      </c>
      <c r="U494" s="997">
        <f t="shared" ca="1" si="185"/>
        <v>0</v>
      </c>
      <c r="V494" s="997">
        <f t="shared" ca="1" si="186"/>
        <v>0</v>
      </c>
      <c r="W494" s="997">
        <f t="shared" si="187"/>
        <v>0</v>
      </c>
      <c r="X494" s="997">
        <f t="shared" si="188"/>
        <v>0</v>
      </c>
      <c r="Y494" s="997">
        <f t="shared" si="189"/>
        <v>0</v>
      </c>
      <c r="Z494" s="997">
        <f t="shared" si="190"/>
        <v>0</v>
      </c>
      <c r="AA494" s="997">
        <f t="shared" si="191"/>
        <v>0</v>
      </c>
      <c r="AB494" s="997">
        <f t="shared" ca="1" si="192"/>
        <v>0</v>
      </c>
      <c r="AC494" s="997">
        <f t="shared" ca="1" si="193"/>
        <v>0</v>
      </c>
      <c r="AD494" s="997">
        <f t="shared" si="194"/>
        <v>0</v>
      </c>
      <c r="AE494" s="997">
        <f t="shared" si="195"/>
        <v>0</v>
      </c>
      <c r="AF494" s="997">
        <f t="shared" si="196"/>
        <v>0</v>
      </c>
      <c r="AG494" s="997">
        <f t="shared" si="197"/>
        <v>0</v>
      </c>
      <c r="AH494" s="997">
        <f t="shared" si="198"/>
        <v>0</v>
      </c>
      <c r="AI494" s="998">
        <f t="shared" si="199"/>
        <v>0</v>
      </c>
    </row>
    <row r="495" spans="1:35" x14ac:dyDescent="0.25">
      <c r="A495" s="910">
        <v>5</v>
      </c>
      <c r="B495" s="996">
        <f t="shared" si="166"/>
        <v>0</v>
      </c>
      <c r="C495" s="1011">
        <f t="shared" si="167"/>
        <v>0</v>
      </c>
      <c r="D495" s="997">
        <f t="shared" ca="1" si="168"/>
        <v>0</v>
      </c>
      <c r="E495" s="1011">
        <f t="shared" ca="1" si="169"/>
        <v>0</v>
      </c>
      <c r="F495" s="997">
        <f t="shared" si="170"/>
        <v>0</v>
      </c>
      <c r="G495" s="1011">
        <f t="shared" si="171"/>
        <v>0</v>
      </c>
      <c r="H495" s="997">
        <f t="shared" si="172"/>
        <v>0</v>
      </c>
      <c r="I495" s="1011">
        <f t="shared" si="173"/>
        <v>0</v>
      </c>
      <c r="J495" s="997">
        <f t="shared" si="174"/>
        <v>0</v>
      </c>
      <c r="K495" s="1011">
        <f t="shared" ca="1" si="175"/>
        <v>0</v>
      </c>
      <c r="L495" s="997">
        <f t="shared" ca="1" si="176"/>
        <v>0</v>
      </c>
      <c r="M495" s="1011">
        <f t="shared" si="177"/>
        <v>0</v>
      </c>
      <c r="N495" s="997">
        <f t="shared" si="178"/>
        <v>0</v>
      </c>
      <c r="O495" s="1011">
        <f t="shared" si="179"/>
        <v>0</v>
      </c>
      <c r="P495" s="997">
        <f t="shared" si="180"/>
        <v>0</v>
      </c>
      <c r="Q495" s="1011">
        <f t="shared" si="181"/>
        <v>0</v>
      </c>
      <c r="R495" s="999">
        <f t="shared" si="182"/>
        <v>0</v>
      </c>
      <c r="S495" s="996">
        <f t="shared" si="183"/>
        <v>0</v>
      </c>
      <c r="T495" s="997">
        <f t="shared" si="184"/>
        <v>0</v>
      </c>
      <c r="U495" s="997">
        <f t="shared" ca="1" si="185"/>
        <v>0</v>
      </c>
      <c r="V495" s="997">
        <f t="shared" ca="1" si="186"/>
        <v>0</v>
      </c>
      <c r="W495" s="997">
        <f>T495</f>
        <v>0</v>
      </c>
      <c r="X495" s="997">
        <f t="shared" si="188"/>
        <v>0</v>
      </c>
      <c r="Y495" s="997">
        <f t="shared" si="189"/>
        <v>0</v>
      </c>
      <c r="Z495" s="997">
        <f t="shared" si="190"/>
        <v>0</v>
      </c>
      <c r="AA495" s="997">
        <f t="shared" si="191"/>
        <v>0</v>
      </c>
      <c r="AB495" s="997">
        <f t="shared" ca="1" si="192"/>
        <v>0</v>
      </c>
      <c r="AC495" s="997">
        <f t="shared" ca="1" si="193"/>
        <v>0</v>
      </c>
      <c r="AD495" s="997">
        <f t="shared" si="194"/>
        <v>0</v>
      </c>
      <c r="AE495" s="997">
        <f t="shared" si="195"/>
        <v>0</v>
      </c>
      <c r="AF495" s="997">
        <f t="shared" si="196"/>
        <v>0</v>
      </c>
      <c r="AG495" s="997">
        <f t="shared" si="197"/>
        <v>0</v>
      </c>
      <c r="AH495" s="997">
        <f t="shared" si="198"/>
        <v>0</v>
      </c>
      <c r="AI495" s="998">
        <f t="shared" si="199"/>
        <v>0</v>
      </c>
    </row>
    <row r="496" spans="1:35" x14ac:dyDescent="0.25">
      <c r="A496" s="910">
        <v>6</v>
      </c>
      <c r="B496" s="996">
        <f t="shared" si="166"/>
        <v>0</v>
      </c>
      <c r="C496" s="1011">
        <f t="shared" si="167"/>
        <v>0</v>
      </c>
      <c r="D496" s="997">
        <f t="shared" si="168"/>
        <v>0.84852813742385713</v>
      </c>
      <c r="E496" s="1011">
        <f t="shared" si="169"/>
        <v>-0.84852813742385713</v>
      </c>
      <c r="F496" s="997">
        <f t="shared" si="170"/>
        <v>0</v>
      </c>
      <c r="G496" s="1011">
        <f t="shared" si="171"/>
        <v>0</v>
      </c>
      <c r="H496" s="997">
        <f t="shared" si="172"/>
        <v>0</v>
      </c>
      <c r="I496" s="1011">
        <f t="shared" si="173"/>
        <v>0</v>
      </c>
      <c r="J496" s="997">
        <f t="shared" si="174"/>
        <v>0</v>
      </c>
      <c r="K496" s="1011">
        <f t="shared" si="175"/>
        <v>0.84852813742385713</v>
      </c>
      <c r="L496" s="997">
        <f t="shared" si="176"/>
        <v>-0.84852813742385713</v>
      </c>
      <c r="M496" s="1011">
        <f t="shared" si="177"/>
        <v>0</v>
      </c>
      <c r="N496" s="997">
        <f t="shared" si="178"/>
        <v>0</v>
      </c>
      <c r="O496" s="1011">
        <f t="shared" si="179"/>
        <v>0</v>
      </c>
      <c r="P496" s="997">
        <f t="shared" si="180"/>
        <v>0</v>
      </c>
      <c r="Q496" s="1011">
        <f t="shared" si="181"/>
        <v>0</v>
      </c>
      <c r="R496" s="999">
        <f t="shared" si="182"/>
        <v>0</v>
      </c>
      <c r="S496" s="996">
        <f t="shared" si="183"/>
        <v>0</v>
      </c>
      <c r="T496" s="997">
        <f t="shared" si="184"/>
        <v>0</v>
      </c>
      <c r="U496" s="997">
        <f t="shared" si="185"/>
        <v>0</v>
      </c>
      <c r="V496" s="997">
        <f t="shared" si="186"/>
        <v>0</v>
      </c>
      <c r="W496" s="997">
        <f t="shared" si="187"/>
        <v>0</v>
      </c>
      <c r="X496" s="997">
        <f t="shared" si="188"/>
        <v>0</v>
      </c>
      <c r="Y496" s="997">
        <f t="shared" si="189"/>
        <v>0</v>
      </c>
      <c r="Z496" s="997">
        <f t="shared" si="190"/>
        <v>0</v>
      </c>
      <c r="AA496" s="997">
        <f t="shared" si="191"/>
        <v>0</v>
      </c>
      <c r="AB496" s="997">
        <f t="shared" si="192"/>
        <v>0</v>
      </c>
      <c r="AC496" s="997">
        <f t="shared" si="193"/>
        <v>0</v>
      </c>
      <c r="AD496" s="997">
        <f t="shared" si="194"/>
        <v>0</v>
      </c>
      <c r="AE496" s="997">
        <f t="shared" si="195"/>
        <v>0</v>
      </c>
      <c r="AF496" s="997">
        <f t="shared" si="196"/>
        <v>0</v>
      </c>
      <c r="AG496" s="997">
        <f t="shared" si="197"/>
        <v>0</v>
      </c>
      <c r="AH496" s="997">
        <f t="shared" si="198"/>
        <v>0</v>
      </c>
      <c r="AI496" s="998">
        <f t="shared" si="199"/>
        <v>0</v>
      </c>
    </row>
    <row r="497" spans="1:35" x14ac:dyDescent="0.25">
      <c r="A497" s="910">
        <v>7</v>
      </c>
      <c r="B497" s="996">
        <f t="shared" si="166"/>
        <v>0</v>
      </c>
      <c r="C497" s="1011">
        <f t="shared" si="167"/>
        <v>0</v>
      </c>
      <c r="D497" s="997">
        <f t="shared" si="168"/>
        <v>0.84852813742385713</v>
      </c>
      <c r="E497" s="1011">
        <f t="shared" si="169"/>
        <v>-0.84852813742385713</v>
      </c>
      <c r="F497" s="997">
        <f t="shared" si="170"/>
        <v>0</v>
      </c>
      <c r="G497" s="1011">
        <f t="shared" si="171"/>
        <v>0</v>
      </c>
      <c r="H497" s="997">
        <f t="shared" si="172"/>
        <v>0</v>
      </c>
      <c r="I497" s="1011">
        <f t="shared" si="173"/>
        <v>0</v>
      </c>
      <c r="J497" s="997">
        <f t="shared" si="174"/>
        <v>0</v>
      </c>
      <c r="K497" s="1011">
        <f t="shared" si="175"/>
        <v>0.84852813742385713</v>
      </c>
      <c r="L497" s="997">
        <f t="shared" si="176"/>
        <v>-0.84852813742385713</v>
      </c>
      <c r="M497" s="1011">
        <f t="shared" si="177"/>
        <v>0</v>
      </c>
      <c r="N497" s="997">
        <f t="shared" si="178"/>
        <v>0</v>
      </c>
      <c r="O497" s="1011">
        <f t="shared" si="179"/>
        <v>0</v>
      </c>
      <c r="P497" s="997">
        <f t="shared" si="180"/>
        <v>0</v>
      </c>
      <c r="Q497" s="1011">
        <f t="shared" si="181"/>
        <v>0</v>
      </c>
      <c r="R497" s="999">
        <f t="shared" si="182"/>
        <v>0</v>
      </c>
      <c r="S497" s="996">
        <f t="shared" si="183"/>
        <v>0</v>
      </c>
      <c r="T497" s="997">
        <f t="shared" si="184"/>
        <v>0</v>
      </c>
      <c r="U497" s="997">
        <f t="shared" si="185"/>
        <v>0</v>
      </c>
      <c r="V497" s="997">
        <f t="shared" si="186"/>
        <v>0</v>
      </c>
      <c r="W497" s="997">
        <f t="shared" si="187"/>
        <v>0</v>
      </c>
      <c r="X497" s="997">
        <f t="shared" si="188"/>
        <v>0</v>
      </c>
      <c r="Y497" s="997">
        <f t="shared" si="189"/>
        <v>0</v>
      </c>
      <c r="Z497" s="997">
        <f t="shared" si="190"/>
        <v>0</v>
      </c>
      <c r="AA497" s="997">
        <f t="shared" si="191"/>
        <v>0</v>
      </c>
      <c r="AB497" s="997">
        <f t="shared" si="192"/>
        <v>0</v>
      </c>
      <c r="AC497" s="997">
        <f t="shared" si="193"/>
        <v>0</v>
      </c>
      <c r="AD497" s="997">
        <f t="shared" si="194"/>
        <v>0</v>
      </c>
      <c r="AE497" s="997">
        <f t="shared" si="195"/>
        <v>0</v>
      </c>
      <c r="AF497" s="997">
        <f t="shared" si="196"/>
        <v>0</v>
      </c>
      <c r="AG497" s="997">
        <f t="shared" si="197"/>
        <v>0</v>
      </c>
      <c r="AH497" s="997">
        <f t="shared" si="198"/>
        <v>0</v>
      </c>
      <c r="AI497" s="998">
        <f t="shared" si="199"/>
        <v>0</v>
      </c>
    </row>
    <row r="498" spans="1:35" x14ac:dyDescent="0.25">
      <c r="A498" s="910">
        <v>8</v>
      </c>
      <c r="B498" s="996">
        <f t="shared" si="166"/>
        <v>0</v>
      </c>
      <c r="C498" s="1011">
        <f t="shared" si="167"/>
        <v>0</v>
      </c>
      <c r="D498" s="997">
        <f t="shared" si="168"/>
        <v>0.84852813742385713</v>
      </c>
      <c r="E498" s="1011">
        <f t="shared" si="169"/>
        <v>-0.84852813742385713</v>
      </c>
      <c r="F498" s="997">
        <f t="shared" si="170"/>
        <v>0</v>
      </c>
      <c r="G498" s="1011">
        <f t="shared" si="171"/>
        <v>0</v>
      </c>
      <c r="H498" s="997">
        <f t="shared" si="172"/>
        <v>0</v>
      </c>
      <c r="I498" s="1011">
        <f t="shared" si="173"/>
        <v>0</v>
      </c>
      <c r="J498" s="997">
        <f t="shared" si="174"/>
        <v>0</v>
      </c>
      <c r="K498" s="1011">
        <f t="shared" si="175"/>
        <v>0.84852813742385713</v>
      </c>
      <c r="L498" s="997">
        <f t="shared" si="176"/>
        <v>-0.84852813742385713</v>
      </c>
      <c r="M498" s="1011">
        <f t="shared" si="177"/>
        <v>0</v>
      </c>
      <c r="N498" s="997">
        <f t="shared" si="178"/>
        <v>0</v>
      </c>
      <c r="O498" s="1011">
        <f t="shared" si="179"/>
        <v>0</v>
      </c>
      <c r="P498" s="997">
        <f t="shared" si="180"/>
        <v>0</v>
      </c>
      <c r="Q498" s="1011">
        <f t="shared" si="181"/>
        <v>0</v>
      </c>
      <c r="R498" s="999">
        <f t="shared" si="182"/>
        <v>0</v>
      </c>
      <c r="S498" s="996">
        <f t="shared" si="183"/>
        <v>0</v>
      </c>
      <c r="T498" s="997">
        <f t="shared" si="184"/>
        <v>0</v>
      </c>
      <c r="U498" s="997">
        <f t="shared" si="185"/>
        <v>0</v>
      </c>
      <c r="V498" s="997">
        <f t="shared" si="186"/>
        <v>0</v>
      </c>
      <c r="W498" s="997">
        <f t="shared" si="187"/>
        <v>0</v>
      </c>
      <c r="X498" s="997">
        <f t="shared" si="188"/>
        <v>0</v>
      </c>
      <c r="Y498" s="997">
        <f t="shared" si="189"/>
        <v>0</v>
      </c>
      <c r="Z498" s="997">
        <f t="shared" si="190"/>
        <v>0</v>
      </c>
      <c r="AA498" s="997">
        <f t="shared" si="191"/>
        <v>0</v>
      </c>
      <c r="AB498" s="997">
        <f t="shared" si="192"/>
        <v>0</v>
      </c>
      <c r="AC498" s="997">
        <f t="shared" si="193"/>
        <v>0</v>
      </c>
      <c r="AD498" s="997">
        <f t="shared" si="194"/>
        <v>0</v>
      </c>
      <c r="AE498" s="997">
        <f t="shared" si="195"/>
        <v>0</v>
      </c>
      <c r="AF498" s="997">
        <f t="shared" si="196"/>
        <v>0</v>
      </c>
      <c r="AG498" s="997">
        <f t="shared" si="197"/>
        <v>0</v>
      </c>
      <c r="AH498" s="997">
        <f t="shared" si="198"/>
        <v>0</v>
      </c>
      <c r="AI498" s="998">
        <f t="shared" si="199"/>
        <v>0</v>
      </c>
    </row>
    <row r="499" spans="1:35" x14ac:dyDescent="0.25">
      <c r="A499" s="910">
        <v>9</v>
      </c>
      <c r="B499" s="996">
        <f t="shared" si="166"/>
        <v>0</v>
      </c>
      <c r="C499" s="1011">
        <f t="shared" si="167"/>
        <v>0</v>
      </c>
      <c r="D499" s="997">
        <f t="shared" si="168"/>
        <v>0.84852813742385713</v>
      </c>
      <c r="E499" s="1011">
        <f t="shared" si="169"/>
        <v>-0.84852813742385713</v>
      </c>
      <c r="F499" s="997">
        <f t="shared" si="170"/>
        <v>0</v>
      </c>
      <c r="G499" s="1011">
        <f t="shared" si="171"/>
        <v>0</v>
      </c>
      <c r="H499" s="997">
        <f t="shared" si="172"/>
        <v>0</v>
      </c>
      <c r="I499" s="1011">
        <f t="shared" si="173"/>
        <v>0</v>
      </c>
      <c r="J499" s="997">
        <f t="shared" si="174"/>
        <v>0</v>
      </c>
      <c r="K499" s="1011">
        <f t="shared" si="175"/>
        <v>0.84852813742385713</v>
      </c>
      <c r="L499" s="997">
        <f t="shared" si="176"/>
        <v>-0.84852813742385713</v>
      </c>
      <c r="M499" s="1011">
        <f t="shared" si="177"/>
        <v>0</v>
      </c>
      <c r="N499" s="997">
        <f t="shared" si="178"/>
        <v>0</v>
      </c>
      <c r="O499" s="1011">
        <f t="shared" si="179"/>
        <v>0</v>
      </c>
      <c r="P499" s="997">
        <f t="shared" si="180"/>
        <v>0</v>
      </c>
      <c r="Q499" s="1011">
        <f t="shared" si="181"/>
        <v>0</v>
      </c>
      <c r="R499" s="999">
        <f t="shared" si="182"/>
        <v>0</v>
      </c>
      <c r="S499" s="996">
        <f t="shared" si="183"/>
        <v>0</v>
      </c>
      <c r="T499" s="997">
        <f t="shared" si="184"/>
        <v>0</v>
      </c>
      <c r="U499" s="997">
        <f t="shared" si="185"/>
        <v>0</v>
      </c>
      <c r="V499" s="997">
        <f t="shared" si="186"/>
        <v>0</v>
      </c>
      <c r="W499" s="997">
        <f t="shared" si="187"/>
        <v>0</v>
      </c>
      <c r="X499" s="997">
        <f t="shared" si="188"/>
        <v>0</v>
      </c>
      <c r="Y499" s="997">
        <f t="shared" si="189"/>
        <v>0</v>
      </c>
      <c r="Z499" s="997">
        <f t="shared" si="190"/>
        <v>0</v>
      </c>
      <c r="AA499" s="997">
        <f t="shared" si="191"/>
        <v>0</v>
      </c>
      <c r="AB499" s="997">
        <f t="shared" si="192"/>
        <v>0</v>
      </c>
      <c r="AC499" s="997">
        <f t="shared" si="193"/>
        <v>0</v>
      </c>
      <c r="AD499" s="997">
        <f t="shared" si="194"/>
        <v>0</v>
      </c>
      <c r="AE499" s="997">
        <f t="shared" si="195"/>
        <v>0</v>
      </c>
      <c r="AF499" s="997">
        <f t="shared" si="196"/>
        <v>0</v>
      </c>
      <c r="AG499" s="997">
        <f t="shared" si="197"/>
        <v>0</v>
      </c>
      <c r="AH499" s="997">
        <f t="shared" si="198"/>
        <v>0</v>
      </c>
      <c r="AI499" s="998">
        <f t="shared" si="199"/>
        <v>0</v>
      </c>
    </row>
    <row r="500" spans="1:35" x14ac:dyDescent="0.25">
      <c r="A500" s="910">
        <v>10</v>
      </c>
      <c r="B500" s="996">
        <f t="shared" si="166"/>
        <v>0</v>
      </c>
      <c r="C500" s="1011">
        <f t="shared" si="167"/>
        <v>0</v>
      </c>
      <c r="D500" s="997">
        <f t="shared" si="168"/>
        <v>0.84852813742385713</v>
      </c>
      <c r="E500" s="1011">
        <f t="shared" si="169"/>
        <v>-0.84852813742385713</v>
      </c>
      <c r="F500" s="997">
        <f t="shared" si="170"/>
        <v>0</v>
      </c>
      <c r="G500" s="1011">
        <f t="shared" si="171"/>
        <v>0</v>
      </c>
      <c r="H500" s="997">
        <f t="shared" si="172"/>
        <v>0</v>
      </c>
      <c r="I500" s="1011">
        <f t="shared" si="173"/>
        <v>0</v>
      </c>
      <c r="J500" s="997">
        <f t="shared" si="174"/>
        <v>0</v>
      </c>
      <c r="K500" s="1011">
        <f t="shared" si="175"/>
        <v>0.84852813742385713</v>
      </c>
      <c r="L500" s="997">
        <f t="shared" si="176"/>
        <v>-0.84852813742385713</v>
      </c>
      <c r="M500" s="1011">
        <f t="shared" si="177"/>
        <v>0</v>
      </c>
      <c r="N500" s="997">
        <f t="shared" si="178"/>
        <v>0</v>
      </c>
      <c r="O500" s="1011">
        <f t="shared" si="179"/>
        <v>0</v>
      </c>
      <c r="P500" s="997">
        <f t="shared" si="180"/>
        <v>0</v>
      </c>
      <c r="Q500" s="1011">
        <f t="shared" si="181"/>
        <v>0</v>
      </c>
      <c r="R500" s="999">
        <f t="shared" si="182"/>
        <v>0</v>
      </c>
      <c r="S500" s="996">
        <f t="shared" si="183"/>
        <v>0</v>
      </c>
      <c r="T500" s="997">
        <f t="shared" si="184"/>
        <v>0</v>
      </c>
      <c r="U500" s="997">
        <f t="shared" si="185"/>
        <v>0</v>
      </c>
      <c r="V500" s="997">
        <f t="shared" si="186"/>
        <v>0</v>
      </c>
      <c r="W500" s="997">
        <f t="shared" si="187"/>
        <v>0</v>
      </c>
      <c r="X500" s="997">
        <f t="shared" si="188"/>
        <v>0</v>
      </c>
      <c r="Y500" s="997">
        <f t="shared" si="189"/>
        <v>0</v>
      </c>
      <c r="Z500" s="997">
        <f t="shared" si="190"/>
        <v>0</v>
      </c>
      <c r="AA500" s="997">
        <f t="shared" si="191"/>
        <v>0</v>
      </c>
      <c r="AB500" s="997">
        <f t="shared" si="192"/>
        <v>0</v>
      </c>
      <c r="AC500" s="997">
        <f t="shared" si="193"/>
        <v>0</v>
      </c>
      <c r="AD500" s="997">
        <f t="shared" si="194"/>
        <v>0</v>
      </c>
      <c r="AE500" s="997">
        <f t="shared" si="195"/>
        <v>0</v>
      </c>
      <c r="AF500" s="997">
        <f t="shared" si="196"/>
        <v>0</v>
      </c>
      <c r="AG500" s="997">
        <f t="shared" si="197"/>
        <v>0</v>
      </c>
      <c r="AH500" s="997">
        <f t="shared" si="198"/>
        <v>0</v>
      </c>
      <c r="AI500" s="998">
        <f t="shared" si="199"/>
        <v>0</v>
      </c>
    </row>
    <row r="501" spans="1:35" x14ac:dyDescent="0.25">
      <c r="A501" s="910">
        <v>11</v>
      </c>
      <c r="B501" s="996">
        <f t="shared" si="166"/>
        <v>0</v>
      </c>
      <c r="C501" s="1011">
        <f t="shared" si="167"/>
        <v>0</v>
      </c>
      <c r="D501" s="997">
        <f t="shared" si="168"/>
        <v>0.84852813742385713</v>
      </c>
      <c r="E501" s="1011">
        <f t="shared" si="169"/>
        <v>-0.84852813742385713</v>
      </c>
      <c r="F501" s="997">
        <f t="shared" si="170"/>
        <v>0</v>
      </c>
      <c r="G501" s="1011">
        <f t="shared" si="171"/>
        <v>0</v>
      </c>
      <c r="H501" s="997">
        <f t="shared" si="172"/>
        <v>0</v>
      </c>
      <c r="I501" s="1011">
        <f t="shared" si="173"/>
        <v>0</v>
      </c>
      <c r="J501" s="997">
        <f t="shared" si="174"/>
        <v>0</v>
      </c>
      <c r="K501" s="1011">
        <f t="shared" si="175"/>
        <v>0.84852813742385713</v>
      </c>
      <c r="L501" s="997">
        <f t="shared" si="176"/>
        <v>-0.84852813742385713</v>
      </c>
      <c r="M501" s="1011">
        <f t="shared" si="177"/>
        <v>0</v>
      </c>
      <c r="N501" s="997">
        <f t="shared" si="178"/>
        <v>0</v>
      </c>
      <c r="O501" s="1011">
        <f t="shared" si="179"/>
        <v>0</v>
      </c>
      <c r="P501" s="997">
        <f t="shared" si="180"/>
        <v>0</v>
      </c>
      <c r="Q501" s="1011">
        <f t="shared" si="181"/>
        <v>0</v>
      </c>
      <c r="R501" s="999">
        <f t="shared" si="182"/>
        <v>0</v>
      </c>
      <c r="S501" s="996">
        <f t="shared" si="183"/>
        <v>0</v>
      </c>
      <c r="T501" s="997">
        <f t="shared" si="184"/>
        <v>0</v>
      </c>
      <c r="U501" s="997">
        <f t="shared" si="185"/>
        <v>0</v>
      </c>
      <c r="V501" s="997">
        <f t="shared" si="186"/>
        <v>0</v>
      </c>
      <c r="W501" s="997">
        <f t="shared" si="187"/>
        <v>0</v>
      </c>
      <c r="X501" s="997">
        <f t="shared" si="188"/>
        <v>0</v>
      </c>
      <c r="Y501" s="997">
        <f t="shared" si="189"/>
        <v>0</v>
      </c>
      <c r="Z501" s="997">
        <f t="shared" si="190"/>
        <v>0</v>
      </c>
      <c r="AA501" s="997">
        <f t="shared" si="191"/>
        <v>0</v>
      </c>
      <c r="AB501" s="997">
        <f t="shared" si="192"/>
        <v>0</v>
      </c>
      <c r="AC501" s="997">
        <f t="shared" si="193"/>
        <v>0</v>
      </c>
      <c r="AD501" s="997">
        <f t="shared" si="194"/>
        <v>0</v>
      </c>
      <c r="AE501" s="997">
        <f t="shared" si="195"/>
        <v>0</v>
      </c>
      <c r="AF501" s="997">
        <f t="shared" si="196"/>
        <v>0</v>
      </c>
      <c r="AG501" s="997">
        <f t="shared" si="197"/>
        <v>0</v>
      </c>
      <c r="AH501" s="997">
        <f t="shared" si="198"/>
        <v>0</v>
      </c>
      <c r="AI501" s="998">
        <f t="shared" si="199"/>
        <v>0</v>
      </c>
    </row>
    <row r="502" spans="1:35" x14ac:dyDescent="0.25">
      <c r="A502" s="910">
        <v>12</v>
      </c>
      <c r="B502" s="996">
        <f t="shared" si="166"/>
        <v>0</v>
      </c>
      <c r="C502" s="1011">
        <f t="shared" si="167"/>
        <v>0</v>
      </c>
      <c r="D502" s="997">
        <f t="shared" si="168"/>
        <v>0.84852813742385713</v>
      </c>
      <c r="E502" s="1011">
        <f t="shared" si="169"/>
        <v>-0.84852813742385713</v>
      </c>
      <c r="F502" s="997">
        <f t="shared" si="170"/>
        <v>0</v>
      </c>
      <c r="G502" s="1011">
        <f t="shared" si="171"/>
        <v>0</v>
      </c>
      <c r="H502" s="997">
        <f t="shared" si="172"/>
        <v>0</v>
      </c>
      <c r="I502" s="1011">
        <f t="shared" si="173"/>
        <v>0</v>
      </c>
      <c r="J502" s="997">
        <f t="shared" si="174"/>
        <v>0</v>
      </c>
      <c r="K502" s="1011">
        <f t="shared" si="175"/>
        <v>0.84852813742385713</v>
      </c>
      <c r="L502" s="997">
        <f t="shared" si="176"/>
        <v>-0.84852813742385713</v>
      </c>
      <c r="M502" s="1011">
        <f t="shared" si="177"/>
        <v>0</v>
      </c>
      <c r="N502" s="997">
        <f t="shared" si="178"/>
        <v>0</v>
      </c>
      <c r="O502" s="1011">
        <f t="shared" si="179"/>
        <v>0</v>
      </c>
      <c r="P502" s="997">
        <f t="shared" si="180"/>
        <v>0</v>
      </c>
      <c r="Q502" s="1011">
        <f t="shared" si="181"/>
        <v>0</v>
      </c>
      <c r="R502" s="999">
        <f t="shared" si="182"/>
        <v>0</v>
      </c>
      <c r="S502" s="996">
        <f t="shared" si="183"/>
        <v>0</v>
      </c>
      <c r="T502" s="997">
        <f t="shared" si="184"/>
        <v>0</v>
      </c>
      <c r="U502" s="997">
        <f t="shared" si="185"/>
        <v>0</v>
      </c>
      <c r="V502" s="997">
        <f t="shared" si="186"/>
        <v>0</v>
      </c>
      <c r="W502" s="997">
        <f t="shared" si="187"/>
        <v>0</v>
      </c>
      <c r="X502" s="997">
        <f t="shared" si="188"/>
        <v>0</v>
      </c>
      <c r="Y502" s="997">
        <f t="shared" si="189"/>
        <v>0</v>
      </c>
      <c r="Z502" s="997">
        <f t="shared" si="190"/>
        <v>0</v>
      </c>
      <c r="AA502" s="997">
        <f t="shared" si="191"/>
        <v>0</v>
      </c>
      <c r="AB502" s="997">
        <f t="shared" si="192"/>
        <v>0</v>
      </c>
      <c r="AC502" s="997">
        <f t="shared" si="193"/>
        <v>0</v>
      </c>
      <c r="AD502" s="997">
        <f t="shared" si="194"/>
        <v>0</v>
      </c>
      <c r="AE502" s="997">
        <f t="shared" si="195"/>
        <v>0</v>
      </c>
      <c r="AF502" s="997">
        <f t="shared" si="196"/>
        <v>0</v>
      </c>
      <c r="AG502" s="997">
        <f t="shared" si="197"/>
        <v>0</v>
      </c>
      <c r="AH502" s="997">
        <f t="shared" si="198"/>
        <v>0</v>
      </c>
      <c r="AI502" s="998">
        <f t="shared" si="199"/>
        <v>0</v>
      </c>
    </row>
    <row r="503" spans="1:35" x14ac:dyDescent="0.25">
      <c r="A503" s="910">
        <v>13</v>
      </c>
      <c r="B503" s="996">
        <f t="shared" si="166"/>
        <v>0</v>
      </c>
      <c r="C503" s="1011">
        <f t="shared" si="167"/>
        <v>0</v>
      </c>
      <c r="D503" s="997">
        <f t="shared" si="168"/>
        <v>0.84852813742385713</v>
      </c>
      <c r="E503" s="1011">
        <f t="shared" si="169"/>
        <v>-0.84852813742385713</v>
      </c>
      <c r="F503" s="997">
        <f t="shared" si="170"/>
        <v>0</v>
      </c>
      <c r="G503" s="1011">
        <f t="shared" si="171"/>
        <v>0</v>
      </c>
      <c r="H503" s="997">
        <f t="shared" si="172"/>
        <v>0</v>
      </c>
      <c r="I503" s="1011">
        <f t="shared" si="173"/>
        <v>0</v>
      </c>
      <c r="J503" s="997">
        <f t="shared" si="174"/>
        <v>0</v>
      </c>
      <c r="K503" s="1011">
        <f t="shared" si="175"/>
        <v>0.84852813742385713</v>
      </c>
      <c r="L503" s="997">
        <f t="shared" si="176"/>
        <v>-0.84852813742385713</v>
      </c>
      <c r="M503" s="1011">
        <f t="shared" si="177"/>
        <v>0</v>
      </c>
      <c r="N503" s="997">
        <f t="shared" si="178"/>
        <v>0</v>
      </c>
      <c r="O503" s="1011">
        <f t="shared" si="179"/>
        <v>0</v>
      </c>
      <c r="P503" s="997">
        <f t="shared" si="180"/>
        <v>0</v>
      </c>
      <c r="Q503" s="1011">
        <f t="shared" si="181"/>
        <v>0</v>
      </c>
      <c r="R503" s="999">
        <f t="shared" si="182"/>
        <v>0</v>
      </c>
      <c r="S503" s="996">
        <f t="shared" si="183"/>
        <v>0</v>
      </c>
      <c r="T503" s="997">
        <f t="shared" si="184"/>
        <v>0</v>
      </c>
      <c r="U503" s="997">
        <f t="shared" si="185"/>
        <v>0</v>
      </c>
      <c r="V503" s="997">
        <f t="shared" si="186"/>
        <v>0</v>
      </c>
      <c r="W503" s="997">
        <f t="shared" si="187"/>
        <v>0</v>
      </c>
      <c r="X503" s="997">
        <f t="shared" si="188"/>
        <v>0</v>
      </c>
      <c r="Y503" s="997">
        <f t="shared" si="189"/>
        <v>0</v>
      </c>
      <c r="Z503" s="997">
        <f t="shared" si="190"/>
        <v>0</v>
      </c>
      <c r="AA503" s="997">
        <f t="shared" si="191"/>
        <v>0</v>
      </c>
      <c r="AB503" s="997">
        <f t="shared" si="192"/>
        <v>0</v>
      </c>
      <c r="AC503" s="997">
        <f t="shared" si="193"/>
        <v>0</v>
      </c>
      <c r="AD503" s="997">
        <f t="shared" si="194"/>
        <v>0</v>
      </c>
      <c r="AE503" s="997">
        <f t="shared" si="195"/>
        <v>0</v>
      </c>
      <c r="AF503" s="997">
        <f t="shared" si="196"/>
        <v>0</v>
      </c>
      <c r="AG503" s="997">
        <f t="shared" si="197"/>
        <v>0</v>
      </c>
      <c r="AH503" s="997">
        <f t="shared" si="198"/>
        <v>0</v>
      </c>
      <c r="AI503" s="998">
        <f t="shared" si="199"/>
        <v>0</v>
      </c>
    </row>
    <row r="504" spans="1:35" x14ac:dyDescent="0.25">
      <c r="A504" s="910">
        <v>14</v>
      </c>
      <c r="B504" s="996">
        <f t="shared" si="166"/>
        <v>0</v>
      </c>
      <c r="C504" s="1011">
        <f t="shared" si="167"/>
        <v>0</v>
      </c>
      <c r="D504" s="997">
        <f t="shared" si="168"/>
        <v>0.84852813742385713</v>
      </c>
      <c r="E504" s="1011">
        <f t="shared" si="169"/>
        <v>-0.84852813742385713</v>
      </c>
      <c r="F504" s="997">
        <f t="shared" si="170"/>
        <v>0</v>
      </c>
      <c r="G504" s="1011">
        <f t="shared" si="171"/>
        <v>0</v>
      </c>
      <c r="H504" s="997">
        <f t="shared" si="172"/>
        <v>0</v>
      </c>
      <c r="I504" s="1011">
        <f t="shared" si="173"/>
        <v>0</v>
      </c>
      <c r="J504" s="997">
        <f t="shared" si="174"/>
        <v>0</v>
      </c>
      <c r="K504" s="1011">
        <f t="shared" si="175"/>
        <v>0.84852813742385713</v>
      </c>
      <c r="L504" s="997">
        <f t="shared" si="176"/>
        <v>-0.84852813742385713</v>
      </c>
      <c r="M504" s="1011">
        <f t="shared" si="177"/>
        <v>0</v>
      </c>
      <c r="N504" s="997">
        <f t="shared" si="178"/>
        <v>0</v>
      </c>
      <c r="O504" s="1011">
        <f t="shared" si="179"/>
        <v>0</v>
      </c>
      <c r="P504" s="997">
        <f t="shared" si="180"/>
        <v>0</v>
      </c>
      <c r="Q504" s="1011">
        <f t="shared" si="181"/>
        <v>0</v>
      </c>
      <c r="R504" s="999">
        <f t="shared" si="182"/>
        <v>0</v>
      </c>
      <c r="S504" s="996">
        <f t="shared" si="183"/>
        <v>0</v>
      </c>
      <c r="T504" s="997">
        <f t="shared" si="184"/>
        <v>0</v>
      </c>
      <c r="U504" s="997">
        <f t="shared" si="185"/>
        <v>0</v>
      </c>
      <c r="V504" s="997">
        <f t="shared" si="186"/>
        <v>0</v>
      </c>
      <c r="W504" s="997">
        <f t="shared" si="187"/>
        <v>0</v>
      </c>
      <c r="X504" s="997">
        <f t="shared" si="188"/>
        <v>0</v>
      </c>
      <c r="Y504" s="997">
        <f t="shared" si="189"/>
        <v>0</v>
      </c>
      <c r="Z504" s="997">
        <f t="shared" si="190"/>
        <v>0</v>
      </c>
      <c r="AA504" s="997">
        <f t="shared" si="191"/>
        <v>0</v>
      </c>
      <c r="AB504" s="997">
        <f t="shared" si="192"/>
        <v>0</v>
      </c>
      <c r="AC504" s="997">
        <f t="shared" si="193"/>
        <v>0</v>
      </c>
      <c r="AD504" s="997">
        <f t="shared" si="194"/>
        <v>0</v>
      </c>
      <c r="AE504" s="997">
        <f t="shared" si="195"/>
        <v>0</v>
      </c>
      <c r="AF504" s="997">
        <f t="shared" si="196"/>
        <v>0</v>
      </c>
      <c r="AG504" s="997">
        <f t="shared" si="197"/>
        <v>0</v>
      </c>
      <c r="AH504" s="997">
        <f t="shared" si="198"/>
        <v>0</v>
      </c>
      <c r="AI504" s="998">
        <f t="shared" si="199"/>
        <v>0</v>
      </c>
    </row>
    <row r="505" spans="1:35" x14ac:dyDescent="0.25">
      <c r="A505" s="910">
        <v>15</v>
      </c>
      <c r="B505" s="996">
        <f t="shared" si="166"/>
        <v>0</v>
      </c>
      <c r="C505" s="1011">
        <f t="shared" si="167"/>
        <v>0</v>
      </c>
      <c r="D505" s="997">
        <f t="shared" si="168"/>
        <v>0.84852813742385713</v>
      </c>
      <c r="E505" s="1011">
        <f t="shared" si="169"/>
        <v>-0.84852813742385713</v>
      </c>
      <c r="F505" s="997">
        <f t="shared" si="170"/>
        <v>0</v>
      </c>
      <c r="G505" s="1011">
        <f t="shared" si="171"/>
        <v>0</v>
      </c>
      <c r="H505" s="997">
        <f t="shared" si="172"/>
        <v>0</v>
      </c>
      <c r="I505" s="1011">
        <f t="shared" si="173"/>
        <v>0</v>
      </c>
      <c r="J505" s="997">
        <f t="shared" si="174"/>
        <v>0</v>
      </c>
      <c r="K505" s="1011">
        <f t="shared" si="175"/>
        <v>0.84852813742385713</v>
      </c>
      <c r="L505" s="997">
        <f t="shared" si="176"/>
        <v>-0.84852813742385713</v>
      </c>
      <c r="M505" s="1011">
        <f t="shared" si="177"/>
        <v>0</v>
      </c>
      <c r="N505" s="997">
        <f t="shared" si="178"/>
        <v>0</v>
      </c>
      <c r="O505" s="1011">
        <f t="shared" si="179"/>
        <v>0</v>
      </c>
      <c r="P505" s="997">
        <f t="shared" si="180"/>
        <v>0</v>
      </c>
      <c r="Q505" s="1011">
        <f t="shared" si="181"/>
        <v>0</v>
      </c>
      <c r="R505" s="999">
        <f t="shared" si="182"/>
        <v>0</v>
      </c>
      <c r="S505" s="996">
        <f t="shared" si="183"/>
        <v>0</v>
      </c>
      <c r="T505" s="997">
        <f t="shared" si="184"/>
        <v>0</v>
      </c>
      <c r="U505" s="997">
        <f t="shared" si="185"/>
        <v>0</v>
      </c>
      <c r="V505" s="997">
        <f t="shared" si="186"/>
        <v>0</v>
      </c>
      <c r="W505" s="997">
        <f t="shared" si="187"/>
        <v>0</v>
      </c>
      <c r="X505" s="997">
        <f t="shared" si="188"/>
        <v>0</v>
      </c>
      <c r="Y505" s="997">
        <f t="shared" si="189"/>
        <v>0</v>
      </c>
      <c r="Z505" s="997">
        <f t="shared" si="190"/>
        <v>0</v>
      </c>
      <c r="AA505" s="997">
        <f t="shared" si="191"/>
        <v>0</v>
      </c>
      <c r="AB505" s="997">
        <f t="shared" si="192"/>
        <v>0</v>
      </c>
      <c r="AC505" s="997">
        <f t="shared" si="193"/>
        <v>0</v>
      </c>
      <c r="AD505" s="997">
        <f t="shared" si="194"/>
        <v>0</v>
      </c>
      <c r="AE505" s="997">
        <f t="shared" si="195"/>
        <v>0</v>
      </c>
      <c r="AF505" s="997">
        <f t="shared" si="196"/>
        <v>0</v>
      </c>
      <c r="AG505" s="997">
        <f t="shared" si="197"/>
        <v>0</v>
      </c>
      <c r="AH505" s="997">
        <f t="shared" si="198"/>
        <v>0</v>
      </c>
      <c r="AI505" s="998">
        <f t="shared" si="199"/>
        <v>0</v>
      </c>
    </row>
    <row r="506" spans="1:35" x14ac:dyDescent="0.25">
      <c r="A506" s="910">
        <v>16</v>
      </c>
      <c r="B506" s="996">
        <f t="shared" si="166"/>
        <v>0</v>
      </c>
      <c r="C506" s="1011">
        <f t="shared" si="167"/>
        <v>0</v>
      </c>
      <c r="D506" s="997">
        <f t="shared" si="168"/>
        <v>0.84852813742385713</v>
      </c>
      <c r="E506" s="1011">
        <f t="shared" si="169"/>
        <v>-0.84852813742385713</v>
      </c>
      <c r="F506" s="997">
        <f t="shared" si="170"/>
        <v>0</v>
      </c>
      <c r="G506" s="1011">
        <f t="shared" si="171"/>
        <v>0</v>
      </c>
      <c r="H506" s="997">
        <f t="shared" si="172"/>
        <v>0</v>
      </c>
      <c r="I506" s="1011">
        <f t="shared" si="173"/>
        <v>0</v>
      </c>
      <c r="J506" s="997">
        <f t="shared" si="174"/>
        <v>0</v>
      </c>
      <c r="K506" s="1011">
        <f t="shared" si="175"/>
        <v>0.84852813742385713</v>
      </c>
      <c r="L506" s="997">
        <f t="shared" si="176"/>
        <v>-0.84852813742385713</v>
      </c>
      <c r="M506" s="1011">
        <f t="shared" si="177"/>
        <v>0</v>
      </c>
      <c r="N506" s="997">
        <f t="shared" si="178"/>
        <v>0</v>
      </c>
      <c r="O506" s="1011">
        <f t="shared" si="179"/>
        <v>0</v>
      </c>
      <c r="P506" s="997">
        <f t="shared" si="180"/>
        <v>0</v>
      </c>
      <c r="Q506" s="1011">
        <f t="shared" si="181"/>
        <v>0</v>
      </c>
      <c r="R506" s="999">
        <f t="shared" si="182"/>
        <v>0</v>
      </c>
      <c r="S506" s="996">
        <f t="shared" si="183"/>
        <v>0</v>
      </c>
      <c r="T506" s="997">
        <f t="shared" si="184"/>
        <v>0</v>
      </c>
      <c r="U506" s="997">
        <f t="shared" si="185"/>
        <v>0</v>
      </c>
      <c r="V506" s="997">
        <f t="shared" si="186"/>
        <v>0</v>
      </c>
      <c r="W506" s="997">
        <f t="shared" si="187"/>
        <v>0</v>
      </c>
      <c r="X506" s="997">
        <f t="shared" si="188"/>
        <v>0</v>
      </c>
      <c r="Y506" s="997">
        <f t="shared" si="189"/>
        <v>0</v>
      </c>
      <c r="Z506" s="997">
        <f t="shared" si="190"/>
        <v>0</v>
      </c>
      <c r="AA506" s="997">
        <f t="shared" si="191"/>
        <v>0</v>
      </c>
      <c r="AB506" s="997">
        <f t="shared" si="192"/>
        <v>0</v>
      </c>
      <c r="AC506" s="997">
        <f t="shared" si="193"/>
        <v>0</v>
      </c>
      <c r="AD506" s="997">
        <f t="shared" si="194"/>
        <v>0</v>
      </c>
      <c r="AE506" s="997">
        <f t="shared" si="195"/>
        <v>0</v>
      </c>
      <c r="AF506" s="997">
        <f t="shared" si="196"/>
        <v>0</v>
      </c>
      <c r="AG506" s="997">
        <f t="shared" si="197"/>
        <v>0</v>
      </c>
      <c r="AH506" s="997">
        <f t="shared" si="198"/>
        <v>0</v>
      </c>
      <c r="AI506" s="998">
        <f t="shared" si="199"/>
        <v>0</v>
      </c>
    </row>
    <row r="507" spans="1:35" x14ac:dyDescent="0.25">
      <c r="A507" s="910">
        <v>17</v>
      </c>
      <c r="B507" s="996">
        <f t="shared" si="166"/>
        <v>0</v>
      </c>
      <c r="C507" s="1011">
        <f t="shared" si="167"/>
        <v>0</v>
      </c>
      <c r="D507" s="997">
        <f t="shared" si="168"/>
        <v>0.84852813742385713</v>
      </c>
      <c r="E507" s="1011">
        <f t="shared" si="169"/>
        <v>-0.84852813742385713</v>
      </c>
      <c r="F507" s="997">
        <f t="shared" si="170"/>
        <v>0</v>
      </c>
      <c r="G507" s="1011">
        <f t="shared" si="171"/>
        <v>0</v>
      </c>
      <c r="H507" s="997">
        <f t="shared" si="172"/>
        <v>0</v>
      </c>
      <c r="I507" s="1011">
        <f t="shared" si="173"/>
        <v>0</v>
      </c>
      <c r="J507" s="997">
        <f t="shared" si="174"/>
        <v>0</v>
      </c>
      <c r="K507" s="1011">
        <f t="shared" si="175"/>
        <v>0.84852813742385713</v>
      </c>
      <c r="L507" s="997">
        <f t="shared" si="176"/>
        <v>-0.84852813742385713</v>
      </c>
      <c r="M507" s="1011">
        <f t="shared" si="177"/>
        <v>0</v>
      </c>
      <c r="N507" s="997">
        <f t="shared" si="178"/>
        <v>0</v>
      </c>
      <c r="O507" s="1011">
        <f t="shared" si="179"/>
        <v>0</v>
      </c>
      <c r="P507" s="997">
        <f t="shared" si="180"/>
        <v>0</v>
      </c>
      <c r="Q507" s="1011">
        <f t="shared" si="181"/>
        <v>0</v>
      </c>
      <c r="R507" s="999">
        <f t="shared" si="182"/>
        <v>0</v>
      </c>
      <c r="S507" s="996">
        <f t="shared" si="183"/>
        <v>0</v>
      </c>
      <c r="T507" s="997">
        <f t="shared" si="184"/>
        <v>0</v>
      </c>
      <c r="U507" s="997">
        <f t="shared" si="185"/>
        <v>0</v>
      </c>
      <c r="V507" s="997">
        <f t="shared" si="186"/>
        <v>0</v>
      </c>
      <c r="W507" s="997">
        <f t="shared" si="187"/>
        <v>0</v>
      </c>
      <c r="X507" s="997">
        <f t="shared" si="188"/>
        <v>0</v>
      </c>
      <c r="Y507" s="997">
        <f t="shared" si="189"/>
        <v>0</v>
      </c>
      <c r="Z507" s="997">
        <f t="shared" si="190"/>
        <v>0</v>
      </c>
      <c r="AA507" s="997">
        <f t="shared" si="191"/>
        <v>0</v>
      </c>
      <c r="AB507" s="997">
        <f t="shared" si="192"/>
        <v>0</v>
      </c>
      <c r="AC507" s="997">
        <f t="shared" si="193"/>
        <v>0</v>
      </c>
      <c r="AD507" s="997">
        <f t="shared" si="194"/>
        <v>0</v>
      </c>
      <c r="AE507" s="997">
        <f t="shared" si="195"/>
        <v>0</v>
      </c>
      <c r="AF507" s="997">
        <f t="shared" si="196"/>
        <v>0</v>
      </c>
      <c r="AG507" s="997">
        <f t="shared" si="197"/>
        <v>0</v>
      </c>
      <c r="AH507" s="997">
        <f t="shared" si="198"/>
        <v>0</v>
      </c>
      <c r="AI507" s="998">
        <f t="shared" si="199"/>
        <v>0</v>
      </c>
    </row>
    <row r="508" spans="1:35" x14ac:dyDescent="0.25">
      <c r="A508" s="910">
        <v>18</v>
      </c>
      <c r="B508" s="996">
        <f t="shared" si="166"/>
        <v>0</v>
      </c>
      <c r="C508" s="1011">
        <f t="shared" si="167"/>
        <v>0</v>
      </c>
      <c r="D508" s="997">
        <f t="shared" si="168"/>
        <v>0.84852813742385713</v>
      </c>
      <c r="E508" s="1011">
        <f t="shared" si="169"/>
        <v>-0.84852813742385713</v>
      </c>
      <c r="F508" s="997">
        <f t="shared" si="170"/>
        <v>0</v>
      </c>
      <c r="G508" s="1011">
        <f t="shared" si="171"/>
        <v>0</v>
      </c>
      <c r="H508" s="997">
        <f t="shared" si="172"/>
        <v>0</v>
      </c>
      <c r="I508" s="1011">
        <f t="shared" si="173"/>
        <v>0</v>
      </c>
      <c r="J508" s="997">
        <f t="shared" si="174"/>
        <v>0</v>
      </c>
      <c r="K508" s="1011">
        <f t="shared" si="175"/>
        <v>0.84852813742385713</v>
      </c>
      <c r="L508" s="997">
        <f t="shared" si="176"/>
        <v>-0.84852813742385713</v>
      </c>
      <c r="M508" s="1011">
        <f t="shared" si="177"/>
        <v>0</v>
      </c>
      <c r="N508" s="997">
        <f t="shared" si="178"/>
        <v>0</v>
      </c>
      <c r="O508" s="1011">
        <f t="shared" si="179"/>
        <v>0</v>
      </c>
      <c r="P508" s="997">
        <f t="shared" si="180"/>
        <v>0</v>
      </c>
      <c r="Q508" s="1011">
        <f t="shared" si="181"/>
        <v>0</v>
      </c>
      <c r="R508" s="999">
        <f t="shared" si="182"/>
        <v>0</v>
      </c>
      <c r="S508" s="996">
        <f t="shared" si="183"/>
        <v>0</v>
      </c>
      <c r="T508" s="997">
        <f t="shared" si="184"/>
        <v>0</v>
      </c>
      <c r="U508" s="997">
        <f t="shared" si="185"/>
        <v>0</v>
      </c>
      <c r="V508" s="997">
        <f t="shared" si="186"/>
        <v>0</v>
      </c>
      <c r="W508" s="997">
        <f t="shared" si="187"/>
        <v>0</v>
      </c>
      <c r="X508" s="997">
        <f t="shared" si="188"/>
        <v>0</v>
      </c>
      <c r="Y508" s="997">
        <f t="shared" si="189"/>
        <v>0</v>
      </c>
      <c r="Z508" s="997">
        <f t="shared" si="190"/>
        <v>0</v>
      </c>
      <c r="AA508" s="997">
        <f t="shared" si="191"/>
        <v>0</v>
      </c>
      <c r="AB508" s="997">
        <f t="shared" si="192"/>
        <v>0</v>
      </c>
      <c r="AC508" s="997">
        <f t="shared" si="193"/>
        <v>0</v>
      </c>
      <c r="AD508" s="997">
        <f t="shared" si="194"/>
        <v>0</v>
      </c>
      <c r="AE508" s="997">
        <f t="shared" si="195"/>
        <v>0</v>
      </c>
      <c r="AF508" s="997">
        <f t="shared" si="196"/>
        <v>0</v>
      </c>
      <c r="AG508" s="997">
        <f t="shared" si="197"/>
        <v>0</v>
      </c>
      <c r="AH508" s="997">
        <f t="shared" si="198"/>
        <v>0</v>
      </c>
      <c r="AI508" s="998">
        <f t="shared" si="199"/>
        <v>0</v>
      </c>
    </row>
    <row r="509" spans="1:35" x14ac:dyDescent="0.25">
      <c r="A509" s="910">
        <v>19</v>
      </c>
      <c r="B509" s="996">
        <f t="shared" si="166"/>
        <v>0</v>
      </c>
      <c r="C509" s="1011">
        <f t="shared" si="167"/>
        <v>0</v>
      </c>
      <c r="D509" s="997">
        <f t="shared" si="168"/>
        <v>0.84852813742385713</v>
      </c>
      <c r="E509" s="1011">
        <f t="shared" si="169"/>
        <v>-0.84852813742385713</v>
      </c>
      <c r="F509" s="997">
        <f t="shared" si="170"/>
        <v>0</v>
      </c>
      <c r="G509" s="1011">
        <f t="shared" si="171"/>
        <v>0</v>
      </c>
      <c r="H509" s="997">
        <f t="shared" si="172"/>
        <v>0</v>
      </c>
      <c r="I509" s="1011">
        <f t="shared" si="173"/>
        <v>0</v>
      </c>
      <c r="J509" s="997">
        <f t="shared" si="174"/>
        <v>0</v>
      </c>
      <c r="K509" s="1011">
        <f t="shared" si="175"/>
        <v>0.84852813742385713</v>
      </c>
      <c r="L509" s="997">
        <f t="shared" si="176"/>
        <v>-0.84852813742385713</v>
      </c>
      <c r="M509" s="1011">
        <f t="shared" si="177"/>
        <v>0</v>
      </c>
      <c r="N509" s="997">
        <f t="shared" si="178"/>
        <v>0</v>
      </c>
      <c r="O509" s="1011">
        <f t="shared" si="179"/>
        <v>0</v>
      </c>
      <c r="P509" s="997">
        <f t="shared" si="180"/>
        <v>0</v>
      </c>
      <c r="Q509" s="1011">
        <f t="shared" si="181"/>
        <v>0</v>
      </c>
      <c r="R509" s="999">
        <f t="shared" si="182"/>
        <v>0</v>
      </c>
      <c r="S509" s="996">
        <f t="shared" si="183"/>
        <v>0</v>
      </c>
      <c r="T509" s="997">
        <f t="shared" si="184"/>
        <v>0</v>
      </c>
      <c r="U509" s="997">
        <f t="shared" si="185"/>
        <v>0</v>
      </c>
      <c r="V509" s="997">
        <f t="shared" si="186"/>
        <v>0</v>
      </c>
      <c r="W509" s="997">
        <f t="shared" si="187"/>
        <v>0</v>
      </c>
      <c r="X509" s="997">
        <f t="shared" si="188"/>
        <v>0</v>
      </c>
      <c r="Y509" s="997">
        <f t="shared" si="189"/>
        <v>0</v>
      </c>
      <c r="Z509" s="997">
        <f t="shared" si="190"/>
        <v>0</v>
      </c>
      <c r="AA509" s="997">
        <f t="shared" si="191"/>
        <v>0</v>
      </c>
      <c r="AB509" s="997">
        <f t="shared" si="192"/>
        <v>0</v>
      </c>
      <c r="AC509" s="997">
        <f t="shared" si="193"/>
        <v>0</v>
      </c>
      <c r="AD509" s="997">
        <f t="shared" si="194"/>
        <v>0</v>
      </c>
      <c r="AE509" s="997">
        <f t="shared" si="195"/>
        <v>0</v>
      </c>
      <c r="AF509" s="997">
        <f t="shared" si="196"/>
        <v>0</v>
      </c>
      <c r="AG509" s="997">
        <f t="shared" si="197"/>
        <v>0</v>
      </c>
      <c r="AH509" s="997">
        <f t="shared" si="198"/>
        <v>0</v>
      </c>
      <c r="AI509" s="998">
        <f t="shared" si="199"/>
        <v>0</v>
      </c>
    </row>
    <row r="510" spans="1:35" x14ac:dyDescent="0.25">
      <c r="A510" s="910">
        <v>20</v>
      </c>
      <c r="B510" s="996">
        <f t="shared" si="166"/>
        <v>0</v>
      </c>
      <c r="C510" s="1011">
        <f t="shared" si="167"/>
        <v>0</v>
      </c>
      <c r="D510" s="997">
        <f t="shared" si="168"/>
        <v>0.84852813742385713</v>
      </c>
      <c r="E510" s="1011">
        <f t="shared" si="169"/>
        <v>-0.84852813742385713</v>
      </c>
      <c r="F510" s="997">
        <f t="shared" si="170"/>
        <v>0</v>
      </c>
      <c r="G510" s="1011">
        <f t="shared" si="171"/>
        <v>0</v>
      </c>
      <c r="H510" s="997">
        <f t="shared" si="172"/>
        <v>0</v>
      </c>
      <c r="I510" s="1011">
        <f t="shared" si="173"/>
        <v>0</v>
      </c>
      <c r="J510" s="997">
        <f t="shared" si="174"/>
        <v>0</v>
      </c>
      <c r="K510" s="1011">
        <f t="shared" si="175"/>
        <v>0.84852813742385713</v>
      </c>
      <c r="L510" s="997">
        <f t="shared" si="176"/>
        <v>-0.84852813742385713</v>
      </c>
      <c r="M510" s="1011">
        <f t="shared" si="177"/>
        <v>0</v>
      </c>
      <c r="N510" s="997">
        <f t="shared" si="178"/>
        <v>0</v>
      </c>
      <c r="O510" s="1011">
        <f t="shared" si="179"/>
        <v>0</v>
      </c>
      <c r="P510" s="997">
        <f t="shared" si="180"/>
        <v>0</v>
      </c>
      <c r="Q510" s="1011">
        <f t="shared" si="181"/>
        <v>0</v>
      </c>
      <c r="R510" s="999">
        <f t="shared" si="182"/>
        <v>0</v>
      </c>
      <c r="S510" s="996">
        <f t="shared" si="183"/>
        <v>0</v>
      </c>
      <c r="T510" s="997">
        <f t="shared" si="184"/>
        <v>0</v>
      </c>
      <c r="U510" s="997">
        <f t="shared" si="185"/>
        <v>0</v>
      </c>
      <c r="V510" s="997">
        <f t="shared" si="186"/>
        <v>0</v>
      </c>
      <c r="W510" s="997">
        <f t="shared" si="187"/>
        <v>0</v>
      </c>
      <c r="X510" s="997">
        <f t="shared" si="188"/>
        <v>0</v>
      </c>
      <c r="Y510" s="997">
        <f t="shared" si="189"/>
        <v>0</v>
      </c>
      <c r="Z510" s="997">
        <f t="shared" si="190"/>
        <v>0</v>
      </c>
      <c r="AA510" s="997">
        <f t="shared" si="191"/>
        <v>0</v>
      </c>
      <c r="AB510" s="997">
        <f t="shared" si="192"/>
        <v>0</v>
      </c>
      <c r="AC510" s="997">
        <f t="shared" si="193"/>
        <v>0</v>
      </c>
      <c r="AD510" s="997">
        <f t="shared" si="194"/>
        <v>0</v>
      </c>
      <c r="AE510" s="997">
        <f t="shared" si="195"/>
        <v>0</v>
      </c>
      <c r="AF510" s="997">
        <f t="shared" si="196"/>
        <v>0</v>
      </c>
      <c r="AG510" s="997">
        <f t="shared" si="197"/>
        <v>0</v>
      </c>
      <c r="AH510" s="997">
        <f t="shared" si="198"/>
        <v>0</v>
      </c>
      <c r="AI510" s="998">
        <f t="shared" si="199"/>
        <v>0</v>
      </c>
    </row>
    <row r="511" spans="1:35" x14ac:dyDescent="0.25">
      <c r="A511" s="910">
        <v>21</v>
      </c>
      <c r="B511" s="996">
        <f t="shared" si="166"/>
        <v>0</v>
      </c>
      <c r="C511" s="1011">
        <f t="shared" si="167"/>
        <v>0</v>
      </c>
      <c r="D511" s="997">
        <f t="shared" si="168"/>
        <v>0.84852813742385713</v>
      </c>
      <c r="E511" s="1011">
        <f t="shared" si="169"/>
        <v>-0.84852813742385713</v>
      </c>
      <c r="F511" s="997">
        <f t="shared" si="170"/>
        <v>0</v>
      </c>
      <c r="G511" s="1011">
        <f t="shared" si="171"/>
        <v>0</v>
      </c>
      <c r="H511" s="997">
        <f t="shared" si="172"/>
        <v>0</v>
      </c>
      <c r="I511" s="1011">
        <f t="shared" si="173"/>
        <v>0</v>
      </c>
      <c r="J511" s="997">
        <f t="shared" si="174"/>
        <v>0</v>
      </c>
      <c r="K511" s="1011">
        <f t="shared" si="175"/>
        <v>0.84852813742385713</v>
      </c>
      <c r="L511" s="997">
        <f t="shared" si="176"/>
        <v>-0.84852813742385713</v>
      </c>
      <c r="M511" s="1011">
        <f t="shared" si="177"/>
        <v>0</v>
      </c>
      <c r="N511" s="997">
        <f t="shared" si="178"/>
        <v>0</v>
      </c>
      <c r="O511" s="1011">
        <f t="shared" si="179"/>
        <v>0</v>
      </c>
      <c r="P511" s="997">
        <f t="shared" si="180"/>
        <v>0</v>
      </c>
      <c r="Q511" s="1011">
        <f t="shared" si="181"/>
        <v>0</v>
      </c>
      <c r="R511" s="999">
        <f t="shared" si="182"/>
        <v>0</v>
      </c>
      <c r="S511" s="996">
        <f t="shared" si="183"/>
        <v>0</v>
      </c>
      <c r="T511" s="997">
        <f t="shared" si="184"/>
        <v>0</v>
      </c>
      <c r="U511" s="997">
        <f t="shared" si="185"/>
        <v>0</v>
      </c>
      <c r="V511" s="997">
        <f t="shared" si="186"/>
        <v>0</v>
      </c>
      <c r="W511" s="997">
        <f t="shared" si="187"/>
        <v>0</v>
      </c>
      <c r="X511" s="997">
        <f t="shared" si="188"/>
        <v>0</v>
      </c>
      <c r="Y511" s="997">
        <f t="shared" si="189"/>
        <v>0</v>
      </c>
      <c r="Z511" s="997">
        <f t="shared" si="190"/>
        <v>0</v>
      </c>
      <c r="AA511" s="997">
        <f t="shared" si="191"/>
        <v>0</v>
      </c>
      <c r="AB511" s="997">
        <f t="shared" si="192"/>
        <v>0</v>
      </c>
      <c r="AC511" s="997">
        <f t="shared" si="193"/>
        <v>0</v>
      </c>
      <c r="AD511" s="997">
        <f t="shared" si="194"/>
        <v>0</v>
      </c>
      <c r="AE511" s="997">
        <f t="shared" si="195"/>
        <v>0</v>
      </c>
      <c r="AF511" s="997">
        <f t="shared" si="196"/>
        <v>0</v>
      </c>
      <c r="AG511" s="997">
        <f t="shared" si="197"/>
        <v>0</v>
      </c>
      <c r="AH511" s="997">
        <f t="shared" si="198"/>
        <v>0</v>
      </c>
      <c r="AI511" s="998">
        <f t="shared" si="199"/>
        <v>0</v>
      </c>
    </row>
    <row r="512" spans="1:35" x14ac:dyDescent="0.25">
      <c r="A512" s="910">
        <v>22</v>
      </c>
      <c r="B512" s="996">
        <f t="shared" si="166"/>
        <v>0</v>
      </c>
      <c r="C512" s="1011">
        <f t="shared" si="167"/>
        <v>0</v>
      </c>
      <c r="D512" s="997">
        <f t="shared" si="168"/>
        <v>0.84852813742385713</v>
      </c>
      <c r="E512" s="1011">
        <f t="shared" si="169"/>
        <v>-0.84852813742385713</v>
      </c>
      <c r="F512" s="997">
        <f t="shared" si="170"/>
        <v>0</v>
      </c>
      <c r="G512" s="1011">
        <f t="shared" si="171"/>
        <v>0</v>
      </c>
      <c r="H512" s="997">
        <f t="shared" si="172"/>
        <v>0</v>
      </c>
      <c r="I512" s="1011">
        <f t="shared" si="173"/>
        <v>0</v>
      </c>
      <c r="J512" s="997">
        <f t="shared" si="174"/>
        <v>0</v>
      </c>
      <c r="K512" s="1011">
        <f t="shared" si="175"/>
        <v>0.84852813742385713</v>
      </c>
      <c r="L512" s="997">
        <f t="shared" si="176"/>
        <v>-0.84852813742385713</v>
      </c>
      <c r="M512" s="1011">
        <f t="shared" si="177"/>
        <v>0</v>
      </c>
      <c r="N512" s="997">
        <f t="shared" si="178"/>
        <v>0</v>
      </c>
      <c r="O512" s="1011">
        <f t="shared" si="179"/>
        <v>0</v>
      </c>
      <c r="P512" s="997">
        <f t="shared" si="180"/>
        <v>0</v>
      </c>
      <c r="Q512" s="1011">
        <f t="shared" si="181"/>
        <v>0</v>
      </c>
      <c r="R512" s="999">
        <f t="shared" si="182"/>
        <v>0</v>
      </c>
      <c r="S512" s="996">
        <f t="shared" si="183"/>
        <v>0</v>
      </c>
      <c r="T512" s="997">
        <f t="shared" si="184"/>
        <v>0</v>
      </c>
      <c r="U512" s="997">
        <f t="shared" si="185"/>
        <v>0</v>
      </c>
      <c r="V512" s="997">
        <f t="shared" si="186"/>
        <v>0</v>
      </c>
      <c r="W512" s="997">
        <f t="shared" si="187"/>
        <v>0</v>
      </c>
      <c r="X512" s="997">
        <f t="shared" si="188"/>
        <v>0</v>
      </c>
      <c r="Y512" s="997">
        <f t="shared" si="189"/>
        <v>0</v>
      </c>
      <c r="Z512" s="997">
        <f t="shared" si="190"/>
        <v>0</v>
      </c>
      <c r="AA512" s="997">
        <f t="shared" si="191"/>
        <v>0</v>
      </c>
      <c r="AB512" s="997">
        <f t="shared" si="192"/>
        <v>0</v>
      </c>
      <c r="AC512" s="997">
        <f t="shared" si="193"/>
        <v>0</v>
      </c>
      <c r="AD512" s="997">
        <f t="shared" si="194"/>
        <v>0</v>
      </c>
      <c r="AE512" s="997">
        <f t="shared" si="195"/>
        <v>0</v>
      </c>
      <c r="AF512" s="997">
        <f t="shared" si="196"/>
        <v>0</v>
      </c>
      <c r="AG512" s="997">
        <f t="shared" si="197"/>
        <v>0</v>
      </c>
      <c r="AH512" s="997">
        <f t="shared" si="198"/>
        <v>0</v>
      </c>
      <c r="AI512" s="998">
        <f t="shared" si="199"/>
        <v>0</v>
      </c>
    </row>
    <row r="513" spans="1:35" x14ac:dyDescent="0.25">
      <c r="A513" s="910">
        <v>23</v>
      </c>
      <c r="B513" s="996">
        <f t="shared" si="166"/>
        <v>0</v>
      </c>
      <c r="C513" s="1011">
        <f t="shared" si="167"/>
        <v>0</v>
      </c>
      <c r="D513" s="997">
        <f t="shared" si="168"/>
        <v>0.84852813742385713</v>
      </c>
      <c r="E513" s="1011">
        <f t="shared" si="169"/>
        <v>-0.84852813742385713</v>
      </c>
      <c r="F513" s="997">
        <f t="shared" si="170"/>
        <v>0</v>
      </c>
      <c r="G513" s="1011">
        <f t="shared" si="171"/>
        <v>0</v>
      </c>
      <c r="H513" s="997">
        <f t="shared" si="172"/>
        <v>0</v>
      </c>
      <c r="I513" s="1011">
        <f t="shared" si="173"/>
        <v>0</v>
      </c>
      <c r="J513" s="997">
        <f t="shared" si="174"/>
        <v>0</v>
      </c>
      <c r="K513" s="1011">
        <f t="shared" si="175"/>
        <v>0.84852813742385713</v>
      </c>
      <c r="L513" s="997">
        <f t="shared" si="176"/>
        <v>-0.84852813742385713</v>
      </c>
      <c r="M513" s="1011">
        <f t="shared" si="177"/>
        <v>0</v>
      </c>
      <c r="N513" s="997">
        <f t="shared" si="178"/>
        <v>0</v>
      </c>
      <c r="O513" s="1011">
        <f t="shared" si="179"/>
        <v>0</v>
      </c>
      <c r="P513" s="997">
        <f t="shared" si="180"/>
        <v>0</v>
      </c>
      <c r="Q513" s="1011">
        <f t="shared" si="181"/>
        <v>0</v>
      </c>
      <c r="R513" s="999">
        <f t="shared" si="182"/>
        <v>0</v>
      </c>
      <c r="S513" s="996">
        <f t="shared" si="183"/>
        <v>0</v>
      </c>
      <c r="T513" s="997">
        <f t="shared" si="184"/>
        <v>0</v>
      </c>
      <c r="U513" s="997">
        <f t="shared" si="185"/>
        <v>0</v>
      </c>
      <c r="V513" s="997">
        <f t="shared" si="186"/>
        <v>0</v>
      </c>
      <c r="W513" s="997">
        <f t="shared" si="187"/>
        <v>0</v>
      </c>
      <c r="X513" s="997">
        <f t="shared" si="188"/>
        <v>0</v>
      </c>
      <c r="Y513" s="997">
        <f t="shared" si="189"/>
        <v>0</v>
      </c>
      <c r="Z513" s="997">
        <f t="shared" si="190"/>
        <v>0</v>
      </c>
      <c r="AA513" s="997">
        <f t="shared" si="191"/>
        <v>0</v>
      </c>
      <c r="AB513" s="997">
        <f t="shared" si="192"/>
        <v>0</v>
      </c>
      <c r="AC513" s="997">
        <f t="shared" si="193"/>
        <v>0</v>
      </c>
      <c r="AD513" s="997">
        <f t="shared" si="194"/>
        <v>0</v>
      </c>
      <c r="AE513" s="997">
        <f t="shared" si="195"/>
        <v>0</v>
      </c>
      <c r="AF513" s="997">
        <f t="shared" si="196"/>
        <v>0</v>
      </c>
      <c r="AG513" s="997">
        <f t="shared" si="197"/>
        <v>0</v>
      </c>
      <c r="AH513" s="997">
        <f t="shared" si="198"/>
        <v>0</v>
      </c>
      <c r="AI513" s="998">
        <f t="shared" si="199"/>
        <v>0</v>
      </c>
    </row>
    <row r="514" spans="1:35" x14ac:dyDescent="0.25">
      <c r="A514" s="910">
        <v>24</v>
      </c>
      <c r="B514" s="996">
        <f t="shared" si="166"/>
        <v>0</v>
      </c>
      <c r="C514" s="1011">
        <f t="shared" si="167"/>
        <v>0</v>
      </c>
      <c r="D514" s="997">
        <f t="shared" si="168"/>
        <v>0.84852813742385713</v>
      </c>
      <c r="E514" s="1011">
        <f t="shared" si="169"/>
        <v>-0.84852813742385713</v>
      </c>
      <c r="F514" s="997">
        <f t="shared" si="170"/>
        <v>0</v>
      </c>
      <c r="G514" s="1011">
        <f t="shared" si="171"/>
        <v>0</v>
      </c>
      <c r="H514" s="997">
        <f t="shared" si="172"/>
        <v>0</v>
      </c>
      <c r="I514" s="1011">
        <f t="shared" si="173"/>
        <v>0</v>
      </c>
      <c r="J514" s="997">
        <f t="shared" si="174"/>
        <v>0</v>
      </c>
      <c r="K514" s="1011">
        <f t="shared" si="175"/>
        <v>0.84852813742385713</v>
      </c>
      <c r="L514" s="997">
        <f t="shared" si="176"/>
        <v>-0.84852813742385713</v>
      </c>
      <c r="M514" s="1011">
        <f t="shared" si="177"/>
        <v>0</v>
      </c>
      <c r="N514" s="997">
        <f t="shared" si="178"/>
        <v>0</v>
      </c>
      <c r="O514" s="1011">
        <f t="shared" si="179"/>
        <v>0</v>
      </c>
      <c r="P514" s="997">
        <f t="shared" si="180"/>
        <v>0</v>
      </c>
      <c r="Q514" s="1011">
        <f t="shared" si="181"/>
        <v>0</v>
      </c>
      <c r="R514" s="999">
        <f t="shared" si="182"/>
        <v>0</v>
      </c>
      <c r="S514" s="996">
        <f t="shared" si="183"/>
        <v>0</v>
      </c>
      <c r="T514" s="997">
        <f t="shared" si="184"/>
        <v>0</v>
      </c>
      <c r="U514" s="997">
        <f t="shared" si="185"/>
        <v>0</v>
      </c>
      <c r="V514" s="997">
        <f t="shared" si="186"/>
        <v>0</v>
      </c>
      <c r="W514" s="997">
        <f t="shared" si="187"/>
        <v>0</v>
      </c>
      <c r="X514" s="997">
        <f t="shared" si="188"/>
        <v>0</v>
      </c>
      <c r="Y514" s="997">
        <f t="shared" si="189"/>
        <v>0</v>
      </c>
      <c r="Z514" s="997">
        <f t="shared" si="190"/>
        <v>0</v>
      </c>
      <c r="AA514" s="997">
        <f t="shared" si="191"/>
        <v>0</v>
      </c>
      <c r="AB514" s="997">
        <f t="shared" si="192"/>
        <v>0</v>
      </c>
      <c r="AC514" s="997">
        <f t="shared" si="193"/>
        <v>0</v>
      </c>
      <c r="AD514" s="997">
        <f t="shared" si="194"/>
        <v>0</v>
      </c>
      <c r="AE514" s="997">
        <f t="shared" si="195"/>
        <v>0</v>
      </c>
      <c r="AF514" s="997">
        <f t="shared" si="196"/>
        <v>0</v>
      </c>
      <c r="AG514" s="997">
        <f t="shared" si="197"/>
        <v>0</v>
      </c>
      <c r="AH514" s="997">
        <f t="shared" si="198"/>
        <v>0</v>
      </c>
      <c r="AI514" s="998">
        <f t="shared" si="199"/>
        <v>0</v>
      </c>
    </row>
    <row r="515" spans="1:35" x14ac:dyDescent="0.25">
      <c r="A515" s="910">
        <v>25</v>
      </c>
      <c r="B515" s="996">
        <f t="shared" si="166"/>
        <v>0</v>
      </c>
      <c r="C515" s="1011">
        <f t="shared" si="167"/>
        <v>0</v>
      </c>
      <c r="D515" s="997">
        <f t="shared" si="168"/>
        <v>0.84852813742385713</v>
      </c>
      <c r="E515" s="1011">
        <f t="shared" si="169"/>
        <v>-0.84852813742385713</v>
      </c>
      <c r="F515" s="997">
        <f t="shared" si="170"/>
        <v>0</v>
      </c>
      <c r="G515" s="1011">
        <f t="shared" si="171"/>
        <v>0</v>
      </c>
      <c r="H515" s="997">
        <f t="shared" si="172"/>
        <v>0</v>
      </c>
      <c r="I515" s="1011">
        <f t="shared" si="173"/>
        <v>0</v>
      </c>
      <c r="J515" s="997">
        <f t="shared" si="174"/>
        <v>0</v>
      </c>
      <c r="K515" s="1011">
        <f t="shared" si="175"/>
        <v>0.84852813742385713</v>
      </c>
      <c r="L515" s="997">
        <f t="shared" si="176"/>
        <v>-0.84852813742385713</v>
      </c>
      <c r="M515" s="1011">
        <f t="shared" si="177"/>
        <v>0</v>
      </c>
      <c r="N515" s="997">
        <f t="shared" si="178"/>
        <v>0</v>
      </c>
      <c r="O515" s="1011">
        <f t="shared" si="179"/>
        <v>0</v>
      </c>
      <c r="P515" s="997">
        <f t="shared" si="180"/>
        <v>0</v>
      </c>
      <c r="Q515" s="1011">
        <f t="shared" si="181"/>
        <v>0</v>
      </c>
      <c r="R515" s="999">
        <f t="shared" si="182"/>
        <v>0</v>
      </c>
      <c r="S515" s="996">
        <f t="shared" si="183"/>
        <v>0</v>
      </c>
      <c r="T515" s="997">
        <f t="shared" si="184"/>
        <v>0</v>
      </c>
      <c r="U515" s="997">
        <f t="shared" si="185"/>
        <v>0</v>
      </c>
      <c r="V515" s="997">
        <f t="shared" si="186"/>
        <v>0</v>
      </c>
      <c r="W515" s="997">
        <f t="shared" si="187"/>
        <v>0</v>
      </c>
      <c r="X515" s="997">
        <f t="shared" si="188"/>
        <v>0</v>
      </c>
      <c r="Y515" s="997">
        <f t="shared" si="189"/>
        <v>0</v>
      </c>
      <c r="Z515" s="997">
        <f t="shared" si="190"/>
        <v>0</v>
      </c>
      <c r="AA515" s="997">
        <f t="shared" si="191"/>
        <v>0</v>
      </c>
      <c r="AB515" s="997">
        <f t="shared" si="192"/>
        <v>0</v>
      </c>
      <c r="AC515" s="997">
        <f t="shared" si="193"/>
        <v>0</v>
      </c>
      <c r="AD515" s="997">
        <f t="shared" si="194"/>
        <v>0</v>
      </c>
      <c r="AE515" s="997">
        <f t="shared" si="195"/>
        <v>0</v>
      </c>
      <c r="AF515" s="997">
        <f t="shared" si="196"/>
        <v>0</v>
      </c>
      <c r="AG515" s="997">
        <f t="shared" si="197"/>
        <v>0</v>
      </c>
      <c r="AH515" s="997">
        <f t="shared" si="198"/>
        <v>0</v>
      </c>
      <c r="AI515" s="998">
        <f t="shared" si="199"/>
        <v>0</v>
      </c>
    </row>
    <row r="516" spans="1:35" x14ac:dyDescent="0.25">
      <c r="A516" s="910">
        <v>26</v>
      </c>
      <c r="B516" s="996">
        <f t="shared" si="166"/>
        <v>0</v>
      </c>
      <c r="C516" s="1011">
        <f t="shared" si="167"/>
        <v>0</v>
      </c>
      <c r="D516" s="997">
        <f t="shared" si="168"/>
        <v>0.84852813742385713</v>
      </c>
      <c r="E516" s="1011">
        <f t="shared" si="169"/>
        <v>-0.84852813742385713</v>
      </c>
      <c r="F516" s="997">
        <f t="shared" si="170"/>
        <v>0</v>
      </c>
      <c r="G516" s="1011">
        <f t="shared" si="171"/>
        <v>0</v>
      </c>
      <c r="H516" s="997">
        <f t="shared" si="172"/>
        <v>0</v>
      </c>
      <c r="I516" s="1011">
        <f t="shared" si="173"/>
        <v>0</v>
      </c>
      <c r="J516" s="997">
        <f t="shared" si="174"/>
        <v>0</v>
      </c>
      <c r="K516" s="1011">
        <f t="shared" si="175"/>
        <v>0.84852813742385713</v>
      </c>
      <c r="L516" s="997">
        <f t="shared" si="176"/>
        <v>-0.84852813742385713</v>
      </c>
      <c r="M516" s="1011">
        <f t="shared" si="177"/>
        <v>0</v>
      </c>
      <c r="N516" s="997">
        <f t="shared" si="178"/>
        <v>0</v>
      </c>
      <c r="O516" s="1011">
        <f t="shared" si="179"/>
        <v>0</v>
      </c>
      <c r="P516" s="997">
        <f t="shared" si="180"/>
        <v>0</v>
      </c>
      <c r="Q516" s="1011">
        <f t="shared" si="181"/>
        <v>0</v>
      </c>
      <c r="R516" s="999">
        <f t="shared" si="182"/>
        <v>0</v>
      </c>
      <c r="S516" s="996">
        <f t="shared" si="183"/>
        <v>0</v>
      </c>
      <c r="T516" s="997">
        <f t="shared" si="184"/>
        <v>0</v>
      </c>
      <c r="U516" s="997">
        <f t="shared" si="185"/>
        <v>0</v>
      </c>
      <c r="V516" s="997">
        <f t="shared" si="186"/>
        <v>0</v>
      </c>
      <c r="W516" s="997">
        <f t="shared" si="187"/>
        <v>0</v>
      </c>
      <c r="X516" s="997">
        <f t="shared" si="188"/>
        <v>0</v>
      </c>
      <c r="Y516" s="997">
        <f t="shared" si="189"/>
        <v>0</v>
      </c>
      <c r="Z516" s="997">
        <f t="shared" si="190"/>
        <v>0</v>
      </c>
      <c r="AA516" s="997">
        <f t="shared" si="191"/>
        <v>0</v>
      </c>
      <c r="AB516" s="997">
        <f t="shared" si="192"/>
        <v>0</v>
      </c>
      <c r="AC516" s="997">
        <f t="shared" si="193"/>
        <v>0</v>
      </c>
      <c r="AD516" s="997">
        <f t="shared" si="194"/>
        <v>0</v>
      </c>
      <c r="AE516" s="997">
        <f t="shared" si="195"/>
        <v>0</v>
      </c>
      <c r="AF516" s="997">
        <f t="shared" si="196"/>
        <v>0</v>
      </c>
      <c r="AG516" s="997">
        <f t="shared" si="197"/>
        <v>0</v>
      </c>
      <c r="AH516" s="997">
        <f t="shared" si="198"/>
        <v>0</v>
      </c>
      <c r="AI516" s="998">
        <f t="shared" si="199"/>
        <v>0</v>
      </c>
    </row>
    <row r="517" spans="1:35" x14ac:dyDescent="0.25">
      <c r="A517" s="910">
        <v>27</v>
      </c>
      <c r="B517" s="996">
        <f t="shared" si="166"/>
        <v>0</v>
      </c>
      <c r="C517" s="1011">
        <f t="shared" si="167"/>
        <v>0</v>
      </c>
      <c r="D517" s="997">
        <f t="shared" si="168"/>
        <v>0.84852813742385713</v>
      </c>
      <c r="E517" s="1011">
        <f t="shared" si="169"/>
        <v>-0.84852813742385713</v>
      </c>
      <c r="F517" s="997">
        <f t="shared" si="170"/>
        <v>0</v>
      </c>
      <c r="G517" s="1011">
        <f t="shared" si="171"/>
        <v>0</v>
      </c>
      <c r="H517" s="997">
        <f t="shared" si="172"/>
        <v>0</v>
      </c>
      <c r="I517" s="1011">
        <f t="shared" si="173"/>
        <v>0</v>
      </c>
      <c r="J517" s="997">
        <f t="shared" si="174"/>
        <v>0</v>
      </c>
      <c r="K517" s="1011">
        <f t="shared" si="175"/>
        <v>0.84852813742385713</v>
      </c>
      <c r="L517" s="997">
        <f t="shared" si="176"/>
        <v>-0.84852813742385713</v>
      </c>
      <c r="M517" s="1011">
        <f t="shared" si="177"/>
        <v>0</v>
      </c>
      <c r="N517" s="997">
        <f t="shared" si="178"/>
        <v>0</v>
      </c>
      <c r="O517" s="1011">
        <f t="shared" si="179"/>
        <v>0</v>
      </c>
      <c r="P517" s="997">
        <f t="shared" si="180"/>
        <v>0</v>
      </c>
      <c r="Q517" s="1011">
        <f t="shared" si="181"/>
        <v>0</v>
      </c>
      <c r="R517" s="999">
        <f t="shared" si="182"/>
        <v>0</v>
      </c>
      <c r="S517" s="996">
        <f t="shared" si="183"/>
        <v>0</v>
      </c>
      <c r="T517" s="997">
        <f t="shared" si="184"/>
        <v>0</v>
      </c>
      <c r="U517" s="997">
        <f t="shared" si="185"/>
        <v>0</v>
      </c>
      <c r="V517" s="997">
        <f t="shared" si="186"/>
        <v>0</v>
      </c>
      <c r="W517" s="997">
        <f t="shared" si="187"/>
        <v>0</v>
      </c>
      <c r="X517" s="997">
        <f t="shared" si="188"/>
        <v>0</v>
      </c>
      <c r="Y517" s="997">
        <f t="shared" si="189"/>
        <v>0</v>
      </c>
      <c r="Z517" s="997">
        <f t="shared" si="190"/>
        <v>0</v>
      </c>
      <c r="AA517" s="997">
        <f t="shared" si="191"/>
        <v>0</v>
      </c>
      <c r="AB517" s="997">
        <f t="shared" si="192"/>
        <v>0</v>
      </c>
      <c r="AC517" s="997">
        <f t="shared" si="193"/>
        <v>0</v>
      </c>
      <c r="AD517" s="997">
        <f t="shared" si="194"/>
        <v>0</v>
      </c>
      <c r="AE517" s="997">
        <f t="shared" si="195"/>
        <v>0</v>
      </c>
      <c r="AF517" s="997">
        <f t="shared" si="196"/>
        <v>0</v>
      </c>
      <c r="AG517" s="997">
        <f t="shared" si="197"/>
        <v>0</v>
      </c>
      <c r="AH517" s="997">
        <f t="shared" si="198"/>
        <v>0</v>
      </c>
      <c r="AI517" s="998">
        <f t="shared" si="199"/>
        <v>0</v>
      </c>
    </row>
    <row r="518" spans="1:35" x14ac:dyDescent="0.25">
      <c r="A518" s="910">
        <v>28</v>
      </c>
      <c r="B518" s="996">
        <f t="shared" si="166"/>
        <v>0</v>
      </c>
      <c r="C518" s="1011">
        <f t="shared" si="167"/>
        <v>0</v>
      </c>
      <c r="D518" s="997">
        <f t="shared" si="168"/>
        <v>0.84852813742385713</v>
      </c>
      <c r="E518" s="1011">
        <f t="shared" si="169"/>
        <v>-0.84852813742385713</v>
      </c>
      <c r="F518" s="997">
        <f t="shared" si="170"/>
        <v>0</v>
      </c>
      <c r="G518" s="1011">
        <f t="shared" si="171"/>
        <v>0</v>
      </c>
      <c r="H518" s="997">
        <f t="shared" si="172"/>
        <v>0</v>
      </c>
      <c r="I518" s="1011">
        <f t="shared" si="173"/>
        <v>0</v>
      </c>
      <c r="J518" s="997">
        <f t="shared" si="174"/>
        <v>0</v>
      </c>
      <c r="K518" s="1011">
        <f t="shared" si="175"/>
        <v>0.84852813742385713</v>
      </c>
      <c r="L518" s="997">
        <f t="shared" si="176"/>
        <v>-0.84852813742385713</v>
      </c>
      <c r="M518" s="1011">
        <f t="shared" si="177"/>
        <v>0</v>
      </c>
      <c r="N518" s="997">
        <f t="shared" si="178"/>
        <v>0</v>
      </c>
      <c r="O518" s="1011">
        <f t="shared" si="179"/>
        <v>0</v>
      </c>
      <c r="P518" s="997">
        <f t="shared" si="180"/>
        <v>0</v>
      </c>
      <c r="Q518" s="1011">
        <f t="shared" si="181"/>
        <v>0</v>
      </c>
      <c r="R518" s="999">
        <f t="shared" si="182"/>
        <v>0</v>
      </c>
      <c r="S518" s="996">
        <f t="shared" si="183"/>
        <v>0</v>
      </c>
      <c r="T518" s="997">
        <f t="shared" si="184"/>
        <v>0</v>
      </c>
      <c r="U518" s="997">
        <f t="shared" si="185"/>
        <v>0</v>
      </c>
      <c r="V518" s="997">
        <f t="shared" si="186"/>
        <v>0</v>
      </c>
      <c r="W518" s="997">
        <f t="shared" si="187"/>
        <v>0</v>
      </c>
      <c r="X518" s="997">
        <f t="shared" si="188"/>
        <v>0</v>
      </c>
      <c r="Y518" s="997">
        <f t="shared" si="189"/>
        <v>0</v>
      </c>
      <c r="Z518" s="997">
        <f t="shared" si="190"/>
        <v>0</v>
      </c>
      <c r="AA518" s="997">
        <f t="shared" si="191"/>
        <v>0</v>
      </c>
      <c r="AB518" s="997">
        <f t="shared" si="192"/>
        <v>0</v>
      </c>
      <c r="AC518" s="997">
        <f t="shared" si="193"/>
        <v>0</v>
      </c>
      <c r="AD518" s="997">
        <f t="shared" si="194"/>
        <v>0</v>
      </c>
      <c r="AE518" s="997">
        <f t="shared" si="195"/>
        <v>0</v>
      </c>
      <c r="AF518" s="997">
        <f t="shared" si="196"/>
        <v>0</v>
      </c>
      <c r="AG518" s="997">
        <f t="shared" si="197"/>
        <v>0</v>
      </c>
      <c r="AH518" s="997">
        <f t="shared" si="198"/>
        <v>0</v>
      </c>
      <c r="AI518" s="998">
        <f t="shared" si="199"/>
        <v>0</v>
      </c>
    </row>
    <row r="519" spans="1:35" x14ac:dyDescent="0.25">
      <c r="A519" s="910">
        <v>29</v>
      </c>
      <c r="B519" s="996">
        <f t="shared" si="166"/>
        <v>0</v>
      </c>
      <c r="C519" s="1011">
        <f t="shared" si="167"/>
        <v>0</v>
      </c>
      <c r="D519" s="997">
        <f t="shared" si="168"/>
        <v>0.84852813742385713</v>
      </c>
      <c r="E519" s="1011">
        <f t="shared" si="169"/>
        <v>-0.84852813742385713</v>
      </c>
      <c r="F519" s="997">
        <f t="shared" si="170"/>
        <v>0</v>
      </c>
      <c r="G519" s="1011">
        <f t="shared" si="171"/>
        <v>0</v>
      </c>
      <c r="H519" s="997">
        <f t="shared" si="172"/>
        <v>0</v>
      </c>
      <c r="I519" s="1011">
        <f t="shared" si="173"/>
        <v>0</v>
      </c>
      <c r="J519" s="997">
        <f t="shared" si="174"/>
        <v>0</v>
      </c>
      <c r="K519" s="1011">
        <f t="shared" si="175"/>
        <v>0.84852813742385713</v>
      </c>
      <c r="L519" s="997">
        <f t="shared" si="176"/>
        <v>-0.84852813742385713</v>
      </c>
      <c r="M519" s="1011">
        <f t="shared" si="177"/>
        <v>0</v>
      </c>
      <c r="N519" s="997">
        <f t="shared" si="178"/>
        <v>0</v>
      </c>
      <c r="O519" s="1011">
        <f t="shared" si="179"/>
        <v>0</v>
      </c>
      <c r="P519" s="997">
        <f t="shared" si="180"/>
        <v>0</v>
      </c>
      <c r="Q519" s="1011">
        <f t="shared" si="181"/>
        <v>0</v>
      </c>
      <c r="R519" s="999">
        <f t="shared" si="182"/>
        <v>0</v>
      </c>
      <c r="S519" s="996">
        <f t="shared" si="183"/>
        <v>0</v>
      </c>
      <c r="T519" s="997">
        <f t="shared" si="184"/>
        <v>0</v>
      </c>
      <c r="U519" s="997">
        <f t="shared" si="185"/>
        <v>0</v>
      </c>
      <c r="V519" s="997">
        <f t="shared" si="186"/>
        <v>0</v>
      </c>
      <c r="W519" s="997">
        <f t="shared" si="187"/>
        <v>0</v>
      </c>
      <c r="X519" s="997">
        <f t="shared" si="188"/>
        <v>0</v>
      </c>
      <c r="Y519" s="997">
        <f t="shared" si="189"/>
        <v>0</v>
      </c>
      <c r="Z519" s="997">
        <f t="shared" si="190"/>
        <v>0</v>
      </c>
      <c r="AA519" s="997">
        <f t="shared" si="191"/>
        <v>0</v>
      </c>
      <c r="AB519" s="997">
        <f t="shared" si="192"/>
        <v>0</v>
      </c>
      <c r="AC519" s="997">
        <f t="shared" si="193"/>
        <v>0</v>
      </c>
      <c r="AD519" s="997">
        <f t="shared" si="194"/>
        <v>0</v>
      </c>
      <c r="AE519" s="997">
        <f t="shared" si="195"/>
        <v>0</v>
      </c>
      <c r="AF519" s="997">
        <f t="shared" si="196"/>
        <v>0</v>
      </c>
      <c r="AG519" s="997">
        <f t="shared" si="197"/>
        <v>0</v>
      </c>
      <c r="AH519" s="997">
        <f t="shared" si="198"/>
        <v>0</v>
      </c>
      <c r="AI519" s="998">
        <f t="shared" si="199"/>
        <v>0</v>
      </c>
    </row>
    <row r="520" spans="1:35" x14ac:dyDescent="0.25">
      <c r="A520" s="910">
        <v>30</v>
      </c>
      <c r="B520" s="996">
        <f t="shared" si="166"/>
        <v>0</v>
      </c>
      <c r="C520" s="1011">
        <f t="shared" si="167"/>
        <v>0</v>
      </c>
      <c r="D520" s="997">
        <f t="shared" si="168"/>
        <v>0.84852813742385713</v>
      </c>
      <c r="E520" s="1011">
        <f t="shared" si="169"/>
        <v>-0.84852813742385713</v>
      </c>
      <c r="F520" s="997">
        <f t="shared" si="170"/>
        <v>0</v>
      </c>
      <c r="G520" s="1011">
        <f t="shared" si="171"/>
        <v>0</v>
      </c>
      <c r="H520" s="997">
        <f t="shared" si="172"/>
        <v>0</v>
      </c>
      <c r="I520" s="1011">
        <f t="shared" si="173"/>
        <v>0</v>
      </c>
      <c r="J520" s="997">
        <f t="shared" si="174"/>
        <v>0</v>
      </c>
      <c r="K520" s="1011">
        <f t="shared" si="175"/>
        <v>0.84852813742385713</v>
      </c>
      <c r="L520" s="997">
        <f t="shared" si="176"/>
        <v>-0.84852813742385713</v>
      </c>
      <c r="M520" s="1011">
        <f t="shared" si="177"/>
        <v>0</v>
      </c>
      <c r="N520" s="997">
        <f t="shared" si="178"/>
        <v>0</v>
      </c>
      <c r="O520" s="1011">
        <f t="shared" si="179"/>
        <v>0</v>
      </c>
      <c r="P520" s="997">
        <f t="shared" si="180"/>
        <v>0</v>
      </c>
      <c r="Q520" s="1011">
        <f t="shared" si="181"/>
        <v>0</v>
      </c>
      <c r="R520" s="999">
        <f t="shared" si="182"/>
        <v>0</v>
      </c>
      <c r="S520" s="996">
        <f t="shared" si="183"/>
        <v>0</v>
      </c>
      <c r="T520" s="997">
        <f t="shared" si="184"/>
        <v>0</v>
      </c>
      <c r="U520" s="997">
        <f t="shared" si="185"/>
        <v>0</v>
      </c>
      <c r="V520" s="997">
        <f t="shared" si="186"/>
        <v>0</v>
      </c>
      <c r="W520" s="997">
        <f t="shared" si="187"/>
        <v>0</v>
      </c>
      <c r="X520" s="997">
        <f t="shared" si="188"/>
        <v>0</v>
      </c>
      <c r="Y520" s="997">
        <f t="shared" si="189"/>
        <v>0</v>
      </c>
      <c r="Z520" s="997">
        <f t="shared" si="190"/>
        <v>0</v>
      </c>
      <c r="AA520" s="997">
        <f t="shared" si="191"/>
        <v>0</v>
      </c>
      <c r="AB520" s="997">
        <f t="shared" si="192"/>
        <v>0</v>
      </c>
      <c r="AC520" s="997">
        <f t="shared" si="193"/>
        <v>0</v>
      </c>
      <c r="AD520" s="997">
        <f t="shared" si="194"/>
        <v>0</v>
      </c>
      <c r="AE520" s="997">
        <f t="shared" si="195"/>
        <v>0</v>
      </c>
      <c r="AF520" s="997">
        <f t="shared" si="196"/>
        <v>0</v>
      </c>
      <c r="AG520" s="997">
        <f t="shared" si="197"/>
        <v>0</v>
      </c>
      <c r="AH520" s="997">
        <f t="shared" si="198"/>
        <v>0</v>
      </c>
      <c r="AI520" s="998">
        <f t="shared" si="199"/>
        <v>0</v>
      </c>
    </row>
    <row r="521" spans="1:35" x14ac:dyDescent="0.25">
      <c r="A521" s="910">
        <v>31</v>
      </c>
      <c r="B521" s="996">
        <f t="shared" si="166"/>
        <v>0</v>
      </c>
      <c r="C521" s="1011">
        <f t="shared" si="167"/>
        <v>0</v>
      </c>
      <c r="D521" s="997">
        <f t="shared" si="168"/>
        <v>0.84852813742385713</v>
      </c>
      <c r="E521" s="1011">
        <f t="shared" si="169"/>
        <v>-0.84852813742385713</v>
      </c>
      <c r="F521" s="997">
        <f t="shared" si="170"/>
        <v>0</v>
      </c>
      <c r="G521" s="1011">
        <f t="shared" si="171"/>
        <v>0</v>
      </c>
      <c r="H521" s="997">
        <f t="shared" si="172"/>
        <v>0</v>
      </c>
      <c r="I521" s="1011">
        <f t="shared" si="173"/>
        <v>0</v>
      </c>
      <c r="J521" s="997">
        <f t="shared" si="174"/>
        <v>0</v>
      </c>
      <c r="K521" s="1011">
        <f t="shared" si="175"/>
        <v>0.84852813742385713</v>
      </c>
      <c r="L521" s="997">
        <f t="shared" si="176"/>
        <v>-0.84852813742385713</v>
      </c>
      <c r="M521" s="1011">
        <f t="shared" si="177"/>
        <v>0</v>
      </c>
      <c r="N521" s="997">
        <f t="shared" si="178"/>
        <v>0</v>
      </c>
      <c r="O521" s="1011">
        <f t="shared" si="179"/>
        <v>0</v>
      </c>
      <c r="P521" s="997">
        <f t="shared" si="180"/>
        <v>0</v>
      </c>
      <c r="Q521" s="1011">
        <f t="shared" si="181"/>
        <v>0</v>
      </c>
      <c r="R521" s="999">
        <f t="shared" si="182"/>
        <v>0</v>
      </c>
      <c r="S521" s="996">
        <f t="shared" si="183"/>
        <v>0</v>
      </c>
      <c r="T521" s="997">
        <f t="shared" si="184"/>
        <v>0</v>
      </c>
      <c r="U521" s="997">
        <f t="shared" si="185"/>
        <v>0</v>
      </c>
      <c r="V521" s="997">
        <f t="shared" si="186"/>
        <v>0</v>
      </c>
      <c r="W521" s="997">
        <f t="shared" si="187"/>
        <v>0</v>
      </c>
      <c r="X521" s="997">
        <f t="shared" si="188"/>
        <v>0</v>
      </c>
      <c r="Y521" s="997">
        <f t="shared" si="189"/>
        <v>0</v>
      </c>
      <c r="Z521" s="997">
        <f t="shared" si="190"/>
        <v>0</v>
      </c>
      <c r="AA521" s="997">
        <f t="shared" si="191"/>
        <v>0</v>
      </c>
      <c r="AB521" s="997">
        <f t="shared" si="192"/>
        <v>0</v>
      </c>
      <c r="AC521" s="997">
        <f t="shared" si="193"/>
        <v>0</v>
      </c>
      <c r="AD521" s="997">
        <f t="shared" si="194"/>
        <v>0</v>
      </c>
      <c r="AE521" s="997">
        <f t="shared" si="195"/>
        <v>0</v>
      </c>
      <c r="AF521" s="997">
        <f t="shared" si="196"/>
        <v>0</v>
      </c>
      <c r="AG521" s="997">
        <f t="shared" si="197"/>
        <v>0</v>
      </c>
      <c r="AH521" s="997">
        <f t="shared" si="198"/>
        <v>0</v>
      </c>
      <c r="AI521" s="998">
        <f t="shared" si="199"/>
        <v>0</v>
      </c>
    </row>
    <row r="522" spans="1:35" x14ac:dyDescent="0.25">
      <c r="A522" s="910">
        <v>32</v>
      </c>
      <c r="B522" s="996">
        <f t="shared" si="166"/>
        <v>0</v>
      </c>
      <c r="C522" s="1011">
        <f t="shared" si="167"/>
        <v>0</v>
      </c>
      <c r="D522" s="997">
        <f t="shared" si="168"/>
        <v>0.84852813742385713</v>
      </c>
      <c r="E522" s="1011">
        <f t="shared" si="169"/>
        <v>-0.84852813742385713</v>
      </c>
      <c r="F522" s="997">
        <f t="shared" si="170"/>
        <v>0</v>
      </c>
      <c r="G522" s="1011">
        <f t="shared" si="171"/>
        <v>0</v>
      </c>
      <c r="H522" s="997">
        <f t="shared" si="172"/>
        <v>0</v>
      </c>
      <c r="I522" s="1011">
        <f t="shared" si="173"/>
        <v>0</v>
      </c>
      <c r="J522" s="997">
        <f t="shared" si="174"/>
        <v>0</v>
      </c>
      <c r="K522" s="1011">
        <f t="shared" si="175"/>
        <v>0.84852813742385713</v>
      </c>
      <c r="L522" s="997">
        <f t="shared" si="176"/>
        <v>-0.84852813742385713</v>
      </c>
      <c r="M522" s="1011">
        <f t="shared" si="177"/>
        <v>0</v>
      </c>
      <c r="N522" s="997">
        <f t="shared" si="178"/>
        <v>0</v>
      </c>
      <c r="O522" s="1011">
        <f t="shared" si="179"/>
        <v>0</v>
      </c>
      <c r="P522" s="997">
        <f t="shared" si="180"/>
        <v>0</v>
      </c>
      <c r="Q522" s="1011">
        <f t="shared" si="181"/>
        <v>0</v>
      </c>
      <c r="R522" s="999">
        <f t="shared" si="182"/>
        <v>0</v>
      </c>
      <c r="S522" s="996">
        <f t="shared" si="183"/>
        <v>0</v>
      </c>
      <c r="T522" s="997">
        <f t="shared" si="184"/>
        <v>0</v>
      </c>
      <c r="U522" s="997">
        <f t="shared" si="185"/>
        <v>0</v>
      </c>
      <c r="V522" s="997">
        <f t="shared" si="186"/>
        <v>0</v>
      </c>
      <c r="W522" s="997">
        <f t="shared" si="187"/>
        <v>0</v>
      </c>
      <c r="X522" s="997">
        <f t="shared" si="188"/>
        <v>0</v>
      </c>
      <c r="Y522" s="997">
        <f t="shared" si="189"/>
        <v>0</v>
      </c>
      <c r="Z522" s="997">
        <f t="shared" si="190"/>
        <v>0</v>
      </c>
      <c r="AA522" s="997">
        <f t="shared" si="191"/>
        <v>0</v>
      </c>
      <c r="AB522" s="997">
        <f t="shared" si="192"/>
        <v>0</v>
      </c>
      <c r="AC522" s="997">
        <f t="shared" si="193"/>
        <v>0</v>
      </c>
      <c r="AD522" s="997">
        <f t="shared" si="194"/>
        <v>0</v>
      </c>
      <c r="AE522" s="997">
        <f t="shared" si="195"/>
        <v>0</v>
      </c>
      <c r="AF522" s="997">
        <f t="shared" si="196"/>
        <v>0</v>
      </c>
      <c r="AG522" s="997">
        <f t="shared" si="197"/>
        <v>0</v>
      </c>
      <c r="AH522" s="997">
        <f t="shared" si="198"/>
        <v>0</v>
      </c>
      <c r="AI522" s="998">
        <f t="shared" si="199"/>
        <v>0</v>
      </c>
    </row>
    <row r="523" spans="1:35" x14ac:dyDescent="0.25">
      <c r="A523" s="910">
        <v>33</v>
      </c>
      <c r="B523" s="996">
        <f t="shared" si="166"/>
        <v>0</v>
      </c>
      <c r="C523" s="1011">
        <f t="shared" si="167"/>
        <v>0</v>
      </c>
      <c r="D523" s="997">
        <f t="shared" si="168"/>
        <v>0.84852813742385713</v>
      </c>
      <c r="E523" s="1011">
        <f t="shared" si="169"/>
        <v>-0.84852813742385713</v>
      </c>
      <c r="F523" s="997">
        <f t="shared" si="170"/>
        <v>0</v>
      </c>
      <c r="G523" s="1011">
        <f t="shared" si="171"/>
        <v>0</v>
      </c>
      <c r="H523" s="997">
        <f t="shared" si="172"/>
        <v>0</v>
      </c>
      <c r="I523" s="1011">
        <f t="shared" si="173"/>
        <v>0</v>
      </c>
      <c r="J523" s="997">
        <f t="shared" si="174"/>
        <v>0</v>
      </c>
      <c r="K523" s="1011">
        <f t="shared" si="175"/>
        <v>0.84852813742385713</v>
      </c>
      <c r="L523" s="997">
        <f t="shared" si="176"/>
        <v>-0.84852813742385713</v>
      </c>
      <c r="M523" s="1011">
        <f t="shared" si="177"/>
        <v>0</v>
      </c>
      <c r="N523" s="997">
        <f t="shared" si="178"/>
        <v>0</v>
      </c>
      <c r="O523" s="1011">
        <f t="shared" si="179"/>
        <v>0</v>
      </c>
      <c r="P523" s="997">
        <f t="shared" si="180"/>
        <v>0</v>
      </c>
      <c r="Q523" s="1011">
        <f t="shared" si="181"/>
        <v>0</v>
      </c>
      <c r="R523" s="999">
        <f t="shared" si="182"/>
        <v>0</v>
      </c>
      <c r="S523" s="996">
        <f t="shared" si="183"/>
        <v>0</v>
      </c>
      <c r="T523" s="997">
        <f t="shared" si="184"/>
        <v>0</v>
      </c>
      <c r="U523" s="997">
        <f t="shared" si="185"/>
        <v>0</v>
      </c>
      <c r="V523" s="997">
        <f t="shared" si="186"/>
        <v>0</v>
      </c>
      <c r="W523" s="997">
        <f t="shared" si="187"/>
        <v>0</v>
      </c>
      <c r="X523" s="997">
        <f t="shared" si="188"/>
        <v>0</v>
      </c>
      <c r="Y523" s="997">
        <f t="shared" si="189"/>
        <v>0</v>
      </c>
      <c r="Z523" s="997">
        <f t="shared" si="190"/>
        <v>0</v>
      </c>
      <c r="AA523" s="997">
        <f t="shared" si="191"/>
        <v>0</v>
      </c>
      <c r="AB523" s="997">
        <f t="shared" si="192"/>
        <v>0</v>
      </c>
      <c r="AC523" s="997">
        <f t="shared" si="193"/>
        <v>0</v>
      </c>
      <c r="AD523" s="997">
        <f t="shared" si="194"/>
        <v>0</v>
      </c>
      <c r="AE523" s="997">
        <f t="shared" si="195"/>
        <v>0</v>
      </c>
      <c r="AF523" s="997">
        <f t="shared" si="196"/>
        <v>0</v>
      </c>
      <c r="AG523" s="997">
        <f t="shared" si="197"/>
        <v>0</v>
      </c>
      <c r="AH523" s="997">
        <f t="shared" si="198"/>
        <v>0</v>
      </c>
      <c r="AI523" s="998">
        <f t="shared" si="199"/>
        <v>0</v>
      </c>
    </row>
    <row r="524" spans="1:35" x14ac:dyDescent="0.25">
      <c r="A524" s="910">
        <v>34</v>
      </c>
      <c r="B524" s="996">
        <f t="shared" si="166"/>
        <v>0</v>
      </c>
      <c r="C524" s="1011">
        <f t="shared" si="167"/>
        <v>0</v>
      </c>
      <c r="D524" s="997">
        <f t="shared" si="168"/>
        <v>0.84852813742385713</v>
      </c>
      <c r="E524" s="1011">
        <f t="shared" si="169"/>
        <v>-0.84852813742385713</v>
      </c>
      <c r="F524" s="997">
        <f t="shared" si="170"/>
        <v>0</v>
      </c>
      <c r="G524" s="1011">
        <f t="shared" si="171"/>
        <v>0</v>
      </c>
      <c r="H524" s="997">
        <f t="shared" si="172"/>
        <v>0</v>
      </c>
      <c r="I524" s="1011">
        <f t="shared" si="173"/>
        <v>0</v>
      </c>
      <c r="J524" s="997">
        <f t="shared" si="174"/>
        <v>0</v>
      </c>
      <c r="K524" s="1011">
        <f t="shared" si="175"/>
        <v>0.84852813742385713</v>
      </c>
      <c r="L524" s="997">
        <f t="shared" si="176"/>
        <v>-0.84852813742385713</v>
      </c>
      <c r="M524" s="1011">
        <f t="shared" si="177"/>
        <v>0</v>
      </c>
      <c r="N524" s="997">
        <f t="shared" si="178"/>
        <v>0</v>
      </c>
      <c r="O524" s="1011">
        <f t="shared" si="179"/>
        <v>0</v>
      </c>
      <c r="P524" s="997">
        <f t="shared" si="180"/>
        <v>0</v>
      </c>
      <c r="Q524" s="1011">
        <f t="shared" si="181"/>
        <v>0</v>
      </c>
      <c r="R524" s="999">
        <f t="shared" si="182"/>
        <v>0</v>
      </c>
      <c r="S524" s="996">
        <f t="shared" si="183"/>
        <v>0</v>
      </c>
      <c r="T524" s="997">
        <f t="shared" si="184"/>
        <v>0</v>
      </c>
      <c r="U524" s="997">
        <f t="shared" si="185"/>
        <v>0</v>
      </c>
      <c r="V524" s="997">
        <f t="shared" si="186"/>
        <v>0</v>
      </c>
      <c r="W524" s="997">
        <f t="shared" si="187"/>
        <v>0</v>
      </c>
      <c r="X524" s="997">
        <f t="shared" si="188"/>
        <v>0</v>
      </c>
      <c r="Y524" s="997">
        <f t="shared" si="189"/>
        <v>0</v>
      </c>
      <c r="Z524" s="997">
        <f t="shared" si="190"/>
        <v>0</v>
      </c>
      <c r="AA524" s="997">
        <f t="shared" si="191"/>
        <v>0</v>
      </c>
      <c r="AB524" s="997">
        <f t="shared" si="192"/>
        <v>0</v>
      </c>
      <c r="AC524" s="997">
        <f t="shared" si="193"/>
        <v>0</v>
      </c>
      <c r="AD524" s="997">
        <f t="shared" si="194"/>
        <v>0</v>
      </c>
      <c r="AE524" s="997">
        <f t="shared" si="195"/>
        <v>0</v>
      </c>
      <c r="AF524" s="997">
        <f t="shared" si="196"/>
        <v>0</v>
      </c>
      <c r="AG524" s="997">
        <f t="shared" si="197"/>
        <v>0</v>
      </c>
      <c r="AH524" s="997">
        <f t="shared" si="198"/>
        <v>0</v>
      </c>
      <c r="AI524" s="998">
        <f t="shared" si="199"/>
        <v>0</v>
      </c>
    </row>
    <row r="525" spans="1:35" x14ac:dyDescent="0.25">
      <c r="A525" s="910">
        <v>35</v>
      </c>
      <c r="B525" s="996">
        <f t="shared" si="166"/>
        <v>0</v>
      </c>
      <c r="C525" s="1011">
        <f t="shared" si="167"/>
        <v>0</v>
      </c>
      <c r="D525" s="997">
        <f t="shared" si="168"/>
        <v>0.84852813742385713</v>
      </c>
      <c r="E525" s="1011">
        <f t="shared" si="169"/>
        <v>-0.84852813742385713</v>
      </c>
      <c r="F525" s="997">
        <f t="shared" si="170"/>
        <v>0</v>
      </c>
      <c r="G525" s="1011">
        <f t="shared" si="171"/>
        <v>0</v>
      </c>
      <c r="H525" s="997">
        <f t="shared" si="172"/>
        <v>0</v>
      </c>
      <c r="I525" s="1011">
        <f t="shared" si="173"/>
        <v>0</v>
      </c>
      <c r="J525" s="997">
        <f t="shared" si="174"/>
        <v>0</v>
      </c>
      <c r="K525" s="1011">
        <f t="shared" si="175"/>
        <v>0.84852813742385713</v>
      </c>
      <c r="L525" s="997">
        <f t="shared" si="176"/>
        <v>-0.84852813742385713</v>
      </c>
      <c r="M525" s="1011">
        <f t="shared" si="177"/>
        <v>0</v>
      </c>
      <c r="N525" s="997">
        <f t="shared" si="178"/>
        <v>0</v>
      </c>
      <c r="O525" s="1011">
        <f t="shared" si="179"/>
        <v>0</v>
      </c>
      <c r="P525" s="997">
        <f t="shared" si="180"/>
        <v>0</v>
      </c>
      <c r="Q525" s="1011">
        <f t="shared" si="181"/>
        <v>0</v>
      </c>
      <c r="R525" s="999">
        <f t="shared" si="182"/>
        <v>0</v>
      </c>
      <c r="S525" s="996">
        <f t="shared" si="183"/>
        <v>0</v>
      </c>
      <c r="T525" s="997">
        <f t="shared" si="184"/>
        <v>0</v>
      </c>
      <c r="U525" s="997">
        <f t="shared" si="185"/>
        <v>0</v>
      </c>
      <c r="V525" s="997">
        <f t="shared" si="186"/>
        <v>0</v>
      </c>
      <c r="W525" s="997">
        <f t="shared" si="187"/>
        <v>0</v>
      </c>
      <c r="X525" s="997">
        <f t="shared" si="188"/>
        <v>0</v>
      </c>
      <c r="Y525" s="997">
        <f t="shared" si="189"/>
        <v>0</v>
      </c>
      <c r="Z525" s="997">
        <f t="shared" si="190"/>
        <v>0</v>
      </c>
      <c r="AA525" s="997">
        <f t="shared" si="191"/>
        <v>0</v>
      </c>
      <c r="AB525" s="997">
        <f t="shared" si="192"/>
        <v>0</v>
      </c>
      <c r="AC525" s="997">
        <f t="shared" si="193"/>
        <v>0</v>
      </c>
      <c r="AD525" s="997">
        <f t="shared" si="194"/>
        <v>0</v>
      </c>
      <c r="AE525" s="997">
        <f t="shared" si="195"/>
        <v>0</v>
      </c>
      <c r="AF525" s="997">
        <f t="shared" si="196"/>
        <v>0</v>
      </c>
      <c r="AG525" s="997">
        <f t="shared" si="197"/>
        <v>0</v>
      </c>
      <c r="AH525" s="997">
        <f t="shared" si="198"/>
        <v>0</v>
      </c>
      <c r="AI525" s="998">
        <f t="shared" si="199"/>
        <v>0</v>
      </c>
    </row>
    <row r="526" spans="1:35" x14ac:dyDescent="0.25">
      <c r="A526" s="910">
        <v>36</v>
      </c>
      <c r="B526" s="996">
        <f t="shared" si="166"/>
        <v>0</v>
      </c>
      <c r="C526" s="1011">
        <f t="shared" si="167"/>
        <v>0</v>
      </c>
      <c r="D526" s="997">
        <f t="shared" si="168"/>
        <v>0.84852813742385713</v>
      </c>
      <c r="E526" s="1011">
        <f t="shared" si="169"/>
        <v>-0.84852813742385713</v>
      </c>
      <c r="F526" s="997">
        <f t="shared" si="170"/>
        <v>0</v>
      </c>
      <c r="G526" s="1011">
        <f t="shared" si="171"/>
        <v>0</v>
      </c>
      <c r="H526" s="997">
        <f t="shared" si="172"/>
        <v>0</v>
      </c>
      <c r="I526" s="1011">
        <f t="shared" si="173"/>
        <v>0</v>
      </c>
      <c r="J526" s="997">
        <f t="shared" si="174"/>
        <v>0</v>
      </c>
      <c r="K526" s="1011">
        <f t="shared" si="175"/>
        <v>0.84852813742385713</v>
      </c>
      <c r="L526" s="997">
        <f t="shared" si="176"/>
        <v>-0.84852813742385713</v>
      </c>
      <c r="M526" s="1011">
        <f t="shared" si="177"/>
        <v>0</v>
      </c>
      <c r="N526" s="997">
        <f t="shared" si="178"/>
        <v>0</v>
      </c>
      <c r="O526" s="1011">
        <f t="shared" si="179"/>
        <v>0</v>
      </c>
      <c r="P526" s="997">
        <f t="shared" si="180"/>
        <v>0</v>
      </c>
      <c r="Q526" s="1011">
        <f t="shared" si="181"/>
        <v>0</v>
      </c>
      <c r="R526" s="999">
        <f t="shared" si="182"/>
        <v>0</v>
      </c>
      <c r="S526" s="996">
        <f t="shared" si="183"/>
        <v>0</v>
      </c>
      <c r="T526" s="997">
        <f t="shared" si="184"/>
        <v>0</v>
      </c>
      <c r="U526" s="997">
        <f t="shared" si="185"/>
        <v>0</v>
      </c>
      <c r="V526" s="997">
        <f t="shared" si="186"/>
        <v>0</v>
      </c>
      <c r="W526" s="997">
        <f t="shared" si="187"/>
        <v>0</v>
      </c>
      <c r="X526" s="997">
        <f t="shared" si="188"/>
        <v>0</v>
      </c>
      <c r="Y526" s="997">
        <f t="shared" si="189"/>
        <v>0</v>
      </c>
      <c r="Z526" s="997">
        <f t="shared" si="190"/>
        <v>0</v>
      </c>
      <c r="AA526" s="997">
        <f t="shared" si="191"/>
        <v>0</v>
      </c>
      <c r="AB526" s="997">
        <f t="shared" si="192"/>
        <v>0</v>
      </c>
      <c r="AC526" s="997">
        <f t="shared" si="193"/>
        <v>0</v>
      </c>
      <c r="AD526" s="997">
        <f t="shared" si="194"/>
        <v>0</v>
      </c>
      <c r="AE526" s="997">
        <f t="shared" si="195"/>
        <v>0</v>
      </c>
      <c r="AF526" s="997">
        <f t="shared" si="196"/>
        <v>0</v>
      </c>
      <c r="AG526" s="997">
        <f t="shared" si="197"/>
        <v>0</v>
      </c>
      <c r="AH526" s="997">
        <f t="shared" si="198"/>
        <v>0</v>
      </c>
      <c r="AI526" s="998">
        <f t="shared" si="199"/>
        <v>0</v>
      </c>
    </row>
    <row r="527" spans="1:35" x14ac:dyDescent="0.25">
      <c r="A527" s="910">
        <v>37</v>
      </c>
      <c r="B527" s="996">
        <f t="shared" si="166"/>
        <v>0</v>
      </c>
      <c r="C527" s="1011">
        <f t="shared" si="167"/>
        <v>0</v>
      </c>
      <c r="D527" s="997">
        <f t="shared" si="168"/>
        <v>0.84852813742385713</v>
      </c>
      <c r="E527" s="1011">
        <f t="shared" si="169"/>
        <v>-0.84852813742385713</v>
      </c>
      <c r="F527" s="997">
        <f t="shared" si="170"/>
        <v>0</v>
      </c>
      <c r="G527" s="1011">
        <f t="shared" si="171"/>
        <v>0</v>
      </c>
      <c r="H527" s="997">
        <f t="shared" si="172"/>
        <v>0</v>
      </c>
      <c r="I527" s="1011">
        <f t="shared" si="173"/>
        <v>0</v>
      </c>
      <c r="J527" s="997">
        <f t="shared" si="174"/>
        <v>0</v>
      </c>
      <c r="K527" s="1011">
        <f t="shared" si="175"/>
        <v>0.84852813742385713</v>
      </c>
      <c r="L527" s="997">
        <f t="shared" si="176"/>
        <v>-0.84852813742385713</v>
      </c>
      <c r="M527" s="1011">
        <f t="shared" si="177"/>
        <v>0</v>
      </c>
      <c r="N527" s="997">
        <f t="shared" si="178"/>
        <v>0</v>
      </c>
      <c r="O527" s="1011">
        <f t="shared" si="179"/>
        <v>0</v>
      </c>
      <c r="P527" s="997">
        <f t="shared" si="180"/>
        <v>0</v>
      </c>
      <c r="Q527" s="1011">
        <f t="shared" si="181"/>
        <v>0</v>
      </c>
      <c r="R527" s="999">
        <f t="shared" si="182"/>
        <v>0</v>
      </c>
      <c r="S527" s="996">
        <f t="shared" si="183"/>
        <v>0</v>
      </c>
      <c r="T527" s="997">
        <f t="shared" si="184"/>
        <v>0</v>
      </c>
      <c r="U527" s="997">
        <f t="shared" si="185"/>
        <v>0</v>
      </c>
      <c r="V527" s="997">
        <f t="shared" si="186"/>
        <v>0</v>
      </c>
      <c r="W527" s="997">
        <f t="shared" si="187"/>
        <v>0</v>
      </c>
      <c r="X527" s="997">
        <f t="shared" si="188"/>
        <v>0</v>
      </c>
      <c r="Y527" s="997">
        <f t="shared" si="189"/>
        <v>0</v>
      </c>
      <c r="Z527" s="997">
        <f t="shared" si="190"/>
        <v>0</v>
      </c>
      <c r="AA527" s="997">
        <f t="shared" si="191"/>
        <v>0</v>
      </c>
      <c r="AB527" s="997">
        <f t="shared" si="192"/>
        <v>0</v>
      </c>
      <c r="AC527" s="997">
        <f t="shared" si="193"/>
        <v>0</v>
      </c>
      <c r="AD527" s="997">
        <f t="shared" si="194"/>
        <v>0</v>
      </c>
      <c r="AE527" s="997">
        <f t="shared" si="195"/>
        <v>0</v>
      </c>
      <c r="AF527" s="997">
        <f t="shared" si="196"/>
        <v>0</v>
      </c>
      <c r="AG527" s="997">
        <f t="shared" si="197"/>
        <v>0</v>
      </c>
      <c r="AH527" s="997">
        <f t="shared" si="198"/>
        <v>0</v>
      </c>
      <c r="AI527" s="998">
        <f t="shared" si="199"/>
        <v>0</v>
      </c>
    </row>
    <row r="528" spans="1:35" x14ac:dyDescent="0.25">
      <c r="A528" s="910">
        <v>38</v>
      </c>
      <c r="B528" s="996">
        <f t="shared" si="166"/>
        <v>0</v>
      </c>
      <c r="C528" s="1011">
        <f t="shared" si="167"/>
        <v>0</v>
      </c>
      <c r="D528" s="997">
        <f t="shared" si="168"/>
        <v>0.84852813742385713</v>
      </c>
      <c r="E528" s="1011">
        <f t="shared" si="169"/>
        <v>-0.84852813742385713</v>
      </c>
      <c r="F528" s="997">
        <f t="shared" si="170"/>
        <v>0</v>
      </c>
      <c r="G528" s="1011">
        <f t="shared" si="171"/>
        <v>0</v>
      </c>
      <c r="H528" s="997">
        <f t="shared" si="172"/>
        <v>0</v>
      </c>
      <c r="I528" s="1011">
        <f t="shared" si="173"/>
        <v>0</v>
      </c>
      <c r="J528" s="997">
        <f t="shared" si="174"/>
        <v>0</v>
      </c>
      <c r="K528" s="1011">
        <f t="shared" si="175"/>
        <v>0.84852813742385713</v>
      </c>
      <c r="L528" s="997">
        <f t="shared" si="176"/>
        <v>-0.84852813742385713</v>
      </c>
      <c r="M528" s="1011">
        <f t="shared" si="177"/>
        <v>0</v>
      </c>
      <c r="N528" s="997">
        <f t="shared" si="178"/>
        <v>0</v>
      </c>
      <c r="O528" s="1011">
        <f t="shared" si="179"/>
        <v>0</v>
      </c>
      <c r="P528" s="997">
        <f t="shared" si="180"/>
        <v>0</v>
      </c>
      <c r="Q528" s="1011">
        <f t="shared" si="181"/>
        <v>0</v>
      </c>
      <c r="R528" s="999">
        <f t="shared" si="182"/>
        <v>0</v>
      </c>
      <c r="S528" s="996">
        <f t="shared" si="183"/>
        <v>0</v>
      </c>
      <c r="T528" s="997">
        <f t="shared" si="184"/>
        <v>0</v>
      </c>
      <c r="U528" s="997">
        <f t="shared" si="185"/>
        <v>0</v>
      </c>
      <c r="V528" s="997">
        <f t="shared" si="186"/>
        <v>0</v>
      </c>
      <c r="W528" s="997">
        <f t="shared" si="187"/>
        <v>0</v>
      </c>
      <c r="X528" s="997">
        <f t="shared" si="188"/>
        <v>0</v>
      </c>
      <c r="Y528" s="997">
        <f t="shared" si="189"/>
        <v>0</v>
      </c>
      <c r="Z528" s="997">
        <f t="shared" si="190"/>
        <v>0</v>
      </c>
      <c r="AA528" s="997">
        <f t="shared" si="191"/>
        <v>0</v>
      </c>
      <c r="AB528" s="997">
        <f t="shared" si="192"/>
        <v>0</v>
      </c>
      <c r="AC528" s="997">
        <f t="shared" si="193"/>
        <v>0</v>
      </c>
      <c r="AD528" s="997">
        <f t="shared" si="194"/>
        <v>0</v>
      </c>
      <c r="AE528" s="997">
        <f t="shared" si="195"/>
        <v>0</v>
      </c>
      <c r="AF528" s="997">
        <f t="shared" si="196"/>
        <v>0</v>
      </c>
      <c r="AG528" s="997">
        <f t="shared" si="197"/>
        <v>0</v>
      </c>
      <c r="AH528" s="997">
        <f t="shared" si="198"/>
        <v>0</v>
      </c>
      <c r="AI528" s="998">
        <f t="shared" si="199"/>
        <v>0</v>
      </c>
    </row>
    <row r="529" spans="1:43" x14ac:dyDescent="0.25">
      <c r="A529" s="910">
        <v>39</v>
      </c>
      <c r="B529" s="996">
        <f t="shared" si="166"/>
        <v>0</v>
      </c>
      <c r="C529" s="1011">
        <f t="shared" si="167"/>
        <v>0</v>
      </c>
      <c r="D529" s="997">
        <f t="shared" si="168"/>
        <v>0.84852813742385713</v>
      </c>
      <c r="E529" s="1011">
        <f t="shared" si="169"/>
        <v>-0.84852813742385713</v>
      </c>
      <c r="F529" s="997">
        <f t="shared" si="170"/>
        <v>0</v>
      </c>
      <c r="G529" s="1011">
        <f t="shared" si="171"/>
        <v>0</v>
      </c>
      <c r="H529" s="997">
        <f t="shared" si="172"/>
        <v>0</v>
      </c>
      <c r="I529" s="1011">
        <f t="shared" si="173"/>
        <v>0</v>
      </c>
      <c r="J529" s="997">
        <f t="shared" si="174"/>
        <v>0</v>
      </c>
      <c r="K529" s="1011">
        <f t="shared" si="175"/>
        <v>0.84852813742385713</v>
      </c>
      <c r="L529" s="997">
        <f t="shared" si="176"/>
        <v>-0.84852813742385713</v>
      </c>
      <c r="M529" s="1011">
        <f t="shared" si="177"/>
        <v>0</v>
      </c>
      <c r="N529" s="997">
        <f t="shared" si="178"/>
        <v>0</v>
      </c>
      <c r="O529" s="1011">
        <f t="shared" si="179"/>
        <v>0</v>
      </c>
      <c r="P529" s="997">
        <f t="shared" si="180"/>
        <v>0</v>
      </c>
      <c r="Q529" s="1011">
        <f t="shared" si="181"/>
        <v>0</v>
      </c>
      <c r="R529" s="999">
        <f t="shared" si="182"/>
        <v>0</v>
      </c>
      <c r="S529" s="996">
        <f t="shared" si="183"/>
        <v>0</v>
      </c>
      <c r="T529" s="997">
        <f t="shared" si="184"/>
        <v>0</v>
      </c>
      <c r="U529" s="997">
        <f t="shared" si="185"/>
        <v>0</v>
      </c>
      <c r="V529" s="997">
        <f t="shared" si="186"/>
        <v>0</v>
      </c>
      <c r="W529" s="997">
        <f t="shared" si="187"/>
        <v>0</v>
      </c>
      <c r="X529" s="997">
        <f t="shared" si="188"/>
        <v>0</v>
      </c>
      <c r="Y529" s="997">
        <f t="shared" si="189"/>
        <v>0</v>
      </c>
      <c r="Z529" s="997">
        <f t="shared" si="190"/>
        <v>0</v>
      </c>
      <c r="AA529" s="997">
        <f t="shared" si="191"/>
        <v>0</v>
      </c>
      <c r="AB529" s="997">
        <f t="shared" si="192"/>
        <v>0</v>
      </c>
      <c r="AC529" s="997">
        <f t="shared" si="193"/>
        <v>0</v>
      </c>
      <c r="AD529" s="997">
        <f t="shared" si="194"/>
        <v>0</v>
      </c>
      <c r="AE529" s="997">
        <f t="shared" si="195"/>
        <v>0</v>
      </c>
      <c r="AF529" s="997">
        <f t="shared" si="196"/>
        <v>0</v>
      </c>
      <c r="AG529" s="997">
        <f t="shared" si="197"/>
        <v>0</v>
      </c>
      <c r="AH529" s="997">
        <f t="shared" si="198"/>
        <v>0</v>
      </c>
      <c r="AI529" s="998">
        <f t="shared" si="199"/>
        <v>0</v>
      </c>
    </row>
    <row r="530" spans="1:43" ht="13.8" thickBot="1" x14ac:dyDescent="0.3">
      <c r="A530" s="911">
        <v>40</v>
      </c>
      <c r="B530" s="996">
        <f t="shared" si="166"/>
        <v>0</v>
      </c>
      <c r="C530" s="1011">
        <f t="shared" si="167"/>
        <v>0</v>
      </c>
      <c r="D530" s="997">
        <f t="shared" si="168"/>
        <v>0.84852813742385713</v>
      </c>
      <c r="E530" s="1011">
        <f t="shared" si="169"/>
        <v>-0.84852813742385713</v>
      </c>
      <c r="F530" s="997">
        <f t="shared" si="170"/>
        <v>0</v>
      </c>
      <c r="G530" s="1011">
        <f t="shared" si="171"/>
        <v>0</v>
      </c>
      <c r="H530" s="997">
        <f t="shared" si="172"/>
        <v>0</v>
      </c>
      <c r="I530" s="1011">
        <f t="shared" si="173"/>
        <v>0</v>
      </c>
      <c r="J530" s="997">
        <f t="shared" si="174"/>
        <v>0</v>
      </c>
      <c r="K530" s="1011">
        <f t="shared" si="175"/>
        <v>0.84852813742385713</v>
      </c>
      <c r="L530" s="997">
        <f t="shared" si="176"/>
        <v>-0.84852813742385713</v>
      </c>
      <c r="M530" s="1011">
        <f t="shared" si="177"/>
        <v>0</v>
      </c>
      <c r="N530" s="997">
        <f t="shared" si="178"/>
        <v>0</v>
      </c>
      <c r="O530" s="1011">
        <f t="shared" si="179"/>
        <v>0</v>
      </c>
      <c r="P530" s="997">
        <f t="shared" si="180"/>
        <v>0</v>
      </c>
      <c r="Q530" s="1011">
        <f t="shared" si="181"/>
        <v>0</v>
      </c>
      <c r="R530" s="999">
        <f t="shared" si="182"/>
        <v>0</v>
      </c>
      <c r="S530" s="1003">
        <f t="shared" si="183"/>
        <v>0</v>
      </c>
      <c r="T530" s="1004">
        <f t="shared" si="184"/>
        <v>0</v>
      </c>
      <c r="U530" s="1004">
        <f t="shared" si="185"/>
        <v>0</v>
      </c>
      <c r="V530" s="1004">
        <f t="shared" si="186"/>
        <v>0</v>
      </c>
      <c r="W530" s="1004">
        <f t="shared" si="187"/>
        <v>0</v>
      </c>
      <c r="X530" s="1004">
        <f t="shared" si="188"/>
        <v>0</v>
      </c>
      <c r="Y530" s="1004">
        <f t="shared" si="189"/>
        <v>0</v>
      </c>
      <c r="Z530" s="1004">
        <f t="shared" si="190"/>
        <v>0</v>
      </c>
      <c r="AA530" s="1004">
        <f t="shared" si="191"/>
        <v>0</v>
      </c>
      <c r="AB530" s="1004">
        <f t="shared" si="192"/>
        <v>0</v>
      </c>
      <c r="AC530" s="1004">
        <f t="shared" si="193"/>
        <v>0</v>
      </c>
      <c r="AD530" s="1004">
        <f t="shared" si="194"/>
        <v>0</v>
      </c>
      <c r="AE530" s="1004">
        <f t="shared" si="195"/>
        <v>0</v>
      </c>
      <c r="AF530" s="1004">
        <f t="shared" si="196"/>
        <v>0</v>
      </c>
      <c r="AG530" s="1004">
        <f t="shared" si="197"/>
        <v>0</v>
      </c>
      <c r="AH530" s="1004">
        <f t="shared" si="198"/>
        <v>0</v>
      </c>
      <c r="AI530" s="1005">
        <f t="shared" si="199"/>
        <v>0</v>
      </c>
    </row>
    <row r="532" spans="1:43" ht="13.8" thickBot="1" x14ac:dyDescent="0.3"/>
    <row r="533" spans="1:43" s="9" customFormat="1" ht="20.25" customHeight="1" thickBot="1" x14ac:dyDescent="0.35">
      <c r="AD533" s="1015" t="s">
        <v>377</v>
      </c>
      <c r="AE533" s="1016"/>
    </row>
    <row r="534" spans="1:43" s="9" customFormat="1" ht="20.25" customHeight="1" thickBot="1" x14ac:dyDescent="0.35">
      <c r="B534" s="1375" t="s">
        <v>378</v>
      </c>
      <c r="C534" s="1376"/>
      <c r="F534" s="1363" t="s">
        <v>379</v>
      </c>
      <c r="G534" s="1365"/>
      <c r="H534" s="1365"/>
      <c r="I534" s="1365"/>
      <c r="J534" s="1365"/>
      <c r="K534" s="1364"/>
      <c r="L534" s="1363" t="s">
        <v>380</v>
      </c>
      <c r="M534" s="1365"/>
      <c r="N534" s="1365"/>
      <c r="O534" s="1365"/>
      <c r="P534" s="1365"/>
      <c r="Q534" s="1364"/>
      <c r="R534" s="1363" t="s">
        <v>381</v>
      </c>
      <c r="S534" s="1365"/>
      <c r="T534" s="1365"/>
      <c r="U534" s="1365"/>
      <c r="V534" s="1365"/>
      <c r="W534" s="1364"/>
      <c r="X534" s="1363" t="s">
        <v>382</v>
      </c>
      <c r="Y534" s="1365"/>
      <c r="Z534" s="1365"/>
      <c r="AA534" s="1365"/>
      <c r="AB534" s="1365"/>
      <c r="AC534" s="1364"/>
      <c r="AD534" s="1366" t="s">
        <v>383</v>
      </c>
      <c r="AE534" s="1367"/>
      <c r="AF534" s="1366" t="s">
        <v>384</v>
      </c>
      <c r="AG534" s="1367"/>
      <c r="AH534" s="1363" t="s">
        <v>385</v>
      </c>
      <c r="AI534" s="1364"/>
      <c r="AJ534" s="1363" t="s">
        <v>386</v>
      </c>
      <c r="AK534" s="1364"/>
      <c r="AL534" s="1363" t="s">
        <v>387</v>
      </c>
      <c r="AM534" s="1364"/>
    </row>
    <row r="535" spans="1:43" s="9" customFormat="1" ht="19.5" customHeight="1" thickBot="1" x14ac:dyDescent="0.35">
      <c r="A535" s="904" t="s">
        <v>43</v>
      </c>
      <c r="B535" s="1017" t="str">
        <f>D178</f>
        <v>L</v>
      </c>
      <c r="C535" s="1018" t="str">
        <f>E178</f>
        <v>sin</v>
      </c>
      <c r="D535" s="1019" t="str">
        <f>F178</f>
        <v>cos</v>
      </c>
      <c r="E535" s="1020" t="s">
        <v>173</v>
      </c>
      <c r="F535" s="1021" t="s">
        <v>388</v>
      </c>
      <c r="G535" s="1019" t="s">
        <v>389</v>
      </c>
      <c r="H535" s="1019" t="s">
        <v>390</v>
      </c>
      <c r="I535" s="1019" t="s">
        <v>391</v>
      </c>
      <c r="J535" s="1019" t="s">
        <v>392</v>
      </c>
      <c r="K535" s="1020" t="s">
        <v>393</v>
      </c>
      <c r="L535" s="1022" t="s">
        <v>388</v>
      </c>
      <c r="M535" s="1019" t="s">
        <v>389</v>
      </c>
      <c r="N535" s="1019" t="s">
        <v>390</v>
      </c>
      <c r="O535" s="1019" t="s">
        <v>391</v>
      </c>
      <c r="P535" s="1019" t="s">
        <v>392</v>
      </c>
      <c r="Q535" s="1020" t="s">
        <v>393</v>
      </c>
      <c r="R535" s="1021" t="s">
        <v>388</v>
      </c>
      <c r="S535" s="1019" t="s">
        <v>389</v>
      </c>
      <c r="T535" s="1019" t="s">
        <v>390</v>
      </c>
      <c r="U535" s="1019" t="s">
        <v>391</v>
      </c>
      <c r="V535" s="1019" t="s">
        <v>392</v>
      </c>
      <c r="W535" s="1020" t="s">
        <v>393</v>
      </c>
      <c r="X535" s="1021" t="s">
        <v>388</v>
      </c>
      <c r="Y535" s="1019" t="s">
        <v>389</v>
      </c>
      <c r="Z535" s="1019" t="s">
        <v>390</v>
      </c>
      <c r="AA535" s="1019" t="s">
        <v>391</v>
      </c>
      <c r="AB535" s="1019" t="s">
        <v>392</v>
      </c>
      <c r="AC535" s="1020" t="s">
        <v>393</v>
      </c>
      <c r="AD535" s="1021" t="s">
        <v>16</v>
      </c>
      <c r="AE535" s="1023" t="s">
        <v>17</v>
      </c>
      <c r="AF535" s="1024" t="s">
        <v>16</v>
      </c>
      <c r="AG535" s="1025" t="s">
        <v>17</v>
      </c>
      <c r="AH535" s="1026" t="s">
        <v>16</v>
      </c>
      <c r="AI535" s="1025" t="s">
        <v>17</v>
      </c>
      <c r="AJ535" s="1024" t="s">
        <v>16</v>
      </c>
      <c r="AK535" s="1025" t="s">
        <v>17</v>
      </c>
      <c r="AL535" s="1024" t="s">
        <v>16</v>
      </c>
      <c r="AM535" s="1025" t="s">
        <v>17</v>
      </c>
      <c r="AO535" s="1363" t="s">
        <v>394</v>
      </c>
      <c r="AP535" s="1364"/>
    </row>
    <row r="536" spans="1:43" x14ac:dyDescent="0.25">
      <c r="A536" s="909">
        <v>1</v>
      </c>
      <c r="B536" s="1027">
        <f ca="1">D5</f>
        <v>100</v>
      </c>
      <c r="C536" s="1028">
        <f ca="1">E5</f>
        <v>-0.6</v>
      </c>
      <c r="D536" s="1029">
        <f ca="1">F5</f>
        <v>0.8</v>
      </c>
      <c r="E536" s="1030">
        <f>IF(AND(ISNUMBER(System!$C4),System!AO4&lt;&gt;0),SIGN(System!AO4),0)</f>
        <v>0</v>
      </c>
      <c r="F536" s="1031">
        <f>IF(AND(ISNUMBER(System!$C4),E536&lt;&gt;0),System!BC122+$J$1*MIN($E$1,B536)*D536 -$H$1*$E$1*C536,PlotData!$CB$3)</f>
        <v>0</v>
      </c>
      <c r="G536" s="1032">
        <f>IF(AND(ISNUMBER(System!$C4),E536&lt;&gt;0),F536 - $E$1*C536,PlotData!$CB$3)</f>
        <v>0</v>
      </c>
      <c r="H536" s="1033">
        <f>IF(AND(ISNUMBER(System!$C4),E536&lt;&gt;0),IF(E536&gt;0,F536,G536)- E536*$N$1*$E$1*C536,PlotData!$CB$3)</f>
        <v>0</v>
      </c>
      <c r="I536" s="1033">
        <f>IF(AND(ISNUMBER(System!$C4),E536&lt;&gt;0),System!BE122-$J$1*MIN($E$1,B536)*C536 - $H$1*$E$1*D536,PlotData!$CB$4)</f>
        <v>0</v>
      </c>
      <c r="J536" s="1029">
        <f>IF(AND(ISNUMBER(System!$C4),E536&lt;&gt;0),I536- $E$1*D536,PlotData!$CB$4)</f>
        <v>0</v>
      </c>
      <c r="K536" s="1030">
        <f>IF(AND(ISNUMBER(System!$C4),E536&lt;&gt;0),IF(E536&gt;0,I536,J536)-E536* $N$1*$E$1*D536,PlotData!$CB$4)</f>
        <v>0</v>
      </c>
      <c r="L536" s="1034">
        <f>IF(AND(ISNUMBER(System!$C4),E536&lt;&gt;0),F536+(X536-F536)/3,PlotData!$CB$3)</f>
        <v>0</v>
      </c>
      <c r="M536" s="1033">
        <f>IF(AND(ISNUMBER(System!$C4),E536&lt;&gt;0),G536+(Y536-G536)/3,PlotData!$CB$3)</f>
        <v>0</v>
      </c>
      <c r="N536" s="1032">
        <f>IF(AND(ISNUMBER(System!$C4),E536&lt;&gt;0),IF(E536&gt;0,L536,M536)- E536*$N$1*$E$1*C536,PlotData!$CB$3)</f>
        <v>0</v>
      </c>
      <c r="O536" s="1033">
        <f>IF(AND(ISNUMBER(System!$C4),E536&lt;&gt;0),I536+(AA536-I536)/3,PlotData!$CB$4)</f>
        <v>0</v>
      </c>
      <c r="P536" s="1033">
        <f>IF(AND(ISNUMBER(System!$C4),E536&lt;&gt;0),J536+(AB536-J536)/3,PlotData!$CB$4)</f>
        <v>0</v>
      </c>
      <c r="Q536" s="1035">
        <f>IF(AND(ISNUMBER(System!$C4),E536&lt;&gt;0),IF(E536&gt;0,O536,P536) -E536 *$N$1*$E$1*D536,PlotData!$CB$4)</f>
        <v>0</v>
      </c>
      <c r="R536" s="1031">
        <f>IF(AND(ISNUMBER(System!$C4),E536&lt;&gt;0),F536+2*(X536-F536)/3,PlotData!$CB$3)</f>
        <v>0</v>
      </c>
      <c r="S536" s="1033">
        <f>IF(AND(ISNUMBER(System!$C4),E536&lt;&gt;0),G536+2*(Y536-G536)/3,PlotData!$CB$3)</f>
        <v>0</v>
      </c>
      <c r="T536" s="1032">
        <f>IF(AND(ISNUMBER(System!$C4),E536&lt;&gt;0),IF(E536&gt;0,R536,S536)- E536*$N$1*$E$1*C536,PlotData!$CB$3)</f>
        <v>0</v>
      </c>
      <c r="U536" s="1033">
        <f>IF(AND(ISNUMBER(System!$C4),E536&lt;&gt;0),I536+2*(AA536-I536)/3,PlotData!$CB$4)</f>
        <v>0</v>
      </c>
      <c r="V536" s="1033">
        <f>IF(AND(ISNUMBER(System!$C4),E536&lt;&gt;0),J536+2*(AB536-J536)/3,PlotData!$CB$4)</f>
        <v>0</v>
      </c>
      <c r="W536" s="1035">
        <f>IF(AND(ISNUMBER(System!$C4),E536&lt;&gt;0),IF(E536&gt;0,U536,V536) -E536*$N$1*$E$1*D536,PlotData!$CB$4)</f>
        <v>0</v>
      </c>
      <c r="X536" s="1031">
        <f>IF(AND(ISNUMBER(System!$C4),E536&lt;&gt;0),System!BD122-$J$1*MIN($E$1,B448)*D448 - $H$1*$E$1*C448,PlotData!$CB$3)</f>
        <v>0</v>
      </c>
      <c r="Y536" s="1033">
        <f>IF(AND(ISNUMBER(System!$C4),E536&lt;&gt;0),X536 - $E$1*C536,PlotData!$CB$3)</f>
        <v>0</v>
      </c>
      <c r="Z536" s="1032">
        <f>IF(AND(ISNUMBER(System!$C4),E536&lt;&gt;0),IF(E536&gt;0,X536,Y536)- E536*$N$1*$E$1*C536,PlotData!$CB$3)</f>
        <v>0</v>
      </c>
      <c r="AA536" s="1033">
        <f>IF(AND(ISNUMBER(System!$C4),E536&lt;&gt;0),System!BF122+$J$1*MIN($E$1,B536)*C536 - $H$1*$E$1*D536,PlotData!$CB$4)</f>
        <v>0</v>
      </c>
      <c r="AB536" s="1033">
        <f>IF(AND(ISNUMBER(System!$C4),E536&lt;&gt;0),AA536 - $E$1*D536,PlotData!$CB$4)</f>
        <v>0</v>
      </c>
      <c r="AC536" s="1035">
        <f>IF(AND(ISNUMBER(System!$C4),E536&lt;&gt;0),IF(E536&gt;0,AA536,AB536) -E536* $N$1*$E$1*D536,PlotData!$CB$4)</f>
        <v>0</v>
      </c>
      <c r="AD536" s="1036">
        <f>IF(AND(ISNUMBER(System!$C4),E536&lt;&gt;0),AF536-$AQ$539/4,PlotData!$CB$3)</f>
        <v>0</v>
      </c>
      <c r="AE536" s="1032">
        <f>IF(AND(ISNUMBER(System!$C4),E536&lt;&gt;0),AG536-$AQ$538,PlotData!$CB$4)</f>
        <v>0</v>
      </c>
      <c r="AF536" s="1037">
        <f>IF(AND(ISNUMBER(System!$C4),E536&lt;&gt;0),M536 +IF(C536=0,-1,1)*IF(D536=0,-4,1)*AQ$536+(S536-M536)/2,PlotData!$CB$3)</f>
        <v>0</v>
      </c>
      <c r="AG536" s="1038">
        <f>IF(AND(ISNUMBER(System!$C4),E536&lt;&gt;0),P536-IF(D536=0,0,1)*$AQ$537+(V536-P536)/2,PlotData!$CB$4)</f>
        <v>0</v>
      </c>
      <c r="AH536" s="1039">
        <f>IF(AND(ISNUMBER(System!$C4),E536&lt;&gt;0),AF536+$AQ$539/4,PlotData!$CB$3)</f>
        <v>0</v>
      </c>
      <c r="AI536" s="1040">
        <f>IF(AND(ISNUMBER(System!$C4),E536&lt;&gt;0),AE536,PlotData!$CB$4)</f>
        <v>0</v>
      </c>
      <c r="AJ536" s="1027">
        <f>IF(AND(ISNUMBER(System!$C4),E536&lt;&gt;0),AH536+$AQ$539/4,PlotData!$CB$3)</f>
        <v>0</v>
      </c>
      <c r="AK536" s="1040">
        <f>AG536</f>
        <v>0</v>
      </c>
      <c r="AL536" s="1027">
        <f>IF(AND(ISNUMBER(System!$C4),E536&lt;&gt;0),AJ536+$AQ$539/4,PlotData!$CB$3)</f>
        <v>0</v>
      </c>
      <c r="AM536" s="1040">
        <f>AI536</f>
        <v>0</v>
      </c>
      <c r="AO536" s="1041" t="s">
        <v>395</v>
      </c>
      <c r="AP536" s="1042"/>
      <c r="AQ536" s="1043">
        <v>0.1</v>
      </c>
    </row>
    <row r="537" spans="1:43" x14ac:dyDescent="0.25">
      <c r="A537" s="910">
        <v>2</v>
      </c>
      <c r="B537" s="1031">
        <f t="shared" ref="B537:D575" ca="1" si="200">D6</f>
        <v>60</v>
      </c>
      <c r="C537" s="1033">
        <f t="shared" ca="1" si="200"/>
        <v>-1</v>
      </c>
      <c r="D537" s="1029">
        <f t="shared" ca="1" si="200"/>
        <v>0</v>
      </c>
      <c r="E537" s="1030">
        <f>IF(AND(ISNUMBER(System!$C5),System!AO5&lt;&gt;0),SIGN(System!AO5),0)</f>
        <v>0</v>
      </c>
      <c r="F537" s="1031">
        <f>IF(AND(ISNUMBER(System!$C5),E537&lt;&gt;0),System!BC123+$J$1*MIN($E$1,B537)*D537 -$H$1*$E$1*C537,PlotData!$CB$3)</f>
        <v>0</v>
      </c>
      <c r="G537" s="1032">
        <f>IF(AND(ISNUMBER(System!$C5),E537&lt;&gt;0),F537 - $E$1*C537,PlotData!$CB$3)</f>
        <v>0</v>
      </c>
      <c r="H537" s="1033">
        <f>IF(AND(ISNUMBER(System!$C5),E537&lt;&gt;0),IF(E537&gt;0,F537,G537)- E537*$N$1*$E$1*C537,PlotData!$CB$3)</f>
        <v>0</v>
      </c>
      <c r="I537" s="1033">
        <f>IF(AND(ISNUMBER(System!$C5),E537&lt;&gt;0),System!BE123-$J$1*MIN($E$1,B537)*C537 - $H$1*$E$1*D537,PlotData!$CB$4)</f>
        <v>0</v>
      </c>
      <c r="J537" s="1029">
        <f>IF(AND(ISNUMBER(System!$C5),E537&lt;&gt;0),I537- $E$1*D537,PlotData!$CB$4)</f>
        <v>0</v>
      </c>
      <c r="K537" s="1030">
        <f>IF(AND(ISNUMBER(System!$C5),E537&lt;&gt;0),IF(E537&gt;0,I537,J537)-E537* $N$1*$E$1*D537,PlotData!$CB$4)</f>
        <v>0</v>
      </c>
      <c r="L537" s="1034">
        <f>IF(AND(ISNUMBER(System!$C5),E537&lt;&gt;0),F537+(X537-F537)/3,PlotData!$CB$3)</f>
        <v>0</v>
      </c>
      <c r="M537" s="1033">
        <f>IF(AND(ISNUMBER(System!$C5),E537&lt;&gt;0),G537+(Y537-G537)/3,PlotData!$CB$3)</f>
        <v>0</v>
      </c>
      <c r="N537" s="1032">
        <f>IF(AND(ISNUMBER(System!$C5),E537&lt;&gt;0),IF(E537&gt;0,L537,M537)- E537*$N$1*$E$1*C537,PlotData!$CB$3)</f>
        <v>0</v>
      </c>
      <c r="O537" s="1033">
        <f>IF(AND(ISNUMBER(System!$C5),E537&lt;&gt;0),I537+(AA537-I537)/3,PlotData!$CB$4)</f>
        <v>0</v>
      </c>
      <c r="P537" s="1033">
        <f>IF(AND(ISNUMBER(System!$C5),E537&lt;&gt;0),J537+(AB537-J537)/3,PlotData!$CB$4)</f>
        <v>0</v>
      </c>
      <c r="Q537" s="1035">
        <f>IF(AND(ISNUMBER(System!$C5),E537&lt;&gt;0),IF(E537&gt;0,O537,P537) -E537 *$N$1*$E$1*D537,PlotData!$CB$4)</f>
        <v>0</v>
      </c>
      <c r="R537" s="1031">
        <f>IF(AND(ISNUMBER(System!$C5),E537&lt;&gt;0),F537+2*(X537-F537)/3,PlotData!$CB$3)</f>
        <v>0</v>
      </c>
      <c r="S537" s="1033">
        <f>IF(AND(ISNUMBER(System!$C5),E537&lt;&gt;0),G537+2*(Y537-G537)/3,PlotData!$CB$3)</f>
        <v>0</v>
      </c>
      <c r="T537" s="1032">
        <f>IF(AND(ISNUMBER(System!$C5),E537&lt;&gt;0),IF(E537&gt;0,R537,S537)- E537*$N$1*$E$1*C537,PlotData!$CB$3)</f>
        <v>0</v>
      </c>
      <c r="U537" s="1033">
        <f>IF(AND(ISNUMBER(System!$C5),E537&lt;&gt;0),I537+2*(AA537-I537)/3,PlotData!$CB$4)</f>
        <v>0</v>
      </c>
      <c r="V537" s="1033">
        <f>IF(AND(ISNUMBER(System!$C5),E537&lt;&gt;0),J537+2*(AB537-J537)/3,PlotData!$CB$4)</f>
        <v>0</v>
      </c>
      <c r="W537" s="1035">
        <f>IF(AND(ISNUMBER(System!$C5),E537&lt;&gt;0),IF(E537&gt;0,U537,V537) -E537*$N$1*$E$1*D537,PlotData!$CB$4)</f>
        <v>0</v>
      </c>
      <c r="X537" s="1031">
        <f>IF(AND(ISNUMBER(System!$C5),E537&lt;&gt;0),System!BD123-$J$1*MIN($E$1,B449)*D449 - $H$1*$E$1*C449,PlotData!$CB$3)</f>
        <v>0</v>
      </c>
      <c r="Y537" s="1033">
        <f>IF(AND(ISNUMBER(System!$C5),E537&lt;&gt;0),X537 - $E$1*C537,PlotData!$CB$3)</f>
        <v>0</v>
      </c>
      <c r="Z537" s="1032">
        <f>IF(AND(ISNUMBER(System!$C5),E537&lt;&gt;0),IF(E537&gt;0,X537,Y537)- E537*$N$1*$E$1*C537,PlotData!$CB$3)</f>
        <v>0</v>
      </c>
      <c r="AA537" s="1033">
        <f>IF(AND(ISNUMBER(System!$C5),E537&lt;&gt;0),System!BF123+$J$1*MIN($E$1,B537)*C537 - $H$1*$E$1*D537,PlotData!$CB$4)</f>
        <v>0</v>
      </c>
      <c r="AB537" s="1033">
        <f>IF(AND(ISNUMBER(System!$C5),E537&lt;&gt;0),AA537 - $E$1*D537,PlotData!$CB$4)</f>
        <v>0</v>
      </c>
      <c r="AC537" s="1035">
        <f>IF(AND(ISNUMBER(System!$C5),E537&lt;&gt;0),IF(E537&gt;0,AA537,AB537) -E537* $N$1*$E$1*D537,PlotData!$CB$4)</f>
        <v>0</v>
      </c>
      <c r="AD537" s="1036">
        <f>IF(AND(ISNUMBER(System!$C5),E537&lt;&gt;0),AF537-$AQ$539/4,PlotData!$CB$3)</f>
        <v>0</v>
      </c>
      <c r="AE537" s="1032">
        <f>IF(AND(ISNUMBER(System!$C5),E537&lt;&gt;0),AG537-$AQ$538,PlotData!$CB$4)</f>
        <v>0</v>
      </c>
      <c r="AF537" s="1031">
        <f>IF(AND(ISNUMBER(System!$C5),E537&lt;&gt;0),M537 +IF(C537=0,-1,1)*IF(D537=0,-4,1)*AQ$536+(S537-M537)/2,PlotData!$CB$3)</f>
        <v>0</v>
      </c>
      <c r="AG537" s="1035">
        <f>IF(AND(ISNUMBER(System!$C5),E537&lt;&gt;0),P537-IF(D537=0,0,1)*$AQ$537+(V537-P537)/2,PlotData!$CB$4)</f>
        <v>0</v>
      </c>
      <c r="AH537" s="1034">
        <f>IF(AND(ISNUMBER(System!$C5),E537&lt;&gt;0),AF537+$AQ$539/4,PlotData!$CB$3)</f>
        <v>0</v>
      </c>
      <c r="AI537" s="1035">
        <f>IF(AND(ISNUMBER(System!$C5),E537&lt;&gt;0),AE537,PlotData!$CB$4)</f>
        <v>0</v>
      </c>
      <c r="AJ537" s="1031">
        <f>IF(AND(ISNUMBER(System!$C5),E537&lt;&gt;0),AH537+$AQ$539/4,PlotData!$CB$3)</f>
        <v>0</v>
      </c>
      <c r="AK537" s="1035">
        <f t="shared" ref="AK537:AK575" si="201">AG537</f>
        <v>0</v>
      </c>
      <c r="AL537" s="1031">
        <f>IF(AND(ISNUMBER(System!$C5),E537&lt;&gt;0),AJ537+$AQ$539/4,PlotData!$CB$3)</f>
        <v>0</v>
      </c>
      <c r="AM537" s="1035">
        <f t="shared" ref="AM537:AM575" si="202">AI537</f>
        <v>0</v>
      </c>
      <c r="AO537" s="1044" t="s">
        <v>396</v>
      </c>
      <c r="AP537" s="1045"/>
      <c r="AQ537" s="1046">
        <v>0.1</v>
      </c>
    </row>
    <row r="538" spans="1:43" x14ac:dyDescent="0.25">
      <c r="A538" s="910">
        <v>3</v>
      </c>
      <c r="B538" s="1031">
        <f t="shared" ca="1" si="200"/>
        <v>72.111025509279784</v>
      </c>
      <c r="C538" s="1033">
        <f t="shared" ca="1" si="200"/>
        <v>0.83205029433784372</v>
      </c>
      <c r="D538" s="1029">
        <f t="shared" ca="1" si="200"/>
        <v>0.55470019622522915</v>
      </c>
      <c r="E538" s="1030">
        <f>IF(AND(ISNUMBER(System!$C6),System!AO6&lt;&gt;0),SIGN(System!AO6),0)</f>
        <v>0</v>
      </c>
      <c r="F538" s="1031">
        <f>IF(AND(ISNUMBER(System!$C6),E538&lt;&gt;0),System!BC124+$J$1*MIN($E$1,B538)*D538 -$H$1*$E$1*C538,PlotData!$CB$3)</f>
        <v>0</v>
      </c>
      <c r="G538" s="1032">
        <f>IF(AND(ISNUMBER(System!$C6),E538&lt;&gt;0),F538 - $E$1*C538,PlotData!$CB$3)</f>
        <v>0</v>
      </c>
      <c r="H538" s="1033">
        <f>IF(AND(ISNUMBER(System!$C6),E538&lt;&gt;0),IF(E538&gt;0,F538,G538)- E538*$N$1*$E$1*C538,PlotData!$CB$3)</f>
        <v>0</v>
      </c>
      <c r="I538" s="1033">
        <f>IF(AND(ISNUMBER(System!$C6),E538&lt;&gt;0),System!BE124-$J$1*MIN($E$1,B538)*C538 - $H$1*$E$1*D538,PlotData!$CB$4)</f>
        <v>0</v>
      </c>
      <c r="J538" s="1029">
        <f>IF(AND(ISNUMBER(System!$C6),E538&lt;&gt;0),I538- $E$1*D538,PlotData!$CB$4)</f>
        <v>0</v>
      </c>
      <c r="K538" s="1030">
        <f>IF(AND(ISNUMBER(System!$C6),E538&lt;&gt;0),IF(E538&gt;0,I538,J538)-E538* $N$1*$E$1*D538,PlotData!$CB$4)</f>
        <v>0</v>
      </c>
      <c r="L538" s="1034">
        <f>IF(AND(ISNUMBER(System!$C6),E538&lt;&gt;0),F538+(X538-F538)/3,PlotData!$CB$3)</f>
        <v>0</v>
      </c>
      <c r="M538" s="1033">
        <f>IF(AND(ISNUMBER(System!$C6),E538&lt;&gt;0),G538+(Y538-G538)/3,PlotData!$CB$3)</f>
        <v>0</v>
      </c>
      <c r="N538" s="1032">
        <f>IF(AND(ISNUMBER(System!$C6),E538&lt;&gt;0),IF(E538&gt;0,L538,M538)- E538*$N$1*$E$1*C538,PlotData!$CB$3)</f>
        <v>0</v>
      </c>
      <c r="O538" s="1033">
        <f>IF(AND(ISNUMBER(System!$C6),E538&lt;&gt;0),I538+(AA538-I538)/3,PlotData!$CB$4)</f>
        <v>0</v>
      </c>
      <c r="P538" s="1033">
        <f>IF(AND(ISNUMBER(System!$C6),E538&lt;&gt;0),J538+(AB538-J538)/3,PlotData!$CB$4)</f>
        <v>0</v>
      </c>
      <c r="Q538" s="1035">
        <f>IF(AND(ISNUMBER(System!$C6),E538&lt;&gt;0),IF(E538&gt;0,O538,P538) -E538 *$N$1*$E$1*D538,PlotData!$CB$4)</f>
        <v>0</v>
      </c>
      <c r="R538" s="1031">
        <f>IF(AND(ISNUMBER(System!$C6),E538&lt;&gt;0),F538+2*(X538-F538)/3,PlotData!$CB$3)</f>
        <v>0</v>
      </c>
      <c r="S538" s="1033">
        <f>IF(AND(ISNUMBER(System!$C6),E538&lt;&gt;0),G538+2*(Y538-G538)/3,PlotData!$CB$3)</f>
        <v>0</v>
      </c>
      <c r="T538" s="1032">
        <f>IF(AND(ISNUMBER(System!$C6),E538&lt;&gt;0),IF(E538&gt;0,R538,S538)- E538*$N$1*$E$1*C538,PlotData!$CB$3)</f>
        <v>0</v>
      </c>
      <c r="U538" s="1033">
        <f>IF(AND(ISNUMBER(System!$C6),E538&lt;&gt;0),I538+2*(AA538-I538)/3,PlotData!$CB$4)</f>
        <v>0</v>
      </c>
      <c r="V538" s="1033">
        <f>IF(AND(ISNUMBER(System!$C6),E538&lt;&gt;0),J538+2*(AB538-J538)/3,PlotData!$CB$4)</f>
        <v>0</v>
      </c>
      <c r="W538" s="1035">
        <f>IF(AND(ISNUMBER(System!$C6),E538&lt;&gt;0),IF(E538&gt;0,U538,V538) -E538*$N$1*$E$1*D538,PlotData!$CB$4)</f>
        <v>0</v>
      </c>
      <c r="X538" s="1031">
        <f>IF(AND(ISNUMBER(System!$C6),E538&lt;&gt;0),System!BD124-$J$1*MIN($E$1,B450)*D450 - $H$1*$E$1*C450,PlotData!$CB$3)</f>
        <v>0</v>
      </c>
      <c r="Y538" s="1033">
        <f>IF(AND(ISNUMBER(System!$C6),E538&lt;&gt;0),X538 - $E$1*C538,PlotData!$CB$3)</f>
        <v>0</v>
      </c>
      <c r="Z538" s="1032">
        <f>IF(AND(ISNUMBER(System!$C6),E538&lt;&gt;0),IF(E538&gt;0,X538,Y538)- E538*$N$1*$E$1*C538,PlotData!$CB$3)</f>
        <v>0</v>
      </c>
      <c r="AA538" s="1033">
        <f>IF(AND(ISNUMBER(System!$C6),E538&lt;&gt;0),System!BF124+$J$1*MIN($E$1,B538)*C538 - $H$1*$E$1*D538,PlotData!$CB$4)</f>
        <v>0</v>
      </c>
      <c r="AB538" s="1033">
        <f>IF(AND(ISNUMBER(System!$C6),E538&lt;&gt;0),AA538 - $E$1*D538,PlotData!$CB$4)</f>
        <v>0</v>
      </c>
      <c r="AC538" s="1035">
        <f>IF(AND(ISNUMBER(System!$C6),E538&lt;&gt;0),IF(E538&gt;0,AA538,AB538) -E538* $N$1*$E$1*D538,PlotData!$CB$4)</f>
        <v>0</v>
      </c>
      <c r="AD538" s="1036">
        <f>IF(AND(ISNUMBER(System!$C6),E538&lt;&gt;0),AF538-$AQ$539/4,PlotData!$CB$3)</f>
        <v>0</v>
      </c>
      <c r="AE538" s="1032">
        <f>IF(AND(ISNUMBER(System!$C6),E538&lt;&gt;0),AG538-$AQ$538,PlotData!$CB$4)</f>
        <v>0</v>
      </c>
      <c r="AF538" s="1031">
        <f>IF(AND(ISNUMBER(System!$C6),E538&lt;&gt;0),M538 +IF(C538=0,-1,1)*IF(D538=0,-4,1)*AQ$536+(S538-M538)/2,PlotData!$CB$3)</f>
        <v>0</v>
      </c>
      <c r="AG538" s="1035">
        <f>IF(AND(ISNUMBER(System!$C6),E538&lt;&gt;0),P538-IF(D538=0,0,1)*$AQ$537+(V538-P538)/2,PlotData!$CB$4)</f>
        <v>0</v>
      </c>
      <c r="AH538" s="1034">
        <f>IF(AND(ISNUMBER(System!$C6),E538&lt;&gt;0),AF538+$AQ$539/4,PlotData!$CB$3)</f>
        <v>0</v>
      </c>
      <c r="AI538" s="1035">
        <f>IF(AND(ISNUMBER(System!$C6),E538&lt;&gt;0),AE538,PlotData!$CB$4)</f>
        <v>0</v>
      </c>
      <c r="AJ538" s="1031">
        <f>IF(AND(ISNUMBER(System!$C6),E538&lt;&gt;0),AH538+$AQ$539/4,PlotData!$CB$3)</f>
        <v>0</v>
      </c>
      <c r="AK538" s="1035">
        <f t="shared" si="201"/>
        <v>0</v>
      </c>
      <c r="AL538" s="1031">
        <f>IF(AND(ISNUMBER(System!$C6),E538&lt;&gt;0),AJ538+$AQ$539/4,PlotData!$CB$3)</f>
        <v>0</v>
      </c>
      <c r="AM538" s="1035">
        <f t="shared" si="202"/>
        <v>0</v>
      </c>
      <c r="AO538" s="1044" t="s">
        <v>397</v>
      </c>
      <c r="AP538" s="1045"/>
      <c r="AQ538" s="1046">
        <v>0.4</v>
      </c>
    </row>
    <row r="539" spans="1:43" ht="13.8" thickBot="1" x14ac:dyDescent="0.3">
      <c r="A539" s="910">
        <v>4</v>
      </c>
      <c r="B539" s="1031">
        <f t="shared" ca="1" si="200"/>
        <v>76.157731058639087</v>
      </c>
      <c r="C539" s="1033">
        <f t="shared" ca="1" si="200"/>
        <v>0.39391929857916763</v>
      </c>
      <c r="D539" s="1029">
        <f t="shared" ca="1" si="200"/>
        <v>-0.91914503001805781</v>
      </c>
      <c r="E539" s="1030">
        <f>IF(AND(ISNUMBER(System!$C7),System!AO7&lt;&gt;0),SIGN(System!AO7),0)</f>
        <v>0</v>
      </c>
      <c r="F539" s="1031">
        <f>IF(AND(ISNUMBER(System!$C7),E539&lt;&gt;0),System!BC125+$J$1*MIN($E$1,B539)*D539 -$H$1*$E$1*C539,PlotData!$CB$3)</f>
        <v>0</v>
      </c>
      <c r="G539" s="1032">
        <f>IF(AND(ISNUMBER(System!$C7),E539&lt;&gt;0),F539 - $E$1*C539,PlotData!$CB$3)</f>
        <v>0</v>
      </c>
      <c r="H539" s="1033">
        <f>IF(AND(ISNUMBER(System!$C7),E539&lt;&gt;0),IF(E539&gt;0,F539,G539)- E539*$N$1*$E$1*C539,PlotData!$CB$3)</f>
        <v>0</v>
      </c>
      <c r="I539" s="1033">
        <f>IF(AND(ISNUMBER(System!$C7),E539&lt;&gt;0),System!BE125-$J$1*MIN($E$1,B539)*C539 - $H$1*$E$1*D539,PlotData!$CB$4)</f>
        <v>0</v>
      </c>
      <c r="J539" s="1029">
        <f>IF(AND(ISNUMBER(System!$C7),E539&lt;&gt;0),I539- $E$1*D539,PlotData!$CB$4)</f>
        <v>0</v>
      </c>
      <c r="K539" s="1030">
        <f>IF(AND(ISNUMBER(System!$C7),E539&lt;&gt;0),IF(E539&gt;0,I539,J539)-E539* $N$1*$E$1*D539,PlotData!$CB$4)</f>
        <v>0</v>
      </c>
      <c r="L539" s="1034">
        <f>IF(AND(ISNUMBER(System!$C7),E539&lt;&gt;0),F539+(X539-F539)/3,PlotData!$CB$3)</f>
        <v>0</v>
      </c>
      <c r="M539" s="1033">
        <f>IF(AND(ISNUMBER(System!$C7),E539&lt;&gt;0),G539+(Y539-G539)/3,PlotData!$CB$3)</f>
        <v>0</v>
      </c>
      <c r="N539" s="1032">
        <f>IF(AND(ISNUMBER(System!$C7),E539&lt;&gt;0),IF(E539&gt;0,L539,M539)- E539*$N$1*$E$1*C539,PlotData!$CB$3)</f>
        <v>0</v>
      </c>
      <c r="O539" s="1033">
        <f>IF(AND(ISNUMBER(System!$C7),E539&lt;&gt;0),I539+(AA539-I539)/3,PlotData!$CB$4)</f>
        <v>0</v>
      </c>
      <c r="P539" s="1033">
        <f>IF(AND(ISNUMBER(System!$C7),E539&lt;&gt;0),J539+(AB539-J539)/3,PlotData!$CB$4)</f>
        <v>0</v>
      </c>
      <c r="Q539" s="1035">
        <f>IF(AND(ISNUMBER(System!$C7),E539&lt;&gt;0),IF(E539&gt;0,O539,P539) -E539 *$N$1*$E$1*D539,PlotData!$CB$4)</f>
        <v>0</v>
      </c>
      <c r="R539" s="1031">
        <f>IF(AND(ISNUMBER(System!$C7),E539&lt;&gt;0),F539+2*(X539-F539)/3,PlotData!$CB$3)</f>
        <v>0</v>
      </c>
      <c r="S539" s="1033">
        <f>IF(AND(ISNUMBER(System!$C7),E539&lt;&gt;0),G539+2*(Y539-G539)/3,PlotData!$CB$3)</f>
        <v>0</v>
      </c>
      <c r="T539" s="1032">
        <f>IF(AND(ISNUMBER(System!$C7),E539&lt;&gt;0),IF(E539&gt;0,R539,S539)- E539*$N$1*$E$1*C539,PlotData!$CB$3)</f>
        <v>0</v>
      </c>
      <c r="U539" s="1033">
        <f>IF(AND(ISNUMBER(System!$C7),E539&lt;&gt;0),I539+2*(AA539-I539)/3,PlotData!$CB$4)</f>
        <v>0</v>
      </c>
      <c r="V539" s="1033">
        <f>IF(AND(ISNUMBER(System!$C7),E539&lt;&gt;0),J539+2*(AB539-J539)/3,PlotData!$CB$4)</f>
        <v>0</v>
      </c>
      <c r="W539" s="1035">
        <f>IF(AND(ISNUMBER(System!$C7),E539&lt;&gt;0),IF(E539&gt;0,U539,V539) -E539*$N$1*$E$1*D539,PlotData!$CB$4)</f>
        <v>0</v>
      </c>
      <c r="X539" s="1031">
        <f>IF(AND(ISNUMBER(System!$C7),E539&lt;&gt;0),System!BD125-$J$1*MIN($E$1,B451)*D451 - $H$1*$E$1*C451,PlotData!$CB$3)</f>
        <v>0</v>
      </c>
      <c r="Y539" s="1033">
        <f>IF(AND(ISNUMBER(System!$C7),E539&lt;&gt;0),X539 - $E$1*C539,PlotData!$CB$3)</f>
        <v>0</v>
      </c>
      <c r="Z539" s="1032">
        <f>IF(AND(ISNUMBER(System!$C7),E539&lt;&gt;0),IF(E539&gt;0,X539,Y539)- E539*$N$1*$E$1*C539,PlotData!$CB$3)</f>
        <v>0</v>
      </c>
      <c r="AA539" s="1033">
        <f>IF(AND(ISNUMBER(System!$C7),E539&lt;&gt;0),System!BF125+$J$1*MIN($E$1,B539)*C539 - $H$1*$E$1*D539,PlotData!$CB$4)</f>
        <v>0</v>
      </c>
      <c r="AB539" s="1033">
        <f>IF(AND(ISNUMBER(System!$C7),E539&lt;&gt;0),AA539 - $E$1*D539,PlotData!$CB$4)</f>
        <v>0</v>
      </c>
      <c r="AC539" s="1035">
        <f>IF(AND(ISNUMBER(System!$C7),E539&lt;&gt;0),IF(E539&gt;0,AA539,AB539) -E539* $N$1*$E$1*D539,PlotData!$CB$4)</f>
        <v>0</v>
      </c>
      <c r="AD539" s="1036">
        <f>IF(AND(ISNUMBER(System!$C7),E539&lt;&gt;0),AF539-$AQ$539/4,PlotData!$CB$3)</f>
        <v>0</v>
      </c>
      <c r="AE539" s="1032">
        <f>IF(AND(ISNUMBER(System!$C7),E539&lt;&gt;0),AG539-$AQ$538,PlotData!$CB$4)</f>
        <v>0</v>
      </c>
      <c r="AF539" s="1031">
        <f>IF(AND(ISNUMBER(System!$C7),E539&lt;&gt;0),M539 +IF(C539=0,-1,1)*IF(D539=0,-4,1)*AQ$536+(S539-M539)/2,PlotData!$CB$3)</f>
        <v>0</v>
      </c>
      <c r="AG539" s="1035">
        <f>IF(AND(ISNUMBER(System!$C7),E539&lt;&gt;0),P539-IF(D539=0,0,1)*$AQ$537+(V539-P539)/2,PlotData!$CB$4)</f>
        <v>0</v>
      </c>
      <c r="AH539" s="1034">
        <f>IF(AND(ISNUMBER(System!$C7),E539&lt;&gt;0),AF539+$AQ$539/4,PlotData!$CB$3)</f>
        <v>0</v>
      </c>
      <c r="AI539" s="1035">
        <f>IF(AND(ISNUMBER(System!$C7),E539&lt;&gt;0),AE539,PlotData!$CB$4)</f>
        <v>0</v>
      </c>
      <c r="AJ539" s="1031">
        <f>IF(AND(ISNUMBER(System!$C7),E539&lt;&gt;0),AH539+$AQ$539/4,PlotData!$CB$3)</f>
        <v>0</v>
      </c>
      <c r="AK539" s="1035">
        <f t="shared" si="201"/>
        <v>0</v>
      </c>
      <c r="AL539" s="1031">
        <f>IF(AND(ISNUMBER(System!$C7),E539&lt;&gt;0),AJ539+$AQ$539/4,PlotData!$CB$3)</f>
        <v>0</v>
      </c>
      <c r="AM539" s="1035">
        <f t="shared" si="202"/>
        <v>0</v>
      </c>
      <c r="AO539" s="1047" t="s">
        <v>398</v>
      </c>
      <c r="AP539" s="1048"/>
      <c r="AQ539" s="1049">
        <v>0.4</v>
      </c>
    </row>
    <row r="540" spans="1:43" x14ac:dyDescent="0.25">
      <c r="A540" s="910">
        <v>5</v>
      </c>
      <c r="B540" s="1031">
        <f t="shared" ca="1" si="200"/>
        <v>184.39088914585776</v>
      </c>
      <c r="C540" s="1033">
        <f t="shared" ca="1" si="200"/>
        <v>-0.75925660236529657</v>
      </c>
      <c r="D540" s="1029">
        <f t="shared" ca="1" si="200"/>
        <v>-0.65079137345596849</v>
      </c>
      <c r="E540" s="1030">
        <f>IF(AND(ISNUMBER(System!$C8),System!AO8&lt;&gt;0),SIGN(System!AO8),0)</f>
        <v>0</v>
      </c>
      <c r="F540" s="1031">
        <f>IF(AND(ISNUMBER(System!$C8),E540&lt;&gt;0),System!BC126+$J$1*MIN($E$1,B540)*D540 -$H$1*$E$1*C540,PlotData!$CB$3)</f>
        <v>0</v>
      </c>
      <c r="G540" s="1032">
        <f>IF(AND(ISNUMBER(System!$C8),E540&lt;&gt;0),F540 - $E$1*C540,PlotData!$CB$3)</f>
        <v>0</v>
      </c>
      <c r="H540" s="1033">
        <f>IF(AND(ISNUMBER(System!$C8),E540&lt;&gt;0),IF(E540&gt;0,F540,G540)- E540*$N$1*$E$1*C540,PlotData!$CB$3)</f>
        <v>0</v>
      </c>
      <c r="I540" s="1033">
        <f>IF(AND(ISNUMBER(System!$C8),E540&lt;&gt;0),System!BE126-$J$1*MIN($E$1,B540)*C540 - $H$1*$E$1*D540,PlotData!$CB$4)</f>
        <v>0</v>
      </c>
      <c r="J540" s="1029">
        <f>IF(AND(ISNUMBER(System!$C8),E540&lt;&gt;0),I540- $E$1*D540,PlotData!$CB$4)</f>
        <v>0</v>
      </c>
      <c r="K540" s="1030">
        <f>IF(AND(ISNUMBER(System!$C8),E540&lt;&gt;0),IF(E540&gt;0,I540,J540)-E540* $N$1*$E$1*D540,PlotData!$CB$4)</f>
        <v>0</v>
      </c>
      <c r="L540" s="1034">
        <f>IF(AND(ISNUMBER(System!$C8),E540&lt;&gt;0),F540+(X540-F540)/3,PlotData!$CB$3)</f>
        <v>0</v>
      </c>
      <c r="M540" s="1033">
        <f>IF(AND(ISNUMBER(System!$C8),E540&lt;&gt;0),G540+(Y540-G540)/3,PlotData!$CB$3)</f>
        <v>0</v>
      </c>
      <c r="N540" s="1032">
        <f>IF(AND(ISNUMBER(System!$C8),E540&lt;&gt;0),IF(E540&gt;0,L540,M540)- E540*$N$1*$E$1*C540,PlotData!$CB$3)</f>
        <v>0</v>
      </c>
      <c r="O540" s="1033">
        <f>IF(AND(ISNUMBER(System!$C8),E540&lt;&gt;0),I540+(AA540-I540)/3,PlotData!$CB$4)</f>
        <v>0</v>
      </c>
      <c r="P540" s="1033">
        <f>IF(AND(ISNUMBER(System!$C8),E540&lt;&gt;0),J540+(AB540-J540)/3,PlotData!$CB$4)</f>
        <v>0</v>
      </c>
      <c r="Q540" s="1035">
        <f>IF(AND(ISNUMBER(System!$C8),E540&lt;&gt;0),IF(E540&gt;0,O540,P540) -E540 *$N$1*$E$1*D540,PlotData!$CB$4)</f>
        <v>0</v>
      </c>
      <c r="R540" s="1031">
        <f>IF(AND(ISNUMBER(System!$C8),E540&lt;&gt;0),F540+2*(X540-F540)/3,PlotData!$CB$3)</f>
        <v>0</v>
      </c>
      <c r="S540" s="1033">
        <f>IF(AND(ISNUMBER(System!$C8),E540&lt;&gt;0),G540+2*(Y540-G540)/3,PlotData!$CB$3)</f>
        <v>0</v>
      </c>
      <c r="T540" s="1032">
        <f>IF(AND(ISNUMBER(System!$C8),E540&lt;&gt;0),IF(E540&gt;0,R540,S540)- E540*$N$1*$E$1*C540,PlotData!$CB$3)</f>
        <v>0</v>
      </c>
      <c r="U540" s="1033">
        <f>IF(AND(ISNUMBER(System!$C8),E540&lt;&gt;0),I540+2*(AA540-I540)/3,PlotData!$CB$4)</f>
        <v>0</v>
      </c>
      <c r="V540" s="1033">
        <f>IF(AND(ISNUMBER(System!$C8),E540&lt;&gt;0),J540+2*(AB540-J540)/3,PlotData!$CB$4)</f>
        <v>0</v>
      </c>
      <c r="W540" s="1035">
        <f>IF(AND(ISNUMBER(System!$C8),E540&lt;&gt;0),IF(E540&gt;0,U540,V540) -E540*$N$1*$E$1*D540,PlotData!$CB$4)</f>
        <v>0</v>
      </c>
      <c r="X540" s="1031">
        <f>IF(AND(ISNUMBER(System!$C8),E540&lt;&gt;0),System!BD126-$J$1*MIN($E$1,B452)*D452 - $H$1*$E$1*C452,PlotData!$CB$3)</f>
        <v>0</v>
      </c>
      <c r="Y540" s="1033">
        <f>IF(AND(ISNUMBER(System!$C8),E540&lt;&gt;0),X540 - $E$1*C540,PlotData!$CB$3)</f>
        <v>0</v>
      </c>
      <c r="Z540" s="1032">
        <f>IF(AND(ISNUMBER(System!$C8),E540&lt;&gt;0),IF(E540&gt;0,X540,Y540)- E540*$N$1*$E$1*C540,PlotData!$CB$3)</f>
        <v>0</v>
      </c>
      <c r="AA540" s="1033">
        <f>IF(AND(ISNUMBER(System!$C8),E540&lt;&gt;0),System!BF126+$J$1*MIN($E$1,B540)*C540 - $H$1*$E$1*D540,PlotData!$CB$4)</f>
        <v>0</v>
      </c>
      <c r="AB540" s="1033">
        <f>IF(AND(ISNUMBER(System!$C8),E540&lt;&gt;0),AA540 - $E$1*D540,PlotData!$CB$4)</f>
        <v>0</v>
      </c>
      <c r="AC540" s="1035">
        <f>IF(AND(ISNUMBER(System!$C8),E540&lt;&gt;0),IF(E540&gt;0,AA540,AB540) -E540* $N$1*$E$1*D540,PlotData!$CB$4)</f>
        <v>0</v>
      </c>
      <c r="AD540" s="1036">
        <f>IF(AND(ISNUMBER(System!$C8),E540&lt;&gt;0),AF540-$AQ$539/4,PlotData!$CB$3)</f>
        <v>0</v>
      </c>
      <c r="AE540" s="1032">
        <f>IF(AND(ISNUMBER(System!$C8),E540&lt;&gt;0),AG540-$AQ$538,PlotData!$CB$4)</f>
        <v>0</v>
      </c>
      <c r="AF540" s="1031">
        <f>IF(AND(ISNUMBER(System!$C8),E540&lt;&gt;0),M540 +IF(C540=0,-1,1)*IF(D540=0,-4,1)*AQ$536+(S540-M540)/2,PlotData!$CB$3)</f>
        <v>0</v>
      </c>
      <c r="AG540" s="1035">
        <f>IF(AND(ISNUMBER(System!$C8),E540&lt;&gt;0),P540-IF(D540=0,0,1)*$AQ$537+(V540-P540)/2,PlotData!$CB$4)</f>
        <v>0</v>
      </c>
      <c r="AH540" s="1034">
        <f>IF(AND(ISNUMBER(System!$C8),E540&lt;&gt;0),AF540+$AQ$539/4,PlotData!$CB$3)</f>
        <v>0</v>
      </c>
      <c r="AI540" s="1035">
        <f>IF(AND(ISNUMBER(System!$C8),E540&lt;&gt;0),AE540,PlotData!$CB$4)</f>
        <v>0</v>
      </c>
      <c r="AJ540" s="1031">
        <f>IF(AND(ISNUMBER(System!$C8),E540&lt;&gt;0),AH540+$AQ$539/4,PlotData!$CB$3)</f>
        <v>0</v>
      </c>
      <c r="AK540" s="1035">
        <f t="shared" si="201"/>
        <v>0</v>
      </c>
      <c r="AL540" s="1031">
        <f>IF(AND(ISNUMBER(System!$C8),E540&lt;&gt;0),AJ540+$AQ$539/4,PlotData!$CB$3)</f>
        <v>0</v>
      </c>
      <c r="AM540" s="1035">
        <f t="shared" si="202"/>
        <v>0</v>
      </c>
    </row>
    <row r="541" spans="1:43" x14ac:dyDescent="0.25">
      <c r="A541" s="910">
        <v>6</v>
      </c>
      <c r="B541" s="1031">
        <f t="shared" si="200"/>
        <v>0</v>
      </c>
      <c r="C541" s="1033">
        <f t="shared" si="200"/>
        <v>0</v>
      </c>
      <c r="D541" s="1029">
        <f t="shared" si="200"/>
        <v>0</v>
      </c>
      <c r="E541" s="1030">
        <f>IF(AND(ISNUMBER(System!$C9),System!AO9&lt;&gt;0),SIGN(System!AO9),0)</f>
        <v>0</v>
      </c>
      <c r="F541" s="1031">
        <f>IF(AND(ISNUMBER(System!$C9),E541&lt;&gt;0),System!BC127+$J$1*MIN($E$1,B541)*D541 -$H$1*$E$1*C541,PlotData!$CB$3)</f>
        <v>0</v>
      </c>
      <c r="G541" s="1032">
        <f>IF(AND(ISNUMBER(System!$C9),E541&lt;&gt;0),F541 - $E$1*C541,PlotData!$CB$3)</f>
        <v>0</v>
      </c>
      <c r="H541" s="1033">
        <f>IF(AND(ISNUMBER(System!$C9),E541&lt;&gt;0),IF(E541&gt;0,F541,G541)- E541*$N$1*$E$1*C541,PlotData!$CB$3)</f>
        <v>0</v>
      </c>
      <c r="I541" s="1033">
        <f>IF(AND(ISNUMBER(System!$C9),E541&lt;&gt;0),System!BE127-$J$1*MIN($E$1,B541)*C541 - $H$1*$E$1*D541,PlotData!$CB$4)</f>
        <v>0</v>
      </c>
      <c r="J541" s="1029">
        <f>IF(AND(ISNUMBER(System!$C9),E541&lt;&gt;0),I541- $E$1*D541,PlotData!$CB$4)</f>
        <v>0</v>
      </c>
      <c r="K541" s="1030">
        <f>IF(AND(ISNUMBER(System!$C9),E541&lt;&gt;0),IF(E541&gt;0,I541,J541)-E541* $N$1*$E$1*D541,PlotData!$CB$4)</f>
        <v>0</v>
      </c>
      <c r="L541" s="1034">
        <f>IF(AND(ISNUMBER(System!$C9),E541&lt;&gt;0),F541+(X541-F541)/3,PlotData!$CB$3)</f>
        <v>0</v>
      </c>
      <c r="M541" s="1033">
        <f>IF(AND(ISNUMBER(System!$C9),E541&lt;&gt;0),G541+(Y541-G541)/3,PlotData!$CB$3)</f>
        <v>0</v>
      </c>
      <c r="N541" s="1032">
        <f>IF(AND(ISNUMBER(System!$C9),E541&lt;&gt;0),IF(E541&gt;0,L541,M541)- E541*$N$1*$E$1*C541,PlotData!$CB$3)</f>
        <v>0</v>
      </c>
      <c r="O541" s="1033">
        <f>IF(AND(ISNUMBER(System!$C9),E541&lt;&gt;0),I541+(AA541-I541)/3,PlotData!$CB$4)</f>
        <v>0</v>
      </c>
      <c r="P541" s="1033">
        <f>IF(AND(ISNUMBER(System!$C9),E541&lt;&gt;0),J541+(AB541-J541)/3,PlotData!$CB$4)</f>
        <v>0</v>
      </c>
      <c r="Q541" s="1035">
        <f>IF(AND(ISNUMBER(System!$C9),E541&lt;&gt;0),IF(E541&gt;0,O541,P541) -E541 *$N$1*$E$1*D541,PlotData!$CB$4)</f>
        <v>0</v>
      </c>
      <c r="R541" s="1031">
        <f>IF(AND(ISNUMBER(System!$C9),E541&lt;&gt;0),F541+2*(X541-F541)/3,PlotData!$CB$3)</f>
        <v>0</v>
      </c>
      <c r="S541" s="1033">
        <f>IF(AND(ISNUMBER(System!$C9),E541&lt;&gt;0),G541+2*(Y541-G541)/3,PlotData!$CB$3)</f>
        <v>0</v>
      </c>
      <c r="T541" s="1032">
        <f>IF(AND(ISNUMBER(System!$C9),E541&lt;&gt;0),IF(E541&gt;0,R541,S541)- E541*$N$1*$E$1*C541,PlotData!$CB$3)</f>
        <v>0</v>
      </c>
      <c r="U541" s="1033">
        <f>IF(AND(ISNUMBER(System!$C9),E541&lt;&gt;0),I541+2*(AA541-I541)/3,PlotData!$CB$4)</f>
        <v>0</v>
      </c>
      <c r="V541" s="1033">
        <f>IF(AND(ISNUMBER(System!$C9),E541&lt;&gt;0),J541+2*(AB541-J541)/3,PlotData!$CB$4)</f>
        <v>0</v>
      </c>
      <c r="W541" s="1035">
        <f>IF(AND(ISNUMBER(System!$C9),E541&lt;&gt;0),IF(E541&gt;0,U541,V541) -E541*$N$1*$E$1*D541,PlotData!$CB$4)</f>
        <v>0</v>
      </c>
      <c r="X541" s="1031">
        <f>IF(AND(ISNUMBER(System!$C9),E541&lt;&gt;0),System!BD127-$J$1*MIN($E$1,B453)*D453 - $H$1*$E$1*C453,PlotData!$CB$3)</f>
        <v>0</v>
      </c>
      <c r="Y541" s="1033">
        <f>IF(AND(ISNUMBER(System!$C9),E541&lt;&gt;0),X541 - $E$1*C541,PlotData!$CB$3)</f>
        <v>0</v>
      </c>
      <c r="Z541" s="1032">
        <f>IF(AND(ISNUMBER(System!$C9),E541&lt;&gt;0),IF(E541&gt;0,X541,Y541)- E541*$N$1*$E$1*C541,PlotData!$CB$3)</f>
        <v>0</v>
      </c>
      <c r="AA541" s="1033">
        <f>IF(AND(ISNUMBER(System!$C9),E541&lt;&gt;0),System!BF127+$J$1*MIN($E$1,B541)*C541 - $H$1*$E$1*D541,PlotData!$CB$4)</f>
        <v>0</v>
      </c>
      <c r="AB541" s="1033">
        <f>IF(AND(ISNUMBER(System!$C9),E541&lt;&gt;0),AA541 - $E$1*D541,PlotData!$CB$4)</f>
        <v>0</v>
      </c>
      <c r="AC541" s="1035">
        <f>IF(AND(ISNUMBER(System!$C9),E541&lt;&gt;0),IF(E541&gt;0,AA541,AB541) -E541* $N$1*$E$1*D541,PlotData!$CB$4)</f>
        <v>0</v>
      </c>
      <c r="AD541" s="1036">
        <f>IF(AND(ISNUMBER(System!$C9),E541&lt;&gt;0),AF541-$AQ$539/4,PlotData!$CB$3)</f>
        <v>0</v>
      </c>
      <c r="AE541" s="1032">
        <f>IF(AND(ISNUMBER(System!$C9),E541&lt;&gt;0),AG541-$AQ$538,PlotData!$CB$4)</f>
        <v>0</v>
      </c>
      <c r="AF541" s="1031">
        <f>IF(AND(ISNUMBER(System!$C9),E541&lt;&gt;0),M541 +IF(C541=0,-1,1)*IF(D541=0,-4,1)*AQ$536+(S541-M541)/2,PlotData!$CB$3)</f>
        <v>0</v>
      </c>
      <c r="AG541" s="1035">
        <f>IF(AND(ISNUMBER(System!$C9),E541&lt;&gt;0),P541-IF(D541=0,0,1)*$AQ$537+(V541-P541)/2,PlotData!$CB$4)</f>
        <v>0</v>
      </c>
      <c r="AH541" s="1034">
        <f>IF(AND(ISNUMBER(System!$C9),E541&lt;&gt;0),AF541+$AQ$539/4,PlotData!$CB$3)</f>
        <v>0</v>
      </c>
      <c r="AI541" s="1035">
        <f>IF(AND(ISNUMBER(System!$C9),E541&lt;&gt;0),AE541,PlotData!$CB$4)</f>
        <v>0</v>
      </c>
      <c r="AJ541" s="1031">
        <f>IF(AND(ISNUMBER(System!$C9),E541&lt;&gt;0),AH541+$AQ$539/4,PlotData!$CB$3)</f>
        <v>0</v>
      </c>
      <c r="AK541" s="1035">
        <f t="shared" si="201"/>
        <v>0</v>
      </c>
      <c r="AL541" s="1031">
        <f>IF(AND(ISNUMBER(System!$C9),E541&lt;&gt;0),AJ541+$AQ$539/4,PlotData!$CB$3)</f>
        <v>0</v>
      </c>
      <c r="AM541" s="1035">
        <f t="shared" si="202"/>
        <v>0</v>
      </c>
    </row>
    <row r="542" spans="1:43" x14ac:dyDescent="0.25">
      <c r="A542" s="910">
        <v>7</v>
      </c>
      <c r="B542" s="1031">
        <f t="shared" si="200"/>
        <v>0</v>
      </c>
      <c r="C542" s="1033">
        <f t="shared" si="200"/>
        <v>0</v>
      </c>
      <c r="D542" s="1029">
        <f t="shared" si="200"/>
        <v>0</v>
      </c>
      <c r="E542" s="1030">
        <f>IF(AND(ISNUMBER(System!$C10),System!AO10&lt;&gt;0),SIGN(System!AO10),0)</f>
        <v>0</v>
      </c>
      <c r="F542" s="1031">
        <f>IF(AND(ISNUMBER(System!$C10),E542&lt;&gt;0),System!BC128+$J$1*MIN($E$1,B542)*D542 -$H$1*$E$1*C542,PlotData!$CB$3)</f>
        <v>0</v>
      </c>
      <c r="G542" s="1032">
        <f>IF(AND(ISNUMBER(System!$C10),E542&lt;&gt;0),F542 - $E$1*C542,PlotData!$CB$3)</f>
        <v>0</v>
      </c>
      <c r="H542" s="1033">
        <f>IF(AND(ISNUMBER(System!$C10),E542&lt;&gt;0),IF(E542&gt;0,F542,G542)- E542*$N$1*$E$1*C542,PlotData!$CB$3)</f>
        <v>0</v>
      </c>
      <c r="I542" s="1033">
        <f>IF(AND(ISNUMBER(System!$C10),E542&lt;&gt;0),System!BE128-$J$1*MIN($E$1,B542)*C542 - $H$1*$E$1*D542,PlotData!$CB$4)</f>
        <v>0</v>
      </c>
      <c r="J542" s="1029">
        <f>IF(AND(ISNUMBER(System!$C10),E542&lt;&gt;0),I542- $E$1*D542,PlotData!$CB$4)</f>
        <v>0</v>
      </c>
      <c r="K542" s="1030">
        <f>IF(AND(ISNUMBER(System!$C10),E542&lt;&gt;0),IF(E542&gt;0,I542,J542)-E542* $N$1*$E$1*D542,PlotData!$CB$4)</f>
        <v>0</v>
      </c>
      <c r="L542" s="1034">
        <f>IF(AND(ISNUMBER(System!$C10),E542&lt;&gt;0),F542+(X542-F542)/3,PlotData!$CB$3)</f>
        <v>0</v>
      </c>
      <c r="M542" s="1033">
        <f>IF(AND(ISNUMBER(System!$C10),E542&lt;&gt;0),G542+(Y542-G542)/3,PlotData!$CB$3)</f>
        <v>0</v>
      </c>
      <c r="N542" s="1032">
        <f>IF(AND(ISNUMBER(System!$C10),E542&lt;&gt;0),IF(E542&gt;0,L542,M542)- E542*$N$1*$E$1*C542,PlotData!$CB$3)</f>
        <v>0</v>
      </c>
      <c r="O542" s="1033">
        <f>IF(AND(ISNUMBER(System!$C10),E542&lt;&gt;0),I542+(AA542-I542)/3,PlotData!$CB$4)</f>
        <v>0</v>
      </c>
      <c r="P542" s="1033">
        <f>IF(AND(ISNUMBER(System!$C10),E542&lt;&gt;0),J542+(AB542-J542)/3,PlotData!$CB$4)</f>
        <v>0</v>
      </c>
      <c r="Q542" s="1035">
        <f>IF(AND(ISNUMBER(System!$C10),E542&lt;&gt;0),IF(E542&gt;0,O542,P542) -E542 *$N$1*$E$1*D542,PlotData!$CB$4)</f>
        <v>0</v>
      </c>
      <c r="R542" s="1031">
        <f>IF(AND(ISNUMBER(System!$C10),E542&lt;&gt;0),F542+2*(X542-F542)/3,PlotData!$CB$3)</f>
        <v>0</v>
      </c>
      <c r="S542" s="1033">
        <f>IF(AND(ISNUMBER(System!$C10),E542&lt;&gt;0),G542+2*(Y542-G542)/3,PlotData!$CB$3)</f>
        <v>0</v>
      </c>
      <c r="T542" s="1032">
        <f>IF(AND(ISNUMBER(System!$C10),E542&lt;&gt;0),IF(E542&gt;0,R542,S542)- E542*$N$1*$E$1*C542,PlotData!$CB$3)</f>
        <v>0</v>
      </c>
      <c r="U542" s="1033">
        <f>IF(AND(ISNUMBER(System!$C10),E542&lt;&gt;0),I542+2*(AA542-I542)/3,PlotData!$CB$4)</f>
        <v>0</v>
      </c>
      <c r="V542" s="1033">
        <f>IF(AND(ISNUMBER(System!$C10),E542&lt;&gt;0),J542+2*(AB542-J542)/3,PlotData!$CB$4)</f>
        <v>0</v>
      </c>
      <c r="W542" s="1035">
        <f>IF(AND(ISNUMBER(System!$C10),E542&lt;&gt;0),IF(E542&gt;0,U542,V542) -E542*$N$1*$E$1*D542,PlotData!$CB$4)</f>
        <v>0</v>
      </c>
      <c r="X542" s="1031">
        <f>IF(AND(ISNUMBER(System!$C10),E542&lt;&gt;0),System!BD128-$J$1*MIN($E$1,B454)*D454 - $H$1*$E$1*C454,PlotData!$CB$3)</f>
        <v>0</v>
      </c>
      <c r="Y542" s="1033">
        <f>IF(AND(ISNUMBER(System!$C10),E542&lt;&gt;0),X542 - $E$1*C542,PlotData!$CB$3)</f>
        <v>0</v>
      </c>
      <c r="Z542" s="1032">
        <f>IF(AND(ISNUMBER(System!$C10),E542&lt;&gt;0),IF(E542&gt;0,X542,Y542)- E542*$N$1*$E$1*C542,PlotData!$CB$3)</f>
        <v>0</v>
      </c>
      <c r="AA542" s="1033">
        <f>IF(AND(ISNUMBER(System!$C10),E542&lt;&gt;0),System!BF128+$J$1*MIN($E$1,B542)*C542 - $H$1*$E$1*D542,PlotData!$CB$4)</f>
        <v>0</v>
      </c>
      <c r="AB542" s="1033">
        <f>IF(AND(ISNUMBER(System!$C10),E542&lt;&gt;0),AA542 - $E$1*D542,PlotData!$CB$4)</f>
        <v>0</v>
      </c>
      <c r="AC542" s="1035">
        <f>IF(AND(ISNUMBER(System!$C10),E542&lt;&gt;0),IF(E542&gt;0,AA542,AB542) -E542* $N$1*$E$1*D542,PlotData!$CB$4)</f>
        <v>0</v>
      </c>
      <c r="AD542" s="1036">
        <f>IF(AND(ISNUMBER(System!$C10),E542&lt;&gt;0),AF542-$AQ$539/4,PlotData!$CB$3)</f>
        <v>0</v>
      </c>
      <c r="AE542" s="1032">
        <f>IF(AND(ISNUMBER(System!$C10),E542&lt;&gt;0),AG542-$AQ$538,PlotData!$CB$4)</f>
        <v>0</v>
      </c>
      <c r="AF542" s="1031">
        <f>IF(AND(ISNUMBER(System!$C10),E542&lt;&gt;0),M542 +IF(C542=0,-1,1)*IF(D542=0,-4,1)*AQ$536+(S542-M542)/2,PlotData!$CB$3)</f>
        <v>0</v>
      </c>
      <c r="AG542" s="1035">
        <f>IF(AND(ISNUMBER(System!$C10),E542&lt;&gt;0),P542-IF(D542=0,0,1)*$AQ$537+(V542-P542)/2,PlotData!$CB$4)</f>
        <v>0</v>
      </c>
      <c r="AH542" s="1034">
        <f>IF(AND(ISNUMBER(System!$C10),E542&lt;&gt;0),AF542+$AQ$539/4,PlotData!$CB$3)</f>
        <v>0</v>
      </c>
      <c r="AI542" s="1035">
        <f>IF(AND(ISNUMBER(System!$C10),E542&lt;&gt;0),AE542,PlotData!$CB$4)</f>
        <v>0</v>
      </c>
      <c r="AJ542" s="1031">
        <f>IF(AND(ISNUMBER(System!$C10),E542&lt;&gt;0),AH542+$AQ$539/4,PlotData!$CB$3)</f>
        <v>0</v>
      </c>
      <c r="AK542" s="1035">
        <f t="shared" si="201"/>
        <v>0</v>
      </c>
      <c r="AL542" s="1031">
        <f>IF(AND(ISNUMBER(System!$C10),E542&lt;&gt;0),AJ542+$AQ$539/4,PlotData!$CB$3)</f>
        <v>0</v>
      </c>
      <c r="AM542" s="1035">
        <f t="shared" si="202"/>
        <v>0</v>
      </c>
    </row>
    <row r="543" spans="1:43" x14ac:dyDescent="0.25">
      <c r="A543" s="910">
        <v>8</v>
      </c>
      <c r="B543" s="1031">
        <f t="shared" si="200"/>
        <v>0</v>
      </c>
      <c r="C543" s="1033">
        <f t="shared" si="200"/>
        <v>0</v>
      </c>
      <c r="D543" s="1029">
        <f t="shared" si="200"/>
        <v>0</v>
      </c>
      <c r="E543" s="1030">
        <f>IF(AND(ISNUMBER(System!$C11),System!AO11&lt;&gt;0),SIGN(System!AO11),0)</f>
        <v>0</v>
      </c>
      <c r="F543" s="1031">
        <f>IF(AND(ISNUMBER(System!$C11),E543&lt;&gt;0),System!BC129+$J$1*MIN($E$1,B543)*D543 -$H$1*$E$1*C543,PlotData!$CB$3)</f>
        <v>0</v>
      </c>
      <c r="G543" s="1032">
        <f>IF(AND(ISNUMBER(System!$C11),E543&lt;&gt;0),F543 - $E$1*C543,PlotData!$CB$3)</f>
        <v>0</v>
      </c>
      <c r="H543" s="1033">
        <f>IF(AND(ISNUMBER(System!$C11),E543&lt;&gt;0),IF(E543&gt;0,F543,G543)- E543*$N$1*$E$1*C543,PlotData!$CB$3)</f>
        <v>0</v>
      </c>
      <c r="I543" s="1033">
        <f>IF(AND(ISNUMBER(System!$C11),E543&lt;&gt;0),System!BE129-$J$1*MIN($E$1,B543)*C543 - $H$1*$E$1*D543,PlotData!$CB$4)</f>
        <v>0</v>
      </c>
      <c r="J543" s="1029">
        <f>IF(AND(ISNUMBER(System!$C11),E543&lt;&gt;0),I543- $E$1*D543,PlotData!$CB$4)</f>
        <v>0</v>
      </c>
      <c r="K543" s="1030">
        <f>IF(AND(ISNUMBER(System!$C11),E543&lt;&gt;0),IF(E543&gt;0,I543,J543)-E543* $N$1*$E$1*D543,PlotData!$CB$4)</f>
        <v>0</v>
      </c>
      <c r="L543" s="1034">
        <f>IF(AND(ISNUMBER(System!$C11),E543&lt;&gt;0),F543+(X543-F543)/3,PlotData!$CB$3)</f>
        <v>0</v>
      </c>
      <c r="M543" s="1033">
        <f>IF(AND(ISNUMBER(System!$C11),E543&lt;&gt;0),G543+(Y543-G543)/3,PlotData!$CB$3)</f>
        <v>0</v>
      </c>
      <c r="N543" s="1032">
        <f>IF(AND(ISNUMBER(System!$C11),E543&lt;&gt;0),IF(E543&gt;0,L543,M543)- E543*$N$1*$E$1*C543,PlotData!$CB$3)</f>
        <v>0</v>
      </c>
      <c r="O543" s="1033">
        <f>IF(AND(ISNUMBER(System!$C11),E543&lt;&gt;0),I543+(AA543-I543)/3,PlotData!$CB$4)</f>
        <v>0</v>
      </c>
      <c r="P543" s="1033">
        <f>IF(AND(ISNUMBER(System!$C11),E543&lt;&gt;0),J543+(AB543-J543)/3,PlotData!$CB$4)</f>
        <v>0</v>
      </c>
      <c r="Q543" s="1035">
        <f>IF(AND(ISNUMBER(System!$C11),E543&lt;&gt;0),IF(E543&gt;0,O543,P543) -E543 *$N$1*$E$1*D543,PlotData!$CB$4)</f>
        <v>0</v>
      </c>
      <c r="R543" s="1031">
        <f>IF(AND(ISNUMBER(System!$C11),E543&lt;&gt;0),F543+2*(X543-F543)/3,PlotData!$CB$3)</f>
        <v>0</v>
      </c>
      <c r="S543" s="1033">
        <f>IF(AND(ISNUMBER(System!$C11),E543&lt;&gt;0),G543+2*(Y543-G543)/3,PlotData!$CB$3)</f>
        <v>0</v>
      </c>
      <c r="T543" s="1032">
        <f>IF(AND(ISNUMBER(System!$C11),E543&lt;&gt;0),IF(E543&gt;0,R543,S543)- E543*$N$1*$E$1*C543,PlotData!$CB$3)</f>
        <v>0</v>
      </c>
      <c r="U543" s="1033">
        <f>IF(AND(ISNUMBER(System!$C11),E543&lt;&gt;0),I543+2*(AA543-I543)/3,PlotData!$CB$4)</f>
        <v>0</v>
      </c>
      <c r="V543" s="1033">
        <f>IF(AND(ISNUMBER(System!$C11),E543&lt;&gt;0),J543+2*(AB543-J543)/3,PlotData!$CB$4)</f>
        <v>0</v>
      </c>
      <c r="W543" s="1035">
        <f>IF(AND(ISNUMBER(System!$C11),E543&lt;&gt;0),IF(E543&gt;0,U543,V543) -E543*$N$1*$E$1*D543,PlotData!$CB$4)</f>
        <v>0</v>
      </c>
      <c r="X543" s="1031">
        <f>IF(AND(ISNUMBER(System!$C11),E543&lt;&gt;0),System!BD129-$J$1*MIN($E$1,B455)*D455 - $H$1*$E$1*C455,PlotData!$CB$3)</f>
        <v>0</v>
      </c>
      <c r="Y543" s="1033">
        <f>IF(AND(ISNUMBER(System!$C11),E543&lt;&gt;0),X543 - $E$1*C543,PlotData!$CB$3)</f>
        <v>0</v>
      </c>
      <c r="Z543" s="1032">
        <f>IF(AND(ISNUMBER(System!$C11),E543&lt;&gt;0),IF(E543&gt;0,X543,Y543)- E543*$N$1*$E$1*C543,PlotData!$CB$3)</f>
        <v>0</v>
      </c>
      <c r="AA543" s="1033">
        <f>IF(AND(ISNUMBER(System!$C11),E543&lt;&gt;0),System!BF129+$J$1*MIN($E$1,B543)*C543 - $H$1*$E$1*D543,PlotData!$CB$4)</f>
        <v>0</v>
      </c>
      <c r="AB543" s="1033">
        <f>IF(AND(ISNUMBER(System!$C11),E543&lt;&gt;0),AA543 - $E$1*D543,PlotData!$CB$4)</f>
        <v>0</v>
      </c>
      <c r="AC543" s="1035">
        <f>IF(AND(ISNUMBER(System!$C11),E543&lt;&gt;0),IF(E543&gt;0,AA543,AB543) -E543* $N$1*$E$1*D543,PlotData!$CB$4)</f>
        <v>0</v>
      </c>
      <c r="AD543" s="1036">
        <f>IF(AND(ISNUMBER(System!$C11),E543&lt;&gt;0),AF543-$AQ$539/4,PlotData!$CB$3)</f>
        <v>0</v>
      </c>
      <c r="AE543" s="1032">
        <f>IF(AND(ISNUMBER(System!$C11),E543&lt;&gt;0),AG543-$AQ$538,PlotData!$CB$4)</f>
        <v>0</v>
      </c>
      <c r="AF543" s="1031">
        <f>IF(AND(ISNUMBER(System!$C11),E543&lt;&gt;0),M543 +IF(C543=0,-1,1)*IF(D543=0,-4,1)*AQ$536+(S543-M543)/2,PlotData!$CB$3)</f>
        <v>0</v>
      </c>
      <c r="AG543" s="1035">
        <f>IF(AND(ISNUMBER(System!$C11),E543&lt;&gt;0),P543-IF(D543=0,0,1)*$AQ$537+(V543-P543)/2,PlotData!$CB$4)</f>
        <v>0</v>
      </c>
      <c r="AH543" s="1034">
        <f>IF(AND(ISNUMBER(System!$C11),E543&lt;&gt;0),AF543+$AQ$539/4,PlotData!$CB$3)</f>
        <v>0</v>
      </c>
      <c r="AI543" s="1035">
        <f>IF(AND(ISNUMBER(System!$C11),E543&lt;&gt;0),AE543,PlotData!$CB$4)</f>
        <v>0</v>
      </c>
      <c r="AJ543" s="1031">
        <f>IF(AND(ISNUMBER(System!$C11),E543&lt;&gt;0),AH543+$AQ$539/4,PlotData!$CB$3)</f>
        <v>0</v>
      </c>
      <c r="AK543" s="1035">
        <f t="shared" si="201"/>
        <v>0</v>
      </c>
      <c r="AL543" s="1031">
        <f>IF(AND(ISNUMBER(System!$C11),E543&lt;&gt;0),AJ543+$AQ$539/4,PlotData!$CB$3)</f>
        <v>0</v>
      </c>
      <c r="AM543" s="1035">
        <f t="shared" si="202"/>
        <v>0</v>
      </c>
    </row>
    <row r="544" spans="1:43" x14ac:dyDescent="0.25">
      <c r="A544" s="910">
        <v>9</v>
      </c>
      <c r="B544" s="1031">
        <f t="shared" si="200"/>
        <v>0</v>
      </c>
      <c r="C544" s="1033">
        <f t="shared" si="200"/>
        <v>0</v>
      </c>
      <c r="D544" s="1029">
        <f t="shared" si="200"/>
        <v>0</v>
      </c>
      <c r="E544" s="1030">
        <f>IF(AND(ISNUMBER(System!$C12),System!AO12&lt;&gt;0),SIGN(System!AO12),0)</f>
        <v>0</v>
      </c>
      <c r="F544" s="1031">
        <f>IF(AND(ISNUMBER(System!$C12),E544&lt;&gt;0),System!BC130+$J$1*MIN($E$1,B544)*D544 -$H$1*$E$1*C544,PlotData!$CB$3)</f>
        <v>0</v>
      </c>
      <c r="G544" s="1032">
        <f>IF(AND(ISNUMBER(System!$C12),E544&lt;&gt;0),F544 - $E$1*C544,PlotData!$CB$3)</f>
        <v>0</v>
      </c>
      <c r="H544" s="1033">
        <f>IF(AND(ISNUMBER(System!$C12),E544&lt;&gt;0),IF(E544&gt;0,F544,G544)- E544*$N$1*$E$1*C544,PlotData!$CB$3)</f>
        <v>0</v>
      </c>
      <c r="I544" s="1033">
        <f>IF(AND(ISNUMBER(System!$C12),E544&lt;&gt;0),System!BE130-$J$1*MIN($E$1,B544)*C544 - $H$1*$E$1*D544,PlotData!$CB$4)</f>
        <v>0</v>
      </c>
      <c r="J544" s="1029">
        <f>IF(AND(ISNUMBER(System!$C12),E544&lt;&gt;0),I544- $E$1*D544,PlotData!$CB$4)</f>
        <v>0</v>
      </c>
      <c r="K544" s="1030">
        <f>IF(AND(ISNUMBER(System!$C12),E544&lt;&gt;0),IF(E544&gt;0,I544,J544)-E544* $N$1*$E$1*D544,PlotData!$CB$4)</f>
        <v>0</v>
      </c>
      <c r="L544" s="1034">
        <f>IF(AND(ISNUMBER(System!$C12),E544&lt;&gt;0),F544+(X544-F544)/3,PlotData!$CB$3)</f>
        <v>0</v>
      </c>
      <c r="M544" s="1033">
        <f>IF(AND(ISNUMBER(System!$C12),E544&lt;&gt;0),G544+(Y544-G544)/3,PlotData!$CB$3)</f>
        <v>0</v>
      </c>
      <c r="N544" s="1032">
        <f>IF(AND(ISNUMBER(System!$C12),E544&lt;&gt;0),IF(E544&gt;0,L544,M544)- E544*$N$1*$E$1*C544,PlotData!$CB$3)</f>
        <v>0</v>
      </c>
      <c r="O544" s="1033">
        <f>IF(AND(ISNUMBER(System!$C12),E544&lt;&gt;0),I544+(AA544-I544)/3,PlotData!$CB$4)</f>
        <v>0</v>
      </c>
      <c r="P544" s="1033">
        <f>IF(AND(ISNUMBER(System!$C12),E544&lt;&gt;0),J544+(AB544-J544)/3,PlotData!$CB$4)</f>
        <v>0</v>
      </c>
      <c r="Q544" s="1035">
        <f>IF(AND(ISNUMBER(System!$C12),E544&lt;&gt;0),IF(E544&gt;0,O544,P544) -E544 *$N$1*$E$1*D544,PlotData!$CB$4)</f>
        <v>0</v>
      </c>
      <c r="R544" s="1031">
        <f>IF(AND(ISNUMBER(System!$C12),E544&lt;&gt;0),F544+2*(X544-F544)/3,PlotData!$CB$3)</f>
        <v>0</v>
      </c>
      <c r="S544" s="1033">
        <f>IF(AND(ISNUMBER(System!$C12),E544&lt;&gt;0),G544+2*(Y544-G544)/3,PlotData!$CB$3)</f>
        <v>0</v>
      </c>
      <c r="T544" s="1032">
        <f>IF(AND(ISNUMBER(System!$C12),E544&lt;&gt;0),IF(E544&gt;0,R544,S544)- E544*$N$1*$E$1*C544,PlotData!$CB$3)</f>
        <v>0</v>
      </c>
      <c r="U544" s="1033">
        <f>IF(AND(ISNUMBER(System!$C12),E544&lt;&gt;0),I544+2*(AA544-I544)/3,PlotData!$CB$4)</f>
        <v>0</v>
      </c>
      <c r="V544" s="1033">
        <f>IF(AND(ISNUMBER(System!$C12),E544&lt;&gt;0),J544+2*(AB544-J544)/3,PlotData!$CB$4)</f>
        <v>0</v>
      </c>
      <c r="W544" s="1035">
        <f>IF(AND(ISNUMBER(System!$C12),E544&lt;&gt;0),IF(E544&gt;0,U544,V544) -E544*$N$1*$E$1*D544,PlotData!$CB$4)</f>
        <v>0</v>
      </c>
      <c r="X544" s="1031">
        <f>IF(AND(ISNUMBER(System!$C12),E544&lt;&gt;0),System!BD130-$J$1*MIN($E$1,B456)*D456 - $H$1*$E$1*C456,PlotData!$CB$3)</f>
        <v>0</v>
      </c>
      <c r="Y544" s="1033">
        <f>IF(AND(ISNUMBER(System!$C12),E544&lt;&gt;0),X544 - $E$1*C544,PlotData!$CB$3)</f>
        <v>0</v>
      </c>
      <c r="Z544" s="1032">
        <f>IF(AND(ISNUMBER(System!$C12),E544&lt;&gt;0),IF(E544&gt;0,X544,Y544)- E544*$N$1*$E$1*C544,PlotData!$CB$3)</f>
        <v>0</v>
      </c>
      <c r="AA544" s="1033">
        <f>IF(AND(ISNUMBER(System!$C12),E544&lt;&gt;0),System!BF130+$J$1*MIN($E$1,B544)*C544 - $H$1*$E$1*D544,PlotData!$CB$4)</f>
        <v>0</v>
      </c>
      <c r="AB544" s="1033">
        <f>IF(AND(ISNUMBER(System!$C12),E544&lt;&gt;0),AA544 - $E$1*D544,PlotData!$CB$4)</f>
        <v>0</v>
      </c>
      <c r="AC544" s="1035">
        <f>IF(AND(ISNUMBER(System!$C12),E544&lt;&gt;0),IF(E544&gt;0,AA544,AB544) -E544* $N$1*$E$1*D544,PlotData!$CB$4)</f>
        <v>0</v>
      </c>
      <c r="AD544" s="1036">
        <f>IF(AND(ISNUMBER(System!$C12),E544&lt;&gt;0),AF544-$AQ$539/4,PlotData!$CB$3)</f>
        <v>0</v>
      </c>
      <c r="AE544" s="1032">
        <f>IF(AND(ISNUMBER(System!$C12),E544&lt;&gt;0),AG544-$AQ$538,PlotData!$CB$4)</f>
        <v>0</v>
      </c>
      <c r="AF544" s="1031">
        <f>IF(AND(ISNUMBER(System!$C12),E544&lt;&gt;0),M544 +IF(C544=0,-1,1)*IF(D544=0,-4,1)*AQ$536+(S544-M544)/2,PlotData!$CB$3)</f>
        <v>0</v>
      </c>
      <c r="AG544" s="1035">
        <f>IF(AND(ISNUMBER(System!$C12),E544&lt;&gt;0),P544-IF(D544=0,0,1)*$AQ$537+(V544-P544)/2,PlotData!$CB$4)</f>
        <v>0</v>
      </c>
      <c r="AH544" s="1034">
        <f>IF(AND(ISNUMBER(System!$C12),E544&lt;&gt;0),AF544+$AQ$539/4,PlotData!$CB$3)</f>
        <v>0</v>
      </c>
      <c r="AI544" s="1035">
        <f>IF(AND(ISNUMBER(System!$C12),E544&lt;&gt;0),AE544,PlotData!$CB$4)</f>
        <v>0</v>
      </c>
      <c r="AJ544" s="1031">
        <f>IF(AND(ISNUMBER(System!$C12),E544&lt;&gt;0),AH544+$AQ$539/4,PlotData!$CB$3)</f>
        <v>0</v>
      </c>
      <c r="AK544" s="1035">
        <f t="shared" si="201"/>
        <v>0</v>
      </c>
      <c r="AL544" s="1031">
        <f>IF(AND(ISNUMBER(System!$C12),E544&lt;&gt;0),AJ544+$AQ$539/4,PlotData!$CB$3)</f>
        <v>0</v>
      </c>
      <c r="AM544" s="1035">
        <f t="shared" si="202"/>
        <v>0</v>
      </c>
    </row>
    <row r="545" spans="1:39" x14ac:dyDescent="0.25">
      <c r="A545" s="910">
        <v>10</v>
      </c>
      <c r="B545" s="1031">
        <f t="shared" si="200"/>
        <v>0</v>
      </c>
      <c r="C545" s="1033">
        <f t="shared" si="200"/>
        <v>0</v>
      </c>
      <c r="D545" s="1029">
        <f t="shared" si="200"/>
        <v>0</v>
      </c>
      <c r="E545" s="1030">
        <f>IF(AND(ISNUMBER(System!$C13),System!AO13&lt;&gt;0),SIGN(System!AO13),0)</f>
        <v>0</v>
      </c>
      <c r="F545" s="1031">
        <f>IF(AND(ISNUMBER(System!$C13),E545&lt;&gt;0),System!BC131+$J$1*MIN($E$1,B545)*D545 -$H$1*$E$1*C545,PlotData!$CB$3)</f>
        <v>0</v>
      </c>
      <c r="G545" s="1032">
        <f>IF(AND(ISNUMBER(System!$C13),E545&lt;&gt;0),F545 - $E$1*C545,PlotData!$CB$3)</f>
        <v>0</v>
      </c>
      <c r="H545" s="1033">
        <f>IF(AND(ISNUMBER(System!$C13),E545&lt;&gt;0),IF(E545&gt;0,F545,G545)- E545*$N$1*$E$1*C545,PlotData!$CB$3)</f>
        <v>0</v>
      </c>
      <c r="I545" s="1033">
        <f>IF(AND(ISNUMBER(System!$C13),E545&lt;&gt;0),System!BE131-$J$1*MIN($E$1,B545)*C545 - $H$1*$E$1*D545,PlotData!$CB$4)</f>
        <v>0</v>
      </c>
      <c r="J545" s="1029">
        <f>IF(AND(ISNUMBER(System!$C13),E545&lt;&gt;0),I545- $E$1*D545,PlotData!$CB$4)</f>
        <v>0</v>
      </c>
      <c r="K545" s="1030">
        <f>IF(AND(ISNUMBER(System!$C13),E545&lt;&gt;0),IF(E545&gt;0,I545,J545)-E545* $N$1*$E$1*D545,PlotData!$CB$4)</f>
        <v>0</v>
      </c>
      <c r="L545" s="1034">
        <f>IF(AND(ISNUMBER(System!$C13),E545&lt;&gt;0),F545+(X545-F545)/3,PlotData!$CB$3)</f>
        <v>0</v>
      </c>
      <c r="M545" s="1033">
        <f>IF(AND(ISNUMBER(System!$C13),E545&lt;&gt;0),G545+(Y545-G545)/3,PlotData!$CB$3)</f>
        <v>0</v>
      </c>
      <c r="N545" s="1032">
        <f>IF(AND(ISNUMBER(System!$C13),E545&lt;&gt;0),IF(E545&gt;0,L545,M545)- E545*$N$1*$E$1*C545,PlotData!$CB$3)</f>
        <v>0</v>
      </c>
      <c r="O545" s="1033">
        <f>IF(AND(ISNUMBER(System!$C13),E545&lt;&gt;0),I545+(AA545-I545)/3,PlotData!$CB$4)</f>
        <v>0</v>
      </c>
      <c r="P545" s="1033">
        <f>IF(AND(ISNUMBER(System!$C13),E545&lt;&gt;0),J545+(AB545-J545)/3,PlotData!$CB$4)</f>
        <v>0</v>
      </c>
      <c r="Q545" s="1035">
        <f>IF(AND(ISNUMBER(System!$C13),E545&lt;&gt;0),IF(E545&gt;0,O545,P545) -E545 *$N$1*$E$1*D545,PlotData!$CB$4)</f>
        <v>0</v>
      </c>
      <c r="R545" s="1031">
        <f>IF(AND(ISNUMBER(System!$C13),E545&lt;&gt;0),F545+2*(X545-F545)/3,PlotData!$CB$3)</f>
        <v>0</v>
      </c>
      <c r="S545" s="1033">
        <f>IF(AND(ISNUMBER(System!$C13),E545&lt;&gt;0),G545+2*(Y545-G545)/3,PlotData!$CB$3)</f>
        <v>0</v>
      </c>
      <c r="T545" s="1032">
        <f>IF(AND(ISNUMBER(System!$C13),E545&lt;&gt;0),IF(E545&gt;0,R545,S545)- E545*$N$1*$E$1*C545,PlotData!$CB$3)</f>
        <v>0</v>
      </c>
      <c r="U545" s="1033">
        <f>IF(AND(ISNUMBER(System!$C13),E545&lt;&gt;0),I545+2*(AA545-I545)/3,PlotData!$CB$4)</f>
        <v>0</v>
      </c>
      <c r="V545" s="1033">
        <f>IF(AND(ISNUMBER(System!$C13),E545&lt;&gt;0),J545+2*(AB545-J545)/3,PlotData!$CB$4)</f>
        <v>0</v>
      </c>
      <c r="W545" s="1035">
        <f>IF(AND(ISNUMBER(System!$C13),E545&lt;&gt;0),IF(E545&gt;0,U545,V545) -E545*$N$1*$E$1*D545,PlotData!$CB$4)</f>
        <v>0</v>
      </c>
      <c r="X545" s="1031">
        <f>IF(AND(ISNUMBER(System!$C13),E545&lt;&gt;0),System!BD131-$J$1*MIN($E$1,B457)*D457 - $H$1*$E$1*C457,PlotData!$CB$3)</f>
        <v>0</v>
      </c>
      <c r="Y545" s="1033">
        <f>IF(AND(ISNUMBER(System!$C13),E545&lt;&gt;0),X545 - $E$1*C545,PlotData!$CB$3)</f>
        <v>0</v>
      </c>
      <c r="Z545" s="1032">
        <f>IF(AND(ISNUMBER(System!$C13),E545&lt;&gt;0),IF(E545&gt;0,X545,Y545)- E545*$N$1*$E$1*C545,PlotData!$CB$3)</f>
        <v>0</v>
      </c>
      <c r="AA545" s="1033">
        <f>IF(AND(ISNUMBER(System!$C13),E545&lt;&gt;0),System!BF131+$J$1*MIN($E$1,B545)*C545 - $H$1*$E$1*D545,PlotData!$CB$4)</f>
        <v>0</v>
      </c>
      <c r="AB545" s="1033">
        <f>IF(AND(ISNUMBER(System!$C13),E545&lt;&gt;0),AA545 - $E$1*D545,PlotData!$CB$4)</f>
        <v>0</v>
      </c>
      <c r="AC545" s="1035">
        <f>IF(AND(ISNUMBER(System!$C13),E545&lt;&gt;0),IF(E545&gt;0,AA545,AB545) -E545* $N$1*$E$1*D545,PlotData!$CB$4)</f>
        <v>0</v>
      </c>
      <c r="AD545" s="1036">
        <f>IF(AND(ISNUMBER(System!$C13),E545&lt;&gt;0),AF545-$AQ$539/4,PlotData!$CB$3)</f>
        <v>0</v>
      </c>
      <c r="AE545" s="1032">
        <f>IF(AND(ISNUMBER(System!$C13),E545&lt;&gt;0),AG545-$AQ$538,PlotData!$CB$4)</f>
        <v>0</v>
      </c>
      <c r="AF545" s="1031">
        <f>IF(AND(ISNUMBER(System!$C13),E545&lt;&gt;0),M545 +IF(C545=0,-1,1)*IF(D545=0,-4,1)*AQ$536+(S545-M545)/2,PlotData!$CB$3)</f>
        <v>0</v>
      </c>
      <c r="AG545" s="1035">
        <f>IF(AND(ISNUMBER(System!$C13),E545&lt;&gt;0),P545-IF(D545=0,0,1)*$AQ$537+(V545-P545)/2,PlotData!$CB$4)</f>
        <v>0</v>
      </c>
      <c r="AH545" s="1034">
        <f>IF(AND(ISNUMBER(System!$C13),E545&lt;&gt;0),AF545+$AQ$539/4,PlotData!$CB$3)</f>
        <v>0</v>
      </c>
      <c r="AI545" s="1035">
        <f>IF(AND(ISNUMBER(System!$C13),E545&lt;&gt;0),AE545,PlotData!$CB$4)</f>
        <v>0</v>
      </c>
      <c r="AJ545" s="1031">
        <f>IF(AND(ISNUMBER(System!$C13),E545&lt;&gt;0),AH545+$AQ$539/4,PlotData!$CB$3)</f>
        <v>0</v>
      </c>
      <c r="AK545" s="1035">
        <f t="shared" si="201"/>
        <v>0</v>
      </c>
      <c r="AL545" s="1031">
        <f>IF(AND(ISNUMBER(System!$C13),E545&lt;&gt;0),AJ545+$AQ$539/4,PlotData!$CB$3)</f>
        <v>0</v>
      </c>
      <c r="AM545" s="1035">
        <f t="shared" si="202"/>
        <v>0</v>
      </c>
    </row>
    <row r="546" spans="1:39" x14ac:dyDescent="0.25">
      <c r="A546" s="910">
        <v>11</v>
      </c>
      <c r="B546" s="1031">
        <f t="shared" si="200"/>
        <v>0</v>
      </c>
      <c r="C546" s="1033">
        <f t="shared" si="200"/>
        <v>0</v>
      </c>
      <c r="D546" s="1029">
        <f t="shared" si="200"/>
        <v>0</v>
      </c>
      <c r="E546" s="1030">
        <f>IF(AND(ISNUMBER(System!$C14),System!AO14&lt;&gt;0),SIGN(System!AO14),0)</f>
        <v>0</v>
      </c>
      <c r="F546" s="1031">
        <f>IF(AND(ISNUMBER(System!$C14),E546&lt;&gt;0),System!BC132+$J$1*MIN($E$1,B546)*D546 -$H$1*$E$1*C546,PlotData!$CB$3)</f>
        <v>0</v>
      </c>
      <c r="G546" s="1032">
        <f>IF(AND(ISNUMBER(System!$C14),E546&lt;&gt;0),F546 - $E$1*C546,PlotData!$CB$3)</f>
        <v>0</v>
      </c>
      <c r="H546" s="1033">
        <f>IF(AND(ISNUMBER(System!$C14),E546&lt;&gt;0),IF(E546&gt;0,F546,G546)- E546*$N$1*$E$1*C546,PlotData!$CB$3)</f>
        <v>0</v>
      </c>
      <c r="I546" s="1033">
        <f>IF(AND(ISNUMBER(System!$C14),E546&lt;&gt;0),System!BE132-$J$1*MIN($E$1,B546)*C546 - $H$1*$E$1*D546,PlotData!$CB$4)</f>
        <v>0</v>
      </c>
      <c r="J546" s="1029">
        <f>IF(AND(ISNUMBER(System!$C14),E546&lt;&gt;0),I546- $E$1*D546,PlotData!$CB$4)</f>
        <v>0</v>
      </c>
      <c r="K546" s="1030">
        <f>IF(AND(ISNUMBER(System!$C14),E546&lt;&gt;0),IF(E546&gt;0,I546,J546)-E546* $N$1*$E$1*D546,PlotData!$CB$4)</f>
        <v>0</v>
      </c>
      <c r="L546" s="1034">
        <f>IF(AND(ISNUMBER(System!$C14),E546&lt;&gt;0),F546+(X546-F546)/3,PlotData!$CB$3)</f>
        <v>0</v>
      </c>
      <c r="M546" s="1033">
        <f>IF(AND(ISNUMBER(System!$C14),E546&lt;&gt;0),G546+(Y546-G546)/3,PlotData!$CB$3)</f>
        <v>0</v>
      </c>
      <c r="N546" s="1032">
        <f>IF(AND(ISNUMBER(System!$C14),E546&lt;&gt;0),IF(E546&gt;0,L546,M546)- E546*$N$1*$E$1*C546,PlotData!$CB$3)</f>
        <v>0</v>
      </c>
      <c r="O546" s="1033">
        <f>IF(AND(ISNUMBER(System!$C14),E546&lt;&gt;0),I546+(AA546-I546)/3,PlotData!$CB$4)</f>
        <v>0</v>
      </c>
      <c r="P546" s="1033">
        <f>IF(AND(ISNUMBER(System!$C14),E546&lt;&gt;0),J546+(AB546-J546)/3,PlotData!$CB$4)</f>
        <v>0</v>
      </c>
      <c r="Q546" s="1035">
        <f>IF(AND(ISNUMBER(System!$C14),E546&lt;&gt;0),IF(E546&gt;0,O546,P546) -E546 *$N$1*$E$1*D546,PlotData!$CB$4)</f>
        <v>0</v>
      </c>
      <c r="R546" s="1031">
        <f>IF(AND(ISNUMBER(System!$C14),E546&lt;&gt;0),F546+2*(X546-F546)/3,PlotData!$CB$3)</f>
        <v>0</v>
      </c>
      <c r="S546" s="1033">
        <f>IF(AND(ISNUMBER(System!$C14),E546&lt;&gt;0),G546+2*(Y546-G546)/3,PlotData!$CB$3)</f>
        <v>0</v>
      </c>
      <c r="T546" s="1032">
        <f>IF(AND(ISNUMBER(System!$C14),E546&lt;&gt;0),IF(E546&gt;0,R546,S546)- E546*$N$1*$E$1*C546,PlotData!$CB$3)</f>
        <v>0</v>
      </c>
      <c r="U546" s="1033">
        <f>IF(AND(ISNUMBER(System!$C14),E546&lt;&gt;0),I546+2*(AA546-I546)/3,PlotData!$CB$4)</f>
        <v>0</v>
      </c>
      <c r="V546" s="1033">
        <f>IF(AND(ISNUMBER(System!$C14),E546&lt;&gt;0),J546+2*(AB546-J546)/3,PlotData!$CB$4)</f>
        <v>0</v>
      </c>
      <c r="W546" s="1035">
        <f>IF(AND(ISNUMBER(System!$C14),E546&lt;&gt;0),IF(E546&gt;0,U546,V546) -E546*$N$1*$E$1*D546,PlotData!$CB$4)</f>
        <v>0</v>
      </c>
      <c r="X546" s="1031">
        <f>IF(AND(ISNUMBER(System!$C14),E546&lt;&gt;0),System!BD132-$J$1*MIN($E$1,B458)*D458 - $H$1*$E$1*C458,PlotData!$CB$3)</f>
        <v>0</v>
      </c>
      <c r="Y546" s="1033">
        <f>IF(AND(ISNUMBER(System!$C14),E546&lt;&gt;0),X546 - $E$1*C546,PlotData!$CB$3)</f>
        <v>0</v>
      </c>
      <c r="Z546" s="1032">
        <f>IF(AND(ISNUMBER(System!$C14),E546&lt;&gt;0),IF(E546&gt;0,X546,Y546)- E546*$N$1*$E$1*C546,PlotData!$CB$3)</f>
        <v>0</v>
      </c>
      <c r="AA546" s="1033">
        <f>IF(AND(ISNUMBER(System!$C14),E546&lt;&gt;0),System!BF132+$J$1*MIN($E$1,B546)*C546 - $H$1*$E$1*D546,PlotData!$CB$4)</f>
        <v>0</v>
      </c>
      <c r="AB546" s="1033">
        <f>IF(AND(ISNUMBER(System!$C14),E546&lt;&gt;0),AA546 - $E$1*D546,PlotData!$CB$4)</f>
        <v>0</v>
      </c>
      <c r="AC546" s="1035">
        <f>IF(AND(ISNUMBER(System!$C14),E546&lt;&gt;0),IF(E546&gt;0,AA546,AB546) -E546* $N$1*$E$1*D546,PlotData!$CB$4)</f>
        <v>0</v>
      </c>
      <c r="AD546" s="1036">
        <f>IF(AND(ISNUMBER(System!$C14),E546&lt;&gt;0),AF546-$AQ$539/4,PlotData!$CB$3)</f>
        <v>0</v>
      </c>
      <c r="AE546" s="1032">
        <f>IF(AND(ISNUMBER(System!$C14),E546&lt;&gt;0),AG546-$AQ$538,PlotData!$CB$4)</f>
        <v>0</v>
      </c>
      <c r="AF546" s="1031">
        <f>IF(AND(ISNUMBER(System!$C14),E546&lt;&gt;0),M546 +IF(C546=0,-1,1)*IF(D546=0,-4,1)*AQ$536+(S546-M546)/2,PlotData!$CB$3)</f>
        <v>0</v>
      </c>
      <c r="AG546" s="1035">
        <f>IF(AND(ISNUMBER(System!$C14),E546&lt;&gt;0),P546-IF(D546=0,0,1)*$AQ$537+(V546-P546)/2,PlotData!$CB$4)</f>
        <v>0</v>
      </c>
      <c r="AH546" s="1034">
        <f>IF(AND(ISNUMBER(System!$C14),E546&lt;&gt;0),AF546+$AQ$539/4,PlotData!$CB$3)</f>
        <v>0</v>
      </c>
      <c r="AI546" s="1035">
        <f>IF(AND(ISNUMBER(System!$C14),E546&lt;&gt;0),AE546,PlotData!$CB$4)</f>
        <v>0</v>
      </c>
      <c r="AJ546" s="1031">
        <f>IF(AND(ISNUMBER(System!$C14),E546&lt;&gt;0),AH546+$AQ$539/4,PlotData!$CB$3)</f>
        <v>0</v>
      </c>
      <c r="AK546" s="1035">
        <f t="shared" si="201"/>
        <v>0</v>
      </c>
      <c r="AL546" s="1031">
        <f>IF(AND(ISNUMBER(System!$C14),E546&lt;&gt;0),AJ546+$AQ$539/4,PlotData!$CB$3)</f>
        <v>0</v>
      </c>
      <c r="AM546" s="1035">
        <f t="shared" si="202"/>
        <v>0</v>
      </c>
    </row>
    <row r="547" spans="1:39" x14ac:dyDescent="0.25">
      <c r="A547" s="910">
        <v>12</v>
      </c>
      <c r="B547" s="1031">
        <f t="shared" si="200"/>
        <v>0</v>
      </c>
      <c r="C547" s="1033">
        <f t="shared" si="200"/>
        <v>0</v>
      </c>
      <c r="D547" s="1029">
        <f t="shared" si="200"/>
        <v>0</v>
      </c>
      <c r="E547" s="1030">
        <f>IF(AND(ISNUMBER(System!$C15),System!AO15&lt;&gt;0),SIGN(System!AO15),0)</f>
        <v>0</v>
      </c>
      <c r="F547" s="1031">
        <f>IF(AND(ISNUMBER(System!$C15),E547&lt;&gt;0),System!BC133+$J$1*MIN($E$1,B547)*D547 -$H$1*$E$1*C547,PlotData!$CB$3)</f>
        <v>0</v>
      </c>
      <c r="G547" s="1032">
        <f>IF(AND(ISNUMBER(System!$C15),E547&lt;&gt;0),F547 - $E$1*C547,PlotData!$CB$3)</f>
        <v>0</v>
      </c>
      <c r="H547" s="1033">
        <f>IF(AND(ISNUMBER(System!$C15),E547&lt;&gt;0),IF(E547&gt;0,F547,G547)- E547*$N$1*$E$1*C547,PlotData!$CB$3)</f>
        <v>0</v>
      </c>
      <c r="I547" s="1033">
        <f>IF(AND(ISNUMBER(System!$C15),E547&lt;&gt;0),System!BE133-$J$1*MIN($E$1,B547)*C547 - $H$1*$E$1*D547,PlotData!$CB$4)</f>
        <v>0</v>
      </c>
      <c r="J547" s="1029">
        <f>IF(AND(ISNUMBER(System!$C15),E547&lt;&gt;0),I547- $E$1*D547,PlotData!$CB$4)</f>
        <v>0</v>
      </c>
      <c r="K547" s="1030">
        <f>IF(AND(ISNUMBER(System!$C15),E547&lt;&gt;0),IF(E547&gt;0,I547,J547)-E547* $N$1*$E$1*D547,PlotData!$CB$4)</f>
        <v>0</v>
      </c>
      <c r="L547" s="1034">
        <f>IF(AND(ISNUMBER(System!$C15),E547&lt;&gt;0),F547+(X547-F547)/3,PlotData!$CB$3)</f>
        <v>0</v>
      </c>
      <c r="M547" s="1033">
        <f>IF(AND(ISNUMBER(System!$C15),E547&lt;&gt;0),G547+(Y547-G547)/3,PlotData!$CB$3)</f>
        <v>0</v>
      </c>
      <c r="N547" s="1032">
        <f>IF(AND(ISNUMBER(System!$C15),E547&lt;&gt;0),IF(E547&gt;0,L547,M547)- E547*$N$1*$E$1*C547,PlotData!$CB$3)</f>
        <v>0</v>
      </c>
      <c r="O547" s="1033">
        <f>IF(AND(ISNUMBER(System!$C15),E547&lt;&gt;0),I547+(AA547-I547)/3,PlotData!$CB$4)</f>
        <v>0</v>
      </c>
      <c r="P547" s="1033">
        <f>IF(AND(ISNUMBER(System!$C15),E547&lt;&gt;0),J547+(AB547-J547)/3,PlotData!$CB$4)</f>
        <v>0</v>
      </c>
      <c r="Q547" s="1035">
        <f>IF(AND(ISNUMBER(System!$C15),E547&lt;&gt;0),IF(E547&gt;0,O547,P547) -E547 *$N$1*$E$1*D547,PlotData!$CB$4)</f>
        <v>0</v>
      </c>
      <c r="R547" s="1031">
        <f>IF(AND(ISNUMBER(System!$C15),E547&lt;&gt;0),F547+2*(X547-F547)/3,PlotData!$CB$3)</f>
        <v>0</v>
      </c>
      <c r="S547" s="1033">
        <f>IF(AND(ISNUMBER(System!$C15),E547&lt;&gt;0),G547+2*(Y547-G547)/3,PlotData!$CB$3)</f>
        <v>0</v>
      </c>
      <c r="T547" s="1032">
        <f>IF(AND(ISNUMBER(System!$C15),E547&lt;&gt;0),IF(E547&gt;0,R547,S547)- E547*$N$1*$E$1*C547,PlotData!$CB$3)</f>
        <v>0</v>
      </c>
      <c r="U547" s="1033">
        <f>IF(AND(ISNUMBER(System!$C15),E547&lt;&gt;0),I547+2*(AA547-I547)/3,PlotData!$CB$4)</f>
        <v>0</v>
      </c>
      <c r="V547" s="1033">
        <f>IF(AND(ISNUMBER(System!$C15),E547&lt;&gt;0),J547+2*(AB547-J547)/3,PlotData!$CB$4)</f>
        <v>0</v>
      </c>
      <c r="W547" s="1035">
        <f>IF(AND(ISNUMBER(System!$C15),E547&lt;&gt;0),IF(E547&gt;0,U547,V547) -E547*$N$1*$E$1*D547,PlotData!$CB$4)</f>
        <v>0</v>
      </c>
      <c r="X547" s="1031">
        <f>IF(AND(ISNUMBER(System!$C15),E547&lt;&gt;0),System!BD133-$J$1*MIN($E$1,B459)*D459 - $H$1*$E$1*C459,PlotData!$CB$3)</f>
        <v>0</v>
      </c>
      <c r="Y547" s="1033">
        <f>IF(AND(ISNUMBER(System!$C15),E547&lt;&gt;0),X547 - $E$1*C547,PlotData!$CB$3)</f>
        <v>0</v>
      </c>
      <c r="Z547" s="1032">
        <f>IF(AND(ISNUMBER(System!$C15),E547&lt;&gt;0),IF(E547&gt;0,X547,Y547)- E547*$N$1*$E$1*C547,PlotData!$CB$3)</f>
        <v>0</v>
      </c>
      <c r="AA547" s="1033">
        <f>IF(AND(ISNUMBER(System!$C15),E547&lt;&gt;0),System!BF133+$J$1*MIN($E$1,B547)*C547 - $H$1*$E$1*D547,PlotData!$CB$4)</f>
        <v>0</v>
      </c>
      <c r="AB547" s="1033">
        <f>IF(AND(ISNUMBER(System!$C15),E547&lt;&gt;0),AA547 - $E$1*D547,PlotData!$CB$4)</f>
        <v>0</v>
      </c>
      <c r="AC547" s="1035">
        <f>IF(AND(ISNUMBER(System!$C15),E547&lt;&gt;0),IF(E547&gt;0,AA547,AB547) -E547* $N$1*$E$1*D547,PlotData!$CB$4)</f>
        <v>0</v>
      </c>
      <c r="AD547" s="1036">
        <f>IF(AND(ISNUMBER(System!$C15),E547&lt;&gt;0),AF547-$AQ$539/4,PlotData!$CB$3)</f>
        <v>0</v>
      </c>
      <c r="AE547" s="1032">
        <f>IF(AND(ISNUMBER(System!$C15),E547&lt;&gt;0),AG547-$AQ$538,PlotData!$CB$4)</f>
        <v>0</v>
      </c>
      <c r="AF547" s="1031">
        <f>IF(AND(ISNUMBER(System!$C15),E547&lt;&gt;0),M547 +IF(C547=0,-1,1)*IF(D547=0,-4,1)*AQ$536+(S547-M547)/2,PlotData!$CB$3)</f>
        <v>0</v>
      </c>
      <c r="AG547" s="1035">
        <f>IF(AND(ISNUMBER(System!$C15),E547&lt;&gt;0),P547-IF(D547=0,0,1)*$AQ$537+(V547-P547)/2,PlotData!$CB$4)</f>
        <v>0</v>
      </c>
      <c r="AH547" s="1034">
        <f>IF(AND(ISNUMBER(System!$C15),E547&lt;&gt;0),AF547+$AQ$539/4,PlotData!$CB$3)</f>
        <v>0</v>
      </c>
      <c r="AI547" s="1035">
        <f>IF(AND(ISNUMBER(System!$C15),E547&lt;&gt;0),AE547,PlotData!$CB$4)</f>
        <v>0</v>
      </c>
      <c r="AJ547" s="1031">
        <f>IF(AND(ISNUMBER(System!$C15),E547&lt;&gt;0),AH547+$AQ$539/4,PlotData!$CB$3)</f>
        <v>0</v>
      </c>
      <c r="AK547" s="1035">
        <f t="shared" si="201"/>
        <v>0</v>
      </c>
      <c r="AL547" s="1031">
        <f>IF(AND(ISNUMBER(System!$C15),E547&lt;&gt;0),AJ547+$AQ$539/4,PlotData!$CB$3)</f>
        <v>0</v>
      </c>
      <c r="AM547" s="1035">
        <f t="shared" si="202"/>
        <v>0</v>
      </c>
    </row>
    <row r="548" spans="1:39" x14ac:dyDescent="0.25">
      <c r="A548" s="910">
        <v>13</v>
      </c>
      <c r="B548" s="1031">
        <f t="shared" si="200"/>
        <v>0</v>
      </c>
      <c r="C548" s="1033">
        <f t="shared" si="200"/>
        <v>0</v>
      </c>
      <c r="D548" s="1029">
        <f t="shared" si="200"/>
        <v>0</v>
      </c>
      <c r="E548" s="1030">
        <f>IF(AND(ISNUMBER(System!$C16),System!AO16&lt;&gt;0),SIGN(System!AO16),0)</f>
        <v>0</v>
      </c>
      <c r="F548" s="1031">
        <f>IF(AND(ISNUMBER(System!$C16),E548&lt;&gt;0),System!BC134+$J$1*MIN($E$1,B548)*D548 -$H$1*$E$1*C548,PlotData!$CB$3)</f>
        <v>0</v>
      </c>
      <c r="G548" s="1032">
        <f>IF(AND(ISNUMBER(System!$C16),E548&lt;&gt;0),F548 - $E$1*C548,PlotData!$CB$3)</f>
        <v>0</v>
      </c>
      <c r="H548" s="1033">
        <f>IF(AND(ISNUMBER(System!$C16),E548&lt;&gt;0),IF(E548&gt;0,F548,G548)- E548*$N$1*$E$1*C548,PlotData!$CB$3)</f>
        <v>0</v>
      </c>
      <c r="I548" s="1033">
        <f>IF(AND(ISNUMBER(System!$C16),E548&lt;&gt;0),System!BE134-$J$1*MIN($E$1,B548)*C548 - $H$1*$E$1*D548,PlotData!$CB$4)</f>
        <v>0</v>
      </c>
      <c r="J548" s="1029">
        <f>IF(AND(ISNUMBER(System!$C16),E548&lt;&gt;0),I548- $E$1*D548,PlotData!$CB$4)</f>
        <v>0</v>
      </c>
      <c r="K548" s="1030">
        <f>IF(AND(ISNUMBER(System!$C16),E548&lt;&gt;0),IF(E548&gt;0,I548,J548)-E548* $N$1*$E$1*D548,PlotData!$CB$4)</f>
        <v>0</v>
      </c>
      <c r="L548" s="1034">
        <f>IF(AND(ISNUMBER(System!$C16),E548&lt;&gt;0),F548+(X548-F548)/3,PlotData!$CB$3)</f>
        <v>0</v>
      </c>
      <c r="M548" s="1033">
        <f>IF(AND(ISNUMBER(System!$C16),E548&lt;&gt;0),G548+(Y548-G548)/3,PlotData!$CB$3)</f>
        <v>0</v>
      </c>
      <c r="N548" s="1032">
        <f>IF(AND(ISNUMBER(System!$C16),E548&lt;&gt;0),IF(E548&gt;0,L548,M548)- E548*$N$1*$E$1*C548,PlotData!$CB$3)</f>
        <v>0</v>
      </c>
      <c r="O548" s="1033">
        <f>IF(AND(ISNUMBER(System!$C16),E548&lt;&gt;0),I548+(AA548-I548)/3,PlotData!$CB$4)</f>
        <v>0</v>
      </c>
      <c r="P548" s="1033">
        <f>IF(AND(ISNUMBER(System!$C16),E548&lt;&gt;0),J548+(AB548-J548)/3,PlotData!$CB$4)</f>
        <v>0</v>
      </c>
      <c r="Q548" s="1035">
        <f>IF(AND(ISNUMBER(System!$C16),E548&lt;&gt;0),IF(E548&gt;0,O548,P548) -E548 *$N$1*$E$1*D548,PlotData!$CB$4)</f>
        <v>0</v>
      </c>
      <c r="R548" s="1031">
        <f>IF(AND(ISNUMBER(System!$C16),E548&lt;&gt;0),F548+2*(X548-F548)/3,PlotData!$CB$3)</f>
        <v>0</v>
      </c>
      <c r="S548" s="1033">
        <f>IF(AND(ISNUMBER(System!$C16),E548&lt;&gt;0),G548+2*(Y548-G548)/3,PlotData!$CB$3)</f>
        <v>0</v>
      </c>
      <c r="T548" s="1032">
        <f>IF(AND(ISNUMBER(System!$C16),E548&lt;&gt;0),IF(E548&gt;0,R548,S548)- E548*$N$1*$E$1*C548,PlotData!$CB$3)</f>
        <v>0</v>
      </c>
      <c r="U548" s="1033">
        <f>IF(AND(ISNUMBER(System!$C16),E548&lt;&gt;0),I548+2*(AA548-I548)/3,PlotData!$CB$4)</f>
        <v>0</v>
      </c>
      <c r="V548" s="1033">
        <f>IF(AND(ISNUMBER(System!$C16),E548&lt;&gt;0),J548+2*(AB548-J548)/3,PlotData!$CB$4)</f>
        <v>0</v>
      </c>
      <c r="W548" s="1035">
        <f>IF(AND(ISNUMBER(System!$C16),E548&lt;&gt;0),IF(E548&gt;0,U548,V548) -E548*$N$1*$E$1*D548,PlotData!$CB$4)</f>
        <v>0</v>
      </c>
      <c r="X548" s="1031">
        <f>IF(AND(ISNUMBER(System!$C16),E548&lt;&gt;0),System!BD134-$J$1*MIN($E$1,B460)*D460 - $H$1*$E$1*C460,PlotData!$CB$3)</f>
        <v>0</v>
      </c>
      <c r="Y548" s="1033">
        <f>IF(AND(ISNUMBER(System!$C16),E548&lt;&gt;0),X548 - $E$1*C548,PlotData!$CB$3)</f>
        <v>0</v>
      </c>
      <c r="Z548" s="1032">
        <f>IF(AND(ISNUMBER(System!$C16),E548&lt;&gt;0),IF(E548&gt;0,X548,Y548)- E548*$N$1*$E$1*C548,PlotData!$CB$3)</f>
        <v>0</v>
      </c>
      <c r="AA548" s="1033">
        <f>IF(AND(ISNUMBER(System!$C16),E548&lt;&gt;0),System!BF134+$J$1*MIN($E$1,B548)*C548 - $H$1*$E$1*D548,PlotData!$CB$4)</f>
        <v>0</v>
      </c>
      <c r="AB548" s="1033">
        <f>IF(AND(ISNUMBER(System!$C16),E548&lt;&gt;0),AA548 - $E$1*D548,PlotData!$CB$4)</f>
        <v>0</v>
      </c>
      <c r="AC548" s="1035">
        <f>IF(AND(ISNUMBER(System!$C16),E548&lt;&gt;0),IF(E548&gt;0,AA548,AB548) -E548* $N$1*$E$1*D548,PlotData!$CB$4)</f>
        <v>0</v>
      </c>
      <c r="AD548" s="1036">
        <f>IF(AND(ISNUMBER(System!$C16),E548&lt;&gt;0),AF548-$AQ$539/4,PlotData!$CB$3)</f>
        <v>0</v>
      </c>
      <c r="AE548" s="1032">
        <f>IF(AND(ISNUMBER(System!$C16),E548&lt;&gt;0),AG548-$AQ$538,PlotData!$CB$4)</f>
        <v>0</v>
      </c>
      <c r="AF548" s="1031">
        <f>IF(AND(ISNUMBER(System!$C16),E548&lt;&gt;0),M548 +IF(C548=0,-1,1)*IF(D548=0,-4,1)*AQ$536+(S548-M548)/2,PlotData!$CB$3)</f>
        <v>0</v>
      </c>
      <c r="AG548" s="1035">
        <f>IF(AND(ISNUMBER(System!$C16),E548&lt;&gt;0),P548-IF(D548=0,0,1)*$AQ$537+(V548-P548)/2,PlotData!$CB$4)</f>
        <v>0</v>
      </c>
      <c r="AH548" s="1034">
        <f>IF(AND(ISNUMBER(System!$C16),E548&lt;&gt;0),AF548+$AQ$539/4,PlotData!$CB$3)</f>
        <v>0</v>
      </c>
      <c r="AI548" s="1035">
        <f>IF(AND(ISNUMBER(System!$C16),E548&lt;&gt;0),AE548,PlotData!$CB$4)</f>
        <v>0</v>
      </c>
      <c r="AJ548" s="1031">
        <f>IF(AND(ISNUMBER(System!$C16),E548&lt;&gt;0),AH548+$AQ$539/4,PlotData!$CB$3)</f>
        <v>0</v>
      </c>
      <c r="AK548" s="1035">
        <f t="shared" si="201"/>
        <v>0</v>
      </c>
      <c r="AL548" s="1031">
        <f>IF(AND(ISNUMBER(System!$C16),E548&lt;&gt;0),AJ548+$AQ$539/4,PlotData!$CB$3)</f>
        <v>0</v>
      </c>
      <c r="AM548" s="1035">
        <f t="shared" si="202"/>
        <v>0</v>
      </c>
    </row>
    <row r="549" spans="1:39" x14ac:dyDescent="0.25">
      <c r="A549" s="910">
        <v>14</v>
      </c>
      <c r="B549" s="1031">
        <f t="shared" si="200"/>
        <v>0</v>
      </c>
      <c r="C549" s="1033">
        <f t="shared" si="200"/>
        <v>0</v>
      </c>
      <c r="D549" s="1029">
        <f t="shared" si="200"/>
        <v>0</v>
      </c>
      <c r="E549" s="1030">
        <f>IF(AND(ISNUMBER(System!$C17),System!AO17&lt;&gt;0),SIGN(System!AO17),0)</f>
        <v>0</v>
      </c>
      <c r="F549" s="1031">
        <f>IF(AND(ISNUMBER(System!$C17),E549&lt;&gt;0),System!BC135+$J$1*MIN($E$1,B549)*D549 -$H$1*$E$1*C549,PlotData!$CB$3)</f>
        <v>0</v>
      </c>
      <c r="G549" s="1032">
        <f>IF(AND(ISNUMBER(System!$C17),E549&lt;&gt;0),F549 - $E$1*C549,PlotData!$CB$3)</f>
        <v>0</v>
      </c>
      <c r="H549" s="1033">
        <f>IF(AND(ISNUMBER(System!$C17),E549&lt;&gt;0),IF(E549&gt;0,F549,G549)- E549*$N$1*$E$1*C549,PlotData!$CB$3)</f>
        <v>0</v>
      </c>
      <c r="I549" s="1033">
        <f>IF(AND(ISNUMBER(System!$C17),E549&lt;&gt;0),System!BE135-$J$1*MIN($E$1,B549)*C549 - $H$1*$E$1*D549,PlotData!$CB$4)</f>
        <v>0</v>
      </c>
      <c r="J549" s="1029">
        <f>IF(AND(ISNUMBER(System!$C17),E549&lt;&gt;0),I549- $E$1*D549,PlotData!$CB$4)</f>
        <v>0</v>
      </c>
      <c r="K549" s="1030">
        <f>IF(AND(ISNUMBER(System!$C17),E549&lt;&gt;0),IF(E549&gt;0,I549,J549)-E549* $N$1*$E$1*D549,PlotData!$CB$4)</f>
        <v>0</v>
      </c>
      <c r="L549" s="1034">
        <f>IF(AND(ISNUMBER(System!$C17),E549&lt;&gt;0),F549+(X549-F549)/3,PlotData!$CB$3)</f>
        <v>0</v>
      </c>
      <c r="M549" s="1033">
        <f>IF(AND(ISNUMBER(System!$C17),E549&lt;&gt;0),G549+(Y549-G549)/3,PlotData!$CB$3)</f>
        <v>0</v>
      </c>
      <c r="N549" s="1032">
        <f>IF(AND(ISNUMBER(System!$C17),E549&lt;&gt;0),IF(E549&gt;0,L549,M549)- E549*$N$1*$E$1*C549,PlotData!$CB$3)</f>
        <v>0</v>
      </c>
      <c r="O549" s="1033">
        <f>IF(AND(ISNUMBER(System!$C17),E549&lt;&gt;0),I549+(AA549-I549)/3,PlotData!$CB$4)</f>
        <v>0</v>
      </c>
      <c r="P549" s="1033">
        <f>IF(AND(ISNUMBER(System!$C17),E549&lt;&gt;0),J549+(AB549-J549)/3,PlotData!$CB$4)</f>
        <v>0</v>
      </c>
      <c r="Q549" s="1035">
        <f>IF(AND(ISNUMBER(System!$C17),E549&lt;&gt;0),IF(E549&gt;0,O549,P549) -E549 *$N$1*$E$1*D549,PlotData!$CB$4)</f>
        <v>0</v>
      </c>
      <c r="R549" s="1031">
        <f>IF(AND(ISNUMBER(System!$C17),E549&lt;&gt;0),F549+2*(X549-F549)/3,PlotData!$CB$3)</f>
        <v>0</v>
      </c>
      <c r="S549" s="1033">
        <f>IF(AND(ISNUMBER(System!$C17),E549&lt;&gt;0),G549+2*(Y549-G549)/3,PlotData!$CB$3)</f>
        <v>0</v>
      </c>
      <c r="T549" s="1032">
        <f>IF(AND(ISNUMBER(System!$C17),E549&lt;&gt;0),IF(E549&gt;0,R549,S549)- E549*$N$1*$E$1*C549,PlotData!$CB$3)</f>
        <v>0</v>
      </c>
      <c r="U549" s="1033">
        <f>IF(AND(ISNUMBER(System!$C17),E549&lt;&gt;0),I549+2*(AA549-I549)/3,PlotData!$CB$4)</f>
        <v>0</v>
      </c>
      <c r="V549" s="1033">
        <f>IF(AND(ISNUMBER(System!$C17),E549&lt;&gt;0),J549+2*(AB549-J549)/3,PlotData!$CB$4)</f>
        <v>0</v>
      </c>
      <c r="W549" s="1035">
        <f>IF(AND(ISNUMBER(System!$C17),E549&lt;&gt;0),IF(E549&gt;0,U549,V549) -E549*$N$1*$E$1*D549,PlotData!$CB$4)</f>
        <v>0</v>
      </c>
      <c r="X549" s="1031">
        <f>IF(AND(ISNUMBER(System!$C17),E549&lt;&gt;0),System!BD135-$J$1*MIN($E$1,B461)*D461 - $H$1*$E$1*C461,PlotData!$CB$3)</f>
        <v>0</v>
      </c>
      <c r="Y549" s="1033">
        <f>IF(AND(ISNUMBER(System!$C17),E549&lt;&gt;0),X549 - $E$1*C549,PlotData!$CB$3)</f>
        <v>0</v>
      </c>
      <c r="Z549" s="1032">
        <f>IF(AND(ISNUMBER(System!$C17),E549&lt;&gt;0),IF(E549&gt;0,X549,Y549)- E549*$N$1*$E$1*C549,PlotData!$CB$3)</f>
        <v>0</v>
      </c>
      <c r="AA549" s="1033">
        <f>IF(AND(ISNUMBER(System!$C17),E549&lt;&gt;0),System!BF135+$J$1*MIN($E$1,B549)*C549 - $H$1*$E$1*D549,PlotData!$CB$4)</f>
        <v>0</v>
      </c>
      <c r="AB549" s="1033">
        <f>IF(AND(ISNUMBER(System!$C17),E549&lt;&gt;0),AA549 - $E$1*D549,PlotData!$CB$4)</f>
        <v>0</v>
      </c>
      <c r="AC549" s="1035">
        <f>IF(AND(ISNUMBER(System!$C17),E549&lt;&gt;0),IF(E549&gt;0,AA549,AB549) -E549* $N$1*$E$1*D549,PlotData!$CB$4)</f>
        <v>0</v>
      </c>
      <c r="AD549" s="1036">
        <f>IF(AND(ISNUMBER(System!$C17),E549&lt;&gt;0),AF549-$AQ$539/4,PlotData!$CB$3)</f>
        <v>0</v>
      </c>
      <c r="AE549" s="1032">
        <f>IF(AND(ISNUMBER(System!$C17),E549&lt;&gt;0),AG549-$AQ$538,PlotData!$CB$4)</f>
        <v>0</v>
      </c>
      <c r="AF549" s="1031">
        <f>IF(AND(ISNUMBER(System!$C17),E549&lt;&gt;0),M549 +IF(C549=0,-1,1)*IF(D549=0,-4,1)*AQ$536+(S549-M549)/2,PlotData!$CB$3)</f>
        <v>0</v>
      </c>
      <c r="AG549" s="1035">
        <f>IF(AND(ISNUMBER(System!$C17),E549&lt;&gt;0),P549-IF(D549=0,0,1)*$AQ$537+(V549-P549)/2,PlotData!$CB$4)</f>
        <v>0</v>
      </c>
      <c r="AH549" s="1034">
        <f>IF(AND(ISNUMBER(System!$C17),E549&lt;&gt;0),AF549+$AQ$539/4,PlotData!$CB$3)</f>
        <v>0</v>
      </c>
      <c r="AI549" s="1035">
        <f>IF(AND(ISNUMBER(System!$C17),E549&lt;&gt;0),AE549,PlotData!$CB$4)</f>
        <v>0</v>
      </c>
      <c r="AJ549" s="1031">
        <f>IF(AND(ISNUMBER(System!$C17),E549&lt;&gt;0),AH549+$AQ$539/4,PlotData!$CB$3)</f>
        <v>0</v>
      </c>
      <c r="AK549" s="1035">
        <f t="shared" si="201"/>
        <v>0</v>
      </c>
      <c r="AL549" s="1031">
        <f>IF(AND(ISNUMBER(System!$C17),E549&lt;&gt;0),AJ549+$AQ$539/4,PlotData!$CB$3)</f>
        <v>0</v>
      </c>
      <c r="AM549" s="1035">
        <f t="shared" si="202"/>
        <v>0</v>
      </c>
    </row>
    <row r="550" spans="1:39" x14ac:dyDescent="0.25">
      <c r="A550" s="910">
        <v>15</v>
      </c>
      <c r="B550" s="1031">
        <f t="shared" si="200"/>
        <v>0</v>
      </c>
      <c r="C550" s="1033">
        <f t="shared" si="200"/>
        <v>0</v>
      </c>
      <c r="D550" s="1029">
        <f t="shared" si="200"/>
        <v>0</v>
      </c>
      <c r="E550" s="1030">
        <f>IF(AND(ISNUMBER(System!$C18),System!AO18&lt;&gt;0),SIGN(System!AO18),0)</f>
        <v>0</v>
      </c>
      <c r="F550" s="1031">
        <f>IF(AND(ISNUMBER(System!$C18),E550&lt;&gt;0),System!BC136+$J$1*MIN($E$1,B550)*D550 -$H$1*$E$1*C550,PlotData!$CB$3)</f>
        <v>0</v>
      </c>
      <c r="G550" s="1032">
        <f>IF(AND(ISNUMBER(System!$C18),E550&lt;&gt;0),F550 - $E$1*C550,PlotData!$CB$3)</f>
        <v>0</v>
      </c>
      <c r="H550" s="1033">
        <f>IF(AND(ISNUMBER(System!$C18),E550&lt;&gt;0),IF(E550&gt;0,F550,G550)- E550*$N$1*$E$1*C550,PlotData!$CB$3)</f>
        <v>0</v>
      </c>
      <c r="I550" s="1033">
        <f>IF(AND(ISNUMBER(System!$C18),E550&lt;&gt;0),System!BE136-$J$1*MIN($E$1,B550)*C550 - $H$1*$E$1*D550,PlotData!$CB$4)</f>
        <v>0</v>
      </c>
      <c r="J550" s="1029">
        <f>IF(AND(ISNUMBER(System!$C18),E550&lt;&gt;0),I550- $E$1*D550,PlotData!$CB$4)</f>
        <v>0</v>
      </c>
      <c r="K550" s="1030">
        <f>IF(AND(ISNUMBER(System!$C18),E550&lt;&gt;0),IF(E550&gt;0,I550,J550)-E550* $N$1*$E$1*D550,PlotData!$CB$4)</f>
        <v>0</v>
      </c>
      <c r="L550" s="1034">
        <f>IF(AND(ISNUMBER(System!$C18),E550&lt;&gt;0),F550+(X550-F550)/3,PlotData!$CB$3)</f>
        <v>0</v>
      </c>
      <c r="M550" s="1033">
        <f>IF(AND(ISNUMBER(System!$C18),E550&lt;&gt;0),G550+(Y550-G550)/3,PlotData!$CB$3)</f>
        <v>0</v>
      </c>
      <c r="N550" s="1032">
        <f>IF(AND(ISNUMBER(System!$C18),E550&lt;&gt;0),IF(E550&gt;0,L550,M550)- E550*$N$1*$E$1*C550,PlotData!$CB$3)</f>
        <v>0</v>
      </c>
      <c r="O550" s="1033">
        <f>IF(AND(ISNUMBER(System!$C18),E550&lt;&gt;0),I550+(AA550-I550)/3,PlotData!$CB$4)</f>
        <v>0</v>
      </c>
      <c r="P550" s="1033">
        <f>IF(AND(ISNUMBER(System!$C18),E550&lt;&gt;0),J550+(AB550-J550)/3,PlotData!$CB$4)</f>
        <v>0</v>
      </c>
      <c r="Q550" s="1035">
        <f>IF(AND(ISNUMBER(System!$C18),E550&lt;&gt;0),IF(E550&gt;0,O550,P550) -E550 *$N$1*$E$1*D550,PlotData!$CB$4)</f>
        <v>0</v>
      </c>
      <c r="R550" s="1031">
        <f>IF(AND(ISNUMBER(System!$C18),E550&lt;&gt;0),F550+2*(X550-F550)/3,PlotData!$CB$3)</f>
        <v>0</v>
      </c>
      <c r="S550" s="1033">
        <f>IF(AND(ISNUMBER(System!$C18),E550&lt;&gt;0),G550+2*(Y550-G550)/3,PlotData!$CB$3)</f>
        <v>0</v>
      </c>
      <c r="T550" s="1032">
        <f>IF(AND(ISNUMBER(System!$C18),E550&lt;&gt;0),IF(E550&gt;0,R550,S550)- E550*$N$1*$E$1*C550,PlotData!$CB$3)</f>
        <v>0</v>
      </c>
      <c r="U550" s="1033">
        <f>IF(AND(ISNUMBER(System!$C18),E550&lt;&gt;0),I550+2*(AA550-I550)/3,PlotData!$CB$4)</f>
        <v>0</v>
      </c>
      <c r="V550" s="1033">
        <f>IF(AND(ISNUMBER(System!$C18),E550&lt;&gt;0),J550+2*(AB550-J550)/3,PlotData!$CB$4)</f>
        <v>0</v>
      </c>
      <c r="W550" s="1035">
        <f>IF(AND(ISNUMBER(System!$C18),E550&lt;&gt;0),IF(E550&gt;0,U550,V550) -E550*$N$1*$E$1*D550,PlotData!$CB$4)</f>
        <v>0</v>
      </c>
      <c r="X550" s="1031">
        <f>IF(AND(ISNUMBER(System!$C18),E550&lt;&gt;0),System!BD136-$J$1*MIN($E$1,B462)*D462 - $H$1*$E$1*C462,PlotData!$CB$3)</f>
        <v>0</v>
      </c>
      <c r="Y550" s="1033">
        <f>IF(AND(ISNUMBER(System!$C18),E550&lt;&gt;0),X550 - $E$1*C550,PlotData!$CB$3)</f>
        <v>0</v>
      </c>
      <c r="Z550" s="1032">
        <f>IF(AND(ISNUMBER(System!$C18),E550&lt;&gt;0),IF(E550&gt;0,X550,Y550)- E550*$N$1*$E$1*C550,PlotData!$CB$3)</f>
        <v>0</v>
      </c>
      <c r="AA550" s="1033">
        <f>IF(AND(ISNUMBER(System!$C18),E550&lt;&gt;0),System!BF136+$J$1*MIN($E$1,B550)*C550 - $H$1*$E$1*D550,PlotData!$CB$4)</f>
        <v>0</v>
      </c>
      <c r="AB550" s="1033">
        <f>IF(AND(ISNUMBER(System!$C18),E550&lt;&gt;0),AA550 - $E$1*D550,PlotData!$CB$4)</f>
        <v>0</v>
      </c>
      <c r="AC550" s="1035">
        <f>IF(AND(ISNUMBER(System!$C18),E550&lt;&gt;0),IF(E550&gt;0,AA550,AB550) -E550* $N$1*$E$1*D550,PlotData!$CB$4)</f>
        <v>0</v>
      </c>
      <c r="AD550" s="1036">
        <f>IF(AND(ISNUMBER(System!$C18),E550&lt;&gt;0),AF550-$AQ$539/4,PlotData!$CB$3)</f>
        <v>0</v>
      </c>
      <c r="AE550" s="1032">
        <f>IF(AND(ISNUMBER(System!$C18),E550&lt;&gt;0),AG550-$AQ$538,PlotData!$CB$4)</f>
        <v>0</v>
      </c>
      <c r="AF550" s="1031">
        <f>IF(AND(ISNUMBER(System!$C18),E550&lt;&gt;0),M550 +IF(C550=0,-1,1)*IF(D550=0,-4,1)*AQ$536+(S550-M550)/2,PlotData!$CB$3)</f>
        <v>0</v>
      </c>
      <c r="AG550" s="1035">
        <f>IF(AND(ISNUMBER(System!$C18),E550&lt;&gt;0),P550-IF(D550=0,0,1)*$AQ$537+(V550-P550)/2,PlotData!$CB$4)</f>
        <v>0</v>
      </c>
      <c r="AH550" s="1034">
        <f>IF(AND(ISNUMBER(System!$C18),E550&lt;&gt;0),AF550+$AQ$539/4,PlotData!$CB$3)</f>
        <v>0</v>
      </c>
      <c r="AI550" s="1035">
        <f>IF(AND(ISNUMBER(System!$C18),E550&lt;&gt;0),AE550,PlotData!$CB$4)</f>
        <v>0</v>
      </c>
      <c r="AJ550" s="1031">
        <f>IF(AND(ISNUMBER(System!$C18),E550&lt;&gt;0),AH550+$AQ$539/4,PlotData!$CB$3)</f>
        <v>0</v>
      </c>
      <c r="AK550" s="1035">
        <f t="shared" si="201"/>
        <v>0</v>
      </c>
      <c r="AL550" s="1031">
        <f>IF(AND(ISNUMBER(System!$C18),E550&lt;&gt;0),AJ550+$AQ$539/4,PlotData!$CB$3)</f>
        <v>0</v>
      </c>
      <c r="AM550" s="1035">
        <f t="shared" si="202"/>
        <v>0</v>
      </c>
    </row>
    <row r="551" spans="1:39" x14ac:dyDescent="0.25">
      <c r="A551" s="910">
        <v>16</v>
      </c>
      <c r="B551" s="1031">
        <f t="shared" si="200"/>
        <v>0</v>
      </c>
      <c r="C551" s="1033">
        <f t="shared" si="200"/>
        <v>0</v>
      </c>
      <c r="D551" s="1029">
        <f t="shared" si="200"/>
        <v>0</v>
      </c>
      <c r="E551" s="1030">
        <f>IF(AND(ISNUMBER(System!$C19),System!AO19&lt;&gt;0),SIGN(System!AO19),0)</f>
        <v>0</v>
      </c>
      <c r="F551" s="1031">
        <f>IF(AND(ISNUMBER(System!$C19),E551&lt;&gt;0),System!BC137+$J$1*MIN($E$1,B551)*D551 -$H$1*$E$1*C551,PlotData!$CB$3)</f>
        <v>0</v>
      </c>
      <c r="G551" s="1032">
        <f>IF(AND(ISNUMBER(System!$C19),E551&lt;&gt;0),F551 - $E$1*C551,PlotData!$CB$3)</f>
        <v>0</v>
      </c>
      <c r="H551" s="1033">
        <f>IF(AND(ISNUMBER(System!$C19),E551&lt;&gt;0),IF(E551&gt;0,F551,G551)- E551*$N$1*$E$1*C551,PlotData!$CB$3)</f>
        <v>0</v>
      </c>
      <c r="I551" s="1033">
        <f>IF(AND(ISNUMBER(System!$C19),E551&lt;&gt;0),System!BE137-$J$1*MIN($E$1,B551)*C551 - $H$1*$E$1*D551,PlotData!$CB$4)</f>
        <v>0</v>
      </c>
      <c r="J551" s="1029">
        <f>IF(AND(ISNUMBER(System!$C19),E551&lt;&gt;0),I551- $E$1*D551,PlotData!$CB$4)</f>
        <v>0</v>
      </c>
      <c r="K551" s="1030">
        <f>IF(AND(ISNUMBER(System!$C19),E551&lt;&gt;0),IF(E551&gt;0,I551,J551)-E551* $N$1*$E$1*D551,PlotData!$CB$4)</f>
        <v>0</v>
      </c>
      <c r="L551" s="1034">
        <f>IF(AND(ISNUMBER(System!$C19),E551&lt;&gt;0),F551+(X551-F551)/3,PlotData!$CB$3)</f>
        <v>0</v>
      </c>
      <c r="M551" s="1033">
        <f>IF(AND(ISNUMBER(System!$C19),E551&lt;&gt;0),G551+(Y551-G551)/3,PlotData!$CB$3)</f>
        <v>0</v>
      </c>
      <c r="N551" s="1032">
        <f>IF(AND(ISNUMBER(System!$C19),E551&lt;&gt;0),IF(E551&gt;0,L551,M551)- E551*$N$1*$E$1*C551,PlotData!$CB$3)</f>
        <v>0</v>
      </c>
      <c r="O551" s="1033">
        <f>IF(AND(ISNUMBER(System!$C19),E551&lt;&gt;0),I551+(AA551-I551)/3,PlotData!$CB$4)</f>
        <v>0</v>
      </c>
      <c r="P551" s="1033">
        <f>IF(AND(ISNUMBER(System!$C19),E551&lt;&gt;0),J551+(AB551-J551)/3,PlotData!$CB$4)</f>
        <v>0</v>
      </c>
      <c r="Q551" s="1035">
        <f>IF(AND(ISNUMBER(System!$C19),E551&lt;&gt;0),IF(E551&gt;0,O551,P551) -E551 *$N$1*$E$1*D551,PlotData!$CB$4)</f>
        <v>0</v>
      </c>
      <c r="R551" s="1031">
        <f>IF(AND(ISNUMBER(System!$C19),E551&lt;&gt;0),F551+2*(X551-F551)/3,PlotData!$CB$3)</f>
        <v>0</v>
      </c>
      <c r="S551" s="1033">
        <f>IF(AND(ISNUMBER(System!$C19),E551&lt;&gt;0),G551+2*(Y551-G551)/3,PlotData!$CB$3)</f>
        <v>0</v>
      </c>
      <c r="T551" s="1032">
        <f>IF(AND(ISNUMBER(System!$C19),E551&lt;&gt;0),IF(E551&gt;0,R551,S551)- E551*$N$1*$E$1*C551,PlotData!$CB$3)</f>
        <v>0</v>
      </c>
      <c r="U551" s="1033">
        <f>IF(AND(ISNUMBER(System!$C19),E551&lt;&gt;0),I551+2*(AA551-I551)/3,PlotData!$CB$4)</f>
        <v>0</v>
      </c>
      <c r="V551" s="1033">
        <f>IF(AND(ISNUMBER(System!$C19),E551&lt;&gt;0),J551+2*(AB551-J551)/3,PlotData!$CB$4)</f>
        <v>0</v>
      </c>
      <c r="W551" s="1035">
        <f>IF(AND(ISNUMBER(System!$C19),E551&lt;&gt;0),IF(E551&gt;0,U551,V551) -E551*$N$1*$E$1*D551,PlotData!$CB$4)</f>
        <v>0</v>
      </c>
      <c r="X551" s="1031">
        <f>IF(AND(ISNUMBER(System!$C19),E551&lt;&gt;0),System!BD137-$J$1*MIN($E$1,B463)*D463 - $H$1*$E$1*C463,PlotData!$CB$3)</f>
        <v>0</v>
      </c>
      <c r="Y551" s="1033">
        <f>IF(AND(ISNUMBER(System!$C19),E551&lt;&gt;0),X551 - $E$1*C551,PlotData!$CB$3)</f>
        <v>0</v>
      </c>
      <c r="Z551" s="1032">
        <f>IF(AND(ISNUMBER(System!$C19),E551&lt;&gt;0),IF(E551&gt;0,X551,Y551)- E551*$N$1*$E$1*C551,PlotData!$CB$3)</f>
        <v>0</v>
      </c>
      <c r="AA551" s="1033">
        <f>IF(AND(ISNUMBER(System!$C19),E551&lt;&gt;0),System!BF137+$J$1*MIN($E$1,B551)*C551 - $H$1*$E$1*D551,PlotData!$CB$4)</f>
        <v>0</v>
      </c>
      <c r="AB551" s="1033">
        <f>IF(AND(ISNUMBER(System!$C19),E551&lt;&gt;0),AA551 - $E$1*D551,PlotData!$CB$4)</f>
        <v>0</v>
      </c>
      <c r="AC551" s="1035">
        <f>IF(AND(ISNUMBER(System!$C19),E551&lt;&gt;0),IF(E551&gt;0,AA551,AB551) -E551* $N$1*$E$1*D551,PlotData!$CB$4)</f>
        <v>0</v>
      </c>
      <c r="AD551" s="1036">
        <f>IF(AND(ISNUMBER(System!$C19),E551&lt;&gt;0),AF551-$AQ$539/4,PlotData!$CB$3)</f>
        <v>0</v>
      </c>
      <c r="AE551" s="1032">
        <f>IF(AND(ISNUMBER(System!$C19),E551&lt;&gt;0),AG551-$AQ$538,PlotData!$CB$4)</f>
        <v>0</v>
      </c>
      <c r="AF551" s="1031">
        <f>IF(AND(ISNUMBER(System!$C19),E551&lt;&gt;0),M551 +IF(C551=0,-1,1)*IF(D551=0,-4,1)*AQ$536+(S551-M551)/2,PlotData!$CB$3)</f>
        <v>0</v>
      </c>
      <c r="AG551" s="1035">
        <f>IF(AND(ISNUMBER(System!$C19),E551&lt;&gt;0),P551-IF(D551=0,0,1)*$AQ$537+(V551-P551)/2,PlotData!$CB$4)</f>
        <v>0</v>
      </c>
      <c r="AH551" s="1034">
        <f>IF(AND(ISNUMBER(System!$C19),E551&lt;&gt;0),AF551+$AQ$539/4,PlotData!$CB$3)</f>
        <v>0</v>
      </c>
      <c r="AI551" s="1035">
        <f>IF(AND(ISNUMBER(System!$C19),E551&lt;&gt;0),AE551,PlotData!$CB$4)</f>
        <v>0</v>
      </c>
      <c r="AJ551" s="1031">
        <f>IF(AND(ISNUMBER(System!$C19),E551&lt;&gt;0),AH551+$AQ$539/4,PlotData!$CB$3)</f>
        <v>0</v>
      </c>
      <c r="AK551" s="1035">
        <f t="shared" si="201"/>
        <v>0</v>
      </c>
      <c r="AL551" s="1031">
        <f>IF(AND(ISNUMBER(System!$C19),E551&lt;&gt;0),AJ551+$AQ$539/4,PlotData!$CB$3)</f>
        <v>0</v>
      </c>
      <c r="AM551" s="1035">
        <f t="shared" si="202"/>
        <v>0</v>
      </c>
    </row>
    <row r="552" spans="1:39" x14ac:dyDescent="0.25">
      <c r="A552" s="910">
        <v>17</v>
      </c>
      <c r="B552" s="1031">
        <f t="shared" si="200"/>
        <v>0</v>
      </c>
      <c r="C552" s="1033">
        <f t="shared" si="200"/>
        <v>0</v>
      </c>
      <c r="D552" s="1029">
        <f t="shared" si="200"/>
        <v>0</v>
      </c>
      <c r="E552" s="1030">
        <f>IF(AND(ISNUMBER(System!$C20),System!AO20&lt;&gt;0),SIGN(System!AO20),0)</f>
        <v>0</v>
      </c>
      <c r="F552" s="1031">
        <f>IF(AND(ISNUMBER(System!$C20),E552&lt;&gt;0),System!BC138+$J$1*MIN($E$1,B552)*D552 -$H$1*$E$1*C552,PlotData!$CB$3)</f>
        <v>0</v>
      </c>
      <c r="G552" s="1032">
        <f>IF(AND(ISNUMBER(System!$C20),E552&lt;&gt;0),F552 - $E$1*C552,PlotData!$CB$3)</f>
        <v>0</v>
      </c>
      <c r="H552" s="1033">
        <f>IF(AND(ISNUMBER(System!$C20),E552&lt;&gt;0),IF(E552&gt;0,F552,G552)- E552*$N$1*$E$1*C552,PlotData!$CB$3)</f>
        <v>0</v>
      </c>
      <c r="I552" s="1033">
        <f>IF(AND(ISNUMBER(System!$C20),E552&lt;&gt;0),System!BE138-$J$1*MIN($E$1,B552)*C552 - $H$1*$E$1*D552,PlotData!$CB$4)</f>
        <v>0</v>
      </c>
      <c r="J552" s="1029">
        <f>IF(AND(ISNUMBER(System!$C20),E552&lt;&gt;0),I552- $E$1*D552,PlotData!$CB$4)</f>
        <v>0</v>
      </c>
      <c r="K552" s="1030">
        <f>IF(AND(ISNUMBER(System!$C20),E552&lt;&gt;0),IF(E552&gt;0,I552,J552)-E552* $N$1*$E$1*D552,PlotData!$CB$4)</f>
        <v>0</v>
      </c>
      <c r="L552" s="1034">
        <f>IF(AND(ISNUMBER(System!$C20),E552&lt;&gt;0),F552+(X552-F552)/3,PlotData!$CB$3)</f>
        <v>0</v>
      </c>
      <c r="M552" s="1033">
        <f>IF(AND(ISNUMBER(System!$C20),E552&lt;&gt;0),G552+(Y552-G552)/3,PlotData!$CB$3)</f>
        <v>0</v>
      </c>
      <c r="N552" s="1032">
        <f>IF(AND(ISNUMBER(System!$C20),E552&lt;&gt;0),IF(E552&gt;0,L552,M552)- E552*$N$1*$E$1*C552,PlotData!$CB$3)</f>
        <v>0</v>
      </c>
      <c r="O552" s="1033">
        <f>IF(AND(ISNUMBER(System!$C20),E552&lt;&gt;0),I552+(AA552-I552)/3,PlotData!$CB$4)</f>
        <v>0</v>
      </c>
      <c r="P552" s="1033">
        <f>IF(AND(ISNUMBER(System!$C20),E552&lt;&gt;0),J552+(AB552-J552)/3,PlotData!$CB$4)</f>
        <v>0</v>
      </c>
      <c r="Q552" s="1035">
        <f>IF(AND(ISNUMBER(System!$C20),E552&lt;&gt;0),IF(E552&gt;0,O552,P552) -E552 *$N$1*$E$1*D552,PlotData!$CB$4)</f>
        <v>0</v>
      </c>
      <c r="R552" s="1031">
        <f>IF(AND(ISNUMBER(System!$C20),E552&lt;&gt;0),F552+2*(X552-F552)/3,PlotData!$CB$3)</f>
        <v>0</v>
      </c>
      <c r="S552" s="1033">
        <f>IF(AND(ISNUMBER(System!$C20),E552&lt;&gt;0),G552+2*(Y552-G552)/3,PlotData!$CB$3)</f>
        <v>0</v>
      </c>
      <c r="T552" s="1032">
        <f>IF(AND(ISNUMBER(System!$C20),E552&lt;&gt;0),IF(E552&gt;0,R552,S552)- E552*$N$1*$E$1*C552,PlotData!$CB$3)</f>
        <v>0</v>
      </c>
      <c r="U552" s="1033">
        <f>IF(AND(ISNUMBER(System!$C20),E552&lt;&gt;0),I552+2*(AA552-I552)/3,PlotData!$CB$4)</f>
        <v>0</v>
      </c>
      <c r="V552" s="1033">
        <f>IF(AND(ISNUMBER(System!$C20),E552&lt;&gt;0),J552+2*(AB552-J552)/3,PlotData!$CB$4)</f>
        <v>0</v>
      </c>
      <c r="W552" s="1035">
        <f>IF(AND(ISNUMBER(System!$C20),E552&lt;&gt;0),IF(E552&gt;0,U552,V552) -E552*$N$1*$E$1*D552,PlotData!$CB$4)</f>
        <v>0</v>
      </c>
      <c r="X552" s="1031">
        <f>IF(AND(ISNUMBER(System!$C20),E552&lt;&gt;0),System!BD138-$J$1*MIN($E$1,B464)*D464 - $H$1*$E$1*C464,PlotData!$CB$3)</f>
        <v>0</v>
      </c>
      <c r="Y552" s="1033">
        <f>IF(AND(ISNUMBER(System!$C20),E552&lt;&gt;0),X552 - $E$1*C552,PlotData!$CB$3)</f>
        <v>0</v>
      </c>
      <c r="Z552" s="1032">
        <f>IF(AND(ISNUMBER(System!$C20),E552&lt;&gt;0),IF(E552&gt;0,X552,Y552)- E552*$N$1*$E$1*C552,PlotData!$CB$3)</f>
        <v>0</v>
      </c>
      <c r="AA552" s="1033">
        <f>IF(AND(ISNUMBER(System!$C20),E552&lt;&gt;0),System!BF138+$J$1*MIN($E$1,B552)*C552 - $H$1*$E$1*D552,PlotData!$CB$4)</f>
        <v>0</v>
      </c>
      <c r="AB552" s="1033">
        <f>IF(AND(ISNUMBER(System!$C20),E552&lt;&gt;0),AA552 - $E$1*D552,PlotData!$CB$4)</f>
        <v>0</v>
      </c>
      <c r="AC552" s="1035">
        <f>IF(AND(ISNUMBER(System!$C20),E552&lt;&gt;0),IF(E552&gt;0,AA552,AB552) -E552* $N$1*$E$1*D552,PlotData!$CB$4)</f>
        <v>0</v>
      </c>
      <c r="AD552" s="1036">
        <f>IF(AND(ISNUMBER(System!$C20),E552&lt;&gt;0),AF552-$AQ$539/4,PlotData!$CB$3)</f>
        <v>0</v>
      </c>
      <c r="AE552" s="1032">
        <f>IF(AND(ISNUMBER(System!$C20),E552&lt;&gt;0),AG552-$AQ$538,PlotData!$CB$4)</f>
        <v>0</v>
      </c>
      <c r="AF552" s="1031">
        <f>IF(AND(ISNUMBER(System!$C20),E552&lt;&gt;0),M552 +IF(C552=0,-1,1)*IF(D552=0,-4,1)*AQ$536+(S552-M552)/2,PlotData!$CB$3)</f>
        <v>0</v>
      </c>
      <c r="AG552" s="1035">
        <f>IF(AND(ISNUMBER(System!$C20),E552&lt;&gt;0),P552-IF(D552=0,0,1)*$AQ$537+(V552-P552)/2,PlotData!$CB$4)</f>
        <v>0</v>
      </c>
      <c r="AH552" s="1034">
        <f>IF(AND(ISNUMBER(System!$C20),E552&lt;&gt;0),AF552+$AQ$539/4,PlotData!$CB$3)</f>
        <v>0</v>
      </c>
      <c r="AI552" s="1035">
        <f>IF(AND(ISNUMBER(System!$C20),E552&lt;&gt;0),AE552,PlotData!$CB$4)</f>
        <v>0</v>
      </c>
      <c r="AJ552" s="1031">
        <f>IF(AND(ISNUMBER(System!$C20),E552&lt;&gt;0),AH552+$AQ$539/4,PlotData!$CB$3)</f>
        <v>0</v>
      </c>
      <c r="AK552" s="1035">
        <f t="shared" si="201"/>
        <v>0</v>
      </c>
      <c r="AL552" s="1031">
        <f>IF(AND(ISNUMBER(System!$C20),E552&lt;&gt;0),AJ552+$AQ$539/4,PlotData!$CB$3)</f>
        <v>0</v>
      </c>
      <c r="AM552" s="1035">
        <f t="shared" si="202"/>
        <v>0</v>
      </c>
    </row>
    <row r="553" spans="1:39" x14ac:dyDescent="0.25">
      <c r="A553" s="910">
        <v>18</v>
      </c>
      <c r="B553" s="1031">
        <f t="shared" si="200"/>
        <v>0</v>
      </c>
      <c r="C553" s="1033">
        <f t="shared" si="200"/>
        <v>0</v>
      </c>
      <c r="D553" s="1029">
        <f t="shared" si="200"/>
        <v>0</v>
      </c>
      <c r="E553" s="1030">
        <f>IF(AND(ISNUMBER(System!$C21),System!AO21&lt;&gt;0),SIGN(System!AO21),0)</f>
        <v>0</v>
      </c>
      <c r="F553" s="1031">
        <f>IF(AND(ISNUMBER(System!$C21),E553&lt;&gt;0),System!BC139+$J$1*MIN($E$1,B553)*D553 -$H$1*$E$1*C553,PlotData!$CB$3)</f>
        <v>0</v>
      </c>
      <c r="G553" s="1032">
        <f>IF(AND(ISNUMBER(System!$C21),E553&lt;&gt;0),F553 - $E$1*C553,PlotData!$CB$3)</f>
        <v>0</v>
      </c>
      <c r="H553" s="1033">
        <f>IF(AND(ISNUMBER(System!$C21),E553&lt;&gt;0),IF(E553&gt;0,F553,G553)- E553*$N$1*$E$1*C553,PlotData!$CB$3)</f>
        <v>0</v>
      </c>
      <c r="I553" s="1033">
        <f>IF(AND(ISNUMBER(System!$C21),E553&lt;&gt;0),System!BE139-$J$1*MIN($E$1,B553)*C553 - $H$1*$E$1*D553,PlotData!$CB$4)</f>
        <v>0</v>
      </c>
      <c r="J553" s="1029">
        <f>IF(AND(ISNUMBER(System!$C21),E553&lt;&gt;0),I553- $E$1*D553,PlotData!$CB$4)</f>
        <v>0</v>
      </c>
      <c r="K553" s="1030">
        <f>IF(AND(ISNUMBER(System!$C21),E553&lt;&gt;0),IF(E553&gt;0,I553,J553)-E553* $N$1*$E$1*D553,PlotData!$CB$4)</f>
        <v>0</v>
      </c>
      <c r="L553" s="1034">
        <f>IF(AND(ISNUMBER(System!$C21),E553&lt;&gt;0),F553+(X553-F553)/3,PlotData!$CB$3)</f>
        <v>0</v>
      </c>
      <c r="M553" s="1033">
        <f>IF(AND(ISNUMBER(System!$C21),E553&lt;&gt;0),G553+(Y553-G553)/3,PlotData!$CB$3)</f>
        <v>0</v>
      </c>
      <c r="N553" s="1032">
        <f>IF(AND(ISNUMBER(System!$C21),E553&lt;&gt;0),IF(E553&gt;0,L553,M553)- E553*$N$1*$E$1*C553,PlotData!$CB$3)</f>
        <v>0</v>
      </c>
      <c r="O553" s="1033">
        <f>IF(AND(ISNUMBER(System!$C21),E553&lt;&gt;0),I553+(AA553-I553)/3,PlotData!$CB$4)</f>
        <v>0</v>
      </c>
      <c r="P553" s="1033">
        <f>IF(AND(ISNUMBER(System!$C21),E553&lt;&gt;0),J553+(AB553-J553)/3,PlotData!$CB$4)</f>
        <v>0</v>
      </c>
      <c r="Q553" s="1035">
        <f>IF(AND(ISNUMBER(System!$C21),E553&lt;&gt;0),IF(E553&gt;0,O553,P553) -E553 *$N$1*$E$1*D553,PlotData!$CB$4)</f>
        <v>0</v>
      </c>
      <c r="R553" s="1031">
        <f>IF(AND(ISNUMBER(System!$C21),E553&lt;&gt;0),F553+2*(X553-F553)/3,PlotData!$CB$3)</f>
        <v>0</v>
      </c>
      <c r="S553" s="1033">
        <f>IF(AND(ISNUMBER(System!$C21),E553&lt;&gt;0),G553+2*(Y553-G553)/3,PlotData!$CB$3)</f>
        <v>0</v>
      </c>
      <c r="T553" s="1032">
        <f>IF(AND(ISNUMBER(System!$C21),E553&lt;&gt;0),IF(E553&gt;0,R553,S553)- E553*$N$1*$E$1*C553,PlotData!$CB$3)</f>
        <v>0</v>
      </c>
      <c r="U553" s="1033">
        <f>IF(AND(ISNUMBER(System!$C21),E553&lt;&gt;0),I553+2*(AA553-I553)/3,PlotData!$CB$4)</f>
        <v>0</v>
      </c>
      <c r="V553" s="1033">
        <f>IF(AND(ISNUMBER(System!$C21),E553&lt;&gt;0),J553+2*(AB553-J553)/3,PlotData!$CB$4)</f>
        <v>0</v>
      </c>
      <c r="W553" s="1035">
        <f>IF(AND(ISNUMBER(System!$C21),E553&lt;&gt;0),IF(E553&gt;0,U553,V553) -E553*$N$1*$E$1*D553,PlotData!$CB$4)</f>
        <v>0</v>
      </c>
      <c r="X553" s="1031">
        <f>IF(AND(ISNUMBER(System!$C21),E553&lt;&gt;0),System!BD139-$J$1*MIN($E$1,B465)*D465 - $H$1*$E$1*C465,PlotData!$CB$3)</f>
        <v>0</v>
      </c>
      <c r="Y553" s="1033">
        <f>IF(AND(ISNUMBER(System!$C21),E553&lt;&gt;0),X553 - $E$1*C553,PlotData!$CB$3)</f>
        <v>0</v>
      </c>
      <c r="Z553" s="1032">
        <f>IF(AND(ISNUMBER(System!$C21),E553&lt;&gt;0),IF(E553&gt;0,X553,Y553)- E553*$N$1*$E$1*C553,PlotData!$CB$3)</f>
        <v>0</v>
      </c>
      <c r="AA553" s="1033">
        <f>IF(AND(ISNUMBER(System!$C21),E553&lt;&gt;0),System!BF139+$J$1*MIN($E$1,B553)*C553 - $H$1*$E$1*D553,PlotData!$CB$4)</f>
        <v>0</v>
      </c>
      <c r="AB553" s="1033">
        <f>IF(AND(ISNUMBER(System!$C21),E553&lt;&gt;0),AA553 - $E$1*D553,PlotData!$CB$4)</f>
        <v>0</v>
      </c>
      <c r="AC553" s="1035">
        <f>IF(AND(ISNUMBER(System!$C21),E553&lt;&gt;0),IF(E553&gt;0,AA553,AB553) -E553* $N$1*$E$1*D553,PlotData!$CB$4)</f>
        <v>0</v>
      </c>
      <c r="AD553" s="1036">
        <f>IF(AND(ISNUMBER(System!$C21),E553&lt;&gt;0),AF553-$AQ$539/4,PlotData!$CB$3)</f>
        <v>0</v>
      </c>
      <c r="AE553" s="1032">
        <f>IF(AND(ISNUMBER(System!$C21),E553&lt;&gt;0),AG553-$AQ$538,PlotData!$CB$4)</f>
        <v>0</v>
      </c>
      <c r="AF553" s="1031">
        <f>IF(AND(ISNUMBER(System!$C21),E553&lt;&gt;0),M553 +IF(C553=0,-1,1)*IF(D553=0,-4,1)*AQ$536+(S553-M553)/2,PlotData!$CB$3)</f>
        <v>0</v>
      </c>
      <c r="AG553" s="1035">
        <f>IF(AND(ISNUMBER(System!$C21),E553&lt;&gt;0),P553-IF(D553=0,0,1)*$AQ$537+(V553-P553)/2,PlotData!$CB$4)</f>
        <v>0</v>
      </c>
      <c r="AH553" s="1034">
        <f>IF(AND(ISNUMBER(System!$C21),E553&lt;&gt;0),AF553+$AQ$539/4,PlotData!$CB$3)</f>
        <v>0</v>
      </c>
      <c r="AI553" s="1035">
        <f>IF(AND(ISNUMBER(System!$C21),E553&lt;&gt;0),AE553,PlotData!$CB$4)</f>
        <v>0</v>
      </c>
      <c r="AJ553" s="1031">
        <f>IF(AND(ISNUMBER(System!$C21),E553&lt;&gt;0),AH553+$AQ$539/4,PlotData!$CB$3)</f>
        <v>0</v>
      </c>
      <c r="AK553" s="1035">
        <f t="shared" si="201"/>
        <v>0</v>
      </c>
      <c r="AL553" s="1031">
        <f>IF(AND(ISNUMBER(System!$C21),E553&lt;&gt;0),AJ553+$AQ$539/4,PlotData!$CB$3)</f>
        <v>0</v>
      </c>
      <c r="AM553" s="1035">
        <f t="shared" si="202"/>
        <v>0</v>
      </c>
    </row>
    <row r="554" spans="1:39" x14ac:dyDescent="0.25">
      <c r="A554" s="910">
        <v>19</v>
      </c>
      <c r="B554" s="1031">
        <f t="shared" si="200"/>
        <v>0</v>
      </c>
      <c r="C554" s="1033">
        <f t="shared" si="200"/>
        <v>0</v>
      </c>
      <c r="D554" s="1029">
        <f t="shared" si="200"/>
        <v>0</v>
      </c>
      <c r="E554" s="1030">
        <f>IF(AND(ISNUMBER(System!$C22),System!AO22&lt;&gt;0),SIGN(System!AO22),0)</f>
        <v>0</v>
      </c>
      <c r="F554" s="1031">
        <f>IF(AND(ISNUMBER(System!$C22),E554&lt;&gt;0),System!BC140+$J$1*MIN($E$1,B554)*D554 -$H$1*$E$1*C554,PlotData!$CB$3)</f>
        <v>0</v>
      </c>
      <c r="G554" s="1032">
        <f>IF(AND(ISNUMBER(System!$C22),E554&lt;&gt;0),F554 - $E$1*C554,PlotData!$CB$3)</f>
        <v>0</v>
      </c>
      <c r="H554" s="1033">
        <f>IF(AND(ISNUMBER(System!$C22),E554&lt;&gt;0),IF(E554&gt;0,F554,G554)- E554*$N$1*$E$1*C554,PlotData!$CB$3)</f>
        <v>0</v>
      </c>
      <c r="I554" s="1033">
        <f>IF(AND(ISNUMBER(System!$C22),E554&lt;&gt;0),System!BE140-$J$1*MIN($E$1,B554)*C554 - $H$1*$E$1*D554,PlotData!$CB$4)</f>
        <v>0</v>
      </c>
      <c r="J554" s="1029">
        <f>IF(AND(ISNUMBER(System!$C22),E554&lt;&gt;0),I554- $E$1*D554,PlotData!$CB$4)</f>
        <v>0</v>
      </c>
      <c r="K554" s="1030">
        <f>IF(AND(ISNUMBER(System!$C22),E554&lt;&gt;0),IF(E554&gt;0,I554,J554)-E554* $N$1*$E$1*D554,PlotData!$CB$4)</f>
        <v>0</v>
      </c>
      <c r="L554" s="1034">
        <f>IF(AND(ISNUMBER(System!$C22),E554&lt;&gt;0),F554+(X554-F554)/3,PlotData!$CB$3)</f>
        <v>0</v>
      </c>
      <c r="M554" s="1033">
        <f>IF(AND(ISNUMBER(System!$C22),E554&lt;&gt;0),G554+(Y554-G554)/3,PlotData!$CB$3)</f>
        <v>0</v>
      </c>
      <c r="N554" s="1032">
        <f>IF(AND(ISNUMBER(System!$C22),E554&lt;&gt;0),IF(E554&gt;0,L554,M554)- E554*$N$1*$E$1*C554,PlotData!$CB$3)</f>
        <v>0</v>
      </c>
      <c r="O554" s="1033">
        <f>IF(AND(ISNUMBER(System!$C22),E554&lt;&gt;0),I554+(AA554-I554)/3,PlotData!$CB$4)</f>
        <v>0</v>
      </c>
      <c r="P554" s="1033">
        <f>IF(AND(ISNUMBER(System!$C22),E554&lt;&gt;0),J554+(AB554-J554)/3,PlotData!$CB$4)</f>
        <v>0</v>
      </c>
      <c r="Q554" s="1035">
        <f>IF(AND(ISNUMBER(System!$C22),E554&lt;&gt;0),IF(E554&gt;0,O554,P554) -E554 *$N$1*$E$1*D554,PlotData!$CB$4)</f>
        <v>0</v>
      </c>
      <c r="R554" s="1031">
        <f>IF(AND(ISNUMBER(System!$C22),E554&lt;&gt;0),F554+2*(X554-F554)/3,PlotData!$CB$3)</f>
        <v>0</v>
      </c>
      <c r="S554" s="1033">
        <f>IF(AND(ISNUMBER(System!$C22),E554&lt;&gt;0),G554+2*(Y554-G554)/3,PlotData!$CB$3)</f>
        <v>0</v>
      </c>
      <c r="T554" s="1032">
        <f>IF(AND(ISNUMBER(System!$C22),E554&lt;&gt;0),IF(E554&gt;0,R554,S554)- E554*$N$1*$E$1*C554,PlotData!$CB$3)</f>
        <v>0</v>
      </c>
      <c r="U554" s="1033">
        <f>IF(AND(ISNUMBER(System!$C22),E554&lt;&gt;0),I554+2*(AA554-I554)/3,PlotData!$CB$4)</f>
        <v>0</v>
      </c>
      <c r="V554" s="1033">
        <f>IF(AND(ISNUMBER(System!$C22),E554&lt;&gt;0),J554+2*(AB554-J554)/3,PlotData!$CB$4)</f>
        <v>0</v>
      </c>
      <c r="W554" s="1035">
        <f>IF(AND(ISNUMBER(System!$C22),E554&lt;&gt;0),IF(E554&gt;0,U554,V554) -E554*$N$1*$E$1*D554,PlotData!$CB$4)</f>
        <v>0</v>
      </c>
      <c r="X554" s="1031">
        <f>IF(AND(ISNUMBER(System!$C22),E554&lt;&gt;0),System!BD140-$J$1*MIN($E$1,B466)*D466 - $H$1*$E$1*C466,PlotData!$CB$3)</f>
        <v>0</v>
      </c>
      <c r="Y554" s="1033">
        <f>IF(AND(ISNUMBER(System!$C22),E554&lt;&gt;0),X554 - $E$1*C554,PlotData!$CB$3)</f>
        <v>0</v>
      </c>
      <c r="Z554" s="1032">
        <f>IF(AND(ISNUMBER(System!$C22),E554&lt;&gt;0),IF(E554&gt;0,X554,Y554)- E554*$N$1*$E$1*C554,PlotData!$CB$3)</f>
        <v>0</v>
      </c>
      <c r="AA554" s="1033">
        <f>IF(AND(ISNUMBER(System!$C22),E554&lt;&gt;0),System!BF140+$J$1*MIN($E$1,B554)*C554 - $H$1*$E$1*D554,PlotData!$CB$4)</f>
        <v>0</v>
      </c>
      <c r="AB554" s="1033">
        <f>IF(AND(ISNUMBER(System!$C22),E554&lt;&gt;0),AA554 - $E$1*D554,PlotData!$CB$4)</f>
        <v>0</v>
      </c>
      <c r="AC554" s="1035">
        <f>IF(AND(ISNUMBER(System!$C22),E554&lt;&gt;0),IF(E554&gt;0,AA554,AB554) -E554* $N$1*$E$1*D554,PlotData!$CB$4)</f>
        <v>0</v>
      </c>
      <c r="AD554" s="1036">
        <f>IF(AND(ISNUMBER(System!$C22),E554&lt;&gt;0),AF554-$AQ$539/4,PlotData!$CB$3)</f>
        <v>0</v>
      </c>
      <c r="AE554" s="1032">
        <f>IF(AND(ISNUMBER(System!$C22),E554&lt;&gt;0),AG554-$AQ$538,PlotData!$CB$4)</f>
        <v>0</v>
      </c>
      <c r="AF554" s="1031">
        <f>IF(AND(ISNUMBER(System!$C22),E554&lt;&gt;0),M554 +IF(C554=0,-1,1)*IF(D554=0,-4,1)*AQ$536+(S554-M554)/2,PlotData!$CB$3)</f>
        <v>0</v>
      </c>
      <c r="AG554" s="1035">
        <f>IF(AND(ISNUMBER(System!$C22),E554&lt;&gt;0),P554-IF(D554=0,0,1)*$AQ$537+(V554-P554)/2,PlotData!$CB$4)</f>
        <v>0</v>
      </c>
      <c r="AH554" s="1034">
        <f>IF(AND(ISNUMBER(System!$C22),E554&lt;&gt;0),AF554+$AQ$539/4,PlotData!$CB$3)</f>
        <v>0</v>
      </c>
      <c r="AI554" s="1035">
        <f>IF(AND(ISNUMBER(System!$C22),E554&lt;&gt;0),AE554,PlotData!$CB$4)</f>
        <v>0</v>
      </c>
      <c r="AJ554" s="1031">
        <f>IF(AND(ISNUMBER(System!$C22),E554&lt;&gt;0),AH554+$AQ$539/4,PlotData!$CB$3)</f>
        <v>0</v>
      </c>
      <c r="AK554" s="1035">
        <f t="shared" si="201"/>
        <v>0</v>
      </c>
      <c r="AL554" s="1031">
        <f>IF(AND(ISNUMBER(System!$C22),E554&lt;&gt;0),AJ554+$AQ$539/4,PlotData!$CB$3)</f>
        <v>0</v>
      </c>
      <c r="AM554" s="1035">
        <f t="shared" si="202"/>
        <v>0</v>
      </c>
    </row>
    <row r="555" spans="1:39" x14ac:dyDescent="0.25">
      <c r="A555" s="910">
        <v>20</v>
      </c>
      <c r="B555" s="1031">
        <f t="shared" si="200"/>
        <v>0</v>
      </c>
      <c r="C555" s="1033">
        <f t="shared" si="200"/>
        <v>0</v>
      </c>
      <c r="D555" s="1029">
        <f t="shared" si="200"/>
        <v>0</v>
      </c>
      <c r="E555" s="1030">
        <f>IF(AND(ISNUMBER(System!$C23),System!AO23&lt;&gt;0),SIGN(System!AO23),0)</f>
        <v>0</v>
      </c>
      <c r="F555" s="1031">
        <f>IF(AND(ISNUMBER(System!$C23),E555&lt;&gt;0),System!BC141+$J$1*MIN($E$1,B555)*D555 -$H$1*$E$1*C555,PlotData!$CB$3)</f>
        <v>0</v>
      </c>
      <c r="G555" s="1032">
        <f>IF(AND(ISNUMBER(System!$C23),E555&lt;&gt;0),F555 - $E$1*C555,PlotData!$CB$3)</f>
        <v>0</v>
      </c>
      <c r="H555" s="1033">
        <f>IF(AND(ISNUMBER(System!$C23),E555&lt;&gt;0),IF(E555&gt;0,F555,G555)- E555*$N$1*$E$1*C555,PlotData!$CB$3)</f>
        <v>0</v>
      </c>
      <c r="I555" s="1033">
        <f>IF(AND(ISNUMBER(System!$C23),E555&lt;&gt;0),System!BE141-$J$1*MIN($E$1,B555)*C555 - $H$1*$E$1*D555,PlotData!$CB$4)</f>
        <v>0</v>
      </c>
      <c r="J555" s="1029">
        <f>IF(AND(ISNUMBER(System!$C23),E555&lt;&gt;0),I555- $E$1*D555,PlotData!$CB$4)</f>
        <v>0</v>
      </c>
      <c r="K555" s="1030">
        <f>IF(AND(ISNUMBER(System!$C23),E555&lt;&gt;0),IF(E555&gt;0,I555,J555)-E555* $N$1*$E$1*D555,PlotData!$CB$4)</f>
        <v>0</v>
      </c>
      <c r="L555" s="1034">
        <f>IF(AND(ISNUMBER(System!$C23),E555&lt;&gt;0),F555+(X555-F555)/3,PlotData!$CB$3)</f>
        <v>0</v>
      </c>
      <c r="M555" s="1033">
        <f>IF(AND(ISNUMBER(System!$C23),E555&lt;&gt;0),G555+(Y555-G555)/3,PlotData!$CB$3)</f>
        <v>0</v>
      </c>
      <c r="N555" s="1032">
        <f>IF(AND(ISNUMBER(System!$C23),E555&lt;&gt;0),IF(E555&gt;0,L555,M555)- E555*$N$1*$E$1*C555,PlotData!$CB$3)</f>
        <v>0</v>
      </c>
      <c r="O555" s="1033">
        <f>IF(AND(ISNUMBER(System!$C23),E555&lt;&gt;0),I555+(AA555-I555)/3,PlotData!$CB$4)</f>
        <v>0</v>
      </c>
      <c r="P555" s="1033">
        <f>IF(AND(ISNUMBER(System!$C23),E555&lt;&gt;0),J555+(AB555-J555)/3,PlotData!$CB$4)</f>
        <v>0</v>
      </c>
      <c r="Q555" s="1035">
        <f>IF(AND(ISNUMBER(System!$C23),E555&lt;&gt;0),IF(E555&gt;0,O555,P555) -E555 *$N$1*$E$1*D555,PlotData!$CB$4)</f>
        <v>0</v>
      </c>
      <c r="R555" s="1031">
        <f>IF(AND(ISNUMBER(System!$C23),E555&lt;&gt;0),F555+2*(X555-F555)/3,PlotData!$CB$3)</f>
        <v>0</v>
      </c>
      <c r="S555" s="1033">
        <f>IF(AND(ISNUMBER(System!$C23),E555&lt;&gt;0),G555+2*(Y555-G555)/3,PlotData!$CB$3)</f>
        <v>0</v>
      </c>
      <c r="T555" s="1032">
        <f>IF(AND(ISNUMBER(System!$C23),E555&lt;&gt;0),IF(E555&gt;0,R555,S555)- E555*$N$1*$E$1*C555,PlotData!$CB$3)</f>
        <v>0</v>
      </c>
      <c r="U555" s="1033">
        <f>IF(AND(ISNUMBER(System!$C23),E555&lt;&gt;0),I555+2*(AA555-I555)/3,PlotData!$CB$4)</f>
        <v>0</v>
      </c>
      <c r="V555" s="1033">
        <f>IF(AND(ISNUMBER(System!$C23),E555&lt;&gt;0),J555+2*(AB555-J555)/3,PlotData!$CB$4)</f>
        <v>0</v>
      </c>
      <c r="W555" s="1035">
        <f>IF(AND(ISNUMBER(System!$C23),E555&lt;&gt;0),IF(E555&gt;0,U555,V555) -E555*$N$1*$E$1*D555,PlotData!$CB$4)</f>
        <v>0</v>
      </c>
      <c r="X555" s="1031">
        <f>IF(AND(ISNUMBER(System!$C23),E555&lt;&gt;0),System!BD141-$J$1*MIN($E$1,B467)*D467 - $H$1*$E$1*C467,PlotData!$CB$3)</f>
        <v>0</v>
      </c>
      <c r="Y555" s="1033">
        <f>IF(AND(ISNUMBER(System!$C23),E555&lt;&gt;0),X555 - $E$1*C555,PlotData!$CB$3)</f>
        <v>0</v>
      </c>
      <c r="Z555" s="1032">
        <f>IF(AND(ISNUMBER(System!$C23),E555&lt;&gt;0),IF(E555&gt;0,X555,Y555)- E555*$N$1*$E$1*C555,PlotData!$CB$3)</f>
        <v>0</v>
      </c>
      <c r="AA555" s="1033">
        <f>IF(AND(ISNUMBER(System!$C23),E555&lt;&gt;0),System!BF141+$J$1*MIN($E$1,B555)*C555 - $H$1*$E$1*D555,PlotData!$CB$4)</f>
        <v>0</v>
      </c>
      <c r="AB555" s="1033">
        <f>IF(AND(ISNUMBER(System!$C23),E555&lt;&gt;0),AA555 - $E$1*D555,PlotData!$CB$4)</f>
        <v>0</v>
      </c>
      <c r="AC555" s="1035">
        <f>IF(AND(ISNUMBER(System!$C23),E555&lt;&gt;0),IF(E555&gt;0,AA555,AB555) -E555* $N$1*$E$1*D555,PlotData!$CB$4)</f>
        <v>0</v>
      </c>
      <c r="AD555" s="1036">
        <f>IF(AND(ISNUMBER(System!$C23),E555&lt;&gt;0),AF555-$AQ$539/4,PlotData!$CB$3)</f>
        <v>0</v>
      </c>
      <c r="AE555" s="1032">
        <f>IF(AND(ISNUMBER(System!$C23),E555&lt;&gt;0),AG555-$AQ$538,PlotData!$CB$4)</f>
        <v>0</v>
      </c>
      <c r="AF555" s="1031">
        <f>IF(AND(ISNUMBER(System!$C23),E555&lt;&gt;0),M555 +IF(C555=0,-1,1)*IF(D555=0,-4,1)*AQ$536+(S555-M555)/2,PlotData!$CB$3)</f>
        <v>0</v>
      </c>
      <c r="AG555" s="1035">
        <f>IF(AND(ISNUMBER(System!$C23),E555&lt;&gt;0),P555-IF(D555=0,0,1)*$AQ$537+(V555-P555)/2,PlotData!$CB$4)</f>
        <v>0</v>
      </c>
      <c r="AH555" s="1034">
        <f>IF(AND(ISNUMBER(System!$C23),E555&lt;&gt;0),AF555+$AQ$539/4,PlotData!$CB$3)</f>
        <v>0</v>
      </c>
      <c r="AI555" s="1035">
        <f>IF(AND(ISNUMBER(System!$C23),E555&lt;&gt;0),AE555,PlotData!$CB$4)</f>
        <v>0</v>
      </c>
      <c r="AJ555" s="1031">
        <f>IF(AND(ISNUMBER(System!$C23),E555&lt;&gt;0),AH555+$AQ$539/4,PlotData!$CB$3)</f>
        <v>0</v>
      </c>
      <c r="AK555" s="1035">
        <f t="shared" si="201"/>
        <v>0</v>
      </c>
      <c r="AL555" s="1031">
        <f>IF(AND(ISNUMBER(System!$C23),E555&lt;&gt;0),AJ555+$AQ$539/4,PlotData!$CB$3)</f>
        <v>0</v>
      </c>
      <c r="AM555" s="1035">
        <f t="shared" si="202"/>
        <v>0</v>
      </c>
    </row>
    <row r="556" spans="1:39" x14ac:dyDescent="0.25">
      <c r="A556" s="910">
        <v>21</v>
      </c>
      <c r="B556" s="1031">
        <f t="shared" si="200"/>
        <v>0</v>
      </c>
      <c r="C556" s="1033">
        <f t="shared" si="200"/>
        <v>0</v>
      </c>
      <c r="D556" s="1029">
        <f t="shared" si="200"/>
        <v>0</v>
      </c>
      <c r="E556" s="1030">
        <f>IF(AND(ISNUMBER(System!$C24),System!AO24&lt;&gt;0),SIGN(System!AO24),0)</f>
        <v>0</v>
      </c>
      <c r="F556" s="1031">
        <f>IF(AND(ISNUMBER(System!$C24),E556&lt;&gt;0),System!BC142+$J$1*MIN($E$1,B556)*D556 -$H$1*$E$1*C556,PlotData!$CB$3)</f>
        <v>0</v>
      </c>
      <c r="G556" s="1032">
        <f>IF(AND(ISNUMBER(System!$C24),E556&lt;&gt;0),F556 - $E$1*C556,PlotData!$CB$3)</f>
        <v>0</v>
      </c>
      <c r="H556" s="1033">
        <f>IF(AND(ISNUMBER(System!$C24),E556&lt;&gt;0),IF(E556&gt;0,F556,G556)- E556*$N$1*$E$1*C556,PlotData!$CB$3)</f>
        <v>0</v>
      </c>
      <c r="I556" s="1033">
        <f>IF(AND(ISNUMBER(System!$C24),E556&lt;&gt;0),System!BE142-$J$1*MIN($E$1,B556)*C556 - $H$1*$E$1*D556,PlotData!$CB$4)</f>
        <v>0</v>
      </c>
      <c r="J556" s="1029">
        <f>IF(AND(ISNUMBER(System!$C24),E556&lt;&gt;0),I556- $E$1*D556,PlotData!$CB$4)</f>
        <v>0</v>
      </c>
      <c r="K556" s="1030">
        <f>IF(AND(ISNUMBER(System!$C24),E556&lt;&gt;0),IF(E556&gt;0,I556,J556)-E556* $N$1*$E$1*D556,PlotData!$CB$4)</f>
        <v>0</v>
      </c>
      <c r="L556" s="1034">
        <f>IF(AND(ISNUMBER(System!$C24),E556&lt;&gt;0),F556+(X556-F556)/3,PlotData!$CB$3)</f>
        <v>0</v>
      </c>
      <c r="M556" s="1033">
        <f>IF(AND(ISNUMBER(System!$C24),E556&lt;&gt;0),G556+(Y556-G556)/3,PlotData!$CB$3)</f>
        <v>0</v>
      </c>
      <c r="N556" s="1032">
        <f>IF(AND(ISNUMBER(System!$C24),E556&lt;&gt;0),IF(E556&gt;0,L556,M556)- E556*$N$1*$E$1*C556,PlotData!$CB$3)</f>
        <v>0</v>
      </c>
      <c r="O556" s="1033">
        <f>IF(AND(ISNUMBER(System!$C24),E556&lt;&gt;0),I556+(AA556-I556)/3,PlotData!$CB$4)</f>
        <v>0</v>
      </c>
      <c r="P556" s="1033">
        <f>IF(AND(ISNUMBER(System!$C24),E556&lt;&gt;0),J556+(AB556-J556)/3,PlotData!$CB$4)</f>
        <v>0</v>
      </c>
      <c r="Q556" s="1035">
        <f>IF(AND(ISNUMBER(System!$C24),E556&lt;&gt;0),IF(E556&gt;0,O556,P556) -E556 *$N$1*$E$1*D556,PlotData!$CB$4)</f>
        <v>0</v>
      </c>
      <c r="R556" s="1031">
        <f>IF(AND(ISNUMBER(System!$C24),E556&lt;&gt;0),F556+2*(X556-F556)/3,PlotData!$CB$3)</f>
        <v>0</v>
      </c>
      <c r="S556" s="1033">
        <f>IF(AND(ISNUMBER(System!$C24),E556&lt;&gt;0),G556+2*(Y556-G556)/3,PlotData!$CB$3)</f>
        <v>0</v>
      </c>
      <c r="T556" s="1032">
        <f>IF(AND(ISNUMBER(System!$C24),E556&lt;&gt;0),IF(E556&gt;0,R556,S556)- E556*$N$1*$E$1*C556,PlotData!$CB$3)</f>
        <v>0</v>
      </c>
      <c r="U556" s="1033">
        <f>IF(AND(ISNUMBER(System!$C24),E556&lt;&gt;0),I556+2*(AA556-I556)/3,PlotData!$CB$4)</f>
        <v>0</v>
      </c>
      <c r="V556" s="1033">
        <f>IF(AND(ISNUMBER(System!$C24),E556&lt;&gt;0),J556+2*(AB556-J556)/3,PlotData!$CB$4)</f>
        <v>0</v>
      </c>
      <c r="W556" s="1035">
        <f>IF(AND(ISNUMBER(System!$C24),E556&lt;&gt;0),IF(E556&gt;0,U556,V556) -E556*$N$1*$E$1*D556,PlotData!$CB$4)</f>
        <v>0</v>
      </c>
      <c r="X556" s="1031">
        <f>IF(AND(ISNUMBER(System!$C24),E556&lt;&gt;0),System!BD142-$J$1*MIN($E$1,B468)*D468 - $H$1*$E$1*C468,PlotData!$CB$3)</f>
        <v>0</v>
      </c>
      <c r="Y556" s="1033">
        <f>IF(AND(ISNUMBER(System!$C24),E556&lt;&gt;0),X556 - $E$1*C556,PlotData!$CB$3)</f>
        <v>0</v>
      </c>
      <c r="Z556" s="1032">
        <f>IF(AND(ISNUMBER(System!$C24),E556&lt;&gt;0),IF(E556&gt;0,X556,Y556)- E556*$N$1*$E$1*C556,PlotData!$CB$3)</f>
        <v>0</v>
      </c>
      <c r="AA556" s="1033">
        <f>IF(AND(ISNUMBER(System!$C24),E556&lt;&gt;0),System!BF142+$J$1*MIN($E$1,B556)*C556 - $H$1*$E$1*D556,PlotData!$CB$4)</f>
        <v>0</v>
      </c>
      <c r="AB556" s="1033">
        <f>IF(AND(ISNUMBER(System!$C24),E556&lt;&gt;0),AA556 - $E$1*D556,PlotData!$CB$4)</f>
        <v>0</v>
      </c>
      <c r="AC556" s="1035">
        <f>IF(AND(ISNUMBER(System!$C24),E556&lt;&gt;0),IF(E556&gt;0,AA556,AB556) -E556* $N$1*$E$1*D556,PlotData!$CB$4)</f>
        <v>0</v>
      </c>
      <c r="AD556" s="1036">
        <f>IF(AND(ISNUMBER(System!$C24),E556&lt;&gt;0),AF556-$AQ$539/4,PlotData!$CB$3)</f>
        <v>0</v>
      </c>
      <c r="AE556" s="1032">
        <f>IF(AND(ISNUMBER(System!$C24),E556&lt;&gt;0),AG556-$AQ$538,PlotData!$CB$4)</f>
        <v>0</v>
      </c>
      <c r="AF556" s="1031">
        <f>IF(AND(ISNUMBER(System!$C24),E556&lt;&gt;0),M556 +IF(C556=0,-1,1)*IF(D556=0,-4,1)*AQ$536+(S556-M556)/2,PlotData!$CB$3)</f>
        <v>0</v>
      </c>
      <c r="AG556" s="1035">
        <f>IF(AND(ISNUMBER(System!$C24),E556&lt;&gt;0),P556-IF(D556=0,0,1)*$AQ$537+(V556-P556)/2,PlotData!$CB$4)</f>
        <v>0</v>
      </c>
      <c r="AH556" s="1034">
        <f>IF(AND(ISNUMBER(System!$C24),E556&lt;&gt;0),AF556+$AQ$539/4,PlotData!$CB$3)</f>
        <v>0</v>
      </c>
      <c r="AI556" s="1035">
        <f>IF(AND(ISNUMBER(System!$C24),E556&lt;&gt;0),AE556,PlotData!$CB$4)</f>
        <v>0</v>
      </c>
      <c r="AJ556" s="1031">
        <f>IF(AND(ISNUMBER(System!$C24),E556&lt;&gt;0),AH556+$AQ$539/4,PlotData!$CB$3)</f>
        <v>0</v>
      </c>
      <c r="AK556" s="1035">
        <f t="shared" si="201"/>
        <v>0</v>
      </c>
      <c r="AL556" s="1031">
        <f>IF(AND(ISNUMBER(System!$C24),E556&lt;&gt;0),AJ556+$AQ$539/4,PlotData!$CB$3)</f>
        <v>0</v>
      </c>
      <c r="AM556" s="1035">
        <f t="shared" si="202"/>
        <v>0</v>
      </c>
    </row>
    <row r="557" spans="1:39" x14ac:dyDescent="0.25">
      <c r="A557" s="910">
        <v>22</v>
      </c>
      <c r="B557" s="1031">
        <f t="shared" si="200"/>
        <v>0</v>
      </c>
      <c r="C557" s="1033">
        <f t="shared" si="200"/>
        <v>0</v>
      </c>
      <c r="D557" s="1029">
        <f t="shared" si="200"/>
        <v>0</v>
      </c>
      <c r="E557" s="1030">
        <f>IF(AND(ISNUMBER(System!$C25),System!AO25&lt;&gt;0),SIGN(System!AO25),0)</f>
        <v>0</v>
      </c>
      <c r="F557" s="1031">
        <f>IF(AND(ISNUMBER(System!$C25),E557&lt;&gt;0),System!BC143+$J$1*MIN($E$1,B557)*D557 -$H$1*$E$1*C557,PlotData!$CB$3)</f>
        <v>0</v>
      </c>
      <c r="G557" s="1032">
        <f>IF(AND(ISNUMBER(System!$C25),E557&lt;&gt;0),F557 - $E$1*C557,PlotData!$CB$3)</f>
        <v>0</v>
      </c>
      <c r="H557" s="1033">
        <f>IF(AND(ISNUMBER(System!$C25),E557&lt;&gt;0),IF(E557&gt;0,F557,G557)- E557*$N$1*$E$1*C557,PlotData!$CB$3)</f>
        <v>0</v>
      </c>
      <c r="I557" s="1033">
        <f>IF(AND(ISNUMBER(System!$C25),E557&lt;&gt;0),System!BE143-$J$1*MIN($E$1,B557)*C557 - $H$1*$E$1*D557,PlotData!$CB$4)</f>
        <v>0</v>
      </c>
      <c r="J557" s="1029">
        <f>IF(AND(ISNUMBER(System!$C25),E557&lt;&gt;0),I557- $E$1*D557,PlotData!$CB$4)</f>
        <v>0</v>
      </c>
      <c r="K557" s="1030">
        <f>IF(AND(ISNUMBER(System!$C25),E557&lt;&gt;0),IF(E557&gt;0,I557,J557)-E557* $N$1*$E$1*D557,PlotData!$CB$4)</f>
        <v>0</v>
      </c>
      <c r="L557" s="1034">
        <f>IF(AND(ISNUMBER(System!$C25),E557&lt;&gt;0),F557+(X557-F557)/3,PlotData!$CB$3)</f>
        <v>0</v>
      </c>
      <c r="M557" s="1033">
        <f>IF(AND(ISNUMBER(System!$C25),E557&lt;&gt;0),G557+(Y557-G557)/3,PlotData!$CB$3)</f>
        <v>0</v>
      </c>
      <c r="N557" s="1032">
        <f>IF(AND(ISNUMBER(System!$C25),E557&lt;&gt;0),IF(E557&gt;0,L557,M557)- E557*$N$1*$E$1*C557,PlotData!$CB$3)</f>
        <v>0</v>
      </c>
      <c r="O557" s="1033">
        <f>IF(AND(ISNUMBER(System!$C25),E557&lt;&gt;0),I557+(AA557-I557)/3,PlotData!$CB$4)</f>
        <v>0</v>
      </c>
      <c r="P557" s="1033">
        <f>IF(AND(ISNUMBER(System!$C25),E557&lt;&gt;0),J557+(AB557-J557)/3,PlotData!$CB$4)</f>
        <v>0</v>
      </c>
      <c r="Q557" s="1035">
        <f>IF(AND(ISNUMBER(System!$C25),E557&lt;&gt;0),IF(E557&gt;0,O557,P557) -E557 *$N$1*$E$1*D557,PlotData!$CB$4)</f>
        <v>0</v>
      </c>
      <c r="R557" s="1031">
        <f>IF(AND(ISNUMBER(System!$C25),E557&lt;&gt;0),F557+2*(X557-F557)/3,PlotData!$CB$3)</f>
        <v>0</v>
      </c>
      <c r="S557" s="1033">
        <f>IF(AND(ISNUMBER(System!$C25),E557&lt;&gt;0),G557+2*(Y557-G557)/3,PlotData!$CB$3)</f>
        <v>0</v>
      </c>
      <c r="T557" s="1032">
        <f>IF(AND(ISNUMBER(System!$C25),E557&lt;&gt;0),IF(E557&gt;0,R557,S557)- E557*$N$1*$E$1*C557,PlotData!$CB$3)</f>
        <v>0</v>
      </c>
      <c r="U557" s="1033">
        <f>IF(AND(ISNUMBER(System!$C25),E557&lt;&gt;0),I557+2*(AA557-I557)/3,PlotData!$CB$4)</f>
        <v>0</v>
      </c>
      <c r="V557" s="1033">
        <f>IF(AND(ISNUMBER(System!$C25),E557&lt;&gt;0),J557+2*(AB557-J557)/3,PlotData!$CB$4)</f>
        <v>0</v>
      </c>
      <c r="W557" s="1035">
        <f>IF(AND(ISNUMBER(System!$C25),E557&lt;&gt;0),IF(E557&gt;0,U557,V557) -E557*$N$1*$E$1*D557,PlotData!$CB$4)</f>
        <v>0</v>
      </c>
      <c r="X557" s="1031">
        <f>IF(AND(ISNUMBER(System!$C25),E557&lt;&gt;0),System!BD143-$J$1*MIN($E$1,B469)*D469 - $H$1*$E$1*C469,PlotData!$CB$3)</f>
        <v>0</v>
      </c>
      <c r="Y557" s="1033">
        <f>IF(AND(ISNUMBER(System!$C25),E557&lt;&gt;0),X557 - $E$1*C557,PlotData!$CB$3)</f>
        <v>0</v>
      </c>
      <c r="Z557" s="1032">
        <f>IF(AND(ISNUMBER(System!$C25),E557&lt;&gt;0),IF(E557&gt;0,X557,Y557)- E557*$N$1*$E$1*C557,PlotData!$CB$3)</f>
        <v>0</v>
      </c>
      <c r="AA557" s="1033">
        <f>IF(AND(ISNUMBER(System!$C25),E557&lt;&gt;0),System!BF143+$J$1*MIN($E$1,B557)*C557 - $H$1*$E$1*D557,PlotData!$CB$4)</f>
        <v>0</v>
      </c>
      <c r="AB557" s="1033">
        <f>IF(AND(ISNUMBER(System!$C25),E557&lt;&gt;0),AA557 - $E$1*D557,PlotData!$CB$4)</f>
        <v>0</v>
      </c>
      <c r="AC557" s="1035">
        <f>IF(AND(ISNUMBER(System!$C25),E557&lt;&gt;0),IF(E557&gt;0,AA557,AB557) -E557* $N$1*$E$1*D557,PlotData!$CB$4)</f>
        <v>0</v>
      </c>
      <c r="AD557" s="1036">
        <f>IF(AND(ISNUMBER(System!$C25),E557&lt;&gt;0),AF557-$AQ$539/4,PlotData!$CB$3)</f>
        <v>0</v>
      </c>
      <c r="AE557" s="1032">
        <f>IF(AND(ISNUMBER(System!$C25),E557&lt;&gt;0),AG557-$AQ$538,PlotData!$CB$4)</f>
        <v>0</v>
      </c>
      <c r="AF557" s="1031">
        <f>IF(AND(ISNUMBER(System!$C25),E557&lt;&gt;0),M557 +IF(C557=0,-1,1)*IF(D557=0,-4,1)*AQ$536+(S557-M557)/2,PlotData!$CB$3)</f>
        <v>0</v>
      </c>
      <c r="AG557" s="1035">
        <f>IF(AND(ISNUMBER(System!$C25),E557&lt;&gt;0),P557-IF(D557=0,0,1)*$AQ$537+(V557-P557)/2,PlotData!$CB$4)</f>
        <v>0</v>
      </c>
      <c r="AH557" s="1034">
        <f>IF(AND(ISNUMBER(System!$C25),E557&lt;&gt;0),AF557+$AQ$539/4,PlotData!$CB$3)</f>
        <v>0</v>
      </c>
      <c r="AI557" s="1035">
        <f>IF(AND(ISNUMBER(System!$C25),E557&lt;&gt;0),AE557,PlotData!$CB$4)</f>
        <v>0</v>
      </c>
      <c r="AJ557" s="1031">
        <f>IF(AND(ISNUMBER(System!$C25),E557&lt;&gt;0),AH557+$AQ$539/4,PlotData!$CB$3)</f>
        <v>0</v>
      </c>
      <c r="AK557" s="1035">
        <f t="shared" si="201"/>
        <v>0</v>
      </c>
      <c r="AL557" s="1031">
        <f>IF(AND(ISNUMBER(System!$C25),E557&lt;&gt;0),AJ557+$AQ$539/4,PlotData!$CB$3)</f>
        <v>0</v>
      </c>
      <c r="AM557" s="1035">
        <f t="shared" si="202"/>
        <v>0</v>
      </c>
    </row>
    <row r="558" spans="1:39" x14ac:dyDescent="0.25">
      <c r="A558" s="910">
        <v>23</v>
      </c>
      <c r="B558" s="1031">
        <f t="shared" si="200"/>
        <v>0</v>
      </c>
      <c r="C558" s="1033">
        <f t="shared" si="200"/>
        <v>0</v>
      </c>
      <c r="D558" s="1029">
        <f t="shared" si="200"/>
        <v>0</v>
      </c>
      <c r="E558" s="1030">
        <f>IF(AND(ISNUMBER(System!$C26),System!AO26&lt;&gt;0),SIGN(System!AO26),0)</f>
        <v>0</v>
      </c>
      <c r="F558" s="1031">
        <f>IF(AND(ISNUMBER(System!$C26),E558&lt;&gt;0),System!BC144+$J$1*MIN($E$1,B558)*D558 -$H$1*$E$1*C558,PlotData!$CB$3)</f>
        <v>0</v>
      </c>
      <c r="G558" s="1032">
        <f>IF(AND(ISNUMBER(System!$C26),E558&lt;&gt;0),F558 - $E$1*C558,PlotData!$CB$3)</f>
        <v>0</v>
      </c>
      <c r="H558" s="1033">
        <f>IF(AND(ISNUMBER(System!$C26),E558&lt;&gt;0),IF(E558&gt;0,F558,G558)- E558*$N$1*$E$1*C558,PlotData!$CB$3)</f>
        <v>0</v>
      </c>
      <c r="I558" s="1033">
        <f>IF(AND(ISNUMBER(System!$C26),E558&lt;&gt;0),System!BE144-$J$1*MIN($E$1,B558)*C558 - $H$1*$E$1*D558,PlotData!$CB$4)</f>
        <v>0</v>
      </c>
      <c r="J558" s="1029">
        <f>IF(AND(ISNUMBER(System!$C26),E558&lt;&gt;0),I558- $E$1*D558,PlotData!$CB$4)</f>
        <v>0</v>
      </c>
      <c r="K558" s="1030">
        <f>IF(AND(ISNUMBER(System!$C26),E558&lt;&gt;0),IF(E558&gt;0,I558,J558)-E558* $N$1*$E$1*D558,PlotData!$CB$4)</f>
        <v>0</v>
      </c>
      <c r="L558" s="1034">
        <f>IF(AND(ISNUMBER(System!$C26),E558&lt;&gt;0),F558+(X558-F558)/3,PlotData!$CB$3)</f>
        <v>0</v>
      </c>
      <c r="M558" s="1033">
        <f>IF(AND(ISNUMBER(System!$C26),E558&lt;&gt;0),G558+(Y558-G558)/3,PlotData!$CB$3)</f>
        <v>0</v>
      </c>
      <c r="N558" s="1032">
        <f>IF(AND(ISNUMBER(System!$C26),E558&lt;&gt;0),IF(E558&gt;0,L558,M558)- E558*$N$1*$E$1*C558,PlotData!$CB$3)</f>
        <v>0</v>
      </c>
      <c r="O558" s="1033">
        <f>IF(AND(ISNUMBER(System!$C26),E558&lt;&gt;0),I558+(AA558-I558)/3,PlotData!$CB$4)</f>
        <v>0</v>
      </c>
      <c r="P558" s="1033">
        <f>IF(AND(ISNUMBER(System!$C26),E558&lt;&gt;0),J558+(AB558-J558)/3,PlotData!$CB$4)</f>
        <v>0</v>
      </c>
      <c r="Q558" s="1035">
        <f>IF(AND(ISNUMBER(System!$C26),E558&lt;&gt;0),IF(E558&gt;0,O558,P558) -E558 *$N$1*$E$1*D558,PlotData!$CB$4)</f>
        <v>0</v>
      </c>
      <c r="R558" s="1031">
        <f>IF(AND(ISNUMBER(System!$C26),E558&lt;&gt;0),F558+2*(X558-F558)/3,PlotData!$CB$3)</f>
        <v>0</v>
      </c>
      <c r="S558" s="1033">
        <f>IF(AND(ISNUMBER(System!$C26),E558&lt;&gt;0),G558+2*(Y558-G558)/3,PlotData!$CB$3)</f>
        <v>0</v>
      </c>
      <c r="T558" s="1032">
        <f>IF(AND(ISNUMBER(System!$C26),E558&lt;&gt;0),IF(E558&gt;0,R558,S558)- E558*$N$1*$E$1*C558,PlotData!$CB$3)</f>
        <v>0</v>
      </c>
      <c r="U558" s="1033">
        <f>IF(AND(ISNUMBER(System!$C26),E558&lt;&gt;0),I558+2*(AA558-I558)/3,PlotData!$CB$4)</f>
        <v>0</v>
      </c>
      <c r="V558" s="1033">
        <f>IF(AND(ISNUMBER(System!$C26),E558&lt;&gt;0),J558+2*(AB558-J558)/3,PlotData!$CB$4)</f>
        <v>0</v>
      </c>
      <c r="W558" s="1035">
        <f>IF(AND(ISNUMBER(System!$C26),E558&lt;&gt;0),IF(E558&gt;0,U558,V558) -E558*$N$1*$E$1*D558,PlotData!$CB$4)</f>
        <v>0</v>
      </c>
      <c r="X558" s="1031">
        <f>IF(AND(ISNUMBER(System!$C26),E558&lt;&gt;0),System!BD144-$J$1*MIN($E$1,B470)*D470 - $H$1*$E$1*C470,PlotData!$CB$3)</f>
        <v>0</v>
      </c>
      <c r="Y558" s="1033">
        <f>IF(AND(ISNUMBER(System!$C26),E558&lt;&gt;0),X558 - $E$1*C558,PlotData!$CB$3)</f>
        <v>0</v>
      </c>
      <c r="Z558" s="1032">
        <f>IF(AND(ISNUMBER(System!$C26),E558&lt;&gt;0),IF(E558&gt;0,X558,Y558)- E558*$N$1*$E$1*C558,PlotData!$CB$3)</f>
        <v>0</v>
      </c>
      <c r="AA558" s="1033">
        <f>IF(AND(ISNUMBER(System!$C26),E558&lt;&gt;0),System!BF144+$J$1*MIN($E$1,B558)*C558 - $H$1*$E$1*D558,PlotData!$CB$4)</f>
        <v>0</v>
      </c>
      <c r="AB558" s="1033">
        <f>IF(AND(ISNUMBER(System!$C26),E558&lt;&gt;0),AA558 - $E$1*D558,PlotData!$CB$4)</f>
        <v>0</v>
      </c>
      <c r="AC558" s="1035">
        <f>IF(AND(ISNUMBER(System!$C26),E558&lt;&gt;0),IF(E558&gt;0,AA558,AB558) -E558* $N$1*$E$1*D558,PlotData!$CB$4)</f>
        <v>0</v>
      </c>
      <c r="AD558" s="1036">
        <f>IF(AND(ISNUMBER(System!$C26),E558&lt;&gt;0),AF558-$AQ$539/4,PlotData!$CB$3)</f>
        <v>0</v>
      </c>
      <c r="AE558" s="1032">
        <f>IF(AND(ISNUMBER(System!$C26),E558&lt;&gt;0),AG558-$AQ$538,PlotData!$CB$4)</f>
        <v>0</v>
      </c>
      <c r="AF558" s="1031">
        <f>IF(AND(ISNUMBER(System!$C26),E558&lt;&gt;0),M558 +IF(C558=0,-1,1)*IF(D558=0,-4,1)*AQ$536+(S558-M558)/2,PlotData!$CB$3)</f>
        <v>0</v>
      </c>
      <c r="AG558" s="1035">
        <f>IF(AND(ISNUMBER(System!$C26),E558&lt;&gt;0),P558-IF(D558=0,0,1)*$AQ$537+(V558-P558)/2,PlotData!$CB$4)</f>
        <v>0</v>
      </c>
      <c r="AH558" s="1034">
        <f>IF(AND(ISNUMBER(System!$C26),E558&lt;&gt;0),AF558+$AQ$539/4,PlotData!$CB$3)</f>
        <v>0</v>
      </c>
      <c r="AI558" s="1035">
        <f>IF(AND(ISNUMBER(System!$C26),E558&lt;&gt;0),AE558,PlotData!$CB$4)</f>
        <v>0</v>
      </c>
      <c r="AJ558" s="1031">
        <f>IF(AND(ISNUMBER(System!$C26),E558&lt;&gt;0),AH558+$AQ$539/4,PlotData!$CB$3)</f>
        <v>0</v>
      </c>
      <c r="AK558" s="1035">
        <f t="shared" si="201"/>
        <v>0</v>
      </c>
      <c r="AL558" s="1031">
        <f>IF(AND(ISNUMBER(System!$C26),E558&lt;&gt;0),AJ558+$AQ$539/4,PlotData!$CB$3)</f>
        <v>0</v>
      </c>
      <c r="AM558" s="1035">
        <f t="shared" si="202"/>
        <v>0</v>
      </c>
    </row>
    <row r="559" spans="1:39" x14ac:dyDescent="0.25">
      <c r="A559" s="910">
        <v>24</v>
      </c>
      <c r="B559" s="1031">
        <f t="shared" si="200"/>
        <v>0</v>
      </c>
      <c r="C559" s="1033">
        <f t="shared" si="200"/>
        <v>0</v>
      </c>
      <c r="D559" s="1029">
        <f t="shared" si="200"/>
        <v>0</v>
      </c>
      <c r="E559" s="1030">
        <f>IF(AND(ISNUMBER(System!$C27),System!AO27&lt;&gt;0),SIGN(System!AO27),0)</f>
        <v>0</v>
      </c>
      <c r="F559" s="1031">
        <f>IF(AND(ISNUMBER(System!$C27),E559&lt;&gt;0),System!BC145+$J$1*MIN($E$1,B559)*D559 -$H$1*$E$1*C559,PlotData!$CB$3)</f>
        <v>0</v>
      </c>
      <c r="G559" s="1032">
        <f>IF(AND(ISNUMBER(System!$C27),E559&lt;&gt;0),F559 - $E$1*C559,PlotData!$CB$3)</f>
        <v>0</v>
      </c>
      <c r="H559" s="1033">
        <f>IF(AND(ISNUMBER(System!$C27),E559&lt;&gt;0),IF(E559&gt;0,F559,G559)- E559*$N$1*$E$1*C559,PlotData!$CB$3)</f>
        <v>0</v>
      </c>
      <c r="I559" s="1033">
        <f>IF(AND(ISNUMBER(System!$C27),E559&lt;&gt;0),System!BE145-$J$1*MIN($E$1,B559)*C559 - $H$1*$E$1*D559,PlotData!$CB$4)</f>
        <v>0</v>
      </c>
      <c r="J559" s="1029">
        <f>IF(AND(ISNUMBER(System!$C27),E559&lt;&gt;0),I559- $E$1*D559,PlotData!$CB$4)</f>
        <v>0</v>
      </c>
      <c r="K559" s="1030">
        <f>IF(AND(ISNUMBER(System!$C27),E559&lt;&gt;0),IF(E559&gt;0,I559,J559)-E559* $N$1*$E$1*D559,PlotData!$CB$4)</f>
        <v>0</v>
      </c>
      <c r="L559" s="1034">
        <f>IF(AND(ISNUMBER(System!$C27),E559&lt;&gt;0),F559+(X559-F559)/3,PlotData!$CB$3)</f>
        <v>0</v>
      </c>
      <c r="M559" s="1033">
        <f>IF(AND(ISNUMBER(System!$C27),E559&lt;&gt;0),G559+(Y559-G559)/3,PlotData!$CB$3)</f>
        <v>0</v>
      </c>
      <c r="N559" s="1032">
        <f>IF(AND(ISNUMBER(System!$C27),E559&lt;&gt;0),IF(E559&gt;0,L559,M559)- E559*$N$1*$E$1*C559,PlotData!$CB$3)</f>
        <v>0</v>
      </c>
      <c r="O559" s="1033">
        <f>IF(AND(ISNUMBER(System!$C27),E559&lt;&gt;0),I559+(AA559-I559)/3,PlotData!$CB$4)</f>
        <v>0</v>
      </c>
      <c r="P559" s="1033">
        <f>IF(AND(ISNUMBER(System!$C27),E559&lt;&gt;0),J559+(AB559-J559)/3,PlotData!$CB$4)</f>
        <v>0</v>
      </c>
      <c r="Q559" s="1035">
        <f>IF(AND(ISNUMBER(System!$C27),E559&lt;&gt;0),IF(E559&gt;0,O559,P559) -E559 *$N$1*$E$1*D559,PlotData!$CB$4)</f>
        <v>0</v>
      </c>
      <c r="R559" s="1031">
        <f>IF(AND(ISNUMBER(System!$C27),E559&lt;&gt;0),F559+2*(X559-F559)/3,PlotData!$CB$3)</f>
        <v>0</v>
      </c>
      <c r="S559" s="1033">
        <f>IF(AND(ISNUMBER(System!$C27),E559&lt;&gt;0),G559+2*(Y559-G559)/3,PlotData!$CB$3)</f>
        <v>0</v>
      </c>
      <c r="T559" s="1032">
        <f>IF(AND(ISNUMBER(System!$C27),E559&lt;&gt;0),IF(E559&gt;0,R559,S559)- E559*$N$1*$E$1*C559,PlotData!$CB$3)</f>
        <v>0</v>
      </c>
      <c r="U559" s="1033">
        <f>IF(AND(ISNUMBER(System!$C27),E559&lt;&gt;0),I559+2*(AA559-I559)/3,PlotData!$CB$4)</f>
        <v>0</v>
      </c>
      <c r="V559" s="1033">
        <f>IF(AND(ISNUMBER(System!$C27),E559&lt;&gt;0),J559+2*(AB559-J559)/3,PlotData!$CB$4)</f>
        <v>0</v>
      </c>
      <c r="W559" s="1035">
        <f>IF(AND(ISNUMBER(System!$C27),E559&lt;&gt;0),IF(E559&gt;0,U559,V559) -E559*$N$1*$E$1*D559,PlotData!$CB$4)</f>
        <v>0</v>
      </c>
      <c r="X559" s="1031">
        <f>IF(AND(ISNUMBER(System!$C27),E559&lt;&gt;0),System!BD145-$J$1*MIN($E$1,B471)*D471 - $H$1*$E$1*C471,PlotData!$CB$3)</f>
        <v>0</v>
      </c>
      <c r="Y559" s="1033">
        <f>IF(AND(ISNUMBER(System!$C27),E559&lt;&gt;0),X559 - $E$1*C559,PlotData!$CB$3)</f>
        <v>0</v>
      </c>
      <c r="Z559" s="1032">
        <f>IF(AND(ISNUMBER(System!$C27),E559&lt;&gt;0),IF(E559&gt;0,X559,Y559)- E559*$N$1*$E$1*C559,PlotData!$CB$3)</f>
        <v>0</v>
      </c>
      <c r="AA559" s="1033">
        <f>IF(AND(ISNUMBER(System!$C27),E559&lt;&gt;0),System!BF145+$J$1*MIN($E$1,B559)*C559 - $H$1*$E$1*D559,PlotData!$CB$4)</f>
        <v>0</v>
      </c>
      <c r="AB559" s="1033">
        <f>IF(AND(ISNUMBER(System!$C27),E559&lt;&gt;0),AA559 - $E$1*D559,PlotData!$CB$4)</f>
        <v>0</v>
      </c>
      <c r="AC559" s="1035">
        <f>IF(AND(ISNUMBER(System!$C27),E559&lt;&gt;0),IF(E559&gt;0,AA559,AB559) -E559* $N$1*$E$1*D559,PlotData!$CB$4)</f>
        <v>0</v>
      </c>
      <c r="AD559" s="1036">
        <f>IF(AND(ISNUMBER(System!$C27),E559&lt;&gt;0),AF559-$AQ$539/4,PlotData!$CB$3)</f>
        <v>0</v>
      </c>
      <c r="AE559" s="1032">
        <f>IF(AND(ISNUMBER(System!$C27),E559&lt;&gt;0),AG559-$AQ$538,PlotData!$CB$4)</f>
        <v>0</v>
      </c>
      <c r="AF559" s="1031">
        <f>IF(AND(ISNUMBER(System!$C27),E559&lt;&gt;0),M559 +IF(C559=0,-1,1)*IF(D559=0,-4,1)*AQ$536+(S559-M559)/2,PlotData!$CB$3)</f>
        <v>0</v>
      </c>
      <c r="AG559" s="1035">
        <f>IF(AND(ISNUMBER(System!$C27),E559&lt;&gt;0),P559-IF(D559=0,0,1)*$AQ$537+(V559-P559)/2,PlotData!$CB$4)</f>
        <v>0</v>
      </c>
      <c r="AH559" s="1034">
        <f>IF(AND(ISNUMBER(System!$C27),E559&lt;&gt;0),AF559+$AQ$539/4,PlotData!$CB$3)</f>
        <v>0</v>
      </c>
      <c r="AI559" s="1035">
        <f>IF(AND(ISNUMBER(System!$C27),E559&lt;&gt;0),AE559,PlotData!$CB$4)</f>
        <v>0</v>
      </c>
      <c r="AJ559" s="1031">
        <f>IF(AND(ISNUMBER(System!$C27),E559&lt;&gt;0),AH559+$AQ$539/4,PlotData!$CB$3)</f>
        <v>0</v>
      </c>
      <c r="AK559" s="1035">
        <f t="shared" si="201"/>
        <v>0</v>
      </c>
      <c r="AL559" s="1031">
        <f>IF(AND(ISNUMBER(System!$C27),E559&lt;&gt;0),AJ559+$AQ$539/4,PlotData!$CB$3)</f>
        <v>0</v>
      </c>
      <c r="AM559" s="1035">
        <f t="shared" si="202"/>
        <v>0</v>
      </c>
    </row>
    <row r="560" spans="1:39" x14ac:dyDescent="0.25">
      <c r="A560" s="910">
        <v>25</v>
      </c>
      <c r="B560" s="1031">
        <f t="shared" si="200"/>
        <v>0</v>
      </c>
      <c r="C560" s="1033">
        <f t="shared" si="200"/>
        <v>0</v>
      </c>
      <c r="D560" s="1029">
        <f t="shared" si="200"/>
        <v>0</v>
      </c>
      <c r="E560" s="1030">
        <f>IF(AND(ISNUMBER(System!$C28),System!AO28&lt;&gt;0),SIGN(System!AO28),0)</f>
        <v>0</v>
      </c>
      <c r="F560" s="1031">
        <f>IF(AND(ISNUMBER(System!$C28),E560&lt;&gt;0),System!BC146+$J$1*MIN($E$1,B560)*D560 -$H$1*$E$1*C560,PlotData!$CB$3)</f>
        <v>0</v>
      </c>
      <c r="G560" s="1032">
        <f>IF(AND(ISNUMBER(System!$C28),E560&lt;&gt;0),F560 - $E$1*C560,PlotData!$CB$3)</f>
        <v>0</v>
      </c>
      <c r="H560" s="1033">
        <f>IF(AND(ISNUMBER(System!$C28),E560&lt;&gt;0),IF(E560&gt;0,F560,G560)- E560*$N$1*$E$1*C560,PlotData!$CB$3)</f>
        <v>0</v>
      </c>
      <c r="I560" s="1033">
        <f>IF(AND(ISNUMBER(System!$C28),E560&lt;&gt;0),System!BE146-$J$1*MIN($E$1,B560)*C560 - $H$1*$E$1*D560,PlotData!$CB$4)</f>
        <v>0</v>
      </c>
      <c r="J560" s="1029">
        <f>IF(AND(ISNUMBER(System!$C28),E560&lt;&gt;0),I560- $E$1*D560,PlotData!$CB$4)</f>
        <v>0</v>
      </c>
      <c r="K560" s="1030">
        <f>IF(AND(ISNUMBER(System!$C28),E560&lt;&gt;0),IF(E560&gt;0,I560,J560)-E560* $N$1*$E$1*D560,PlotData!$CB$4)</f>
        <v>0</v>
      </c>
      <c r="L560" s="1034">
        <f>IF(AND(ISNUMBER(System!$C28),E560&lt;&gt;0),F560+(X560-F560)/3,PlotData!$CB$3)</f>
        <v>0</v>
      </c>
      <c r="M560" s="1033">
        <f>IF(AND(ISNUMBER(System!$C28),E560&lt;&gt;0),G560+(Y560-G560)/3,PlotData!$CB$3)</f>
        <v>0</v>
      </c>
      <c r="N560" s="1032">
        <f>IF(AND(ISNUMBER(System!$C28),E560&lt;&gt;0),IF(E560&gt;0,L560,M560)- E560*$N$1*$E$1*C560,PlotData!$CB$3)</f>
        <v>0</v>
      </c>
      <c r="O560" s="1033">
        <f>IF(AND(ISNUMBER(System!$C28),E560&lt;&gt;0),I560+(AA560-I560)/3,PlotData!$CB$4)</f>
        <v>0</v>
      </c>
      <c r="P560" s="1033">
        <f>IF(AND(ISNUMBER(System!$C28),E560&lt;&gt;0),J560+(AB560-J560)/3,PlotData!$CB$4)</f>
        <v>0</v>
      </c>
      <c r="Q560" s="1035">
        <f>IF(AND(ISNUMBER(System!$C28),E560&lt;&gt;0),IF(E560&gt;0,O560,P560) -E560 *$N$1*$E$1*D560,PlotData!$CB$4)</f>
        <v>0</v>
      </c>
      <c r="R560" s="1031">
        <f>IF(AND(ISNUMBER(System!$C28),E560&lt;&gt;0),F560+2*(X560-F560)/3,PlotData!$CB$3)</f>
        <v>0</v>
      </c>
      <c r="S560" s="1033">
        <f>IF(AND(ISNUMBER(System!$C28),E560&lt;&gt;0),G560+2*(Y560-G560)/3,PlotData!$CB$3)</f>
        <v>0</v>
      </c>
      <c r="T560" s="1032">
        <f>IF(AND(ISNUMBER(System!$C28),E560&lt;&gt;0),IF(E560&gt;0,R560,S560)- E560*$N$1*$E$1*C560,PlotData!$CB$3)</f>
        <v>0</v>
      </c>
      <c r="U560" s="1033">
        <f>IF(AND(ISNUMBER(System!$C28),E560&lt;&gt;0),I560+2*(AA560-I560)/3,PlotData!$CB$4)</f>
        <v>0</v>
      </c>
      <c r="V560" s="1033">
        <f>IF(AND(ISNUMBER(System!$C28),E560&lt;&gt;0),J560+2*(AB560-J560)/3,PlotData!$CB$4)</f>
        <v>0</v>
      </c>
      <c r="W560" s="1035">
        <f>IF(AND(ISNUMBER(System!$C28),E560&lt;&gt;0),IF(E560&gt;0,U560,V560) -E560*$N$1*$E$1*D560,PlotData!$CB$4)</f>
        <v>0</v>
      </c>
      <c r="X560" s="1031">
        <f>IF(AND(ISNUMBER(System!$C28),E560&lt;&gt;0),System!BD146-$J$1*MIN($E$1,B472)*D472 - $H$1*$E$1*C472,PlotData!$CB$3)</f>
        <v>0</v>
      </c>
      <c r="Y560" s="1033">
        <f>IF(AND(ISNUMBER(System!$C28),E560&lt;&gt;0),X560 - $E$1*C560,PlotData!$CB$3)</f>
        <v>0</v>
      </c>
      <c r="Z560" s="1032">
        <f>IF(AND(ISNUMBER(System!$C28),E560&lt;&gt;0),IF(E560&gt;0,X560,Y560)- E560*$N$1*$E$1*C560,PlotData!$CB$3)</f>
        <v>0</v>
      </c>
      <c r="AA560" s="1033">
        <f>IF(AND(ISNUMBER(System!$C28),E560&lt;&gt;0),System!BF146+$J$1*MIN($E$1,B560)*C560 - $H$1*$E$1*D560,PlotData!$CB$4)</f>
        <v>0</v>
      </c>
      <c r="AB560" s="1033">
        <f>IF(AND(ISNUMBER(System!$C28),E560&lt;&gt;0),AA560 - $E$1*D560,PlotData!$CB$4)</f>
        <v>0</v>
      </c>
      <c r="AC560" s="1035">
        <f>IF(AND(ISNUMBER(System!$C28),E560&lt;&gt;0),IF(E560&gt;0,AA560,AB560) -E560* $N$1*$E$1*D560,PlotData!$CB$4)</f>
        <v>0</v>
      </c>
      <c r="AD560" s="1036">
        <f>IF(AND(ISNUMBER(System!$C28),E560&lt;&gt;0),AF560-$AQ$539/4,PlotData!$CB$3)</f>
        <v>0</v>
      </c>
      <c r="AE560" s="1032">
        <f>IF(AND(ISNUMBER(System!$C28),E560&lt;&gt;0),AG560-$AQ$538,PlotData!$CB$4)</f>
        <v>0</v>
      </c>
      <c r="AF560" s="1031">
        <f>IF(AND(ISNUMBER(System!$C28),E560&lt;&gt;0),M560 +IF(C560=0,-1,1)*IF(D560=0,-4,1)*AQ$536+(S560-M560)/2,PlotData!$CB$3)</f>
        <v>0</v>
      </c>
      <c r="AG560" s="1035">
        <f>IF(AND(ISNUMBER(System!$C28),E560&lt;&gt;0),P560-IF(D560=0,0,1)*$AQ$537+(V560-P560)/2,PlotData!$CB$4)</f>
        <v>0</v>
      </c>
      <c r="AH560" s="1034">
        <f>IF(AND(ISNUMBER(System!$C28),E560&lt;&gt;0),AF560+$AQ$539/4,PlotData!$CB$3)</f>
        <v>0</v>
      </c>
      <c r="AI560" s="1035">
        <f>IF(AND(ISNUMBER(System!$C28),E560&lt;&gt;0),AE560,PlotData!$CB$4)</f>
        <v>0</v>
      </c>
      <c r="AJ560" s="1031">
        <f>IF(AND(ISNUMBER(System!$C28),E560&lt;&gt;0),AH560+$AQ$539/4,PlotData!$CB$3)</f>
        <v>0</v>
      </c>
      <c r="AK560" s="1035">
        <f t="shared" si="201"/>
        <v>0</v>
      </c>
      <c r="AL560" s="1031">
        <f>IF(AND(ISNUMBER(System!$C28),E560&lt;&gt;0),AJ560+$AQ$539/4,PlotData!$CB$3)</f>
        <v>0</v>
      </c>
      <c r="AM560" s="1035">
        <f t="shared" si="202"/>
        <v>0</v>
      </c>
    </row>
    <row r="561" spans="1:39" x14ac:dyDescent="0.25">
      <c r="A561" s="910">
        <v>26</v>
      </c>
      <c r="B561" s="1031">
        <f t="shared" si="200"/>
        <v>0</v>
      </c>
      <c r="C561" s="1033">
        <f t="shared" si="200"/>
        <v>0</v>
      </c>
      <c r="D561" s="1029">
        <f t="shared" si="200"/>
        <v>0</v>
      </c>
      <c r="E561" s="1030">
        <f>IF(AND(ISNUMBER(System!$C29),System!AO29&lt;&gt;0),SIGN(System!AO29),0)</f>
        <v>0</v>
      </c>
      <c r="F561" s="1031">
        <f>IF(AND(ISNUMBER(System!$C29),E561&lt;&gt;0),System!BC147+$J$1*MIN($E$1,B561)*D561 -$H$1*$E$1*C561,PlotData!$CB$3)</f>
        <v>0</v>
      </c>
      <c r="G561" s="1032">
        <f>IF(AND(ISNUMBER(System!$C29),E561&lt;&gt;0),F561 - $E$1*C561,PlotData!$CB$3)</f>
        <v>0</v>
      </c>
      <c r="H561" s="1033">
        <f>IF(AND(ISNUMBER(System!$C29),E561&lt;&gt;0),IF(E561&gt;0,F561,G561)- E561*$N$1*$E$1*C561,PlotData!$CB$3)</f>
        <v>0</v>
      </c>
      <c r="I561" s="1033">
        <f>IF(AND(ISNUMBER(System!$C29),E561&lt;&gt;0),System!BE147-$J$1*MIN($E$1,B561)*C561 - $H$1*$E$1*D561,PlotData!$CB$4)</f>
        <v>0</v>
      </c>
      <c r="J561" s="1029">
        <f>IF(AND(ISNUMBER(System!$C29),E561&lt;&gt;0),I561- $E$1*D561,PlotData!$CB$4)</f>
        <v>0</v>
      </c>
      <c r="K561" s="1030">
        <f>IF(AND(ISNUMBER(System!$C29),E561&lt;&gt;0),IF(E561&gt;0,I561,J561)-E561* $N$1*$E$1*D561,PlotData!$CB$4)</f>
        <v>0</v>
      </c>
      <c r="L561" s="1034">
        <f>IF(AND(ISNUMBER(System!$C29),E561&lt;&gt;0),F561+(X561-F561)/3,PlotData!$CB$3)</f>
        <v>0</v>
      </c>
      <c r="M561" s="1033">
        <f>IF(AND(ISNUMBER(System!$C29),E561&lt;&gt;0),G561+(Y561-G561)/3,PlotData!$CB$3)</f>
        <v>0</v>
      </c>
      <c r="N561" s="1032">
        <f>IF(AND(ISNUMBER(System!$C29),E561&lt;&gt;0),IF(E561&gt;0,L561,M561)- E561*$N$1*$E$1*C561,PlotData!$CB$3)</f>
        <v>0</v>
      </c>
      <c r="O561" s="1033">
        <f>IF(AND(ISNUMBER(System!$C29),E561&lt;&gt;0),I561+(AA561-I561)/3,PlotData!$CB$4)</f>
        <v>0</v>
      </c>
      <c r="P561" s="1033">
        <f>IF(AND(ISNUMBER(System!$C29),E561&lt;&gt;0),J561+(AB561-J561)/3,PlotData!$CB$4)</f>
        <v>0</v>
      </c>
      <c r="Q561" s="1035">
        <f>IF(AND(ISNUMBER(System!$C29),E561&lt;&gt;0),IF(E561&gt;0,O561,P561) -E561 *$N$1*$E$1*D561,PlotData!$CB$4)</f>
        <v>0</v>
      </c>
      <c r="R561" s="1031">
        <f>IF(AND(ISNUMBER(System!$C29),E561&lt;&gt;0),F561+2*(X561-F561)/3,PlotData!$CB$3)</f>
        <v>0</v>
      </c>
      <c r="S561" s="1033">
        <f>IF(AND(ISNUMBER(System!$C29),E561&lt;&gt;0),G561+2*(Y561-G561)/3,PlotData!$CB$3)</f>
        <v>0</v>
      </c>
      <c r="T561" s="1032">
        <f>IF(AND(ISNUMBER(System!$C29),E561&lt;&gt;0),IF(E561&gt;0,R561,S561)- E561*$N$1*$E$1*C561,PlotData!$CB$3)</f>
        <v>0</v>
      </c>
      <c r="U561" s="1033">
        <f>IF(AND(ISNUMBER(System!$C29),E561&lt;&gt;0),I561+2*(AA561-I561)/3,PlotData!$CB$4)</f>
        <v>0</v>
      </c>
      <c r="V561" s="1033">
        <f>IF(AND(ISNUMBER(System!$C29),E561&lt;&gt;0),J561+2*(AB561-J561)/3,PlotData!$CB$4)</f>
        <v>0</v>
      </c>
      <c r="W561" s="1035">
        <f>IF(AND(ISNUMBER(System!$C29),E561&lt;&gt;0),IF(E561&gt;0,U561,V561) -E561*$N$1*$E$1*D561,PlotData!$CB$4)</f>
        <v>0</v>
      </c>
      <c r="X561" s="1031">
        <f>IF(AND(ISNUMBER(System!$C29),E561&lt;&gt;0),System!BD147-$J$1*MIN($E$1,B473)*D473 - $H$1*$E$1*C473,PlotData!$CB$3)</f>
        <v>0</v>
      </c>
      <c r="Y561" s="1033">
        <f>IF(AND(ISNUMBER(System!$C29),E561&lt;&gt;0),X561 - $E$1*C561,PlotData!$CB$3)</f>
        <v>0</v>
      </c>
      <c r="Z561" s="1032">
        <f>IF(AND(ISNUMBER(System!$C29),E561&lt;&gt;0),IF(E561&gt;0,X561,Y561)- E561*$N$1*$E$1*C561,PlotData!$CB$3)</f>
        <v>0</v>
      </c>
      <c r="AA561" s="1033">
        <f>IF(AND(ISNUMBER(System!$C29),E561&lt;&gt;0),System!BF147+$J$1*MIN($E$1,B561)*C561 - $H$1*$E$1*D561,PlotData!$CB$4)</f>
        <v>0</v>
      </c>
      <c r="AB561" s="1033">
        <f>IF(AND(ISNUMBER(System!$C29),E561&lt;&gt;0),AA561 - $E$1*D561,PlotData!$CB$4)</f>
        <v>0</v>
      </c>
      <c r="AC561" s="1035">
        <f>IF(AND(ISNUMBER(System!$C29),E561&lt;&gt;0),IF(E561&gt;0,AA561,AB561) -E561* $N$1*$E$1*D561,PlotData!$CB$4)</f>
        <v>0</v>
      </c>
      <c r="AD561" s="1036">
        <f>IF(AND(ISNUMBER(System!$C29),E561&lt;&gt;0),AF561-$AQ$539/4,PlotData!$CB$3)</f>
        <v>0</v>
      </c>
      <c r="AE561" s="1032">
        <f>IF(AND(ISNUMBER(System!$C29),E561&lt;&gt;0),AG561-$AQ$538,PlotData!$CB$4)</f>
        <v>0</v>
      </c>
      <c r="AF561" s="1031">
        <f>IF(AND(ISNUMBER(System!$C29),E561&lt;&gt;0),M561 +IF(C561=0,-1,1)*IF(D561=0,-4,1)*AQ$536+(S561-M561)/2,PlotData!$CB$3)</f>
        <v>0</v>
      </c>
      <c r="AG561" s="1035">
        <f>IF(AND(ISNUMBER(System!$C29),E561&lt;&gt;0),P561-IF(D561=0,0,1)*$AQ$537+(V561-P561)/2,PlotData!$CB$4)</f>
        <v>0</v>
      </c>
      <c r="AH561" s="1034">
        <f>IF(AND(ISNUMBER(System!$C29),E561&lt;&gt;0),AF561+$AQ$539/4,PlotData!$CB$3)</f>
        <v>0</v>
      </c>
      <c r="AI561" s="1035">
        <f>IF(AND(ISNUMBER(System!$C29),E561&lt;&gt;0),AE561,PlotData!$CB$4)</f>
        <v>0</v>
      </c>
      <c r="AJ561" s="1031">
        <f>IF(AND(ISNUMBER(System!$C29),E561&lt;&gt;0),AH561+$AQ$539/4,PlotData!$CB$3)</f>
        <v>0</v>
      </c>
      <c r="AK561" s="1035">
        <f t="shared" si="201"/>
        <v>0</v>
      </c>
      <c r="AL561" s="1031">
        <f>IF(AND(ISNUMBER(System!$C29),E561&lt;&gt;0),AJ561+$AQ$539/4,PlotData!$CB$3)</f>
        <v>0</v>
      </c>
      <c r="AM561" s="1035">
        <f t="shared" si="202"/>
        <v>0</v>
      </c>
    </row>
    <row r="562" spans="1:39" x14ac:dyDescent="0.25">
      <c r="A562" s="910">
        <v>27</v>
      </c>
      <c r="B562" s="1031">
        <f t="shared" si="200"/>
        <v>0</v>
      </c>
      <c r="C562" s="1033">
        <f t="shared" si="200"/>
        <v>0</v>
      </c>
      <c r="D562" s="1029">
        <f t="shared" si="200"/>
        <v>0</v>
      </c>
      <c r="E562" s="1030">
        <f>IF(AND(ISNUMBER(System!$C30),System!AO30&lt;&gt;0),SIGN(System!AO30),0)</f>
        <v>0</v>
      </c>
      <c r="F562" s="1031">
        <f>IF(AND(ISNUMBER(System!$C30),E562&lt;&gt;0),System!BC148+$J$1*MIN($E$1,B562)*D562 -$H$1*$E$1*C562,PlotData!$CB$3)</f>
        <v>0</v>
      </c>
      <c r="G562" s="1032">
        <f>IF(AND(ISNUMBER(System!$C30),E562&lt;&gt;0),F562 - $E$1*C562,PlotData!$CB$3)</f>
        <v>0</v>
      </c>
      <c r="H562" s="1033">
        <f>IF(AND(ISNUMBER(System!$C30),E562&lt;&gt;0),IF(E562&gt;0,F562,G562)- E562*$N$1*$E$1*C562,PlotData!$CB$3)</f>
        <v>0</v>
      </c>
      <c r="I562" s="1033">
        <f>IF(AND(ISNUMBER(System!$C30),E562&lt;&gt;0),System!BE148-$J$1*MIN($E$1,B562)*C562 - $H$1*$E$1*D562,PlotData!$CB$4)</f>
        <v>0</v>
      </c>
      <c r="J562" s="1029">
        <f>IF(AND(ISNUMBER(System!$C30),E562&lt;&gt;0),I562- $E$1*D562,PlotData!$CB$4)</f>
        <v>0</v>
      </c>
      <c r="K562" s="1030">
        <f>IF(AND(ISNUMBER(System!$C30),E562&lt;&gt;0),IF(E562&gt;0,I562,J562)-E562* $N$1*$E$1*D562,PlotData!$CB$4)</f>
        <v>0</v>
      </c>
      <c r="L562" s="1034">
        <f>IF(AND(ISNUMBER(System!$C30),E562&lt;&gt;0),F562+(X562-F562)/3,PlotData!$CB$3)</f>
        <v>0</v>
      </c>
      <c r="M562" s="1033">
        <f>IF(AND(ISNUMBER(System!$C30),E562&lt;&gt;0),G562+(Y562-G562)/3,PlotData!$CB$3)</f>
        <v>0</v>
      </c>
      <c r="N562" s="1032">
        <f>IF(AND(ISNUMBER(System!$C30),E562&lt;&gt;0),IF(E562&gt;0,L562,M562)- E562*$N$1*$E$1*C562,PlotData!$CB$3)</f>
        <v>0</v>
      </c>
      <c r="O562" s="1033">
        <f>IF(AND(ISNUMBER(System!$C30),E562&lt;&gt;0),I562+(AA562-I562)/3,PlotData!$CB$4)</f>
        <v>0</v>
      </c>
      <c r="P562" s="1033">
        <f>IF(AND(ISNUMBER(System!$C30),E562&lt;&gt;0),J562+(AB562-J562)/3,PlotData!$CB$4)</f>
        <v>0</v>
      </c>
      <c r="Q562" s="1035">
        <f>IF(AND(ISNUMBER(System!$C30),E562&lt;&gt;0),IF(E562&gt;0,O562,P562) -E562 *$N$1*$E$1*D562,PlotData!$CB$4)</f>
        <v>0</v>
      </c>
      <c r="R562" s="1031">
        <f>IF(AND(ISNUMBER(System!$C30),E562&lt;&gt;0),F562+2*(X562-F562)/3,PlotData!$CB$3)</f>
        <v>0</v>
      </c>
      <c r="S562" s="1033">
        <f>IF(AND(ISNUMBER(System!$C30),E562&lt;&gt;0),G562+2*(Y562-G562)/3,PlotData!$CB$3)</f>
        <v>0</v>
      </c>
      <c r="T562" s="1032">
        <f>IF(AND(ISNUMBER(System!$C30),E562&lt;&gt;0),IF(E562&gt;0,R562,S562)- E562*$N$1*$E$1*C562,PlotData!$CB$3)</f>
        <v>0</v>
      </c>
      <c r="U562" s="1033">
        <f>IF(AND(ISNUMBER(System!$C30),E562&lt;&gt;0),I562+2*(AA562-I562)/3,PlotData!$CB$4)</f>
        <v>0</v>
      </c>
      <c r="V562" s="1033">
        <f>IF(AND(ISNUMBER(System!$C30),E562&lt;&gt;0),J562+2*(AB562-J562)/3,PlotData!$CB$4)</f>
        <v>0</v>
      </c>
      <c r="W562" s="1035">
        <f>IF(AND(ISNUMBER(System!$C30),E562&lt;&gt;0),IF(E562&gt;0,U562,V562) -E562*$N$1*$E$1*D562,PlotData!$CB$4)</f>
        <v>0</v>
      </c>
      <c r="X562" s="1031">
        <f>IF(AND(ISNUMBER(System!$C30),E562&lt;&gt;0),System!BD148-$J$1*MIN($E$1,B474)*D474 - $H$1*$E$1*C474,PlotData!$CB$3)</f>
        <v>0</v>
      </c>
      <c r="Y562" s="1033">
        <f>IF(AND(ISNUMBER(System!$C30),E562&lt;&gt;0),X562 - $E$1*C562,PlotData!$CB$3)</f>
        <v>0</v>
      </c>
      <c r="Z562" s="1032">
        <f>IF(AND(ISNUMBER(System!$C30),E562&lt;&gt;0),IF(E562&gt;0,X562,Y562)- E562*$N$1*$E$1*C562,PlotData!$CB$3)</f>
        <v>0</v>
      </c>
      <c r="AA562" s="1033">
        <f>IF(AND(ISNUMBER(System!$C30),E562&lt;&gt;0),System!BF148+$J$1*MIN($E$1,B562)*C562 - $H$1*$E$1*D562,PlotData!$CB$4)</f>
        <v>0</v>
      </c>
      <c r="AB562" s="1033">
        <f>IF(AND(ISNUMBER(System!$C30),E562&lt;&gt;0),AA562 - $E$1*D562,PlotData!$CB$4)</f>
        <v>0</v>
      </c>
      <c r="AC562" s="1035">
        <f>IF(AND(ISNUMBER(System!$C30),E562&lt;&gt;0),IF(E562&gt;0,AA562,AB562) -E562* $N$1*$E$1*D562,PlotData!$CB$4)</f>
        <v>0</v>
      </c>
      <c r="AD562" s="1036">
        <f>IF(AND(ISNUMBER(System!$C30),E562&lt;&gt;0),AF562-$AQ$539/4,PlotData!$CB$3)</f>
        <v>0</v>
      </c>
      <c r="AE562" s="1032">
        <f>IF(AND(ISNUMBER(System!$C30),E562&lt;&gt;0),AG562-$AQ$538,PlotData!$CB$4)</f>
        <v>0</v>
      </c>
      <c r="AF562" s="1031">
        <f>IF(AND(ISNUMBER(System!$C30),E562&lt;&gt;0),M562 +IF(C562=0,-1,1)*IF(D562=0,-4,1)*AQ$536+(S562-M562)/2,PlotData!$CB$3)</f>
        <v>0</v>
      </c>
      <c r="AG562" s="1035">
        <f>IF(AND(ISNUMBER(System!$C30),E562&lt;&gt;0),P562-IF(D562=0,0,1)*$AQ$537+(V562-P562)/2,PlotData!$CB$4)</f>
        <v>0</v>
      </c>
      <c r="AH562" s="1034">
        <f>IF(AND(ISNUMBER(System!$C30),E562&lt;&gt;0),AF562+$AQ$539/4,PlotData!$CB$3)</f>
        <v>0</v>
      </c>
      <c r="AI562" s="1035">
        <f>IF(AND(ISNUMBER(System!$C30),E562&lt;&gt;0),AE562,PlotData!$CB$4)</f>
        <v>0</v>
      </c>
      <c r="AJ562" s="1031">
        <f>IF(AND(ISNUMBER(System!$C30),E562&lt;&gt;0),AH562+$AQ$539/4,PlotData!$CB$3)</f>
        <v>0</v>
      </c>
      <c r="AK562" s="1035">
        <f t="shared" si="201"/>
        <v>0</v>
      </c>
      <c r="AL562" s="1031">
        <f>IF(AND(ISNUMBER(System!$C30),E562&lt;&gt;0),AJ562+$AQ$539/4,PlotData!$CB$3)</f>
        <v>0</v>
      </c>
      <c r="AM562" s="1035">
        <f t="shared" si="202"/>
        <v>0</v>
      </c>
    </row>
    <row r="563" spans="1:39" x14ac:dyDescent="0.25">
      <c r="A563" s="910">
        <v>28</v>
      </c>
      <c r="B563" s="1031">
        <f t="shared" si="200"/>
        <v>0</v>
      </c>
      <c r="C563" s="1033">
        <f t="shared" si="200"/>
        <v>0</v>
      </c>
      <c r="D563" s="1029">
        <f t="shared" si="200"/>
        <v>0</v>
      </c>
      <c r="E563" s="1030">
        <f>IF(AND(ISNUMBER(System!$C31),System!AO31&lt;&gt;0),SIGN(System!AO31),0)</f>
        <v>0</v>
      </c>
      <c r="F563" s="1031">
        <f>IF(AND(ISNUMBER(System!$C31),E563&lt;&gt;0),System!BC149+$J$1*MIN($E$1,B563)*D563 -$H$1*$E$1*C563,PlotData!$CB$3)</f>
        <v>0</v>
      </c>
      <c r="G563" s="1032">
        <f>IF(AND(ISNUMBER(System!$C31),E563&lt;&gt;0),F563 - $E$1*C563,PlotData!$CB$3)</f>
        <v>0</v>
      </c>
      <c r="H563" s="1033">
        <f>IF(AND(ISNUMBER(System!$C31),E563&lt;&gt;0),IF(E563&gt;0,F563,G563)- E563*$N$1*$E$1*C563,PlotData!$CB$3)</f>
        <v>0</v>
      </c>
      <c r="I563" s="1033">
        <f>IF(AND(ISNUMBER(System!$C31),E563&lt;&gt;0),System!BE149-$J$1*MIN($E$1,B563)*C563 - $H$1*$E$1*D563,PlotData!$CB$4)</f>
        <v>0</v>
      </c>
      <c r="J563" s="1029">
        <f>IF(AND(ISNUMBER(System!$C31),E563&lt;&gt;0),I563- $E$1*D563,PlotData!$CB$4)</f>
        <v>0</v>
      </c>
      <c r="K563" s="1030">
        <f>IF(AND(ISNUMBER(System!$C31),E563&lt;&gt;0),IF(E563&gt;0,I563,J563)-E563* $N$1*$E$1*D563,PlotData!$CB$4)</f>
        <v>0</v>
      </c>
      <c r="L563" s="1034">
        <f>IF(AND(ISNUMBER(System!$C31),E563&lt;&gt;0),F563+(X563-F563)/3,PlotData!$CB$3)</f>
        <v>0</v>
      </c>
      <c r="M563" s="1033">
        <f>IF(AND(ISNUMBER(System!$C31),E563&lt;&gt;0),G563+(Y563-G563)/3,PlotData!$CB$3)</f>
        <v>0</v>
      </c>
      <c r="N563" s="1032">
        <f>IF(AND(ISNUMBER(System!$C31),E563&lt;&gt;0),IF(E563&gt;0,L563,M563)- E563*$N$1*$E$1*C563,PlotData!$CB$3)</f>
        <v>0</v>
      </c>
      <c r="O563" s="1033">
        <f>IF(AND(ISNUMBER(System!$C31),E563&lt;&gt;0),I563+(AA563-I563)/3,PlotData!$CB$4)</f>
        <v>0</v>
      </c>
      <c r="P563" s="1033">
        <f>IF(AND(ISNUMBER(System!$C31),E563&lt;&gt;0),J563+(AB563-J563)/3,PlotData!$CB$4)</f>
        <v>0</v>
      </c>
      <c r="Q563" s="1035">
        <f>IF(AND(ISNUMBER(System!$C31),E563&lt;&gt;0),IF(E563&gt;0,O563,P563) -E563 *$N$1*$E$1*D563,PlotData!$CB$4)</f>
        <v>0</v>
      </c>
      <c r="R563" s="1031">
        <f>IF(AND(ISNUMBER(System!$C31),E563&lt;&gt;0),F563+2*(X563-F563)/3,PlotData!$CB$3)</f>
        <v>0</v>
      </c>
      <c r="S563" s="1033">
        <f>IF(AND(ISNUMBER(System!$C31),E563&lt;&gt;0),G563+2*(Y563-G563)/3,PlotData!$CB$3)</f>
        <v>0</v>
      </c>
      <c r="T563" s="1032">
        <f>IF(AND(ISNUMBER(System!$C31),E563&lt;&gt;0),IF(E563&gt;0,R563,S563)- E563*$N$1*$E$1*C563,PlotData!$CB$3)</f>
        <v>0</v>
      </c>
      <c r="U563" s="1033">
        <f>IF(AND(ISNUMBER(System!$C31),E563&lt;&gt;0),I563+2*(AA563-I563)/3,PlotData!$CB$4)</f>
        <v>0</v>
      </c>
      <c r="V563" s="1033">
        <f>IF(AND(ISNUMBER(System!$C31),E563&lt;&gt;0),J563+2*(AB563-J563)/3,PlotData!$CB$4)</f>
        <v>0</v>
      </c>
      <c r="W563" s="1035">
        <f>IF(AND(ISNUMBER(System!$C31),E563&lt;&gt;0),IF(E563&gt;0,U563,V563) -E563*$N$1*$E$1*D563,PlotData!$CB$4)</f>
        <v>0</v>
      </c>
      <c r="X563" s="1031">
        <f>IF(AND(ISNUMBER(System!$C31),E563&lt;&gt;0),System!BD149-$J$1*MIN($E$1,B475)*D475 - $H$1*$E$1*C475,PlotData!$CB$3)</f>
        <v>0</v>
      </c>
      <c r="Y563" s="1033">
        <f>IF(AND(ISNUMBER(System!$C31),E563&lt;&gt;0),X563 - $E$1*C563,PlotData!$CB$3)</f>
        <v>0</v>
      </c>
      <c r="Z563" s="1032">
        <f>IF(AND(ISNUMBER(System!$C31),E563&lt;&gt;0),IF(E563&gt;0,X563,Y563)- E563*$N$1*$E$1*C563,PlotData!$CB$3)</f>
        <v>0</v>
      </c>
      <c r="AA563" s="1033">
        <f>IF(AND(ISNUMBER(System!$C31),E563&lt;&gt;0),System!BF149+$J$1*MIN($E$1,B563)*C563 - $H$1*$E$1*D563,PlotData!$CB$4)</f>
        <v>0</v>
      </c>
      <c r="AB563" s="1033">
        <f>IF(AND(ISNUMBER(System!$C31),E563&lt;&gt;0),AA563 - $E$1*D563,PlotData!$CB$4)</f>
        <v>0</v>
      </c>
      <c r="AC563" s="1035">
        <f>IF(AND(ISNUMBER(System!$C31),E563&lt;&gt;0),IF(E563&gt;0,AA563,AB563) -E563* $N$1*$E$1*D563,PlotData!$CB$4)</f>
        <v>0</v>
      </c>
      <c r="AD563" s="1036">
        <f>IF(AND(ISNUMBER(System!$C31),E563&lt;&gt;0),AF563-$AQ$539/4,PlotData!$CB$3)</f>
        <v>0</v>
      </c>
      <c r="AE563" s="1032">
        <f>IF(AND(ISNUMBER(System!$C31),E563&lt;&gt;0),AG563-$AQ$538,PlotData!$CB$4)</f>
        <v>0</v>
      </c>
      <c r="AF563" s="1031">
        <f>IF(AND(ISNUMBER(System!$C31),E563&lt;&gt;0),M563 +IF(C563=0,-1,1)*IF(D563=0,-4,1)*AQ$536+(S563-M563)/2,PlotData!$CB$3)</f>
        <v>0</v>
      </c>
      <c r="AG563" s="1035">
        <f>IF(AND(ISNUMBER(System!$C31),E563&lt;&gt;0),P563-IF(D563=0,0,1)*$AQ$537+(V563-P563)/2,PlotData!$CB$4)</f>
        <v>0</v>
      </c>
      <c r="AH563" s="1034">
        <f>IF(AND(ISNUMBER(System!$C31),E563&lt;&gt;0),AF563+$AQ$539/4,PlotData!$CB$3)</f>
        <v>0</v>
      </c>
      <c r="AI563" s="1035">
        <f>IF(AND(ISNUMBER(System!$C31),E563&lt;&gt;0),AE563,PlotData!$CB$4)</f>
        <v>0</v>
      </c>
      <c r="AJ563" s="1031">
        <f>IF(AND(ISNUMBER(System!$C31),E563&lt;&gt;0),AH563+$AQ$539/4,PlotData!$CB$3)</f>
        <v>0</v>
      </c>
      <c r="AK563" s="1035">
        <f t="shared" si="201"/>
        <v>0</v>
      </c>
      <c r="AL563" s="1031">
        <f>IF(AND(ISNUMBER(System!$C31),E563&lt;&gt;0),AJ563+$AQ$539/4,PlotData!$CB$3)</f>
        <v>0</v>
      </c>
      <c r="AM563" s="1035">
        <f t="shared" si="202"/>
        <v>0</v>
      </c>
    </row>
    <row r="564" spans="1:39" x14ac:dyDescent="0.25">
      <c r="A564" s="910">
        <v>29</v>
      </c>
      <c r="B564" s="1031">
        <f t="shared" si="200"/>
        <v>0</v>
      </c>
      <c r="C564" s="1033">
        <f t="shared" si="200"/>
        <v>0</v>
      </c>
      <c r="D564" s="1029">
        <f t="shared" si="200"/>
        <v>0</v>
      </c>
      <c r="E564" s="1030">
        <f>IF(AND(ISNUMBER(System!$C32),System!AO32&lt;&gt;0),SIGN(System!AO32),0)</f>
        <v>0</v>
      </c>
      <c r="F564" s="1031">
        <f>IF(AND(ISNUMBER(System!$C32),E564&lt;&gt;0),System!BC150+$J$1*MIN($E$1,B564)*D564 -$H$1*$E$1*C564,PlotData!$CB$3)</f>
        <v>0</v>
      </c>
      <c r="G564" s="1032">
        <f>IF(AND(ISNUMBER(System!$C32),E564&lt;&gt;0),F564 - $E$1*C564,PlotData!$CB$3)</f>
        <v>0</v>
      </c>
      <c r="H564" s="1033">
        <f>IF(AND(ISNUMBER(System!$C32),E564&lt;&gt;0),IF(E564&gt;0,F564,G564)- E564*$N$1*$E$1*C564,PlotData!$CB$3)</f>
        <v>0</v>
      </c>
      <c r="I564" s="1033">
        <f>IF(AND(ISNUMBER(System!$C32),E564&lt;&gt;0),System!BE150-$J$1*MIN($E$1,B564)*C564 - $H$1*$E$1*D564,PlotData!$CB$4)</f>
        <v>0</v>
      </c>
      <c r="J564" s="1029">
        <f>IF(AND(ISNUMBER(System!$C32),E564&lt;&gt;0),I564- $E$1*D564,PlotData!$CB$4)</f>
        <v>0</v>
      </c>
      <c r="K564" s="1030">
        <f>IF(AND(ISNUMBER(System!$C32),E564&lt;&gt;0),IF(E564&gt;0,I564,J564)-E564* $N$1*$E$1*D564,PlotData!$CB$4)</f>
        <v>0</v>
      </c>
      <c r="L564" s="1034">
        <f>IF(AND(ISNUMBER(System!$C32),E564&lt;&gt;0),F564+(X564-F564)/3,PlotData!$CB$3)</f>
        <v>0</v>
      </c>
      <c r="M564" s="1033">
        <f>IF(AND(ISNUMBER(System!$C32),E564&lt;&gt;0),G564+(Y564-G564)/3,PlotData!$CB$3)</f>
        <v>0</v>
      </c>
      <c r="N564" s="1032">
        <f>IF(AND(ISNUMBER(System!$C32),E564&lt;&gt;0),IF(E564&gt;0,L564,M564)- E564*$N$1*$E$1*C564,PlotData!$CB$3)</f>
        <v>0</v>
      </c>
      <c r="O564" s="1033">
        <f>IF(AND(ISNUMBER(System!$C32),E564&lt;&gt;0),I564+(AA564-I564)/3,PlotData!$CB$4)</f>
        <v>0</v>
      </c>
      <c r="P564" s="1033">
        <f>IF(AND(ISNUMBER(System!$C32),E564&lt;&gt;0),J564+(AB564-J564)/3,PlotData!$CB$4)</f>
        <v>0</v>
      </c>
      <c r="Q564" s="1035">
        <f>IF(AND(ISNUMBER(System!$C32),E564&lt;&gt;0),IF(E564&gt;0,O564,P564) -E564 *$N$1*$E$1*D564,PlotData!$CB$4)</f>
        <v>0</v>
      </c>
      <c r="R564" s="1031">
        <f>IF(AND(ISNUMBER(System!$C32),E564&lt;&gt;0),F564+2*(X564-F564)/3,PlotData!$CB$3)</f>
        <v>0</v>
      </c>
      <c r="S564" s="1033">
        <f>IF(AND(ISNUMBER(System!$C32),E564&lt;&gt;0),G564+2*(Y564-G564)/3,PlotData!$CB$3)</f>
        <v>0</v>
      </c>
      <c r="T564" s="1032">
        <f>IF(AND(ISNUMBER(System!$C32),E564&lt;&gt;0),IF(E564&gt;0,R564,S564)- E564*$N$1*$E$1*C564,PlotData!$CB$3)</f>
        <v>0</v>
      </c>
      <c r="U564" s="1033">
        <f>IF(AND(ISNUMBER(System!$C32),E564&lt;&gt;0),I564+2*(AA564-I564)/3,PlotData!$CB$4)</f>
        <v>0</v>
      </c>
      <c r="V564" s="1033">
        <f>IF(AND(ISNUMBER(System!$C32),E564&lt;&gt;0),J564+2*(AB564-J564)/3,PlotData!$CB$4)</f>
        <v>0</v>
      </c>
      <c r="W564" s="1035">
        <f>IF(AND(ISNUMBER(System!$C32),E564&lt;&gt;0),IF(E564&gt;0,U564,V564) -E564*$N$1*$E$1*D564,PlotData!$CB$4)</f>
        <v>0</v>
      </c>
      <c r="X564" s="1031">
        <f>IF(AND(ISNUMBER(System!$C32),E564&lt;&gt;0),System!BD150-$J$1*MIN($E$1,B476)*D476 - $H$1*$E$1*C476,PlotData!$CB$3)</f>
        <v>0</v>
      </c>
      <c r="Y564" s="1033">
        <f>IF(AND(ISNUMBER(System!$C32),E564&lt;&gt;0),X564 - $E$1*C564,PlotData!$CB$3)</f>
        <v>0</v>
      </c>
      <c r="Z564" s="1032">
        <f>IF(AND(ISNUMBER(System!$C32),E564&lt;&gt;0),IF(E564&gt;0,X564,Y564)- E564*$N$1*$E$1*C564,PlotData!$CB$3)</f>
        <v>0</v>
      </c>
      <c r="AA564" s="1033">
        <f>IF(AND(ISNUMBER(System!$C32),E564&lt;&gt;0),System!BF150+$J$1*MIN($E$1,B564)*C564 - $H$1*$E$1*D564,PlotData!$CB$4)</f>
        <v>0</v>
      </c>
      <c r="AB564" s="1033">
        <f>IF(AND(ISNUMBER(System!$C32),E564&lt;&gt;0),AA564 - $E$1*D564,PlotData!$CB$4)</f>
        <v>0</v>
      </c>
      <c r="AC564" s="1035">
        <f>IF(AND(ISNUMBER(System!$C32),E564&lt;&gt;0),IF(E564&gt;0,AA564,AB564) -E564* $N$1*$E$1*D564,PlotData!$CB$4)</f>
        <v>0</v>
      </c>
      <c r="AD564" s="1036">
        <f>IF(AND(ISNUMBER(System!$C32),E564&lt;&gt;0),AF564-$AQ$539/4,PlotData!$CB$3)</f>
        <v>0</v>
      </c>
      <c r="AE564" s="1032">
        <f>IF(AND(ISNUMBER(System!$C32),E564&lt;&gt;0),AG564-$AQ$538,PlotData!$CB$4)</f>
        <v>0</v>
      </c>
      <c r="AF564" s="1031">
        <f>IF(AND(ISNUMBER(System!$C32),E564&lt;&gt;0),M564 +IF(C564=0,-1,1)*IF(D564=0,-4,1)*AQ$536+(S564-M564)/2,PlotData!$CB$3)</f>
        <v>0</v>
      </c>
      <c r="AG564" s="1035">
        <f>IF(AND(ISNUMBER(System!$C32),E564&lt;&gt;0),P564-IF(D564=0,0,1)*$AQ$537+(V564-P564)/2,PlotData!$CB$4)</f>
        <v>0</v>
      </c>
      <c r="AH564" s="1034">
        <f>IF(AND(ISNUMBER(System!$C32),E564&lt;&gt;0),AF564+$AQ$539/4,PlotData!$CB$3)</f>
        <v>0</v>
      </c>
      <c r="AI564" s="1035">
        <f>IF(AND(ISNUMBER(System!$C32),E564&lt;&gt;0),AE564,PlotData!$CB$4)</f>
        <v>0</v>
      </c>
      <c r="AJ564" s="1031">
        <f>IF(AND(ISNUMBER(System!$C32),E564&lt;&gt;0),AH564+$AQ$539/4,PlotData!$CB$3)</f>
        <v>0</v>
      </c>
      <c r="AK564" s="1035">
        <f t="shared" si="201"/>
        <v>0</v>
      </c>
      <c r="AL564" s="1031">
        <f>IF(AND(ISNUMBER(System!$C32),E564&lt;&gt;0),AJ564+$AQ$539/4,PlotData!$CB$3)</f>
        <v>0</v>
      </c>
      <c r="AM564" s="1035">
        <f t="shared" si="202"/>
        <v>0</v>
      </c>
    </row>
    <row r="565" spans="1:39" x14ac:dyDescent="0.25">
      <c r="A565" s="910">
        <v>30</v>
      </c>
      <c r="B565" s="1031">
        <f t="shared" si="200"/>
        <v>0</v>
      </c>
      <c r="C565" s="1033">
        <f t="shared" si="200"/>
        <v>0</v>
      </c>
      <c r="D565" s="1029">
        <f t="shared" si="200"/>
        <v>0</v>
      </c>
      <c r="E565" s="1030">
        <f>IF(AND(ISNUMBER(System!$C33),System!AO33&lt;&gt;0),SIGN(System!AO33),0)</f>
        <v>0</v>
      </c>
      <c r="F565" s="1031">
        <f>IF(AND(ISNUMBER(System!$C33),E565&lt;&gt;0),System!BC151+$J$1*MIN($E$1,B565)*D565 -$H$1*$E$1*C565,PlotData!$CB$3)</f>
        <v>0</v>
      </c>
      <c r="G565" s="1032">
        <f>IF(AND(ISNUMBER(System!$C33),E565&lt;&gt;0),F565 - $E$1*C565,PlotData!$CB$3)</f>
        <v>0</v>
      </c>
      <c r="H565" s="1033">
        <f>IF(AND(ISNUMBER(System!$C33),E565&lt;&gt;0),IF(E565&gt;0,F565,G565)- E565*$N$1*$E$1*C565,PlotData!$CB$3)</f>
        <v>0</v>
      </c>
      <c r="I565" s="1033">
        <f>IF(AND(ISNUMBER(System!$C33),E565&lt;&gt;0),System!BE151-$J$1*MIN($E$1,B565)*C565 - $H$1*$E$1*D565,PlotData!$CB$4)</f>
        <v>0</v>
      </c>
      <c r="J565" s="1029">
        <f>IF(AND(ISNUMBER(System!$C33),E565&lt;&gt;0),I565- $E$1*D565,PlotData!$CB$4)</f>
        <v>0</v>
      </c>
      <c r="K565" s="1030">
        <f>IF(AND(ISNUMBER(System!$C33),E565&lt;&gt;0),IF(E565&gt;0,I565,J565)-E565* $N$1*$E$1*D565,PlotData!$CB$4)</f>
        <v>0</v>
      </c>
      <c r="L565" s="1034">
        <f>IF(AND(ISNUMBER(System!$C33),E565&lt;&gt;0),F565+(X565-F565)/3,PlotData!$CB$3)</f>
        <v>0</v>
      </c>
      <c r="M565" s="1033">
        <f>IF(AND(ISNUMBER(System!$C33),E565&lt;&gt;0),G565+(Y565-G565)/3,PlotData!$CB$3)</f>
        <v>0</v>
      </c>
      <c r="N565" s="1032">
        <f>IF(AND(ISNUMBER(System!$C33),E565&lt;&gt;0),IF(E565&gt;0,L565,M565)- E565*$N$1*$E$1*C565,PlotData!$CB$3)</f>
        <v>0</v>
      </c>
      <c r="O565" s="1033">
        <f>IF(AND(ISNUMBER(System!$C33),E565&lt;&gt;0),I565+(AA565-I565)/3,PlotData!$CB$4)</f>
        <v>0</v>
      </c>
      <c r="P565" s="1033">
        <f>IF(AND(ISNUMBER(System!$C33),E565&lt;&gt;0),J565+(AB565-J565)/3,PlotData!$CB$4)</f>
        <v>0</v>
      </c>
      <c r="Q565" s="1035">
        <f>IF(AND(ISNUMBER(System!$C33),E565&lt;&gt;0),IF(E565&gt;0,O565,P565) -E565 *$N$1*$E$1*D565,PlotData!$CB$4)</f>
        <v>0</v>
      </c>
      <c r="R565" s="1031">
        <f>IF(AND(ISNUMBER(System!$C33),E565&lt;&gt;0),F565+2*(X565-F565)/3,PlotData!$CB$3)</f>
        <v>0</v>
      </c>
      <c r="S565" s="1033">
        <f>IF(AND(ISNUMBER(System!$C33),E565&lt;&gt;0),G565+2*(Y565-G565)/3,PlotData!$CB$3)</f>
        <v>0</v>
      </c>
      <c r="T565" s="1032">
        <f>IF(AND(ISNUMBER(System!$C33),E565&lt;&gt;0),IF(E565&gt;0,R565,S565)- E565*$N$1*$E$1*C565,PlotData!$CB$3)</f>
        <v>0</v>
      </c>
      <c r="U565" s="1033">
        <f>IF(AND(ISNUMBER(System!$C33),E565&lt;&gt;0),I565+2*(AA565-I565)/3,PlotData!$CB$4)</f>
        <v>0</v>
      </c>
      <c r="V565" s="1033">
        <f>IF(AND(ISNUMBER(System!$C33),E565&lt;&gt;0),J565+2*(AB565-J565)/3,PlotData!$CB$4)</f>
        <v>0</v>
      </c>
      <c r="W565" s="1035">
        <f>IF(AND(ISNUMBER(System!$C33),E565&lt;&gt;0),IF(E565&gt;0,U565,V565) -E565*$N$1*$E$1*D565,PlotData!$CB$4)</f>
        <v>0</v>
      </c>
      <c r="X565" s="1031">
        <f>IF(AND(ISNUMBER(System!$C33),E565&lt;&gt;0),System!BD151-$J$1*MIN($E$1,B477)*D477 - $H$1*$E$1*C477,PlotData!$CB$3)</f>
        <v>0</v>
      </c>
      <c r="Y565" s="1033">
        <f>IF(AND(ISNUMBER(System!$C33),E565&lt;&gt;0),X565 - $E$1*C565,PlotData!$CB$3)</f>
        <v>0</v>
      </c>
      <c r="Z565" s="1032">
        <f>IF(AND(ISNUMBER(System!$C33),E565&lt;&gt;0),IF(E565&gt;0,X565,Y565)- E565*$N$1*$E$1*C565,PlotData!$CB$3)</f>
        <v>0</v>
      </c>
      <c r="AA565" s="1033">
        <f>IF(AND(ISNUMBER(System!$C33),E565&lt;&gt;0),System!BF151+$J$1*MIN($E$1,B565)*C565 - $H$1*$E$1*D565,PlotData!$CB$4)</f>
        <v>0</v>
      </c>
      <c r="AB565" s="1033">
        <f>IF(AND(ISNUMBER(System!$C33),E565&lt;&gt;0),AA565 - $E$1*D565,PlotData!$CB$4)</f>
        <v>0</v>
      </c>
      <c r="AC565" s="1035">
        <f>IF(AND(ISNUMBER(System!$C33),E565&lt;&gt;0),IF(E565&gt;0,AA565,AB565) -E565* $N$1*$E$1*D565,PlotData!$CB$4)</f>
        <v>0</v>
      </c>
      <c r="AD565" s="1036">
        <f>IF(AND(ISNUMBER(System!$C33),E565&lt;&gt;0),AF565-$AQ$539/4,PlotData!$CB$3)</f>
        <v>0</v>
      </c>
      <c r="AE565" s="1032">
        <f>IF(AND(ISNUMBER(System!$C33),E565&lt;&gt;0),AG565-$AQ$538,PlotData!$CB$4)</f>
        <v>0</v>
      </c>
      <c r="AF565" s="1031">
        <f>IF(AND(ISNUMBER(System!$C33),E565&lt;&gt;0),M565 +IF(C565=0,-1,1)*IF(D565=0,-4,1)*AQ$536+(S565-M565)/2,PlotData!$CB$3)</f>
        <v>0</v>
      </c>
      <c r="AG565" s="1035">
        <f>IF(AND(ISNUMBER(System!$C33),E565&lt;&gt;0),P565-IF(D565=0,0,1)*$AQ$537+(V565-P565)/2,PlotData!$CB$4)</f>
        <v>0</v>
      </c>
      <c r="AH565" s="1034">
        <f>IF(AND(ISNUMBER(System!$C33),E565&lt;&gt;0),AF565+$AQ$539/4,PlotData!$CB$3)</f>
        <v>0</v>
      </c>
      <c r="AI565" s="1035">
        <f>IF(AND(ISNUMBER(System!$C33),E565&lt;&gt;0),AE565,PlotData!$CB$4)</f>
        <v>0</v>
      </c>
      <c r="AJ565" s="1031">
        <f>IF(AND(ISNUMBER(System!$C33),E565&lt;&gt;0),AH565+$AQ$539/4,PlotData!$CB$3)</f>
        <v>0</v>
      </c>
      <c r="AK565" s="1035">
        <f t="shared" si="201"/>
        <v>0</v>
      </c>
      <c r="AL565" s="1031">
        <f>IF(AND(ISNUMBER(System!$C33),E565&lt;&gt;0),AJ565+$AQ$539/4,PlotData!$CB$3)</f>
        <v>0</v>
      </c>
      <c r="AM565" s="1035">
        <f t="shared" si="202"/>
        <v>0</v>
      </c>
    </row>
    <row r="566" spans="1:39" x14ac:dyDescent="0.25">
      <c r="A566" s="910">
        <v>31</v>
      </c>
      <c r="B566" s="1031">
        <f t="shared" si="200"/>
        <v>0</v>
      </c>
      <c r="C566" s="1033">
        <f t="shared" si="200"/>
        <v>0</v>
      </c>
      <c r="D566" s="1029">
        <f t="shared" si="200"/>
        <v>0</v>
      </c>
      <c r="E566" s="1030">
        <f>IF(AND(ISNUMBER(System!$C34),System!AO34&lt;&gt;0),SIGN(System!AO34),0)</f>
        <v>0</v>
      </c>
      <c r="F566" s="1031">
        <f>IF(AND(ISNUMBER(System!$C34),E566&lt;&gt;0),System!BC152+$J$1*MIN($E$1,B566)*D566 -$H$1*$E$1*C566,PlotData!$CB$3)</f>
        <v>0</v>
      </c>
      <c r="G566" s="1032">
        <f>IF(AND(ISNUMBER(System!$C34),E566&lt;&gt;0),F566 - $E$1*C566,PlotData!$CB$3)</f>
        <v>0</v>
      </c>
      <c r="H566" s="1033">
        <f>IF(AND(ISNUMBER(System!$C34),E566&lt;&gt;0),IF(E566&gt;0,F566,G566)- E566*$N$1*$E$1*C566,PlotData!$CB$3)</f>
        <v>0</v>
      </c>
      <c r="I566" s="1033">
        <f>IF(AND(ISNUMBER(System!$C34),E566&lt;&gt;0),System!BE152-$J$1*MIN($E$1,B566)*C566 - $H$1*$E$1*D566,PlotData!$CB$4)</f>
        <v>0</v>
      </c>
      <c r="J566" s="1029">
        <f>IF(AND(ISNUMBER(System!$C34),E566&lt;&gt;0),I566- $E$1*D566,PlotData!$CB$4)</f>
        <v>0</v>
      </c>
      <c r="K566" s="1030">
        <f>IF(AND(ISNUMBER(System!$C34),E566&lt;&gt;0),IF(E566&gt;0,I566,J566)-E566* $N$1*$E$1*D566,PlotData!$CB$4)</f>
        <v>0</v>
      </c>
      <c r="L566" s="1034">
        <f>IF(AND(ISNUMBER(System!$C34),E566&lt;&gt;0),F566+(X566-F566)/3,PlotData!$CB$3)</f>
        <v>0</v>
      </c>
      <c r="M566" s="1033">
        <f>IF(AND(ISNUMBER(System!$C34),E566&lt;&gt;0),G566+(Y566-G566)/3,PlotData!$CB$3)</f>
        <v>0</v>
      </c>
      <c r="N566" s="1032">
        <f>IF(AND(ISNUMBER(System!$C34),E566&lt;&gt;0),IF(E566&gt;0,L566,M566)- E566*$N$1*$E$1*C566,PlotData!$CB$3)</f>
        <v>0</v>
      </c>
      <c r="O566" s="1033">
        <f>IF(AND(ISNUMBER(System!$C34),E566&lt;&gt;0),I566+(AA566-I566)/3,PlotData!$CB$4)</f>
        <v>0</v>
      </c>
      <c r="P566" s="1033">
        <f>IF(AND(ISNUMBER(System!$C34),E566&lt;&gt;0),J566+(AB566-J566)/3,PlotData!$CB$4)</f>
        <v>0</v>
      </c>
      <c r="Q566" s="1035">
        <f>IF(AND(ISNUMBER(System!$C34),E566&lt;&gt;0),IF(E566&gt;0,O566,P566) -E566 *$N$1*$E$1*D566,PlotData!$CB$4)</f>
        <v>0</v>
      </c>
      <c r="R566" s="1031">
        <f>IF(AND(ISNUMBER(System!$C34),E566&lt;&gt;0),F566+2*(X566-F566)/3,PlotData!$CB$3)</f>
        <v>0</v>
      </c>
      <c r="S566" s="1033">
        <f>IF(AND(ISNUMBER(System!$C34),E566&lt;&gt;0),G566+2*(Y566-G566)/3,PlotData!$CB$3)</f>
        <v>0</v>
      </c>
      <c r="T566" s="1032">
        <f>IF(AND(ISNUMBER(System!$C34),E566&lt;&gt;0),IF(E566&gt;0,R566,S566)- E566*$N$1*$E$1*C566,PlotData!$CB$3)</f>
        <v>0</v>
      </c>
      <c r="U566" s="1033">
        <f>IF(AND(ISNUMBER(System!$C34),E566&lt;&gt;0),I566+2*(AA566-I566)/3,PlotData!$CB$4)</f>
        <v>0</v>
      </c>
      <c r="V566" s="1033">
        <f>IF(AND(ISNUMBER(System!$C34),E566&lt;&gt;0),J566+2*(AB566-J566)/3,PlotData!$CB$4)</f>
        <v>0</v>
      </c>
      <c r="W566" s="1035">
        <f>IF(AND(ISNUMBER(System!$C34),E566&lt;&gt;0),IF(E566&gt;0,U566,V566) -E566*$N$1*$E$1*D566,PlotData!$CB$4)</f>
        <v>0</v>
      </c>
      <c r="X566" s="1031">
        <f>IF(AND(ISNUMBER(System!$C34),E566&lt;&gt;0),System!BD152-$J$1*MIN($E$1,B478)*D478 - $H$1*$E$1*C478,PlotData!$CB$3)</f>
        <v>0</v>
      </c>
      <c r="Y566" s="1033">
        <f>IF(AND(ISNUMBER(System!$C34),E566&lt;&gt;0),X566 - $E$1*C566,PlotData!$CB$3)</f>
        <v>0</v>
      </c>
      <c r="Z566" s="1032">
        <f>IF(AND(ISNUMBER(System!$C34),E566&lt;&gt;0),IF(E566&gt;0,X566,Y566)- E566*$N$1*$E$1*C566,PlotData!$CB$3)</f>
        <v>0</v>
      </c>
      <c r="AA566" s="1033">
        <f>IF(AND(ISNUMBER(System!$C34),E566&lt;&gt;0),System!BF152+$J$1*MIN($E$1,B566)*C566 - $H$1*$E$1*D566,PlotData!$CB$4)</f>
        <v>0</v>
      </c>
      <c r="AB566" s="1033">
        <f>IF(AND(ISNUMBER(System!$C34),E566&lt;&gt;0),AA566 - $E$1*D566,PlotData!$CB$4)</f>
        <v>0</v>
      </c>
      <c r="AC566" s="1035">
        <f>IF(AND(ISNUMBER(System!$C34),E566&lt;&gt;0),IF(E566&gt;0,AA566,AB566) -E566* $N$1*$E$1*D566,PlotData!$CB$4)</f>
        <v>0</v>
      </c>
      <c r="AD566" s="1036">
        <f>IF(AND(ISNUMBER(System!$C34),E566&lt;&gt;0),AF566-$AQ$539/4,PlotData!$CB$3)</f>
        <v>0</v>
      </c>
      <c r="AE566" s="1032">
        <f>IF(AND(ISNUMBER(System!$C34),E566&lt;&gt;0),AG566-$AQ$538,PlotData!$CB$4)</f>
        <v>0</v>
      </c>
      <c r="AF566" s="1031">
        <f>IF(AND(ISNUMBER(System!$C34),E566&lt;&gt;0),M566 +IF(C566=0,-1,1)*IF(D566=0,-4,1)*AQ$536+(S566-M566)/2,PlotData!$CB$3)</f>
        <v>0</v>
      </c>
      <c r="AG566" s="1035">
        <f>IF(AND(ISNUMBER(System!$C34),E566&lt;&gt;0),P566-IF(D566=0,0,1)*$AQ$537+(V566-P566)/2,PlotData!$CB$4)</f>
        <v>0</v>
      </c>
      <c r="AH566" s="1034">
        <f>IF(AND(ISNUMBER(System!$C34),E566&lt;&gt;0),AF566+$AQ$539/4,PlotData!$CB$3)</f>
        <v>0</v>
      </c>
      <c r="AI566" s="1035">
        <f>IF(AND(ISNUMBER(System!$C34),E566&lt;&gt;0),AE566,PlotData!$CB$4)</f>
        <v>0</v>
      </c>
      <c r="AJ566" s="1031">
        <f>IF(AND(ISNUMBER(System!$C34),E566&lt;&gt;0),AH566+$AQ$539/4,PlotData!$CB$3)</f>
        <v>0</v>
      </c>
      <c r="AK566" s="1035">
        <f t="shared" si="201"/>
        <v>0</v>
      </c>
      <c r="AL566" s="1031">
        <f>IF(AND(ISNUMBER(System!$C34),E566&lt;&gt;0),AJ566+$AQ$539/4,PlotData!$CB$3)</f>
        <v>0</v>
      </c>
      <c r="AM566" s="1035">
        <f t="shared" si="202"/>
        <v>0</v>
      </c>
    </row>
    <row r="567" spans="1:39" x14ac:dyDescent="0.25">
      <c r="A567" s="910">
        <v>32</v>
      </c>
      <c r="B567" s="1031">
        <f t="shared" si="200"/>
        <v>0</v>
      </c>
      <c r="C567" s="1033">
        <f t="shared" si="200"/>
        <v>0</v>
      </c>
      <c r="D567" s="1029">
        <f t="shared" si="200"/>
        <v>0</v>
      </c>
      <c r="E567" s="1030">
        <f>IF(AND(ISNUMBER(System!$C35),System!AO35&lt;&gt;0),SIGN(System!AO35),0)</f>
        <v>0</v>
      </c>
      <c r="F567" s="1031">
        <f>IF(AND(ISNUMBER(System!$C35),E567&lt;&gt;0),System!BC153+$J$1*MIN($E$1,B567)*D567 -$H$1*$E$1*C567,PlotData!$CB$3)</f>
        <v>0</v>
      </c>
      <c r="G567" s="1032">
        <f>IF(AND(ISNUMBER(System!$C35),E567&lt;&gt;0),F567 - $E$1*C567,PlotData!$CB$3)</f>
        <v>0</v>
      </c>
      <c r="H567" s="1033">
        <f>IF(AND(ISNUMBER(System!$C35),E567&lt;&gt;0),IF(E567&gt;0,F567,G567)- E567*$N$1*$E$1*C567,PlotData!$CB$3)</f>
        <v>0</v>
      </c>
      <c r="I567" s="1033">
        <f>IF(AND(ISNUMBER(System!$C35),E567&lt;&gt;0),System!BE153-$J$1*MIN($E$1,B567)*C567 - $H$1*$E$1*D567,PlotData!$CB$4)</f>
        <v>0</v>
      </c>
      <c r="J567" s="1029">
        <f>IF(AND(ISNUMBER(System!$C35),E567&lt;&gt;0),I567- $E$1*D567,PlotData!$CB$4)</f>
        <v>0</v>
      </c>
      <c r="K567" s="1030">
        <f>IF(AND(ISNUMBER(System!$C35),E567&lt;&gt;0),IF(E567&gt;0,I567,J567)-E567* $N$1*$E$1*D567,PlotData!$CB$4)</f>
        <v>0</v>
      </c>
      <c r="L567" s="1034">
        <f>IF(AND(ISNUMBER(System!$C35),E567&lt;&gt;0),F567+(X567-F567)/3,PlotData!$CB$3)</f>
        <v>0</v>
      </c>
      <c r="M567" s="1033">
        <f>IF(AND(ISNUMBER(System!$C35),E567&lt;&gt;0),G567+(Y567-G567)/3,PlotData!$CB$3)</f>
        <v>0</v>
      </c>
      <c r="N567" s="1032">
        <f>IF(AND(ISNUMBER(System!$C35),E567&lt;&gt;0),IF(E567&gt;0,L567,M567)- E567*$N$1*$E$1*C567,PlotData!$CB$3)</f>
        <v>0</v>
      </c>
      <c r="O567" s="1033">
        <f>IF(AND(ISNUMBER(System!$C35),E567&lt;&gt;0),I567+(AA567-I567)/3,PlotData!$CB$4)</f>
        <v>0</v>
      </c>
      <c r="P567" s="1033">
        <f>IF(AND(ISNUMBER(System!$C35),E567&lt;&gt;0),J567+(AB567-J567)/3,PlotData!$CB$4)</f>
        <v>0</v>
      </c>
      <c r="Q567" s="1035">
        <f>IF(AND(ISNUMBER(System!$C35),E567&lt;&gt;0),IF(E567&gt;0,O567,P567) -E567 *$N$1*$E$1*D567,PlotData!$CB$4)</f>
        <v>0</v>
      </c>
      <c r="R567" s="1031">
        <f>IF(AND(ISNUMBER(System!$C35),E567&lt;&gt;0),F567+2*(X567-F567)/3,PlotData!$CB$3)</f>
        <v>0</v>
      </c>
      <c r="S567" s="1033">
        <f>IF(AND(ISNUMBER(System!$C35),E567&lt;&gt;0),G567+2*(Y567-G567)/3,PlotData!$CB$3)</f>
        <v>0</v>
      </c>
      <c r="T567" s="1032">
        <f>IF(AND(ISNUMBER(System!$C35),E567&lt;&gt;0),IF(E567&gt;0,R567,S567)- E567*$N$1*$E$1*C567,PlotData!$CB$3)</f>
        <v>0</v>
      </c>
      <c r="U567" s="1033">
        <f>IF(AND(ISNUMBER(System!$C35),E567&lt;&gt;0),I567+2*(AA567-I567)/3,PlotData!$CB$4)</f>
        <v>0</v>
      </c>
      <c r="V567" s="1033">
        <f>IF(AND(ISNUMBER(System!$C35),E567&lt;&gt;0),J567+2*(AB567-J567)/3,PlotData!$CB$4)</f>
        <v>0</v>
      </c>
      <c r="W567" s="1035">
        <f>IF(AND(ISNUMBER(System!$C35),E567&lt;&gt;0),IF(E567&gt;0,U567,V567) -E567*$N$1*$E$1*D567,PlotData!$CB$4)</f>
        <v>0</v>
      </c>
      <c r="X567" s="1031">
        <f>IF(AND(ISNUMBER(System!$C35),E567&lt;&gt;0),System!BD153-$J$1*MIN($E$1,B479)*D479 - $H$1*$E$1*C479,PlotData!$CB$3)</f>
        <v>0</v>
      </c>
      <c r="Y567" s="1033">
        <f>IF(AND(ISNUMBER(System!$C35),E567&lt;&gt;0),X567 - $E$1*C567,PlotData!$CB$3)</f>
        <v>0</v>
      </c>
      <c r="Z567" s="1032">
        <f>IF(AND(ISNUMBER(System!$C35),E567&lt;&gt;0),IF(E567&gt;0,X567,Y567)- E567*$N$1*$E$1*C567,PlotData!$CB$3)</f>
        <v>0</v>
      </c>
      <c r="AA567" s="1033">
        <f>IF(AND(ISNUMBER(System!$C35),E567&lt;&gt;0),System!BF153+$J$1*MIN($E$1,B567)*C567 - $H$1*$E$1*D567,PlotData!$CB$4)</f>
        <v>0</v>
      </c>
      <c r="AB567" s="1033">
        <f>IF(AND(ISNUMBER(System!$C35),E567&lt;&gt;0),AA567 - $E$1*D567,PlotData!$CB$4)</f>
        <v>0</v>
      </c>
      <c r="AC567" s="1035">
        <f>IF(AND(ISNUMBER(System!$C35),E567&lt;&gt;0),IF(E567&gt;0,AA567,AB567) -E567* $N$1*$E$1*D567,PlotData!$CB$4)</f>
        <v>0</v>
      </c>
      <c r="AD567" s="1036">
        <f>IF(AND(ISNUMBER(System!$C35),E567&lt;&gt;0),AF567-$AQ$539/4,PlotData!$CB$3)</f>
        <v>0</v>
      </c>
      <c r="AE567" s="1032">
        <f>IF(AND(ISNUMBER(System!$C35),E567&lt;&gt;0),AG567-$AQ$538,PlotData!$CB$4)</f>
        <v>0</v>
      </c>
      <c r="AF567" s="1031">
        <f>IF(AND(ISNUMBER(System!$C35),E567&lt;&gt;0),M567 +IF(C567=0,-1,1)*IF(D567=0,-4,1)*AQ$536+(S567-M567)/2,PlotData!$CB$3)</f>
        <v>0</v>
      </c>
      <c r="AG567" s="1035">
        <f>IF(AND(ISNUMBER(System!$C35),E567&lt;&gt;0),P567-IF(D567=0,0,1)*$AQ$537+(V567-P567)/2,PlotData!$CB$4)</f>
        <v>0</v>
      </c>
      <c r="AH567" s="1034">
        <f>IF(AND(ISNUMBER(System!$C35),E567&lt;&gt;0),AF567+$AQ$539/4,PlotData!$CB$3)</f>
        <v>0</v>
      </c>
      <c r="AI567" s="1035">
        <f>IF(AND(ISNUMBER(System!$C35),E567&lt;&gt;0),AE567,PlotData!$CB$4)</f>
        <v>0</v>
      </c>
      <c r="AJ567" s="1031">
        <f>IF(AND(ISNUMBER(System!$C35),E567&lt;&gt;0),AH567+$AQ$539/4,PlotData!$CB$3)</f>
        <v>0</v>
      </c>
      <c r="AK567" s="1035">
        <f t="shared" si="201"/>
        <v>0</v>
      </c>
      <c r="AL567" s="1031">
        <f>IF(AND(ISNUMBER(System!$C35),E567&lt;&gt;0),AJ567+$AQ$539/4,PlotData!$CB$3)</f>
        <v>0</v>
      </c>
      <c r="AM567" s="1035">
        <f t="shared" si="202"/>
        <v>0</v>
      </c>
    </row>
    <row r="568" spans="1:39" x14ac:dyDescent="0.25">
      <c r="A568" s="910">
        <v>33</v>
      </c>
      <c r="B568" s="1031">
        <f t="shared" si="200"/>
        <v>0</v>
      </c>
      <c r="C568" s="1033">
        <f t="shared" si="200"/>
        <v>0</v>
      </c>
      <c r="D568" s="1029">
        <f t="shared" si="200"/>
        <v>0</v>
      </c>
      <c r="E568" s="1030">
        <f>IF(AND(ISNUMBER(System!$C36),System!AO36&lt;&gt;0),SIGN(System!AO36),0)</f>
        <v>0</v>
      </c>
      <c r="F568" s="1031">
        <f>IF(AND(ISNUMBER(System!$C36),E568&lt;&gt;0),System!BC154+$J$1*MIN($E$1,B568)*D568 -$H$1*$E$1*C568,PlotData!$CB$3)</f>
        <v>0</v>
      </c>
      <c r="G568" s="1032">
        <f>IF(AND(ISNUMBER(System!$C36),E568&lt;&gt;0),F568 - $E$1*C568,PlotData!$CB$3)</f>
        <v>0</v>
      </c>
      <c r="H568" s="1033">
        <f>IF(AND(ISNUMBER(System!$C36),E568&lt;&gt;0),IF(E568&gt;0,F568,G568)- E568*$N$1*$E$1*C568,PlotData!$CB$3)</f>
        <v>0</v>
      </c>
      <c r="I568" s="1033">
        <f>IF(AND(ISNUMBER(System!$C36),E568&lt;&gt;0),System!BE154-$J$1*MIN($E$1,B568)*C568 - $H$1*$E$1*D568,PlotData!$CB$4)</f>
        <v>0</v>
      </c>
      <c r="J568" s="1029">
        <f>IF(AND(ISNUMBER(System!$C36),E568&lt;&gt;0),I568- $E$1*D568,PlotData!$CB$4)</f>
        <v>0</v>
      </c>
      <c r="K568" s="1030">
        <f>IF(AND(ISNUMBER(System!$C36),E568&lt;&gt;0),IF(E568&gt;0,I568,J568)-E568* $N$1*$E$1*D568,PlotData!$CB$4)</f>
        <v>0</v>
      </c>
      <c r="L568" s="1034">
        <f>IF(AND(ISNUMBER(System!$C36),E568&lt;&gt;0),F568+(X568-F568)/3,PlotData!$CB$3)</f>
        <v>0</v>
      </c>
      <c r="M568" s="1033">
        <f>IF(AND(ISNUMBER(System!$C36),E568&lt;&gt;0),G568+(Y568-G568)/3,PlotData!$CB$3)</f>
        <v>0</v>
      </c>
      <c r="N568" s="1032">
        <f>IF(AND(ISNUMBER(System!$C36),E568&lt;&gt;0),IF(E568&gt;0,L568,M568)- E568*$N$1*$E$1*C568,PlotData!$CB$3)</f>
        <v>0</v>
      </c>
      <c r="O568" s="1033">
        <f>IF(AND(ISNUMBER(System!$C36),E568&lt;&gt;0),I568+(AA568-I568)/3,PlotData!$CB$4)</f>
        <v>0</v>
      </c>
      <c r="P568" s="1033">
        <f>IF(AND(ISNUMBER(System!$C36),E568&lt;&gt;0),J568+(AB568-J568)/3,PlotData!$CB$4)</f>
        <v>0</v>
      </c>
      <c r="Q568" s="1035">
        <f>IF(AND(ISNUMBER(System!$C36),E568&lt;&gt;0),IF(E568&gt;0,O568,P568) -E568 *$N$1*$E$1*D568,PlotData!$CB$4)</f>
        <v>0</v>
      </c>
      <c r="R568" s="1031">
        <f>IF(AND(ISNUMBER(System!$C36),E568&lt;&gt;0),F568+2*(X568-F568)/3,PlotData!$CB$3)</f>
        <v>0</v>
      </c>
      <c r="S568" s="1033">
        <f>IF(AND(ISNUMBER(System!$C36),E568&lt;&gt;0),G568+2*(Y568-G568)/3,PlotData!$CB$3)</f>
        <v>0</v>
      </c>
      <c r="T568" s="1032">
        <f>IF(AND(ISNUMBER(System!$C36),E568&lt;&gt;0),IF(E568&gt;0,R568,S568)- E568*$N$1*$E$1*C568,PlotData!$CB$3)</f>
        <v>0</v>
      </c>
      <c r="U568" s="1033">
        <f>IF(AND(ISNUMBER(System!$C36),E568&lt;&gt;0),I568+2*(AA568-I568)/3,PlotData!$CB$4)</f>
        <v>0</v>
      </c>
      <c r="V568" s="1033">
        <f>IF(AND(ISNUMBER(System!$C36),E568&lt;&gt;0),J568+2*(AB568-J568)/3,PlotData!$CB$4)</f>
        <v>0</v>
      </c>
      <c r="W568" s="1035">
        <f>IF(AND(ISNUMBER(System!$C36),E568&lt;&gt;0),IF(E568&gt;0,U568,V568) -E568*$N$1*$E$1*D568,PlotData!$CB$4)</f>
        <v>0</v>
      </c>
      <c r="X568" s="1031">
        <f>IF(AND(ISNUMBER(System!$C36),E568&lt;&gt;0),System!BD154-$J$1*MIN($E$1,B480)*D480 - $H$1*$E$1*C480,PlotData!$CB$3)</f>
        <v>0</v>
      </c>
      <c r="Y568" s="1033">
        <f>IF(AND(ISNUMBER(System!$C36),E568&lt;&gt;0),X568 - $E$1*C568,PlotData!$CB$3)</f>
        <v>0</v>
      </c>
      <c r="Z568" s="1032">
        <f>IF(AND(ISNUMBER(System!$C36),E568&lt;&gt;0),IF(E568&gt;0,X568,Y568)- E568*$N$1*$E$1*C568,PlotData!$CB$3)</f>
        <v>0</v>
      </c>
      <c r="AA568" s="1033">
        <f>IF(AND(ISNUMBER(System!$C36),E568&lt;&gt;0),System!BF154+$J$1*MIN($E$1,B568)*C568 - $H$1*$E$1*D568,PlotData!$CB$4)</f>
        <v>0</v>
      </c>
      <c r="AB568" s="1033">
        <f>IF(AND(ISNUMBER(System!$C36),E568&lt;&gt;0),AA568 - $E$1*D568,PlotData!$CB$4)</f>
        <v>0</v>
      </c>
      <c r="AC568" s="1035">
        <f>IF(AND(ISNUMBER(System!$C36),E568&lt;&gt;0),IF(E568&gt;0,AA568,AB568) -E568* $N$1*$E$1*D568,PlotData!$CB$4)</f>
        <v>0</v>
      </c>
      <c r="AD568" s="1036">
        <f>IF(AND(ISNUMBER(System!$C36),E568&lt;&gt;0),AF568-$AQ$539/4,PlotData!$CB$3)</f>
        <v>0</v>
      </c>
      <c r="AE568" s="1032">
        <f>IF(AND(ISNUMBER(System!$C36),E568&lt;&gt;0),AG568-$AQ$538,PlotData!$CB$4)</f>
        <v>0</v>
      </c>
      <c r="AF568" s="1031">
        <f>IF(AND(ISNUMBER(System!$C36),E568&lt;&gt;0),M568 +IF(C568=0,-1,1)*IF(D568=0,-4,1)*AQ$536+(S568-M568)/2,PlotData!$CB$3)</f>
        <v>0</v>
      </c>
      <c r="AG568" s="1035">
        <f>IF(AND(ISNUMBER(System!$C36),E568&lt;&gt;0),P568-IF(D568=0,0,1)*$AQ$537+(V568-P568)/2,PlotData!$CB$4)</f>
        <v>0</v>
      </c>
      <c r="AH568" s="1034">
        <f>IF(AND(ISNUMBER(System!$C36),E568&lt;&gt;0),AF568+$AQ$539/4,PlotData!$CB$3)</f>
        <v>0</v>
      </c>
      <c r="AI568" s="1035">
        <f>IF(AND(ISNUMBER(System!$C36),E568&lt;&gt;0),AE568,PlotData!$CB$4)</f>
        <v>0</v>
      </c>
      <c r="AJ568" s="1031">
        <f>IF(AND(ISNUMBER(System!$C36),E568&lt;&gt;0),AH568+$AQ$539/4,PlotData!$CB$3)</f>
        <v>0</v>
      </c>
      <c r="AK568" s="1035">
        <f t="shared" si="201"/>
        <v>0</v>
      </c>
      <c r="AL568" s="1031">
        <f>IF(AND(ISNUMBER(System!$C36),E568&lt;&gt;0),AJ568+$AQ$539/4,PlotData!$CB$3)</f>
        <v>0</v>
      </c>
      <c r="AM568" s="1035">
        <f t="shared" si="202"/>
        <v>0</v>
      </c>
    </row>
    <row r="569" spans="1:39" x14ac:dyDescent="0.25">
      <c r="A569" s="910">
        <v>34</v>
      </c>
      <c r="B569" s="1031">
        <f t="shared" si="200"/>
        <v>0</v>
      </c>
      <c r="C569" s="1033">
        <f t="shared" si="200"/>
        <v>0</v>
      </c>
      <c r="D569" s="1029">
        <f t="shared" si="200"/>
        <v>0</v>
      </c>
      <c r="E569" s="1030">
        <f>IF(AND(ISNUMBER(System!$C37),System!AO37&lt;&gt;0),SIGN(System!AO37),0)</f>
        <v>0</v>
      </c>
      <c r="F569" s="1031">
        <f>IF(AND(ISNUMBER(System!$C37),E569&lt;&gt;0),System!BC155+$J$1*MIN($E$1,B569)*D569 -$H$1*$E$1*C569,PlotData!$CB$3)</f>
        <v>0</v>
      </c>
      <c r="G569" s="1032">
        <f>IF(AND(ISNUMBER(System!$C37),E569&lt;&gt;0),F569 - $E$1*C569,PlotData!$CB$3)</f>
        <v>0</v>
      </c>
      <c r="H569" s="1033">
        <f>IF(AND(ISNUMBER(System!$C37),E569&lt;&gt;0),IF(E569&gt;0,F569,G569)- E569*$N$1*$E$1*C569,PlotData!$CB$3)</f>
        <v>0</v>
      </c>
      <c r="I569" s="1033">
        <f>IF(AND(ISNUMBER(System!$C37),E569&lt;&gt;0),System!BE155-$J$1*MIN($E$1,B569)*C569 - $H$1*$E$1*D569,PlotData!$CB$4)</f>
        <v>0</v>
      </c>
      <c r="J569" s="1029">
        <f>IF(AND(ISNUMBER(System!$C37),E569&lt;&gt;0),I569- $E$1*D569,PlotData!$CB$4)</f>
        <v>0</v>
      </c>
      <c r="K569" s="1030">
        <f>IF(AND(ISNUMBER(System!$C37),E569&lt;&gt;0),IF(E569&gt;0,I569,J569)-E569* $N$1*$E$1*D569,PlotData!$CB$4)</f>
        <v>0</v>
      </c>
      <c r="L569" s="1034">
        <f>IF(AND(ISNUMBER(System!$C37),E569&lt;&gt;0),F569+(X569-F569)/3,PlotData!$CB$3)</f>
        <v>0</v>
      </c>
      <c r="M569" s="1033">
        <f>IF(AND(ISNUMBER(System!$C37),E569&lt;&gt;0),G569+(Y569-G569)/3,PlotData!$CB$3)</f>
        <v>0</v>
      </c>
      <c r="N569" s="1032">
        <f>IF(AND(ISNUMBER(System!$C37),E569&lt;&gt;0),IF(E569&gt;0,L569,M569)- E569*$N$1*$E$1*C569,PlotData!$CB$3)</f>
        <v>0</v>
      </c>
      <c r="O569" s="1033">
        <f>IF(AND(ISNUMBER(System!$C37),E569&lt;&gt;0),I569+(AA569-I569)/3,PlotData!$CB$4)</f>
        <v>0</v>
      </c>
      <c r="P569" s="1033">
        <f>IF(AND(ISNUMBER(System!$C37),E569&lt;&gt;0),J569+(AB569-J569)/3,PlotData!$CB$4)</f>
        <v>0</v>
      </c>
      <c r="Q569" s="1035">
        <f>IF(AND(ISNUMBER(System!$C37),E569&lt;&gt;0),IF(E569&gt;0,O569,P569) -E569 *$N$1*$E$1*D569,PlotData!$CB$4)</f>
        <v>0</v>
      </c>
      <c r="R569" s="1031">
        <f>IF(AND(ISNUMBER(System!$C37),E569&lt;&gt;0),F569+2*(X569-F569)/3,PlotData!$CB$3)</f>
        <v>0</v>
      </c>
      <c r="S569" s="1033">
        <f>IF(AND(ISNUMBER(System!$C37),E569&lt;&gt;0),G569+2*(Y569-G569)/3,PlotData!$CB$3)</f>
        <v>0</v>
      </c>
      <c r="T569" s="1032">
        <f>IF(AND(ISNUMBER(System!$C37),E569&lt;&gt;0),IF(E569&gt;0,R569,S569)- E569*$N$1*$E$1*C569,PlotData!$CB$3)</f>
        <v>0</v>
      </c>
      <c r="U569" s="1033">
        <f>IF(AND(ISNUMBER(System!$C37),E569&lt;&gt;0),I569+2*(AA569-I569)/3,PlotData!$CB$4)</f>
        <v>0</v>
      </c>
      <c r="V569" s="1033">
        <f>IF(AND(ISNUMBER(System!$C37),E569&lt;&gt;0),J569+2*(AB569-J569)/3,PlotData!$CB$4)</f>
        <v>0</v>
      </c>
      <c r="W569" s="1035">
        <f>IF(AND(ISNUMBER(System!$C37),E569&lt;&gt;0),IF(E569&gt;0,U569,V569) -E569*$N$1*$E$1*D569,PlotData!$CB$4)</f>
        <v>0</v>
      </c>
      <c r="X569" s="1031">
        <f>IF(AND(ISNUMBER(System!$C37),E569&lt;&gt;0),System!BD155-$J$1*MIN($E$1,B481)*D481 - $H$1*$E$1*C481,PlotData!$CB$3)</f>
        <v>0</v>
      </c>
      <c r="Y569" s="1033">
        <f>IF(AND(ISNUMBER(System!$C37),E569&lt;&gt;0),X569 - $E$1*C569,PlotData!$CB$3)</f>
        <v>0</v>
      </c>
      <c r="Z569" s="1032">
        <f>IF(AND(ISNUMBER(System!$C37),E569&lt;&gt;0),IF(E569&gt;0,X569,Y569)- E569*$N$1*$E$1*C569,PlotData!$CB$3)</f>
        <v>0</v>
      </c>
      <c r="AA569" s="1033">
        <f>IF(AND(ISNUMBER(System!$C37),E569&lt;&gt;0),System!BF155+$J$1*MIN($E$1,B569)*C569 - $H$1*$E$1*D569,PlotData!$CB$4)</f>
        <v>0</v>
      </c>
      <c r="AB569" s="1033">
        <f>IF(AND(ISNUMBER(System!$C37),E569&lt;&gt;0),AA569 - $E$1*D569,PlotData!$CB$4)</f>
        <v>0</v>
      </c>
      <c r="AC569" s="1035">
        <f>IF(AND(ISNUMBER(System!$C37),E569&lt;&gt;0),IF(E569&gt;0,AA569,AB569) -E569* $N$1*$E$1*D569,PlotData!$CB$4)</f>
        <v>0</v>
      </c>
      <c r="AD569" s="1036">
        <f>IF(AND(ISNUMBER(System!$C37),E569&lt;&gt;0),AF569-$AQ$539/4,PlotData!$CB$3)</f>
        <v>0</v>
      </c>
      <c r="AE569" s="1032">
        <f>IF(AND(ISNUMBER(System!$C37),E569&lt;&gt;0),AG569-$AQ$538,PlotData!$CB$4)</f>
        <v>0</v>
      </c>
      <c r="AF569" s="1031">
        <f>IF(AND(ISNUMBER(System!$C37),E569&lt;&gt;0),M569 +IF(C569=0,-1,1)*IF(D569=0,-4,1)*AQ$536+(S569-M569)/2,PlotData!$CB$3)</f>
        <v>0</v>
      </c>
      <c r="AG569" s="1035">
        <f>IF(AND(ISNUMBER(System!$C37),E569&lt;&gt;0),P569-IF(D569=0,0,1)*$AQ$537+(V569-P569)/2,PlotData!$CB$4)</f>
        <v>0</v>
      </c>
      <c r="AH569" s="1034">
        <f>IF(AND(ISNUMBER(System!$C37),E569&lt;&gt;0),AF569+$AQ$539/4,PlotData!$CB$3)</f>
        <v>0</v>
      </c>
      <c r="AI569" s="1035">
        <f>IF(AND(ISNUMBER(System!$C37),E569&lt;&gt;0),AE569,PlotData!$CB$4)</f>
        <v>0</v>
      </c>
      <c r="AJ569" s="1031">
        <f>IF(AND(ISNUMBER(System!$C37),E569&lt;&gt;0),AH569+$AQ$539/4,PlotData!$CB$3)</f>
        <v>0</v>
      </c>
      <c r="AK569" s="1035">
        <f t="shared" si="201"/>
        <v>0</v>
      </c>
      <c r="AL569" s="1031">
        <f>IF(AND(ISNUMBER(System!$C37),E569&lt;&gt;0),AJ569+$AQ$539/4,PlotData!$CB$3)</f>
        <v>0</v>
      </c>
      <c r="AM569" s="1035">
        <f t="shared" si="202"/>
        <v>0</v>
      </c>
    </row>
    <row r="570" spans="1:39" x14ac:dyDescent="0.25">
      <c r="A570" s="910">
        <v>35</v>
      </c>
      <c r="B570" s="1031">
        <f t="shared" si="200"/>
        <v>0</v>
      </c>
      <c r="C570" s="1033">
        <f t="shared" si="200"/>
        <v>0</v>
      </c>
      <c r="D570" s="1029">
        <f t="shared" si="200"/>
        <v>0</v>
      </c>
      <c r="E570" s="1030">
        <f>IF(AND(ISNUMBER(System!$C38),System!AO38&lt;&gt;0),SIGN(System!AO38),0)</f>
        <v>0</v>
      </c>
      <c r="F570" s="1031">
        <f>IF(AND(ISNUMBER(System!$C38),E570&lt;&gt;0),System!BC156+$J$1*MIN($E$1,B570)*D570 -$H$1*$E$1*C570,PlotData!$CB$3)</f>
        <v>0</v>
      </c>
      <c r="G570" s="1032">
        <f>IF(AND(ISNUMBER(System!$C38),E570&lt;&gt;0),F570 - $E$1*C570,PlotData!$CB$3)</f>
        <v>0</v>
      </c>
      <c r="H570" s="1033">
        <f>IF(AND(ISNUMBER(System!$C38),E570&lt;&gt;0),IF(E570&gt;0,F570,G570)- E570*$N$1*$E$1*C570,PlotData!$CB$3)</f>
        <v>0</v>
      </c>
      <c r="I570" s="1033">
        <f>IF(AND(ISNUMBER(System!$C38),E570&lt;&gt;0),System!BE156-$J$1*MIN($E$1,B570)*C570 - $H$1*$E$1*D570,PlotData!$CB$4)</f>
        <v>0</v>
      </c>
      <c r="J570" s="1029">
        <f>IF(AND(ISNUMBER(System!$C38),E570&lt;&gt;0),I570- $E$1*D570,PlotData!$CB$4)</f>
        <v>0</v>
      </c>
      <c r="K570" s="1030">
        <f>IF(AND(ISNUMBER(System!$C38),E570&lt;&gt;0),IF(E570&gt;0,I570,J570)-E570* $N$1*$E$1*D570,PlotData!$CB$4)</f>
        <v>0</v>
      </c>
      <c r="L570" s="1034">
        <f>IF(AND(ISNUMBER(System!$C38),E570&lt;&gt;0),F570+(X570-F570)/3,PlotData!$CB$3)</f>
        <v>0</v>
      </c>
      <c r="M570" s="1033">
        <f>IF(AND(ISNUMBER(System!$C38),E570&lt;&gt;0),G570+(Y570-G570)/3,PlotData!$CB$3)</f>
        <v>0</v>
      </c>
      <c r="N570" s="1032">
        <f>IF(AND(ISNUMBER(System!$C38),E570&lt;&gt;0),IF(E570&gt;0,L570,M570)- E570*$N$1*$E$1*C570,PlotData!$CB$3)</f>
        <v>0</v>
      </c>
      <c r="O570" s="1033">
        <f>IF(AND(ISNUMBER(System!$C38),E570&lt;&gt;0),I570+(AA570-I570)/3,PlotData!$CB$4)</f>
        <v>0</v>
      </c>
      <c r="P570" s="1033">
        <f>IF(AND(ISNUMBER(System!$C38),E570&lt;&gt;0),J570+(AB570-J570)/3,PlotData!$CB$4)</f>
        <v>0</v>
      </c>
      <c r="Q570" s="1035">
        <f>IF(AND(ISNUMBER(System!$C38),E570&lt;&gt;0),IF(E570&gt;0,O570,P570) -E570 *$N$1*$E$1*D570,PlotData!$CB$4)</f>
        <v>0</v>
      </c>
      <c r="R570" s="1031">
        <f>IF(AND(ISNUMBER(System!$C38),E570&lt;&gt;0),F570+2*(X570-F570)/3,PlotData!$CB$3)</f>
        <v>0</v>
      </c>
      <c r="S570" s="1033">
        <f>IF(AND(ISNUMBER(System!$C38),E570&lt;&gt;0),G570+2*(Y570-G570)/3,PlotData!$CB$3)</f>
        <v>0</v>
      </c>
      <c r="T570" s="1032">
        <f>IF(AND(ISNUMBER(System!$C38),E570&lt;&gt;0),IF(E570&gt;0,R570,S570)- E570*$N$1*$E$1*C570,PlotData!$CB$3)</f>
        <v>0</v>
      </c>
      <c r="U570" s="1033">
        <f>IF(AND(ISNUMBER(System!$C38),E570&lt;&gt;0),I570+2*(AA570-I570)/3,PlotData!$CB$4)</f>
        <v>0</v>
      </c>
      <c r="V570" s="1033">
        <f>IF(AND(ISNUMBER(System!$C38),E570&lt;&gt;0),J570+2*(AB570-J570)/3,PlotData!$CB$4)</f>
        <v>0</v>
      </c>
      <c r="W570" s="1035">
        <f>IF(AND(ISNUMBER(System!$C38),E570&lt;&gt;0),IF(E570&gt;0,U570,V570) -E570*$N$1*$E$1*D570,PlotData!$CB$4)</f>
        <v>0</v>
      </c>
      <c r="X570" s="1031">
        <f>IF(AND(ISNUMBER(System!$C38),E570&lt;&gt;0),System!BD156-$J$1*MIN($E$1,B482)*D482 - $H$1*$E$1*C482,PlotData!$CB$3)</f>
        <v>0</v>
      </c>
      <c r="Y570" s="1033">
        <f>IF(AND(ISNUMBER(System!$C38),E570&lt;&gt;0),X570 - $E$1*C570,PlotData!$CB$3)</f>
        <v>0</v>
      </c>
      <c r="Z570" s="1032">
        <f>IF(AND(ISNUMBER(System!$C38),E570&lt;&gt;0),IF(E570&gt;0,X570,Y570)- E570*$N$1*$E$1*C570,PlotData!$CB$3)</f>
        <v>0</v>
      </c>
      <c r="AA570" s="1033">
        <f>IF(AND(ISNUMBER(System!$C38),E570&lt;&gt;0),System!BF156+$J$1*MIN($E$1,B570)*C570 - $H$1*$E$1*D570,PlotData!$CB$4)</f>
        <v>0</v>
      </c>
      <c r="AB570" s="1033">
        <f>IF(AND(ISNUMBER(System!$C38),E570&lt;&gt;0),AA570 - $E$1*D570,PlotData!$CB$4)</f>
        <v>0</v>
      </c>
      <c r="AC570" s="1035">
        <f>IF(AND(ISNUMBER(System!$C38),E570&lt;&gt;0),IF(E570&gt;0,AA570,AB570) -E570* $N$1*$E$1*D570,PlotData!$CB$4)</f>
        <v>0</v>
      </c>
      <c r="AD570" s="1036">
        <f>IF(AND(ISNUMBER(System!$C38),E570&lt;&gt;0),AF570-$AQ$539/4,PlotData!$CB$3)</f>
        <v>0</v>
      </c>
      <c r="AE570" s="1032">
        <f>IF(AND(ISNUMBER(System!$C38),E570&lt;&gt;0),AG570-$AQ$538,PlotData!$CB$4)</f>
        <v>0</v>
      </c>
      <c r="AF570" s="1031">
        <f>IF(AND(ISNUMBER(System!$C38),E570&lt;&gt;0),M570 +IF(C570=0,-1,1)*IF(D570=0,-4,1)*AQ$536+(S570-M570)/2,PlotData!$CB$3)</f>
        <v>0</v>
      </c>
      <c r="AG570" s="1035">
        <f>IF(AND(ISNUMBER(System!$C38),E570&lt;&gt;0),P570-IF(D570=0,0,1)*$AQ$537+(V570-P570)/2,PlotData!$CB$4)</f>
        <v>0</v>
      </c>
      <c r="AH570" s="1034">
        <f>IF(AND(ISNUMBER(System!$C38),E570&lt;&gt;0),AF570+$AQ$539/4,PlotData!$CB$3)</f>
        <v>0</v>
      </c>
      <c r="AI570" s="1035">
        <f>IF(AND(ISNUMBER(System!$C38),E570&lt;&gt;0),AE570,PlotData!$CB$4)</f>
        <v>0</v>
      </c>
      <c r="AJ570" s="1031">
        <f>IF(AND(ISNUMBER(System!$C38),E570&lt;&gt;0),AH570+$AQ$539/4,PlotData!$CB$3)</f>
        <v>0</v>
      </c>
      <c r="AK570" s="1035">
        <f t="shared" si="201"/>
        <v>0</v>
      </c>
      <c r="AL570" s="1031">
        <f>IF(AND(ISNUMBER(System!$C38),E570&lt;&gt;0),AJ570+$AQ$539/4,PlotData!$CB$3)</f>
        <v>0</v>
      </c>
      <c r="AM570" s="1035">
        <f t="shared" si="202"/>
        <v>0</v>
      </c>
    </row>
    <row r="571" spans="1:39" x14ac:dyDescent="0.25">
      <c r="A571" s="910">
        <v>36</v>
      </c>
      <c r="B571" s="1031">
        <f t="shared" si="200"/>
        <v>0</v>
      </c>
      <c r="C571" s="1033">
        <f t="shared" si="200"/>
        <v>0</v>
      </c>
      <c r="D571" s="1029">
        <f t="shared" si="200"/>
        <v>0</v>
      </c>
      <c r="E571" s="1030">
        <f>IF(AND(ISNUMBER(System!$C39),System!AO39&lt;&gt;0),SIGN(System!AO39),0)</f>
        <v>0</v>
      </c>
      <c r="F571" s="1031">
        <f>IF(AND(ISNUMBER(System!$C39),E571&lt;&gt;0),System!BC157+$J$1*MIN($E$1,B571)*D571 -$H$1*$E$1*C571,PlotData!$CB$3)</f>
        <v>0</v>
      </c>
      <c r="G571" s="1032">
        <f>IF(AND(ISNUMBER(System!$C39),E571&lt;&gt;0),F571 - $E$1*C571,PlotData!$CB$3)</f>
        <v>0</v>
      </c>
      <c r="H571" s="1033">
        <f>IF(AND(ISNUMBER(System!$C39),E571&lt;&gt;0),IF(E571&gt;0,F571,G571)- E571*$N$1*$E$1*C571,PlotData!$CB$3)</f>
        <v>0</v>
      </c>
      <c r="I571" s="1033">
        <f>IF(AND(ISNUMBER(System!$C39),E571&lt;&gt;0),System!BE157-$J$1*MIN($E$1,B571)*C571 - $H$1*$E$1*D571,PlotData!$CB$4)</f>
        <v>0</v>
      </c>
      <c r="J571" s="1029">
        <f>IF(AND(ISNUMBER(System!$C39),E571&lt;&gt;0),I571- $E$1*D571,PlotData!$CB$4)</f>
        <v>0</v>
      </c>
      <c r="K571" s="1030">
        <f>IF(AND(ISNUMBER(System!$C39),E571&lt;&gt;0),IF(E571&gt;0,I571,J571)-E571* $N$1*$E$1*D571,PlotData!$CB$4)</f>
        <v>0</v>
      </c>
      <c r="L571" s="1034">
        <f>IF(AND(ISNUMBER(System!$C39),E571&lt;&gt;0),F571+(X571-F571)/3,PlotData!$CB$3)</f>
        <v>0</v>
      </c>
      <c r="M571" s="1033">
        <f>IF(AND(ISNUMBER(System!$C39),E571&lt;&gt;0),G571+(Y571-G571)/3,PlotData!$CB$3)</f>
        <v>0</v>
      </c>
      <c r="N571" s="1032">
        <f>IF(AND(ISNUMBER(System!$C39),E571&lt;&gt;0),IF(E571&gt;0,L571,M571)- E571*$N$1*$E$1*C571,PlotData!$CB$3)</f>
        <v>0</v>
      </c>
      <c r="O571" s="1033">
        <f>IF(AND(ISNUMBER(System!$C39),E571&lt;&gt;0),I571+(AA571-I571)/3,PlotData!$CB$4)</f>
        <v>0</v>
      </c>
      <c r="P571" s="1033">
        <f>IF(AND(ISNUMBER(System!$C39),E571&lt;&gt;0),J571+(AB571-J571)/3,PlotData!$CB$4)</f>
        <v>0</v>
      </c>
      <c r="Q571" s="1035">
        <f>IF(AND(ISNUMBER(System!$C39),E571&lt;&gt;0),IF(E571&gt;0,O571,P571) -E571 *$N$1*$E$1*D571,PlotData!$CB$4)</f>
        <v>0</v>
      </c>
      <c r="R571" s="1031">
        <f>IF(AND(ISNUMBER(System!$C39),E571&lt;&gt;0),F571+2*(X571-F571)/3,PlotData!$CB$3)</f>
        <v>0</v>
      </c>
      <c r="S571" s="1033">
        <f>IF(AND(ISNUMBER(System!$C39),E571&lt;&gt;0),G571+2*(Y571-G571)/3,PlotData!$CB$3)</f>
        <v>0</v>
      </c>
      <c r="T571" s="1032">
        <f>IF(AND(ISNUMBER(System!$C39),E571&lt;&gt;0),IF(E571&gt;0,R571,S571)- E571*$N$1*$E$1*C571,PlotData!$CB$3)</f>
        <v>0</v>
      </c>
      <c r="U571" s="1033">
        <f>IF(AND(ISNUMBER(System!$C39),E571&lt;&gt;0),I571+2*(AA571-I571)/3,PlotData!$CB$4)</f>
        <v>0</v>
      </c>
      <c r="V571" s="1033">
        <f>IF(AND(ISNUMBER(System!$C39),E571&lt;&gt;0),J571+2*(AB571-J571)/3,PlotData!$CB$4)</f>
        <v>0</v>
      </c>
      <c r="W571" s="1035">
        <f>IF(AND(ISNUMBER(System!$C39),E571&lt;&gt;0),IF(E571&gt;0,U571,V571) -E571*$N$1*$E$1*D571,PlotData!$CB$4)</f>
        <v>0</v>
      </c>
      <c r="X571" s="1031">
        <f>IF(AND(ISNUMBER(System!$C39),E571&lt;&gt;0),System!BD157-$J$1*MIN($E$1,B483)*D483 - $H$1*$E$1*C483,PlotData!$CB$3)</f>
        <v>0</v>
      </c>
      <c r="Y571" s="1033">
        <f>IF(AND(ISNUMBER(System!$C39),E571&lt;&gt;0),X571 - $E$1*C571,PlotData!$CB$3)</f>
        <v>0</v>
      </c>
      <c r="Z571" s="1032">
        <f>IF(AND(ISNUMBER(System!$C39),E571&lt;&gt;0),IF(E571&gt;0,X571,Y571)- E571*$N$1*$E$1*C571,PlotData!$CB$3)</f>
        <v>0</v>
      </c>
      <c r="AA571" s="1033">
        <f>IF(AND(ISNUMBER(System!$C39),E571&lt;&gt;0),System!BF157+$J$1*MIN($E$1,B571)*C571 - $H$1*$E$1*D571,PlotData!$CB$4)</f>
        <v>0</v>
      </c>
      <c r="AB571" s="1033">
        <f>IF(AND(ISNUMBER(System!$C39),E571&lt;&gt;0),AA571 - $E$1*D571,PlotData!$CB$4)</f>
        <v>0</v>
      </c>
      <c r="AC571" s="1035">
        <f>IF(AND(ISNUMBER(System!$C39),E571&lt;&gt;0),IF(E571&gt;0,AA571,AB571) -E571* $N$1*$E$1*D571,PlotData!$CB$4)</f>
        <v>0</v>
      </c>
      <c r="AD571" s="1036">
        <f>IF(AND(ISNUMBER(System!$C39),E571&lt;&gt;0),AF571-$AQ$539/4,PlotData!$CB$3)</f>
        <v>0</v>
      </c>
      <c r="AE571" s="1032">
        <f>IF(AND(ISNUMBER(System!$C39),E571&lt;&gt;0),AG571-$AQ$538,PlotData!$CB$4)</f>
        <v>0</v>
      </c>
      <c r="AF571" s="1031">
        <f>IF(AND(ISNUMBER(System!$C39),E571&lt;&gt;0),M571 +IF(C571=0,-1,1)*IF(D571=0,-4,1)*AQ$536+(S571-M571)/2,PlotData!$CB$3)</f>
        <v>0</v>
      </c>
      <c r="AG571" s="1035">
        <f>IF(AND(ISNUMBER(System!$C39),E571&lt;&gt;0),P571-IF(D571=0,0,1)*$AQ$537+(V571-P571)/2,PlotData!$CB$4)</f>
        <v>0</v>
      </c>
      <c r="AH571" s="1034">
        <f>IF(AND(ISNUMBER(System!$C39),E571&lt;&gt;0),AF571+$AQ$539/4,PlotData!$CB$3)</f>
        <v>0</v>
      </c>
      <c r="AI571" s="1035">
        <f>IF(AND(ISNUMBER(System!$C39),E571&lt;&gt;0),AE571,PlotData!$CB$4)</f>
        <v>0</v>
      </c>
      <c r="AJ571" s="1031">
        <f>IF(AND(ISNUMBER(System!$C39),E571&lt;&gt;0),AH571+$AQ$539/4,PlotData!$CB$3)</f>
        <v>0</v>
      </c>
      <c r="AK571" s="1035">
        <f t="shared" si="201"/>
        <v>0</v>
      </c>
      <c r="AL571" s="1031">
        <f>IF(AND(ISNUMBER(System!$C39),E571&lt;&gt;0),AJ571+$AQ$539/4,PlotData!$CB$3)</f>
        <v>0</v>
      </c>
      <c r="AM571" s="1035">
        <f t="shared" si="202"/>
        <v>0</v>
      </c>
    </row>
    <row r="572" spans="1:39" x14ac:dyDescent="0.25">
      <c r="A572" s="910">
        <v>37</v>
      </c>
      <c r="B572" s="1031">
        <f t="shared" si="200"/>
        <v>0</v>
      </c>
      <c r="C572" s="1033">
        <f t="shared" si="200"/>
        <v>0</v>
      </c>
      <c r="D572" s="1029">
        <f t="shared" si="200"/>
        <v>0</v>
      </c>
      <c r="E572" s="1030">
        <f>IF(AND(ISNUMBER(System!$C40),System!AO40&lt;&gt;0),SIGN(System!AO40),0)</f>
        <v>0</v>
      </c>
      <c r="F572" s="1031">
        <f>IF(AND(ISNUMBER(System!$C40),E572&lt;&gt;0),System!BC158+$J$1*MIN($E$1,B572)*D572 -$H$1*$E$1*C572,PlotData!$CB$3)</f>
        <v>0</v>
      </c>
      <c r="G572" s="1032">
        <f>IF(AND(ISNUMBER(System!$C40),E572&lt;&gt;0),F572 - $E$1*C572,PlotData!$CB$3)</f>
        <v>0</v>
      </c>
      <c r="H572" s="1033">
        <f>IF(AND(ISNUMBER(System!$C40),E572&lt;&gt;0),IF(E572&gt;0,F572,G572)- E572*$N$1*$E$1*C572,PlotData!$CB$3)</f>
        <v>0</v>
      </c>
      <c r="I572" s="1033">
        <f>IF(AND(ISNUMBER(System!$C40),E572&lt;&gt;0),System!BE158-$J$1*MIN($E$1,B572)*C572 - $H$1*$E$1*D572,PlotData!$CB$4)</f>
        <v>0</v>
      </c>
      <c r="J572" s="1029">
        <f>IF(AND(ISNUMBER(System!$C40),E572&lt;&gt;0),I572- $E$1*D572,PlotData!$CB$4)</f>
        <v>0</v>
      </c>
      <c r="K572" s="1030">
        <f>IF(AND(ISNUMBER(System!$C40),E572&lt;&gt;0),IF(E572&gt;0,I572,J572)-E572* $N$1*$E$1*D572,PlotData!$CB$4)</f>
        <v>0</v>
      </c>
      <c r="L572" s="1034">
        <f>IF(AND(ISNUMBER(System!$C40),E572&lt;&gt;0),F572+(X572-F572)/3,PlotData!$CB$3)</f>
        <v>0</v>
      </c>
      <c r="M572" s="1033">
        <f>IF(AND(ISNUMBER(System!$C40),E572&lt;&gt;0),G572+(Y572-G572)/3,PlotData!$CB$3)</f>
        <v>0</v>
      </c>
      <c r="N572" s="1032">
        <f>IF(AND(ISNUMBER(System!$C40),E572&lt;&gt;0),IF(E572&gt;0,L572,M572)- E572*$N$1*$E$1*C572,PlotData!$CB$3)</f>
        <v>0</v>
      </c>
      <c r="O572" s="1033">
        <f>IF(AND(ISNUMBER(System!$C40),E572&lt;&gt;0),I572+(AA572-I572)/3,PlotData!$CB$4)</f>
        <v>0</v>
      </c>
      <c r="P572" s="1033">
        <f>IF(AND(ISNUMBER(System!$C40),E572&lt;&gt;0),J572+(AB572-J572)/3,PlotData!$CB$4)</f>
        <v>0</v>
      </c>
      <c r="Q572" s="1035">
        <f>IF(AND(ISNUMBER(System!$C40),E572&lt;&gt;0),IF(E572&gt;0,O572,P572) -E572 *$N$1*$E$1*D572,PlotData!$CB$4)</f>
        <v>0</v>
      </c>
      <c r="R572" s="1031">
        <f>IF(AND(ISNUMBER(System!$C40),E572&lt;&gt;0),F572+2*(X572-F572)/3,PlotData!$CB$3)</f>
        <v>0</v>
      </c>
      <c r="S572" s="1033">
        <f>IF(AND(ISNUMBER(System!$C40),E572&lt;&gt;0),G572+2*(Y572-G572)/3,PlotData!$CB$3)</f>
        <v>0</v>
      </c>
      <c r="T572" s="1032">
        <f>IF(AND(ISNUMBER(System!$C40),E572&lt;&gt;0),IF(E572&gt;0,R572,S572)- E572*$N$1*$E$1*C572,PlotData!$CB$3)</f>
        <v>0</v>
      </c>
      <c r="U572" s="1033">
        <f>IF(AND(ISNUMBER(System!$C40),E572&lt;&gt;0),I572+2*(AA572-I572)/3,PlotData!$CB$4)</f>
        <v>0</v>
      </c>
      <c r="V572" s="1033">
        <f>IF(AND(ISNUMBER(System!$C40),E572&lt;&gt;0),J572+2*(AB572-J572)/3,PlotData!$CB$4)</f>
        <v>0</v>
      </c>
      <c r="W572" s="1035">
        <f>IF(AND(ISNUMBER(System!$C40),E572&lt;&gt;0),IF(E572&gt;0,U572,V572) -E572*$N$1*$E$1*D572,PlotData!$CB$4)</f>
        <v>0</v>
      </c>
      <c r="X572" s="1031">
        <f>IF(AND(ISNUMBER(System!$C40),E572&lt;&gt;0),System!BD158-$J$1*MIN($E$1,B484)*D484 - $H$1*$E$1*C484,PlotData!$CB$3)</f>
        <v>0</v>
      </c>
      <c r="Y572" s="1033">
        <f>IF(AND(ISNUMBER(System!$C40),E572&lt;&gt;0),X572 - $E$1*C572,PlotData!$CB$3)</f>
        <v>0</v>
      </c>
      <c r="Z572" s="1032">
        <f>IF(AND(ISNUMBER(System!$C40),E572&lt;&gt;0),IF(E572&gt;0,X572,Y572)- E572*$N$1*$E$1*C572,PlotData!$CB$3)</f>
        <v>0</v>
      </c>
      <c r="AA572" s="1033">
        <f>IF(AND(ISNUMBER(System!$C40),E572&lt;&gt;0),System!BF158+$J$1*MIN($E$1,B572)*C572 - $H$1*$E$1*D572,PlotData!$CB$4)</f>
        <v>0</v>
      </c>
      <c r="AB572" s="1033">
        <f>IF(AND(ISNUMBER(System!$C40),E572&lt;&gt;0),AA572 - $E$1*D572,PlotData!$CB$4)</f>
        <v>0</v>
      </c>
      <c r="AC572" s="1035">
        <f>IF(AND(ISNUMBER(System!$C40),E572&lt;&gt;0),IF(E572&gt;0,AA572,AB572) -E572* $N$1*$E$1*D572,PlotData!$CB$4)</f>
        <v>0</v>
      </c>
      <c r="AD572" s="1036">
        <f>IF(AND(ISNUMBER(System!$C40),E572&lt;&gt;0),AF572-$AQ$539/4,PlotData!$CB$3)</f>
        <v>0</v>
      </c>
      <c r="AE572" s="1032">
        <f>IF(AND(ISNUMBER(System!$C40),E572&lt;&gt;0),AG572-$AQ$538,PlotData!$CB$4)</f>
        <v>0</v>
      </c>
      <c r="AF572" s="1031">
        <f>IF(AND(ISNUMBER(System!$C40),E572&lt;&gt;0),M572 +IF(C572=0,-1,1)*IF(D572=0,-4,1)*AQ$536+(S572-M572)/2,PlotData!$CB$3)</f>
        <v>0</v>
      </c>
      <c r="AG572" s="1035">
        <f>IF(AND(ISNUMBER(System!$C40),E572&lt;&gt;0),P572-IF(D572=0,0,1)*$AQ$537+(V572-P572)/2,PlotData!$CB$4)</f>
        <v>0</v>
      </c>
      <c r="AH572" s="1034">
        <f>IF(AND(ISNUMBER(System!$C40),E572&lt;&gt;0),AF572+$AQ$539/4,PlotData!$CB$3)</f>
        <v>0</v>
      </c>
      <c r="AI572" s="1035">
        <f>IF(AND(ISNUMBER(System!$C40),E572&lt;&gt;0),AE572,PlotData!$CB$4)</f>
        <v>0</v>
      </c>
      <c r="AJ572" s="1031">
        <f>IF(AND(ISNUMBER(System!$C40),E572&lt;&gt;0),AH572+$AQ$539/4,PlotData!$CB$3)</f>
        <v>0</v>
      </c>
      <c r="AK572" s="1035">
        <f t="shared" si="201"/>
        <v>0</v>
      </c>
      <c r="AL572" s="1031">
        <f>IF(AND(ISNUMBER(System!$C40),E572&lt;&gt;0),AJ572+$AQ$539/4,PlotData!$CB$3)</f>
        <v>0</v>
      </c>
      <c r="AM572" s="1035">
        <f t="shared" si="202"/>
        <v>0</v>
      </c>
    </row>
    <row r="573" spans="1:39" x14ac:dyDescent="0.25">
      <c r="A573" s="910">
        <v>38</v>
      </c>
      <c r="B573" s="1031">
        <f t="shared" si="200"/>
        <v>0</v>
      </c>
      <c r="C573" s="1033">
        <f t="shared" si="200"/>
        <v>0</v>
      </c>
      <c r="D573" s="1029">
        <f t="shared" si="200"/>
        <v>0</v>
      </c>
      <c r="E573" s="1030">
        <f>IF(AND(ISNUMBER(System!$C41),System!AO41&lt;&gt;0),SIGN(System!AO41),0)</f>
        <v>0</v>
      </c>
      <c r="F573" s="1031">
        <f>IF(AND(ISNUMBER(System!$C41),E573&lt;&gt;0),System!BC159+$J$1*MIN($E$1,B573)*D573 -$H$1*$E$1*C573,PlotData!$CB$3)</f>
        <v>0</v>
      </c>
      <c r="G573" s="1032">
        <f>IF(AND(ISNUMBER(System!$C41),E573&lt;&gt;0),F573 - $E$1*C573,PlotData!$CB$3)</f>
        <v>0</v>
      </c>
      <c r="H573" s="1033">
        <f>IF(AND(ISNUMBER(System!$C41),E573&lt;&gt;0),IF(E573&gt;0,F573,G573)- E573*$N$1*$E$1*C573,PlotData!$CB$3)</f>
        <v>0</v>
      </c>
      <c r="I573" s="1033">
        <f>IF(AND(ISNUMBER(System!$C41),E573&lt;&gt;0),System!BE159-$J$1*MIN($E$1,B573)*C573 - $H$1*$E$1*D573,PlotData!$CB$4)</f>
        <v>0</v>
      </c>
      <c r="J573" s="1029">
        <f>IF(AND(ISNUMBER(System!$C41),E573&lt;&gt;0),I573- $E$1*D573,PlotData!$CB$4)</f>
        <v>0</v>
      </c>
      <c r="K573" s="1030">
        <f>IF(AND(ISNUMBER(System!$C41),E573&lt;&gt;0),IF(E573&gt;0,I573,J573)-E573* $N$1*$E$1*D573,PlotData!$CB$4)</f>
        <v>0</v>
      </c>
      <c r="L573" s="1034">
        <f>IF(AND(ISNUMBER(System!$C41),E573&lt;&gt;0),F573+(X573-F573)/3,PlotData!$CB$3)</f>
        <v>0</v>
      </c>
      <c r="M573" s="1033">
        <f>IF(AND(ISNUMBER(System!$C41),E573&lt;&gt;0),G573+(Y573-G573)/3,PlotData!$CB$3)</f>
        <v>0</v>
      </c>
      <c r="N573" s="1032">
        <f>IF(AND(ISNUMBER(System!$C41),E573&lt;&gt;0),IF(E573&gt;0,L573,M573)- E573*$N$1*$E$1*C573,PlotData!$CB$3)</f>
        <v>0</v>
      </c>
      <c r="O573" s="1033">
        <f>IF(AND(ISNUMBER(System!$C41),E573&lt;&gt;0),I573+(AA573-I573)/3,PlotData!$CB$4)</f>
        <v>0</v>
      </c>
      <c r="P573" s="1033">
        <f>IF(AND(ISNUMBER(System!$C41),E573&lt;&gt;0),J573+(AB573-J573)/3,PlotData!$CB$4)</f>
        <v>0</v>
      </c>
      <c r="Q573" s="1035">
        <f>IF(AND(ISNUMBER(System!$C41),E573&lt;&gt;0),IF(E573&gt;0,O573,P573) -E573 *$N$1*$E$1*D573,PlotData!$CB$4)</f>
        <v>0</v>
      </c>
      <c r="R573" s="1031">
        <f>IF(AND(ISNUMBER(System!$C41),E573&lt;&gt;0),F573+2*(X573-F573)/3,PlotData!$CB$3)</f>
        <v>0</v>
      </c>
      <c r="S573" s="1033">
        <f>IF(AND(ISNUMBER(System!$C41),E573&lt;&gt;0),G573+2*(Y573-G573)/3,PlotData!$CB$3)</f>
        <v>0</v>
      </c>
      <c r="T573" s="1032">
        <f>IF(AND(ISNUMBER(System!$C41),E573&lt;&gt;0),IF(E573&gt;0,R573,S573)- E573*$N$1*$E$1*C573,PlotData!$CB$3)</f>
        <v>0</v>
      </c>
      <c r="U573" s="1033">
        <f>IF(AND(ISNUMBER(System!$C41),E573&lt;&gt;0),I573+2*(AA573-I573)/3,PlotData!$CB$4)</f>
        <v>0</v>
      </c>
      <c r="V573" s="1033">
        <f>IF(AND(ISNUMBER(System!$C41),E573&lt;&gt;0),J573+2*(AB573-J573)/3,PlotData!$CB$4)</f>
        <v>0</v>
      </c>
      <c r="W573" s="1035">
        <f>IF(AND(ISNUMBER(System!$C41),E573&lt;&gt;0),IF(E573&gt;0,U573,V573) -E573*$N$1*$E$1*D573,PlotData!$CB$4)</f>
        <v>0</v>
      </c>
      <c r="X573" s="1031">
        <f>IF(AND(ISNUMBER(System!$C41),E573&lt;&gt;0),System!BD159-$J$1*MIN($E$1,B485)*D485 - $H$1*$E$1*C485,PlotData!$CB$3)</f>
        <v>0</v>
      </c>
      <c r="Y573" s="1033">
        <f>IF(AND(ISNUMBER(System!$C41),E573&lt;&gt;0),X573 - $E$1*C573,PlotData!$CB$3)</f>
        <v>0</v>
      </c>
      <c r="Z573" s="1032">
        <f>IF(AND(ISNUMBER(System!$C41),E573&lt;&gt;0),IF(E573&gt;0,X573,Y573)- E573*$N$1*$E$1*C573,PlotData!$CB$3)</f>
        <v>0</v>
      </c>
      <c r="AA573" s="1033">
        <f>IF(AND(ISNUMBER(System!$C41),E573&lt;&gt;0),System!BF159+$J$1*MIN($E$1,B573)*C573 - $H$1*$E$1*D573,PlotData!$CB$4)</f>
        <v>0</v>
      </c>
      <c r="AB573" s="1033">
        <f>IF(AND(ISNUMBER(System!$C41),E573&lt;&gt;0),AA573 - $E$1*D573,PlotData!$CB$4)</f>
        <v>0</v>
      </c>
      <c r="AC573" s="1035">
        <f>IF(AND(ISNUMBER(System!$C41),E573&lt;&gt;0),IF(E573&gt;0,AA573,AB573) -E573* $N$1*$E$1*D573,PlotData!$CB$4)</f>
        <v>0</v>
      </c>
      <c r="AD573" s="1036">
        <f>IF(AND(ISNUMBER(System!$C41),E573&lt;&gt;0),AF573-$AQ$539/4,PlotData!$CB$3)</f>
        <v>0</v>
      </c>
      <c r="AE573" s="1032">
        <f>IF(AND(ISNUMBER(System!$C41),E573&lt;&gt;0),AG573-$AQ$538,PlotData!$CB$4)</f>
        <v>0</v>
      </c>
      <c r="AF573" s="1031">
        <f>IF(AND(ISNUMBER(System!$C41),E573&lt;&gt;0),M573 +IF(C573=0,-1,1)*IF(D573=0,-4,1)*AQ$536+(S573-M573)/2,PlotData!$CB$3)</f>
        <v>0</v>
      </c>
      <c r="AG573" s="1035">
        <f>IF(AND(ISNUMBER(System!$C41),E573&lt;&gt;0),P573-IF(D573=0,0,1)*$AQ$537+(V573-P573)/2,PlotData!$CB$4)</f>
        <v>0</v>
      </c>
      <c r="AH573" s="1034">
        <f>IF(AND(ISNUMBER(System!$C41),E573&lt;&gt;0),AF573+$AQ$539/4,PlotData!$CB$3)</f>
        <v>0</v>
      </c>
      <c r="AI573" s="1035">
        <f>IF(AND(ISNUMBER(System!$C41),E573&lt;&gt;0),AE573,PlotData!$CB$4)</f>
        <v>0</v>
      </c>
      <c r="AJ573" s="1031">
        <f>IF(AND(ISNUMBER(System!$C41),E573&lt;&gt;0),AH573+$AQ$539/4,PlotData!$CB$3)</f>
        <v>0</v>
      </c>
      <c r="AK573" s="1035">
        <f t="shared" si="201"/>
        <v>0</v>
      </c>
      <c r="AL573" s="1031">
        <f>IF(AND(ISNUMBER(System!$C41),E573&lt;&gt;0),AJ573+$AQ$539/4,PlotData!$CB$3)</f>
        <v>0</v>
      </c>
      <c r="AM573" s="1035">
        <f t="shared" si="202"/>
        <v>0</v>
      </c>
    </row>
    <row r="574" spans="1:39" x14ac:dyDescent="0.25">
      <c r="A574" s="910">
        <v>39</v>
      </c>
      <c r="B574" s="1031">
        <f t="shared" si="200"/>
        <v>0</v>
      </c>
      <c r="C574" s="1033">
        <f t="shared" si="200"/>
        <v>0</v>
      </c>
      <c r="D574" s="1029">
        <f t="shared" si="200"/>
        <v>0</v>
      </c>
      <c r="E574" s="1030">
        <f>IF(AND(ISNUMBER(System!$C42),System!AO42&lt;&gt;0),SIGN(System!AO42),0)</f>
        <v>0</v>
      </c>
      <c r="F574" s="1031">
        <f>IF(AND(ISNUMBER(System!$C42),E574&lt;&gt;0),System!BC160+$J$1*MIN($E$1,B574)*D574 -$H$1*$E$1*C574,PlotData!$CB$3)</f>
        <v>0</v>
      </c>
      <c r="G574" s="1032">
        <f>IF(AND(ISNUMBER(System!$C42),E574&lt;&gt;0),F574 - $E$1*C574,PlotData!$CB$3)</f>
        <v>0</v>
      </c>
      <c r="H574" s="1033">
        <f>IF(AND(ISNUMBER(System!$C42),E574&lt;&gt;0),IF(E574&gt;0,F574,G574)- E574*$N$1*$E$1*C574,PlotData!$CB$3)</f>
        <v>0</v>
      </c>
      <c r="I574" s="1033">
        <f>IF(AND(ISNUMBER(System!$C42),E574&lt;&gt;0),System!BE160-$J$1*MIN($E$1,B574)*C574 - $H$1*$E$1*D574,PlotData!$CB$4)</f>
        <v>0</v>
      </c>
      <c r="J574" s="1029">
        <f>IF(AND(ISNUMBER(System!$C42),E574&lt;&gt;0),I574- $E$1*D574,PlotData!$CB$4)</f>
        <v>0</v>
      </c>
      <c r="K574" s="1030">
        <f>IF(AND(ISNUMBER(System!$C42),E574&lt;&gt;0),IF(E574&gt;0,I574,J574)-E574* $N$1*$E$1*D574,PlotData!$CB$4)</f>
        <v>0</v>
      </c>
      <c r="L574" s="1034">
        <f>IF(AND(ISNUMBER(System!$C42),E574&lt;&gt;0),F574+(X574-F574)/3,PlotData!$CB$3)</f>
        <v>0</v>
      </c>
      <c r="M574" s="1033">
        <f>IF(AND(ISNUMBER(System!$C42),E574&lt;&gt;0),G574+(Y574-G574)/3,PlotData!$CB$3)</f>
        <v>0</v>
      </c>
      <c r="N574" s="1032">
        <f>IF(AND(ISNUMBER(System!$C42),E574&lt;&gt;0),IF(E574&gt;0,L574,M574)- E574*$N$1*$E$1*C574,PlotData!$CB$3)</f>
        <v>0</v>
      </c>
      <c r="O574" s="1033">
        <f>IF(AND(ISNUMBER(System!$C42),E574&lt;&gt;0),I574+(AA574-I574)/3,PlotData!$CB$4)</f>
        <v>0</v>
      </c>
      <c r="P574" s="1033">
        <f>IF(AND(ISNUMBER(System!$C42),E574&lt;&gt;0),J574+(AB574-J574)/3,PlotData!$CB$4)</f>
        <v>0</v>
      </c>
      <c r="Q574" s="1035">
        <f>IF(AND(ISNUMBER(System!$C42),E574&lt;&gt;0),IF(E574&gt;0,O574,P574) -E574 *$N$1*$E$1*D574,PlotData!$CB$4)</f>
        <v>0</v>
      </c>
      <c r="R574" s="1031">
        <f>IF(AND(ISNUMBER(System!$C42),E574&lt;&gt;0),F574+2*(X574-F574)/3,PlotData!$CB$3)</f>
        <v>0</v>
      </c>
      <c r="S574" s="1033">
        <f>IF(AND(ISNUMBER(System!$C42),E574&lt;&gt;0),G574+2*(Y574-G574)/3,PlotData!$CB$3)</f>
        <v>0</v>
      </c>
      <c r="T574" s="1032">
        <f>IF(AND(ISNUMBER(System!$C42),E574&lt;&gt;0),IF(E574&gt;0,R574,S574)- E574*$N$1*$E$1*C574,PlotData!$CB$3)</f>
        <v>0</v>
      </c>
      <c r="U574" s="1033">
        <f>IF(AND(ISNUMBER(System!$C42),E574&lt;&gt;0),I574+2*(AA574-I574)/3,PlotData!$CB$4)</f>
        <v>0</v>
      </c>
      <c r="V574" s="1033">
        <f>IF(AND(ISNUMBER(System!$C42),E574&lt;&gt;0),J574+2*(AB574-J574)/3,PlotData!$CB$4)</f>
        <v>0</v>
      </c>
      <c r="W574" s="1035">
        <f>IF(AND(ISNUMBER(System!$C42),E574&lt;&gt;0),IF(E574&gt;0,U574,V574) -E574*$N$1*$E$1*D574,PlotData!$CB$4)</f>
        <v>0</v>
      </c>
      <c r="X574" s="1031">
        <f>IF(AND(ISNUMBER(System!$C42),E574&lt;&gt;0),System!BD160-$J$1*MIN($E$1,B486)*D486 - $H$1*$E$1*C486,PlotData!$CB$3)</f>
        <v>0</v>
      </c>
      <c r="Y574" s="1033">
        <f>IF(AND(ISNUMBER(System!$C42),E574&lt;&gt;0),X574 - $E$1*C574,PlotData!$CB$3)</f>
        <v>0</v>
      </c>
      <c r="Z574" s="1032">
        <f>IF(AND(ISNUMBER(System!$C42),E574&lt;&gt;0),IF(E574&gt;0,X574,Y574)- E574*$N$1*$E$1*C574,PlotData!$CB$3)</f>
        <v>0</v>
      </c>
      <c r="AA574" s="1033">
        <f>IF(AND(ISNUMBER(System!$C42),E574&lt;&gt;0),System!BF160+$J$1*MIN($E$1,B574)*C574 - $H$1*$E$1*D574,PlotData!$CB$4)</f>
        <v>0</v>
      </c>
      <c r="AB574" s="1033">
        <f>IF(AND(ISNUMBER(System!$C42),E574&lt;&gt;0),AA574 - $E$1*D574,PlotData!$CB$4)</f>
        <v>0</v>
      </c>
      <c r="AC574" s="1035">
        <f>IF(AND(ISNUMBER(System!$C42),E574&lt;&gt;0),IF(E574&gt;0,AA574,AB574) -E574* $N$1*$E$1*D574,PlotData!$CB$4)</f>
        <v>0</v>
      </c>
      <c r="AD574" s="1036">
        <f>IF(AND(ISNUMBER(System!$C42),E574&lt;&gt;0),AF574-$AQ$539/4,PlotData!$CB$3)</f>
        <v>0</v>
      </c>
      <c r="AE574" s="1032">
        <f>IF(AND(ISNUMBER(System!$C42),E574&lt;&gt;0),AG574-$AQ$538,PlotData!$CB$4)</f>
        <v>0</v>
      </c>
      <c r="AF574" s="1031">
        <f>IF(AND(ISNUMBER(System!$C42),E574&lt;&gt;0),M574 +IF(C574=0,-1,1)*IF(D574=0,-4,1)*AQ$536+(S574-M574)/2,PlotData!$CB$3)</f>
        <v>0</v>
      </c>
      <c r="AG574" s="1035">
        <f>IF(AND(ISNUMBER(System!$C42),E574&lt;&gt;0),P574-IF(D574=0,0,1)*$AQ$537+(V574-P574)/2,PlotData!$CB$4)</f>
        <v>0</v>
      </c>
      <c r="AH574" s="1034">
        <f>IF(AND(ISNUMBER(System!$C42),E574&lt;&gt;0),AF574+$AQ$539/4,PlotData!$CB$3)</f>
        <v>0</v>
      </c>
      <c r="AI574" s="1035">
        <f>IF(AND(ISNUMBER(System!$C42),E574&lt;&gt;0),AE574,PlotData!$CB$4)</f>
        <v>0</v>
      </c>
      <c r="AJ574" s="1031">
        <f>IF(AND(ISNUMBER(System!$C42),E574&lt;&gt;0),AH574+$AQ$539/4,PlotData!$CB$3)</f>
        <v>0</v>
      </c>
      <c r="AK574" s="1035">
        <f t="shared" si="201"/>
        <v>0</v>
      </c>
      <c r="AL574" s="1031">
        <f>IF(AND(ISNUMBER(System!$C42),E574&lt;&gt;0),AJ574+$AQ$539/4,PlotData!$CB$3)</f>
        <v>0</v>
      </c>
      <c r="AM574" s="1035">
        <f t="shared" si="202"/>
        <v>0</v>
      </c>
    </row>
    <row r="575" spans="1:39" ht="13.8" thickBot="1" x14ac:dyDescent="0.3">
      <c r="A575" s="911">
        <v>40</v>
      </c>
      <c r="B575" s="1050">
        <f t="shared" si="200"/>
        <v>0</v>
      </c>
      <c r="C575" s="1051">
        <f t="shared" si="200"/>
        <v>0</v>
      </c>
      <c r="D575" s="1052">
        <f t="shared" si="200"/>
        <v>0</v>
      </c>
      <c r="E575" s="1053">
        <f>IF(AND(ISNUMBER(System!$C43),System!AO43&lt;&gt;0),SIGN(System!AO43),0)</f>
        <v>0</v>
      </c>
      <c r="F575" s="1050">
        <f>IF(AND(ISNUMBER(System!$C43),E575&lt;&gt;0),System!BC161+$J$1*MIN($E$1,B575)*D575 -$H$1*$E$1*C575,PlotData!$CB$3)</f>
        <v>0</v>
      </c>
      <c r="G575" s="1054">
        <f>IF(AND(ISNUMBER(System!$C43),E575&lt;&gt;0),F575 - $E$1*C575,PlotData!$CB$3)</f>
        <v>0</v>
      </c>
      <c r="H575" s="1051">
        <f>IF(AND(ISNUMBER(System!$C43),E575&lt;&gt;0),IF(E575&gt;0,F575,G575)- E575*$N$1*$E$1*C575,PlotData!$CB$3)</f>
        <v>0</v>
      </c>
      <c r="I575" s="1051">
        <f>IF(AND(ISNUMBER(System!$C43),E575&lt;&gt;0),System!BE161-$J$1*MIN($E$1,B575)*C575 - $H$1*$E$1*D575,PlotData!$CB$4)</f>
        <v>0</v>
      </c>
      <c r="J575" s="1052">
        <f>IF(AND(ISNUMBER(System!$C43),E575&lt;&gt;0),I575- $E$1*D575,PlotData!$CB$4)</f>
        <v>0</v>
      </c>
      <c r="K575" s="1053">
        <f>IF(AND(ISNUMBER(System!$C43),E575&lt;&gt;0),IF(E575&gt;0,I575,J575)-E575* $N$1*$E$1*D575,PlotData!$CB$4)</f>
        <v>0</v>
      </c>
      <c r="L575" s="1055">
        <f>IF(AND(ISNUMBER(System!$C43),E575&lt;&gt;0),F575+(X575-F575)/3,PlotData!$CB$3)</f>
        <v>0</v>
      </c>
      <c r="M575" s="1051">
        <f>IF(AND(ISNUMBER(System!$C43),E575&lt;&gt;0),G575+(Y575-G575)/3,PlotData!$CB$3)</f>
        <v>0</v>
      </c>
      <c r="N575" s="1054">
        <f>IF(AND(ISNUMBER(System!$C43),E575&lt;&gt;0),IF(E575&gt;0,L575,M575)- E575*$N$1*$E$1*C575,PlotData!$CB$3)</f>
        <v>0</v>
      </c>
      <c r="O575" s="1051">
        <f>IF(AND(ISNUMBER(System!$C43),E575&lt;&gt;0),I575+(AA575-I575)/3,PlotData!$CB$4)</f>
        <v>0</v>
      </c>
      <c r="P575" s="1051">
        <f>IF(AND(ISNUMBER(System!$C43),E575&lt;&gt;0),J575+(AB575-J575)/3,PlotData!$CB$4)</f>
        <v>0</v>
      </c>
      <c r="Q575" s="1056">
        <f>IF(AND(ISNUMBER(System!$C43),E575&lt;&gt;0),IF(E575&gt;0,O575,P575) -E575 *$N$1*$E$1*D575,PlotData!$CB$4)</f>
        <v>0</v>
      </c>
      <c r="R575" s="1050">
        <f>IF(AND(ISNUMBER(System!$C43),E575&lt;&gt;0),F575+2*(X575-F575)/3,PlotData!$CB$3)</f>
        <v>0</v>
      </c>
      <c r="S575" s="1051">
        <f>IF(AND(ISNUMBER(System!$C43),E575&lt;&gt;0),G575+2*(Y575-G575)/3,PlotData!$CB$3)</f>
        <v>0</v>
      </c>
      <c r="T575" s="1054">
        <f>IF(AND(ISNUMBER(System!$C43),E575&lt;&gt;0),IF(E575&gt;0,R575,S575)- E575*$N$1*$E$1*C575,PlotData!$CB$3)</f>
        <v>0</v>
      </c>
      <c r="U575" s="1051">
        <f>IF(AND(ISNUMBER(System!$C43),E575&lt;&gt;0),I575+2*(AA575-I575)/3,PlotData!$CB$4)</f>
        <v>0</v>
      </c>
      <c r="V575" s="1051">
        <f>IF(AND(ISNUMBER(System!$C43),E575&lt;&gt;0),J575+2*(AB575-J575)/3,PlotData!$CB$4)</f>
        <v>0</v>
      </c>
      <c r="W575" s="1056">
        <f>IF(AND(ISNUMBER(System!$C43),E575&lt;&gt;0),IF(E575&gt;0,U575,V575) -E575*$N$1*$E$1*D575,PlotData!$CB$4)</f>
        <v>0</v>
      </c>
      <c r="X575" s="1050">
        <f>IF(AND(ISNUMBER(System!$C43),E575&lt;&gt;0),System!BD161-$J$1*MIN($E$1,B487)*D487 - $H$1*$E$1*C487,PlotData!$CB$3)</f>
        <v>0</v>
      </c>
      <c r="Y575" s="1051">
        <f>IF(AND(ISNUMBER(System!$C43),E575&lt;&gt;0),X575 - $E$1*C575,PlotData!$CB$3)</f>
        <v>0</v>
      </c>
      <c r="Z575" s="1054">
        <f>IF(AND(ISNUMBER(System!$C43),E575&lt;&gt;0),IF(E575&gt;0,X575,Y575)- E575*$N$1*$E$1*C575,PlotData!$CB$3)</f>
        <v>0</v>
      </c>
      <c r="AA575" s="1051">
        <f>IF(AND(ISNUMBER(System!$C43),E575&lt;&gt;0),System!BF161+$J$1*MIN($E$1,B575)*C575 - $H$1*$E$1*D575,PlotData!$CB$4)</f>
        <v>0</v>
      </c>
      <c r="AB575" s="1051">
        <f>IF(AND(ISNUMBER(System!$C43),E575&lt;&gt;0),AA575 - $E$1*D575,PlotData!$CB$4)</f>
        <v>0</v>
      </c>
      <c r="AC575" s="1056">
        <f>IF(AND(ISNUMBER(System!$C43),E575&lt;&gt;0),IF(E575&gt;0,AA575,AB575) -E575* $N$1*$E$1*D575,PlotData!$CB$4)</f>
        <v>0</v>
      </c>
      <c r="AD575" s="1057">
        <f>IF(AND(ISNUMBER(System!$C43),E575&lt;&gt;0),AF575-$AQ$539/4,PlotData!$CB$3)</f>
        <v>0</v>
      </c>
      <c r="AE575" s="1054">
        <f>IF(AND(ISNUMBER(System!$C43),E575&lt;&gt;0),AG575-$AQ$538,PlotData!$CB$4)</f>
        <v>0</v>
      </c>
      <c r="AF575" s="1050">
        <f>IF(AND(ISNUMBER(System!$C43),E575&lt;&gt;0),M575 +IF(C575=0,-1,1)*IF(D575=0,-4,1)*AQ$536+(S575-M575)/2,PlotData!$CB$3)</f>
        <v>0</v>
      </c>
      <c r="AG575" s="1056">
        <f>IF(AND(ISNUMBER(System!$C43),E575&lt;&gt;0),P575-IF(D575=0,0,1)*$AQ$537+(V575-P575)/2,PlotData!$CB$4)</f>
        <v>0</v>
      </c>
      <c r="AH575" s="1055">
        <f>IF(AND(ISNUMBER(System!$C43),E575&lt;&gt;0),AF575+$AQ$539/4,PlotData!$CB$3)</f>
        <v>0</v>
      </c>
      <c r="AI575" s="1056">
        <f>IF(AND(ISNUMBER(System!$C43),E575&lt;&gt;0),AE575,PlotData!$CB$4)</f>
        <v>0</v>
      </c>
      <c r="AJ575" s="1050">
        <f>IF(AND(ISNUMBER(System!$C43),E575&lt;&gt;0),AH575+$AQ$539/4,PlotData!$CB$3)</f>
        <v>0</v>
      </c>
      <c r="AK575" s="1056">
        <f t="shared" si="201"/>
        <v>0</v>
      </c>
      <c r="AL575" s="1050">
        <f>IF(AND(ISNUMBER(System!$C43),E575&lt;&gt;0),AJ575+$AQ$539/4,PlotData!$CB$3)</f>
        <v>0</v>
      </c>
      <c r="AM575" s="1056">
        <f t="shared" si="202"/>
        <v>0</v>
      </c>
    </row>
    <row r="576" spans="1:39" ht="13.8" thickBot="1" x14ac:dyDescent="0.3"/>
    <row r="577" spans="1:59" s="9" customFormat="1" ht="19.5" customHeight="1" thickBot="1" x14ac:dyDescent="0.35">
      <c r="B577" s="1357" t="s">
        <v>399</v>
      </c>
      <c r="C577" s="1358"/>
      <c r="D577" s="1358"/>
      <c r="E577" s="1358"/>
      <c r="F577" s="1359"/>
      <c r="H577" s="1357" t="s">
        <v>400</v>
      </c>
      <c r="I577" s="1358"/>
      <c r="J577" s="1358"/>
      <c r="K577" s="1358"/>
      <c r="L577" s="1359"/>
      <c r="N577" s="1357" t="s">
        <v>401</v>
      </c>
      <c r="O577" s="1358"/>
      <c r="P577" s="1358"/>
      <c r="Q577" s="1358"/>
      <c r="R577" s="1359"/>
      <c r="T577" s="1357" t="s">
        <v>402</v>
      </c>
      <c r="U577" s="1358"/>
      <c r="V577" s="1358"/>
      <c r="W577" s="1358"/>
      <c r="X577" s="1359"/>
      <c r="Z577" s="1357" t="s">
        <v>403</v>
      </c>
      <c r="AA577" s="1358"/>
      <c r="AB577" s="1358"/>
      <c r="AC577" s="1358"/>
      <c r="AD577" s="1359"/>
      <c r="AE577" s="1357" t="s">
        <v>404</v>
      </c>
      <c r="AF577" s="1358"/>
      <c r="AG577" s="1358"/>
      <c r="AH577" s="1358"/>
      <c r="AI577" s="1359"/>
      <c r="AK577" s="1357" t="s">
        <v>405</v>
      </c>
      <c r="AL577" s="1358"/>
      <c r="AM577" s="1358"/>
      <c r="AN577" s="1358"/>
      <c r="AO577" s="1359"/>
      <c r="AQ577" s="1357" t="s">
        <v>406</v>
      </c>
      <c r="AR577" s="1358"/>
      <c r="AS577" s="1358"/>
      <c r="AT577" s="1358"/>
      <c r="AU577" s="1359"/>
      <c r="AW577" s="1357" t="s">
        <v>407</v>
      </c>
      <c r="AX577" s="1358"/>
      <c r="AY577" s="1358"/>
      <c r="AZ577" s="1358"/>
      <c r="BA577" s="1359"/>
      <c r="BC577" s="1357" t="s">
        <v>408</v>
      </c>
      <c r="BD577" s="1358"/>
      <c r="BE577" s="1358"/>
      <c r="BF577" s="1358"/>
      <c r="BG577" s="1359"/>
    </row>
    <row r="578" spans="1:59" s="148" customFormat="1" ht="13.8" thickBot="1" x14ac:dyDescent="0.3">
      <c r="A578" s="820" t="s">
        <v>43</v>
      </c>
      <c r="B578" s="1021" t="s">
        <v>291</v>
      </c>
      <c r="C578" s="1019" t="s">
        <v>292</v>
      </c>
      <c r="D578" s="1019" t="s">
        <v>293</v>
      </c>
      <c r="E578" s="1019" t="s">
        <v>294</v>
      </c>
      <c r="F578" s="1020" t="s">
        <v>295</v>
      </c>
      <c r="G578" s="1058"/>
      <c r="H578" s="1021" t="s">
        <v>296</v>
      </c>
      <c r="I578" s="1019" t="s">
        <v>297</v>
      </c>
      <c r="J578" s="1019" t="s">
        <v>298</v>
      </c>
      <c r="K578" s="1019" t="s">
        <v>299</v>
      </c>
      <c r="L578" s="1020" t="s">
        <v>300</v>
      </c>
      <c r="M578" s="1058"/>
      <c r="N578" s="1021" t="s">
        <v>301</v>
      </c>
      <c r="O578" s="1019" t="s">
        <v>302</v>
      </c>
      <c r="P578" s="1019" t="s">
        <v>303</v>
      </c>
      <c r="Q578" s="1059" t="s">
        <v>304</v>
      </c>
      <c r="R578" s="1020" t="s">
        <v>305</v>
      </c>
      <c r="S578" s="1058"/>
      <c r="T578" s="1021" t="s">
        <v>306</v>
      </c>
      <c r="U578" s="1019" t="s">
        <v>307</v>
      </c>
      <c r="V578" s="1019" t="s">
        <v>409</v>
      </c>
      <c r="W578" s="1019" t="s">
        <v>410</v>
      </c>
      <c r="X578" s="1020" t="s">
        <v>411</v>
      </c>
      <c r="Y578" s="1060"/>
      <c r="Z578" s="1061" t="s">
        <v>412</v>
      </c>
      <c r="AA578" s="1059" t="s">
        <v>413</v>
      </c>
      <c r="AB578" s="1059" t="s">
        <v>414</v>
      </c>
      <c r="AC578" s="1059" t="s">
        <v>415</v>
      </c>
      <c r="AD578" s="1059" t="s">
        <v>416</v>
      </c>
      <c r="AE578" s="1059" t="s">
        <v>308</v>
      </c>
      <c r="AF578" s="1019" t="s">
        <v>309</v>
      </c>
      <c r="AG578" s="1019" t="s">
        <v>310</v>
      </c>
      <c r="AH578" s="1019" t="s">
        <v>311</v>
      </c>
      <c r="AI578" s="1020" t="s">
        <v>312</v>
      </c>
      <c r="AJ578" s="1058"/>
      <c r="AK578" s="1061" t="s">
        <v>313</v>
      </c>
      <c r="AL578" s="1059" t="s">
        <v>314</v>
      </c>
      <c r="AM578" s="1059" t="s">
        <v>315</v>
      </c>
      <c r="AN578" s="1059" t="s">
        <v>316</v>
      </c>
      <c r="AO578" s="1043" t="s">
        <v>317</v>
      </c>
      <c r="AP578" s="1060"/>
      <c r="AQ578" s="1061" t="s">
        <v>318</v>
      </c>
      <c r="AR578" s="1059" t="s">
        <v>319</v>
      </c>
      <c r="AS578" s="1059" t="s">
        <v>320</v>
      </c>
      <c r="AT578" s="1059" t="s">
        <v>321</v>
      </c>
      <c r="AU578" s="1043" t="s">
        <v>322</v>
      </c>
      <c r="AV578" s="1060"/>
      <c r="AW578" s="1061" t="s">
        <v>323</v>
      </c>
      <c r="AX578" s="1059" t="s">
        <v>324</v>
      </c>
      <c r="AY578" s="1059" t="s">
        <v>417</v>
      </c>
      <c r="AZ578" s="1059" t="s">
        <v>418</v>
      </c>
      <c r="BA578" s="1043" t="s">
        <v>419</v>
      </c>
      <c r="BB578" s="1060"/>
      <c r="BC578" s="1061" t="s">
        <v>420</v>
      </c>
      <c r="BD578" s="1059" t="s">
        <v>421</v>
      </c>
      <c r="BE578" s="1059" t="s">
        <v>422</v>
      </c>
      <c r="BF578" s="1059" t="s">
        <v>423</v>
      </c>
      <c r="BG578" s="1043" t="s">
        <v>424</v>
      </c>
    </row>
    <row r="579" spans="1:59" x14ac:dyDescent="0.25">
      <c r="A579" s="827">
        <v>1</v>
      </c>
      <c r="B579" s="1031">
        <f>IF(E536&gt;0,F536,G536)</f>
        <v>0</v>
      </c>
      <c r="C579" s="1029">
        <f ca="1">H536+ E536* $T$1*D536</f>
        <v>0</v>
      </c>
      <c r="D579" s="1033">
        <f ca="1">H536 -E536* $T$1*D536</f>
        <v>0</v>
      </c>
      <c r="E579" s="1029">
        <f>B579</f>
        <v>0</v>
      </c>
      <c r="F579" s="1030">
        <f>IF(E536&gt;0,G536,F536)</f>
        <v>0</v>
      </c>
      <c r="G579" s="1029"/>
      <c r="H579" s="1036">
        <f>IF(E536&gt;0,L536,M536)</f>
        <v>0</v>
      </c>
      <c r="I579" s="1033">
        <f ca="1">N536-E536* $T$1*D536</f>
        <v>0</v>
      </c>
      <c r="J579" s="1033">
        <f ca="1">N536+ E536* $T$1*D536</f>
        <v>0</v>
      </c>
      <c r="K579" s="1033">
        <f>H579</f>
        <v>0</v>
      </c>
      <c r="L579" s="1035">
        <f>IF(E536&gt;0,M536,L536)</f>
        <v>0</v>
      </c>
      <c r="M579" s="1029"/>
      <c r="N579" s="1036">
        <f>IF(E536&gt;0,R536,S536)</f>
        <v>0</v>
      </c>
      <c r="O579" s="1032">
        <f t="shared" ref="O579:O618" ca="1" si="203">T536+ E536* $T$1*D536</f>
        <v>0</v>
      </c>
      <c r="P579" s="1033">
        <f t="shared" ref="P579:P618" ca="1" si="204">T536- E536* $T$1*D536</f>
        <v>0</v>
      </c>
      <c r="Q579" s="1033">
        <f>N579</f>
        <v>0</v>
      </c>
      <c r="R579" s="1030">
        <f>IF(E536&gt;0,S536,R536)</f>
        <v>0</v>
      </c>
      <c r="S579" s="1029"/>
      <c r="T579" s="1031">
        <f>IF(E536&gt;0,X536,Y536)</f>
        <v>0</v>
      </c>
      <c r="U579" s="1033">
        <f t="shared" ref="U579:U618" ca="1" si="205">Z536 +E536* D536 * $T$1</f>
        <v>0</v>
      </c>
      <c r="V579" s="1033">
        <f t="shared" ref="V579:V618" ca="1" si="206">Z536- E536* D536 * $T$1</f>
        <v>0</v>
      </c>
      <c r="W579" s="1033">
        <f>T579</f>
        <v>0</v>
      </c>
      <c r="X579" s="1030">
        <f>IF(E536&gt;0,Y536,X536)</f>
        <v>0</v>
      </c>
      <c r="Y579" s="1029"/>
      <c r="Z579" s="1031">
        <f t="shared" ref="Z579:Z618" si="207">AD536</f>
        <v>0</v>
      </c>
      <c r="AA579" s="1029">
        <f t="shared" ref="AA579:AA618" si="208">AF536</f>
        <v>0</v>
      </c>
      <c r="AB579" s="1033">
        <f t="shared" ref="AB579:AB618" si="209">AH536</f>
        <v>0</v>
      </c>
      <c r="AC579" s="1029">
        <f t="shared" ref="AC579:AC618" si="210">AJ536</f>
        <v>0</v>
      </c>
      <c r="AD579" s="1030">
        <f t="shared" ref="AD579:AD618" si="211">AL536</f>
        <v>0</v>
      </c>
      <c r="AE579" s="1033">
        <f>IF(E536&gt;0,I536,J536)</f>
        <v>0</v>
      </c>
      <c r="AF579" s="1033">
        <f ca="1">K536 - C536*E536*$T$1</f>
        <v>0</v>
      </c>
      <c r="AG579" s="1029">
        <f ca="1">K536 + C536*E536*$T$1</f>
        <v>0</v>
      </c>
      <c r="AH579" s="1033">
        <f>AE579</f>
        <v>0</v>
      </c>
      <c r="AI579" s="1030">
        <f>IF(E536&gt;0,J536,I536)</f>
        <v>0</v>
      </c>
      <c r="AJ579" s="1029"/>
      <c r="AK579" s="1031">
        <f>IF(E536&gt;0,O536,P536)</f>
        <v>0</v>
      </c>
      <c r="AL579" s="1033">
        <f ca="1">Q536 +C536*E536*$T$1</f>
        <v>0</v>
      </c>
      <c r="AM579" s="1029">
        <f ca="1">Q536 -C536*E536*$T$1</f>
        <v>0</v>
      </c>
      <c r="AN579" s="1033">
        <f>AK579</f>
        <v>0</v>
      </c>
      <c r="AO579" s="1030">
        <f>IF(E536&gt;0,P536,O536)</f>
        <v>0</v>
      </c>
      <c r="AP579" s="1029"/>
      <c r="AQ579" s="1031">
        <f>IF(E536&gt;0,U536,V536)</f>
        <v>0</v>
      </c>
      <c r="AR579" s="1033">
        <f t="shared" ref="AR579:AR618" ca="1" si="212">W536 - C536*E536*$T$1</f>
        <v>0</v>
      </c>
      <c r="AS579" s="1029">
        <f t="shared" ref="AS579:AS618" ca="1" si="213">W536 + C536*E536*$T$1</f>
        <v>0</v>
      </c>
      <c r="AT579" s="1033">
        <f>AQ579</f>
        <v>0</v>
      </c>
      <c r="AU579" s="1030">
        <f>IF(E536&gt;0,V536,U536)</f>
        <v>0</v>
      </c>
      <c r="AV579" s="1029"/>
      <c r="AW579" s="1031">
        <f>IF(E536&gt;0,AA536,AB536)</f>
        <v>0</v>
      </c>
      <c r="AX579" s="1033">
        <f t="shared" ref="AX579:AX618" ca="1" si="214">AC536- E536*C536*$T$1</f>
        <v>0</v>
      </c>
      <c r="AY579" s="1033">
        <f t="shared" ref="AY579:AY618" ca="1" si="215">AC536+ E536*C536*$T$1</f>
        <v>0</v>
      </c>
      <c r="AZ579" s="1033">
        <f>AW579</f>
        <v>0</v>
      </c>
      <c r="BA579" s="1030">
        <f>IF(E536&gt;0,AB536,AA536)</f>
        <v>0</v>
      </c>
      <c r="BB579" s="1029"/>
      <c r="BC579" s="1036">
        <f t="shared" ref="BC579:BC618" si="216">AE536</f>
        <v>0</v>
      </c>
      <c r="BD579" s="1033">
        <f t="shared" ref="BD579:BD618" si="217">AG536</f>
        <v>0</v>
      </c>
      <c r="BE579" s="1029">
        <f t="shared" ref="BE579:BE618" si="218">AI536</f>
        <v>0</v>
      </c>
      <c r="BF579" s="1033">
        <f t="shared" ref="BF579:BF618" si="219">AK536</f>
        <v>0</v>
      </c>
      <c r="BG579" s="1035">
        <f t="shared" ref="BG579:BG618" si="220">AM536</f>
        <v>0</v>
      </c>
    </row>
    <row r="580" spans="1:59" x14ac:dyDescent="0.25">
      <c r="A580" s="827">
        <v>2</v>
      </c>
      <c r="B580" s="1031">
        <f t="shared" ref="B580:B618" si="221">IF(E537&gt;0,F537,G537)</f>
        <v>0</v>
      </c>
      <c r="C580" s="1029">
        <f t="shared" ref="C580:C618" ca="1" si="222">H537+ E537* $T$1*D537</f>
        <v>0</v>
      </c>
      <c r="D580" s="1033">
        <f t="shared" ref="D580:D618" ca="1" si="223">H537 -E537* $T$1*D537</f>
        <v>0</v>
      </c>
      <c r="E580" s="1029">
        <f t="shared" ref="E580:E618" si="224">B580</f>
        <v>0</v>
      </c>
      <c r="F580" s="1030">
        <f t="shared" ref="F580:F618" si="225">IF(E537&gt;0,G537,F537)</f>
        <v>0</v>
      </c>
      <c r="G580" s="1029"/>
      <c r="H580" s="1036">
        <f t="shared" ref="H580:H618" si="226">IF(E537&gt;0,L537,M537)</f>
        <v>0</v>
      </c>
      <c r="I580" s="1033">
        <f t="shared" ref="I580:I618" ca="1" si="227">N537-E537* $T$1*D537</f>
        <v>0</v>
      </c>
      <c r="J580" s="1033">
        <f t="shared" ref="J580:J618" ca="1" si="228">N537+ E537* $T$1*D537</f>
        <v>0</v>
      </c>
      <c r="K580" s="1033">
        <f t="shared" ref="K580:K618" si="229">H580</f>
        <v>0</v>
      </c>
      <c r="L580" s="1035">
        <f t="shared" ref="L580:L618" si="230">IF(E537&gt;0,M537,L537)</f>
        <v>0</v>
      </c>
      <c r="M580" s="1029"/>
      <c r="N580" s="1036">
        <f t="shared" ref="N580:N618" si="231">IF(E537&gt;0,R537,S537)</f>
        <v>0</v>
      </c>
      <c r="O580" s="1032">
        <f t="shared" ca="1" si="203"/>
        <v>0</v>
      </c>
      <c r="P580" s="1033">
        <f t="shared" ca="1" si="204"/>
        <v>0</v>
      </c>
      <c r="Q580" s="1033">
        <f t="shared" ref="Q580:Q618" si="232">N580</f>
        <v>0</v>
      </c>
      <c r="R580" s="1030">
        <f t="shared" ref="R580:R618" si="233">IF(E537&gt;0,S537,R537)</f>
        <v>0</v>
      </c>
      <c r="S580" s="1029"/>
      <c r="T580" s="1031">
        <f t="shared" ref="T580:T618" si="234">IF(E537&gt;0,X537,Y537)</f>
        <v>0</v>
      </c>
      <c r="U580" s="1033">
        <f t="shared" ca="1" si="205"/>
        <v>0</v>
      </c>
      <c r="V580" s="1033">
        <f t="shared" ca="1" si="206"/>
        <v>0</v>
      </c>
      <c r="W580" s="1033">
        <f t="shared" ref="W580:W618" si="235">T580</f>
        <v>0</v>
      </c>
      <c r="X580" s="1030">
        <f t="shared" ref="X580:X618" si="236">IF(E537&gt;0,Y537,X537)</f>
        <v>0</v>
      </c>
      <c r="Y580" s="1029"/>
      <c r="Z580" s="1031">
        <f t="shared" si="207"/>
        <v>0</v>
      </c>
      <c r="AA580" s="1029">
        <f t="shared" si="208"/>
        <v>0</v>
      </c>
      <c r="AB580" s="1033">
        <f t="shared" si="209"/>
        <v>0</v>
      </c>
      <c r="AC580" s="1029">
        <f t="shared" si="210"/>
        <v>0</v>
      </c>
      <c r="AD580" s="1030">
        <f t="shared" si="211"/>
        <v>0</v>
      </c>
      <c r="AE580" s="1033">
        <f t="shared" ref="AE580:AE618" si="237">IF(E537&gt;0,I537,J537)</f>
        <v>0</v>
      </c>
      <c r="AF580" s="1033">
        <f t="shared" ref="AF580:AF618" ca="1" si="238">K537 - C537*E537*$T$1</f>
        <v>0</v>
      </c>
      <c r="AG580" s="1029">
        <f t="shared" ref="AG580:AG618" ca="1" si="239">K537 + C537*E537*$T$1</f>
        <v>0</v>
      </c>
      <c r="AH580" s="1033">
        <f t="shared" ref="AH580:AH618" si="240">AE580</f>
        <v>0</v>
      </c>
      <c r="AI580" s="1030">
        <f t="shared" ref="AI580:AI618" si="241">IF(E537&gt;0,J537,I537)</f>
        <v>0</v>
      </c>
      <c r="AJ580" s="1029"/>
      <c r="AK580" s="1031">
        <f t="shared" ref="AK580:AK618" si="242">IF(E537&gt;0,O537,P537)</f>
        <v>0</v>
      </c>
      <c r="AL580" s="1033">
        <f t="shared" ref="AL580:AL618" ca="1" si="243">Q537 +C537*E537*$T$1</f>
        <v>0</v>
      </c>
      <c r="AM580" s="1029">
        <f t="shared" ref="AM580:AM618" ca="1" si="244">Q537 -C537*E537*$T$1</f>
        <v>0</v>
      </c>
      <c r="AN580" s="1033">
        <f t="shared" ref="AN580:AN618" si="245">AK580</f>
        <v>0</v>
      </c>
      <c r="AO580" s="1030">
        <f t="shared" ref="AO580:AO618" si="246">IF(E537&gt;0,P537,O537)</f>
        <v>0</v>
      </c>
      <c r="AP580" s="1029"/>
      <c r="AQ580" s="1031">
        <f t="shared" ref="AQ580:AQ618" si="247">IF(E537&gt;0,U537,V537)</f>
        <v>0</v>
      </c>
      <c r="AR580" s="1033">
        <f t="shared" ca="1" si="212"/>
        <v>0</v>
      </c>
      <c r="AS580" s="1029">
        <f t="shared" ca="1" si="213"/>
        <v>0</v>
      </c>
      <c r="AT580" s="1033">
        <f t="shared" ref="AT580:AT618" si="248">AQ580</f>
        <v>0</v>
      </c>
      <c r="AU580" s="1030">
        <f t="shared" ref="AU580:AU618" si="249">IF(E537&gt;0,V537,U537)</f>
        <v>0</v>
      </c>
      <c r="AV580" s="1029"/>
      <c r="AW580" s="1031">
        <f t="shared" ref="AW580:AW618" si="250">IF(E537&gt;0,AA537,AB537)</f>
        <v>0</v>
      </c>
      <c r="AX580" s="1033">
        <f t="shared" ca="1" si="214"/>
        <v>0</v>
      </c>
      <c r="AY580" s="1033">
        <f t="shared" ca="1" si="215"/>
        <v>0</v>
      </c>
      <c r="AZ580" s="1033">
        <f t="shared" ref="AZ580:AZ618" si="251">AW580</f>
        <v>0</v>
      </c>
      <c r="BA580" s="1030">
        <f t="shared" ref="BA580:BA618" si="252">IF(E537&gt;0,AB537,AA537)</f>
        <v>0</v>
      </c>
      <c r="BB580" s="1029"/>
      <c r="BC580" s="1036">
        <f t="shared" si="216"/>
        <v>0</v>
      </c>
      <c r="BD580" s="1033">
        <f t="shared" si="217"/>
        <v>0</v>
      </c>
      <c r="BE580" s="1029">
        <f t="shared" si="218"/>
        <v>0</v>
      </c>
      <c r="BF580" s="1033">
        <f t="shared" si="219"/>
        <v>0</v>
      </c>
      <c r="BG580" s="1035">
        <f t="shared" si="220"/>
        <v>0</v>
      </c>
    </row>
    <row r="581" spans="1:59" x14ac:dyDescent="0.25">
      <c r="A581" s="827">
        <v>3</v>
      </c>
      <c r="B581" s="1031">
        <f t="shared" si="221"/>
        <v>0</v>
      </c>
      <c r="C581" s="1029">
        <f t="shared" ca="1" si="222"/>
        <v>0</v>
      </c>
      <c r="D581" s="1033">
        <f t="shared" ca="1" si="223"/>
        <v>0</v>
      </c>
      <c r="E581" s="1029">
        <f t="shared" si="224"/>
        <v>0</v>
      </c>
      <c r="F581" s="1030">
        <f t="shared" si="225"/>
        <v>0</v>
      </c>
      <c r="G581" s="1029"/>
      <c r="H581" s="1036">
        <f t="shared" si="226"/>
        <v>0</v>
      </c>
      <c r="I581" s="1033">
        <f t="shared" ca="1" si="227"/>
        <v>0</v>
      </c>
      <c r="J581" s="1033">
        <f t="shared" ca="1" si="228"/>
        <v>0</v>
      </c>
      <c r="K581" s="1033">
        <f t="shared" si="229"/>
        <v>0</v>
      </c>
      <c r="L581" s="1035">
        <f t="shared" si="230"/>
        <v>0</v>
      </c>
      <c r="M581" s="1029"/>
      <c r="N581" s="1036">
        <f t="shared" si="231"/>
        <v>0</v>
      </c>
      <c r="O581" s="1032">
        <f t="shared" ca="1" si="203"/>
        <v>0</v>
      </c>
      <c r="P581" s="1033">
        <f t="shared" ca="1" si="204"/>
        <v>0</v>
      </c>
      <c r="Q581" s="1033">
        <f t="shared" si="232"/>
        <v>0</v>
      </c>
      <c r="R581" s="1030">
        <f t="shared" si="233"/>
        <v>0</v>
      </c>
      <c r="S581" s="1029"/>
      <c r="T581" s="1031">
        <f t="shared" si="234"/>
        <v>0</v>
      </c>
      <c r="U581" s="1033">
        <f t="shared" ca="1" si="205"/>
        <v>0</v>
      </c>
      <c r="V581" s="1033">
        <f t="shared" ca="1" si="206"/>
        <v>0</v>
      </c>
      <c r="W581" s="1033">
        <f t="shared" si="235"/>
        <v>0</v>
      </c>
      <c r="X581" s="1030">
        <f t="shared" si="236"/>
        <v>0</v>
      </c>
      <c r="Y581" s="1029"/>
      <c r="Z581" s="1031">
        <f t="shared" si="207"/>
        <v>0</v>
      </c>
      <c r="AA581" s="1029">
        <f t="shared" si="208"/>
        <v>0</v>
      </c>
      <c r="AB581" s="1033">
        <f t="shared" si="209"/>
        <v>0</v>
      </c>
      <c r="AC581" s="1029">
        <f t="shared" si="210"/>
        <v>0</v>
      </c>
      <c r="AD581" s="1030">
        <f t="shared" si="211"/>
        <v>0</v>
      </c>
      <c r="AE581" s="1033">
        <f t="shared" si="237"/>
        <v>0</v>
      </c>
      <c r="AF581" s="1033">
        <f t="shared" ca="1" si="238"/>
        <v>0</v>
      </c>
      <c r="AG581" s="1029">
        <f t="shared" ca="1" si="239"/>
        <v>0</v>
      </c>
      <c r="AH581" s="1033">
        <f t="shared" si="240"/>
        <v>0</v>
      </c>
      <c r="AI581" s="1030">
        <f t="shared" si="241"/>
        <v>0</v>
      </c>
      <c r="AJ581" s="1029"/>
      <c r="AK581" s="1031">
        <f t="shared" si="242"/>
        <v>0</v>
      </c>
      <c r="AL581" s="1033">
        <f t="shared" ca="1" si="243"/>
        <v>0</v>
      </c>
      <c r="AM581" s="1029">
        <f t="shared" ca="1" si="244"/>
        <v>0</v>
      </c>
      <c r="AN581" s="1033">
        <f t="shared" si="245"/>
        <v>0</v>
      </c>
      <c r="AO581" s="1030">
        <f t="shared" si="246"/>
        <v>0</v>
      </c>
      <c r="AP581" s="1029"/>
      <c r="AQ581" s="1031">
        <f t="shared" si="247"/>
        <v>0</v>
      </c>
      <c r="AR581" s="1033">
        <f t="shared" ca="1" si="212"/>
        <v>0</v>
      </c>
      <c r="AS581" s="1029">
        <f t="shared" ca="1" si="213"/>
        <v>0</v>
      </c>
      <c r="AT581" s="1033">
        <f t="shared" si="248"/>
        <v>0</v>
      </c>
      <c r="AU581" s="1030">
        <f t="shared" si="249"/>
        <v>0</v>
      </c>
      <c r="AV581" s="1029"/>
      <c r="AW581" s="1031">
        <f t="shared" si="250"/>
        <v>0</v>
      </c>
      <c r="AX581" s="1033">
        <f t="shared" ca="1" si="214"/>
        <v>0</v>
      </c>
      <c r="AY581" s="1033">
        <f t="shared" ca="1" si="215"/>
        <v>0</v>
      </c>
      <c r="AZ581" s="1033">
        <f t="shared" si="251"/>
        <v>0</v>
      </c>
      <c r="BA581" s="1030">
        <f t="shared" si="252"/>
        <v>0</v>
      </c>
      <c r="BB581" s="1029"/>
      <c r="BC581" s="1036">
        <f t="shared" si="216"/>
        <v>0</v>
      </c>
      <c r="BD581" s="1033">
        <f t="shared" si="217"/>
        <v>0</v>
      </c>
      <c r="BE581" s="1029">
        <f t="shared" si="218"/>
        <v>0</v>
      </c>
      <c r="BF581" s="1033">
        <f t="shared" si="219"/>
        <v>0</v>
      </c>
      <c r="BG581" s="1035">
        <f t="shared" si="220"/>
        <v>0</v>
      </c>
    </row>
    <row r="582" spans="1:59" x14ac:dyDescent="0.25">
      <c r="A582" s="827">
        <v>4</v>
      </c>
      <c r="B582" s="1031">
        <f t="shared" si="221"/>
        <v>0</v>
      </c>
      <c r="C582" s="1029">
        <f t="shared" ca="1" si="222"/>
        <v>0</v>
      </c>
      <c r="D582" s="1033">
        <f t="shared" ca="1" si="223"/>
        <v>0</v>
      </c>
      <c r="E582" s="1029">
        <f t="shared" si="224"/>
        <v>0</v>
      </c>
      <c r="F582" s="1030">
        <f t="shared" si="225"/>
        <v>0</v>
      </c>
      <c r="G582" s="1029"/>
      <c r="H582" s="1036">
        <f t="shared" si="226"/>
        <v>0</v>
      </c>
      <c r="I582" s="1033">
        <f t="shared" ca="1" si="227"/>
        <v>0</v>
      </c>
      <c r="J582" s="1033">
        <f t="shared" ca="1" si="228"/>
        <v>0</v>
      </c>
      <c r="K582" s="1033">
        <f t="shared" si="229"/>
        <v>0</v>
      </c>
      <c r="L582" s="1035">
        <f t="shared" si="230"/>
        <v>0</v>
      </c>
      <c r="M582" s="1029"/>
      <c r="N582" s="1036">
        <f t="shared" si="231"/>
        <v>0</v>
      </c>
      <c r="O582" s="1032">
        <f t="shared" ca="1" si="203"/>
        <v>0</v>
      </c>
      <c r="P582" s="1033">
        <f t="shared" ca="1" si="204"/>
        <v>0</v>
      </c>
      <c r="Q582" s="1033">
        <f t="shared" si="232"/>
        <v>0</v>
      </c>
      <c r="R582" s="1030">
        <f t="shared" si="233"/>
        <v>0</v>
      </c>
      <c r="S582" s="1029"/>
      <c r="T582" s="1031">
        <f t="shared" si="234"/>
        <v>0</v>
      </c>
      <c r="U582" s="1033">
        <f t="shared" ca="1" si="205"/>
        <v>0</v>
      </c>
      <c r="V582" s="1033">
        <f t="shared" ca="1" si="206"/>
        <v>0</v>
      </c>
      <c r="W582" s="1033">
        <f t="shared" si="235"/>
        <v>0</v>
      </c>
      <c r="X582" s="1030">
        <f t="shared" si="236"/>
        <v>0</v>
      </c>
      <c r="Y582" s="1029"/>
      <c r="Z582" s="1031">
        <f t="shared" si="207"/>
        <v>0</v>
      </c>
      <c r="AA582" s="1029">
        <f t="shared" si="208"/>
        <v>0</v>
      </c>
      <c r="AB582" s="1033">
        <f t="shared" si="209"/>
        <v>0</v>
      </c>
      <c r="AC582" s="1029">
        <f t="shared" si="210"/>
        <v>0</v>
      </c>
      <c r="AD582" s="1030">
        <f t="shared" si="211"/>
        <v>0</v>
      </c>
      <c r="AE582" s="1033">
        <f t="shared" si="237"/>
        <v>0</v>
      </c>
      <c r="AF582" s="1033">
        <f t="shared" ca="1" si="238"/>
        <v>0</v>
      </c>
      <c r="AG582" s="1029">
        <f t="shared" ca="1" si="239"/>
        <v>0</v>
      </c>
      <c r="AH582" s="1033">
        <f t="shared" si="240"/>
        <v>0</v>
      </c>
      <c r="AI582" s="1030">
        <f t="shared" si="241"/>
        <v>0</v>
      </c>
      <c r="AJ582" s="1029"/>
      <c r="AK582" s="1031">
        <f t="shared" si="242"/>
        <v>0</v>
      </c>
      <c r="AL582" s="1033">
        <f t="shared" ca="1" si="243"/>
        <v>0</v>
      </c>
      <c r="AM582" s="1029">
        <f t="shared" ca="1" si="244"/>
        <v>0</v>
      </c>
      <c r="AN582" s="1033">
        <f t="shared" si="245"/>
        <v>0</v>
      </c>
      <c r="AO582" s="1030">
        <f t="shared" si="246"/>
        <v>0</v>
      </c>
      <c r="AP582" s="1029"/>
      <c r="AQ582" s="1031">
        <f t="shared" si="247"/>
        <v>0</v>
      </c>
      <c r="AR582" s="1033">
        <f t="shared" ca="1" si="212"/>
        <v>0</v>
      </c>
      <c r="AS582" s="1029">
        <f t="shared" ca="1" si="213"/>
        <v>0</v>
      </c>
      <c r="AT582" s="1033">
        <f t="shared" si="248"/>
        <v>0</v>
      </c>
      <c r="AU582" s="1030">
        <f t="shared" si="249"/>
        <v>0</v>
      </c>
      <c r="AV582" s="1029"/>
      <c r="AW582" s="1031">
        <f t="shared" si="250"/>
        <v>0</v>
      </c>
      <c r="AX582" s="1033">
        <f t="shared" ca="1" si="214"/>
        <v>0</v>
      </c>
      <c r="AY582" s="1033">
        <f t="shared" ca="1" si="215"/>
        <v>0</v>
      </c>
      <c r="AZ582" s="1033">
        <f t="shared" si="251"/>
        <v>0</v>
      </c>
      <c r="BA582" s="1030">
        <f t="shared" si="252"/>
        <v>0</v>
      </c>
      <c r="BB582" s="1029"/>
      <c r="BC582" s="1036">
        <f t="shared" si="216"/>
        <v>0</v>
      </c>
      <c r="BD582" s="1033">
        <f t="shared" si="217"/>
        <v>0</v>
      </c>
      <c r="BE582" s="1029">
        <f t="shared" si="218"/>
        <v>0</v>
      </c>
      <c r="BF582" s="1033">
        <f t="shared" si="219"/>
        <v>0</v>
      </c>
      <c r="BG582" s="1035">
        <f t="shared" si="220"/>
        <v>0</v>
      </c>
    </row>
    <row r="583" spans="1:59" x14ac:dyDescent="0.25">
      <c r="A583" s="827">
        <v>5</v>
      </c>
      <c r="B583" s="1031">
        <f t="shared" si="221"/>
        <v>0</v>
      </c>
      <c r="C583" s="1029">
        <f t="shared" ca="1" si="222"/>
        <v>0</v>
      </c>
      <c r="D583" s="1033">
        <f t="shared" ca="1" si="223"/>
        <v>0</v>
      </c>
      <c r="E583" s="1029">
        <f t="shared" si="224"/>
        <v>0</v>
      </c>
      <c r="F583" s="1030">
        <f t="shared" si="225"/>
        <v>0</v>
      </c>
      <c r="G583" s="1029"/>
      <c r="H583" s="1036">
        <f t="shared" si="226"/>
        <v>0</v>
      </c>
      <c r="I583" s="1033">
        <f t="shared" ca="1" si="227"/>
        <v>0</v>
      </c>
      <c r="J583" s="1033">
        <f t="shared" ca="1" si="228"/>
        <v>0</v>
      </c>
      <c r="K583" s="1033">
        <f t="shared" si="229"/>
        <v>0</v>
      </c>
      <c r="L583" s="1035">
        <f t="shared" si="230"/>
        <v>0</v>
      </c>
      <c r="M583" s="1029"/>
      <c r="N583" s="1036">
        <f t="shared" si="231"/>
        <v>0</v>
      </c>
      <c r="O583" s="1032">
        <f t="shared" ca="1" si="203"/>
        <v>0</v>
      </c>
      <c r="P583" s="1033">
        <f t="shared" ca="1" si="204"/>
        <v>0</v>
      </c>
      <c r="Q583" s="1033">
        <f t="shared" si="232"/>
        <v>0</v>
      </c>
      <c r="R583" s="1030">
        <f t="shared" si="233"/>
        <v>0</v>
      </c>
      <c r="S583" s="1029"/>
      <c r="T583" s="1031">
        <f t="shared" si="234"/>
        <v>0</v>
      </c>
      <c r="U583" s="1033">
        <f t="shared" ca="1" si="205"/>
        <v>0</v>
      </c>
      <c r="V583" s="1033">
        <f t="shared" ca="1" si="206"/>
        <v>0</v>
      </c>
      <c r="W583" s="1033">
        <f t="shared" si="235"/>
        <v>0</v>
      </c>
      <c r="X583" s="1030">
        <f t="shared" si="236"/>
        <v>0</v>
      </c>
      <c r="Y583" s="1029"/>
      <c r="Z583" s="1031">
        <f t="shared" si="207"/>
        <v>0</v>
      </c>
      <c r="AA583" s="1029">
        <f t="shared" si="208"/>
        <v>0</v>
      </c>
      <c r="AB583" s="1033">
        <f t="shared" si="209"/>
        <v>0</v>
      </c>
      <c r="AC583" s="1029">
        <f t="shared" si="210"/>
        <v>0</v>
      </c>
      <c r="AD583" s="1030">
        <f t="shared" si="211"/>
        <v>0</v>
      </c>
      <c r="AE583" s="1033">
        <f t="shared" si="237"/>
        <v>0</v>
      </c>
      <c r="AF583" s="1033">
        <f t="shared" ca="1" si="238"/>
        <v>0</v>
      </c>
      <c r="AG583" s="1029">
        <f t="shared" ca="1" si="239"/>
        <v>0</v>
      </c>
      <c r="AH583" s="1033">
        <f t="shared" si="240"/>
        <v>0</v>
      </c>
      <c r="AI583" s="1030">
        <f t="shared" si="241"/>
        <v>0</v>
      </c>
      <c r="AJ583" s="1029"/>
      <c r="AK583" s="1031">
        <f t="shared" si="242"/>
        <v>0</v>
      </c>
      <c r="AL583" s="1033">
        <f t="shared" ca="1" si="243"/>
        <v>0</v>
      </c>
      <c r="AM583" s="1029">
        <f t="shared" ca="1" si="244"/>
        <v>0</v>
      </c>
      <c r="AN583" s="1033">
        <f t="shared" si="245"/>
        <v>0</v>
      </c>
      <c r="AO583" s="1030">
        <f t="shared" si="246"/>
        <v>0</v>
      </c>
      <c r="AP583" s="1029"/>
      <c r="AQ583" s="1031">
        <f t="shared" si="247"/>
        <v>0</v>
      </c>
      <c r="AR583" s="1033">
        <f t="shared" ca="1" si="212"/>
        <v>0</v>
      </c>
      <c r="AS583" s="1029">
        <f t="shared" ca="1" si="213"/>
        <v>0</v>
      </c>
      <c r="AT583" s="1033">
        <f t="shared" si="248"/>
        <v>0</v>
      </c>
      <c r="AU583" s="1030">
        <f t="shared" si="249"/>
        <v>0</v>
      </c>
      <c r="AV583" s="1029"/>
      <c r="AW583" s="1031">
        <f t="shared" si="250"/>
        <v>0</v>
      </c>
      <c r="AX583" s="1033">
        <f t="shared" ca="1" si="214"/>
        <v>0</v>
      </c>
      <c r="AY583" s="1033">
        <f t="shared" ca="1" si="215"/>
        <v>0</v>
      </c>
      <c r="AZ583" s="1033">
        <f t="shared" si="251"/>
        <v>0</v>
      </c>
      <c r="BA583" s="1030">
        <f t="shared" si="252"/>
        <v>0</v>
      </c>
      <c r="BB583" s="1029"/>
      <c r="BC583" s="1036">
        <f t="shared" si="216"/>
        <v>0</v>
      </c>
      <c r="BD583" s="1033">
        <f t="shared" si="217"/>
        <v>0</v>
      </c>
      <c r="BE583" s="1029">
        <f t="shared" si="218"/>
        <v>0</v>
      </c>
      <c r="BF583" s="1033">
        <f t="shared" si="219"/>
        <v>0</v>
      </c>
      <c r="BG583" s="1035">
        <f t="shared" si="220"/>
        <v>0</v>
      </c>
    </row>
    <row r="584" spans="1:59" x14ac:dyDescent="0.25">
      <c r="A584" s="827">
        <v>6</v>
      </c>
      <c r="B584" s="1031">
        <f t="shared" si="221"/>
        <v>0</v>
      </c>
      <c r="C584" s="1029">
        <f t="shared" si="222"/>
        <v>0</v>
      </c>
      <c r="D584" s="1033">
        <f t="shared" si="223"/>
        <v>0</v>
      </c>
      <c r="E584" s="1029">
        <f t="shared" si="224"/>
        <v>0</v>
      </c>
      <c r="F584" s="1030">
        <f t="shared" si="225"/>
        <v>0</v>
      </c>
      <c r="G584" s="1029"/>
      <c r="H584" s="1036">
        <f t="shared" si="226"/>
        <v>0</v>
      </c>
      <c r="I584" s="1033">
        <f t="shared" si="227"/>
        <v>0</v>
      </c>
      <c r="J584" s="1033">
        <f t="shared" si="228"/>
        <v>0</v>
      </c>
      <c r="K584" s="1033">
        <f t="shared" si="229"/>
        <v>0</v>
      </c>
      <c r="L584" s="1035">
        <f t="shared" si="230"/>
        <v>0</v>
      </c>
      <c r="M584" s="1029"/>
      <c r="N584" s="1036">
        <f t="shared" si="231"/>
        <v>0</v>
      </c>
      <c r="O584" s="1032">
        <f t="shared" si="203"/>
        <v>0</v>
      </c>
      <c r="P584" s="1033">
        <f t="shared" si="204"/>
        <v>0</v>
      </c>
      <c r="Q584" s="1033">
        <f t="shared" si="232"/>
        <v>0</v>
      </c>
      <c r="R584" s="1030">
        <f t="shared" si="233"/>
        <v>0</v>
      </c>
      <c r="S584" s="1029"/>
      <c r="T584" s="1031">
        <f t="shared" si="234"/>
        <v>0</v>
      </c>
      <c r="U584" s="1033">
        <f t="shared" si="205"/>
        <v>0</v>
      </c>
      <c r="V584" s="1033">
        <f t="shared" si="206"/>
        <v>0</v>
      </c>
      <c r="W584" s="1033">
        <f t="shared" si="235"/>
        <v>0</v>
      </c>
      <c r="X584" s="1030">
        <f t="shared" si="236"/>
        <v>0</v>
      </c>
      <c r="Y584" s="1029"/>
      <c r="Z584" s="1031">
        <f t="shared" si="207"/>
        <v>0</v>
      </c>
      <c r="AA584" s="1029">
        <f t="shared" si="208"/>
        <v>0</v>
      </c>
      <c r="AB584" s="1033">
        <f t="shared" si="209"/>
        <v>0</v>
      </c>
      <c r="AC584" s="1029">
        <f t="shared" si="210"/>
        <v>0</v>
      </c>
      <c r="AD584" s="1030">
        <f t="shared" si="211"/>
        <v>0</v>
      </c>
      <c r="AE584" s="1033">
        <f t="shared" si="237"/>
        <v>0</v>
      </c>
      <c r="AF584" s="1033">
        <f t="shared" si="238"/>
        <v>0</v>
      </c>
      <c r="AG584" s="1029">
        <f t="shared" si="239"/>
        <v>0</v>
      </c>
      <c r="AH584" s="1033">
        <f t="shared" si="240"/>
        <v>0</v>
      </c>
      <c r="AI584" s="1030">
        <f t="shared" si="241"/>
        <v>0</v>
      </c>
      <c r="AJ584" s="1029"/>
      <c r="AK584" s="1031">
        <f t="shared" si="242"/>
        <v>0</v>
      </c>
      <c r="AL584" s="1033">
        <f t="shared" si="243"/>
        <v>0</v>
      </c>
      <c r="AM584" s="1029">
        <f t="shared" si="244"/>
        <v>0</v>
      </c>
      <c r="AN584" s="1033">
        <f t="shared" si="245"/>
        <v>0</v>
      </c>
      <c r="AO584" s="1030">
        <f t="shared" si="246"/>
        <v>0</v>
      </c>
      <c r="AP584" s="1029"/>
      <c r="AQ584" s="1031">
        <f t="shared" si="247"/>
        <v>0</v>
      </c>
      <c r="AR584" s="1033">
        <f t="shared" si="212"/>
        <v>0</v>
      </c>
      <c r="AS584" s="1029">
        <f t="shared" si="213"/>
        <v>0</v>
      </c>
      <c r="AT584" s="1033">
        <f t="shared" si="248"/>
        <v>0</v>
      </c>
      <c r="AU584" s="1030">
        <f t="shared" si="249"/>
        <v>0</v>
      </c>
      <c r="AV584" s="1029"/>
      <c r="AW584" s="1031">
        <f t="shared" si="250"/>
        <v>0</v>
      </c>
      <c r="AX584" s="1033">
        <f t="shared" si="214"/>
        <v>0</v>
      </c>
      <c r="AY584" s="1033">
        <f t="shared" si="215"/>
        <v>0</v>
      </c>
      <c r="AZ584" s="1033">
        <f t="shared" si="251"/>
        <v>0</v>
      </c>
      <c r="BA584" s="1030">
        <f t="shared" si="252"/>
        <v>0</v>
      </c>
      <c r="BB584" s="1029"/>
      <c r="BC584" s="1036">
        <f t="shared" si="216"/>
        <v>0</v>
      </c>
      <c r="BD584" s="1033">
        <f t="shared" si="217"/>
        <v>0</v>
      </c>
      <c r="BE584" s="1029">
        <f t="shared" si="218"/>
        <v>0</v>
      </c>
      <c r="BF584" s="1033">
        <f t="shared" si="219"/>
        <v>0</v>
      </c>
      <c r="BG584" s="1035">
        <f t="shared" si="220"/>
        <v>0</v>
      </c>
    </row>
    <row r="585" spans="1:59" x14ac:dyDescent="0.25">
      <c r="A585" s="827">
        <v>7</v>
      </c>
      <c r="B585" s="1031">
        <f t="shared" si="221"/>
        <v>0</v>
      </c>
      <c r="C585" s="1029">
        <f t="shared" si="222"/>
        <v>0</v>
      </c>
      <c r="D585" s="1033">
        <f t="shared" si="223"/>
        <v>0</v>
      </c>
      <c r="E585" s="1029">
        <f t="shared" si="224"/>
        <v>0</v>
      </c>
      <c r="F585" s="1030">
        <f t="shared" si="225"/>
        <v>0</v>
      </c>
      <c r="G585" s="1029"/>
      <c r="H585" s="1036">
        <f t="shared" si="226"/>
        <v>0</v>
      </c>
      <c r="I585" s="1033">
        <f t="shared" si="227"/>
        <v>0</v>
      </c>
      <c r="J585" s="1033">
        <f t="shared" si="228"/>
        <v>0</v>
      </c>
      <c r="K585" s="1033">
        <f t="shared" si="229"/>
        <v>0</v>
      </c>
      <c r="L585" s="1035">
        <f t="shared" si="230"/>
        <v>0</v>
      </c>
      <c r="M585" s="1029"/>
      <c r="N585" s="1036">
        <f t="shared" si="231"/>
        <v>0</v>
      </c>
      <c r="O585" s="1032">
        <f t="shared" si="203"/>
        <v>0</v>
      </c>
      <c r="P585" s="1033">
        <f t="shared" si="204"/>
        <v>0</v>
      </c>
      <c r="Q585" s="1033">
        <f t="shared" si="232"/>
        <v>0</v>
      </c>
      <c r="R585" s="1030">
        <f t="shared" si="233"/>
        <v>0</v>
      </c>
      <c r="S585" s="1029"/>
      <c r="T585" s="1031">
        <f t="shared" si="234"/>
        <v>0</v>
      </c>
      <c r="U585" s="1033">
        <f t="shared" si="205"/>
        <v>0</v>
      </c>
      <c r="V585" s="1033">
        <f t="shared" si="206"/>
        <v>0</v>
      </c>
      <c r="W585" s="1033">
        <f t="shared" si="235"/>
        <v>0</v>
      </c>
      <c r="X585" s="1030">
        <f t="shared" si="236"/>
        <v>0</v>
      </c>
      <c r="Y585" s="1029"/>
      <c r="Z585" s="1031">
        <f t="shared" si="207"/>
        <v>0</v>
      </c>
      <c r="AA585" s="1029">
        <f t="shared" si="208"/>
        <v>0</v>
      </c>
      <c r="AB585" s="1033">
        <f t="shared" si="209"/>
        <v>0</v>
      </c>
      <c r="AC585" s="1029">
        <f t="shared" si="210"/>
        <v>0</v>
      </c>
      <c r="AD585" s="1030">
        <f t="shared" si="211"/>
        <v>0</v>
      </c>
      <c r="AE585" s="1033">
        <f t="shared" si="237"/>
        <v>0</v>
      </c>
      <c r="AF585" s="1033">
        <f t="shared" si="238"/>
        <v>0</v>
      </c>
      <c r="AG585" s="1029">
        <f t="shared" si="239"/>
        <v>0</v>
      </c>
      <c r="AH585" s="1033">
        <f t="shared" si="240"/>
        <v>0</v>
      </c>
      <c r="AI585" s="1030">
        <f t="shared" si="241"/>
        <v>0</v>
      </c>
      <c r="AJ585" s="1029"/>
      <c r="AK585" s="1031">
        <f t="shared" si="242"/>
        <v>0</v>
      </c>
      <c r="AL585" s="1033">
        <f t="shared" si="243"/>
        <v>0</v>
      </c>
      <c r="AM585" s="1029">
        <f t="shared" si="244"/>
        <v>0</v>
      </c>
      <c r="AN585" s="1033">
        <f t="shared" si="245"/>
        <v>0</v>
      </c>
      <c r="AO585" s="1030">
        <f t="shared" si="246"/>
        <v>0</v>
      </c>
      <c r="AP585" s="1029"/>
      <c r="AQ585" s="1031">
        <f t="shared" si="247"/>
        <v>0</v>
      </c>
      <c r="AR585" s="1033">
        <f t="shared" si="212"/>
        <v>0</v>
      </c>
      <c r="AS585" s="1029">
        <f t="shared" si="213"/>
        <v>0</v>
      </c>
      <c r="AT585" s="1033">
        <f t="shared" si="248"/>
        <v>0</v>
      </c>
      <c r="AU585" s="1030">
        <f t="shared" si="249"/>
        <v>0</v>
      </c>
      <c r="AV585" s="1029"/>
      <c r="AW585" s="1031">
        <f t="shared" si="250"/>
        <v>0</v>
      </c>
      <c r="AX585" s="1033">
        <f t="shared" si="214"/>
        <v>0</v>
      </c>
      <c r="AY585" s="1033">
        <f t="shared" si="215"/>
        <v>0</v>
      </c>
      <c r="AZ585" s="1033">
        <f t="shared" si="251"/>
        <v>0</v>
      </c>
      <c r="BA585" s="1030">
        <f t="shared" si="252"/>
        <v>0</v>
      </c>
      <c r="BB585" s="1029"/>
      <c r="BC585" s="1036">
        <f t="shared" si="216"/>
        <v>0</v>
      </c>
      <c r="BD585" s="1033">
        <f t="shared" si="217"/>
        <v>0</v>
      </c>
      <c r="BE585" s="1029">
        <f t="shared" si="218"/>
        <v>0</v>
      </c>
      <c r="BF585" s="1033">
        <f t="shared" si="219"/>
        <v>0</v>
      </c>
      <c r="BG585" s="1035">
        <f t="shared" si="220"/>
        <v>0</v>
      </c>
    </row>
    <row r="586" spans="1:59" x14ac:dyDescent="0.25">
      <c r="A586" s="827">
        <v>8</v>
      </c>
      <c r="B586" s="1031">
        <f t="shared" si="221"/>
        <v>0</v>
      </c>
      <c r="C586" s="1029">
        <f t="shared" si="222"/>
        <v>0</v>
      </c>
      <c r="D586" s="1033">
        <f t="shared" si="223"/>
        <v>0</v>
      </c>
      <c r="E586" s="1029">
        <f t="shared" si="224"/>
        <v>0</v>
      </c>
      <c r="F586" s="1030">
        <f t="shared" si="225"/>
        <v>0</v>
      </c>
      <c r="G586" s="1029"/>
      <c r="H586" s="1036">
        <f t="shared" si="226"/>
        <v>0</v>
      </c>
      <c r="I586" s="1033">
        <f t="shared" si="227"/>
        <v>0</v>
      </c>
      <c r="J586" s="1033">
        <f t="shared" si="228"/>
        <v>0</v>
      </c>
      <c r="K586" s="1033">
        <f t="shared" si="229"/>
        <v>0</v>
      </c>
      <c r="L586" s="1035">
        <f t="shared" si="230"/>
        <v>0</v>
      </c>
      <c r="M586" s="1029"/>
      <c r="N586" s="1036">
        <f t="shared" si="231"/>
        <v>0</v>
      </c>
      <c r="O586" s="1032">
        <f t="shared" si="203"/>
        <v>0</v>
      </c>
      <c r="P586" s="1033">
        <f t="shared" si="204"/>
        <v>0</v>
      </c>
      <c r="Q586" s="1033">
        <f t="shared" si="232"/>
        <v>0</v>
      </c>
      <c r="R586" s="1030">
        <f t="shared" si="233"/>
        <v>0</v>
      </c>
      <c r="S586" s="1029"/>
      <c r="T586" s="1031">
        <f t="shared" si="234"/>
        <v>0</v>
      </c>
      <c r="U586" s="1033">
        <f t="shared" si="205"/>
        <v>0</v>
      </c>
      <c r="V586" s="1033">
        <f t="shared" si="206"/>
        <v>0</v>
      </c>
      <c r="W586" s="1033">
        <f t="shared" si="235"/>
        <v>0</v>
      </c>
      <c r="X586" s="1030">
        <f t="shared" si="236"/>
        <v>0</v>
      </c>
      <c r="Y586" s="1029"/>
      <c r="Z586" s="1031">
        <f t="shared" si="207"/>
        <v>0</v>
      </c>
      <c r="AA586" s="1029">
        <f t="shared" si="208"/>
        <v>0</v>
      </c>
      <c r="AB586" s="1033">
        <f t="shared" si="209"/>
        <v>0</v>
      </c>
      <c r="AC586" s="1029">
        <f t="shared" si="210"/>
        <v>0</v>
      </c>
      <c r="AD586" s="1030">
        <f t="shared" si="211"/>
        <v>0</v>
      </c>
      <c r="AE586" s="1033">
        <f t="shared" si="237"/>
        <v>0</v>
      </c>
      <c r="AF586" s="1033">
        <f t="shared" si="238"/>
        <v>0</v>
      </c>
      <c r="AG586" s="1029">
        <f t="shared" si="239"/>
        <v>0</v>
      </c>
      <c r="AH586" s="1033">
        <f t="shared" si="240"/>
        <v>0</v>
      </c>
      <c r="AI586" s="1030">
        <f t="shared" si="241"/>
        <v>0</v>
      </c>
      <c r="AJ586" s="1029"/>
      <c r="AK586" s="1031">
        <f t="shared" si="242"/>
        <v>0</v>
      </c>
      <c r="AL586" s="1033">
        <f t="shared" si="243"/>
        <v>0</v>
      </c>
      <c r="AM586" s="1029">
        <f t="shared" si="244"/>
        <v>0</v>
      </c>
      <c r="AN586" s="1033">
        <f t="shared" si="245"/>
        <v>0</v>
      </c>
      <c r="AO586" s="1030">
        <f t="shared" si="246"/>
        <v>0</v>
      </c>
      <c r="AP586" s="1029"/>
      <c r="AQ586" s="1031">
        <f t="shared" si="247"/>
        <v>0</v>
      </c>
      <c r="AR586" s="1033">
        <f t="shared" si="212"/>
        <v>0</v>
      </c>
      <c r="AS586" s="1029">
        <f t="shared" si="213"/>
        <v>0</v>
      </c>
      <c r="AT586" s="1033">
        <f t="shared" si="248"/>
        <v>0</v>
      </c>
      <c r="AU586" s="1030">
        <f t="shared" si="249"/>
        <v>0</v>
      </c>
      <c r="AV586" s="1029"/>
      <c r="AW586" s="1031">
        <f t="shared" si="250"/>
        <v>0</v>
      </c>
      <c r="AX586" s="1033">
        <f t="shared" si="214"/>
        <v>0</v>
      </c>
      <c r="AY586" s="1033">
        <f t="shared" si="215"/>
        <v>0</v>
      </c>
      <c r="AZ586" s="1033">
        <f t="shared" si="251"/>
        <v>0</v>
      </c>
      <c r="BA586" s="1030">
        <f t="shared" si="252"/>
        <v>0</v>
      </c>
      <c r="BB586" s="1029"/>
      <c r="BC586" s="1036">
        <f t="shared" si="216"/>
        <v>0</v>
      </c>
      <c r="BD586" s="1033">
        <f t="shared" si="217"/>
        <v>0</v>
      </c>
      <c r="BE586" s="1029">
        <f t="shared" si="218"/>
        <v>0</v>
      </c>
      <c r="BF586" s="1033">
        <f t="shared" si="219"/>
        <v>0</v>
      </c>
      <c r="BG586" s="1035">
        <f t="shared" si="220"/>
        <v>0</v>
      </c>
    </row>
    <row r="587" spans="1:59" x14ac:dyDescent="0.25">
      <c r="A587" s="827">
        <v>9</v>
      </c>
      <c r="B587" s="1031">
        <f t="shared" si="221"/>
        <v>0</v>
      </c>
      <c r="C587" s="1029">
        <f t="shared" si="222"/>
        <v>0</v>
      </c>
      <c r="D587" s="1033">
        <f t="shared" si="223"/>
        <v>0</v>
      </c>
      <c r="E587" s="1029">
        <f t="shared" si="224"/>
        <v>0</v>
      </c>
      <c r="F587" s="1030">
        <f t="shared" si="225"/>
        <v>0</v>
      </c>
      <c r="G587" s="1029"/>
      <c r="H587" s="1036">
        <f t="shared" si="226"/>
        <v>0</v>
      </c>
      <c r="I587" s="1033">
        <f t="shared" si="227"/>
        <v>0</v>
      </c>
      <c r="J587" s="1033">
        <f t="shared" si="228"/>
        <v>0</v>
      </c>
      <c r="K587" s="1033">
        <f t="shared" si="229"/>
        <v>0</v>
      </c>
      <c r="L587" s="1035">
        <f t="shared" si="230"/>
        <v>0</v>
      </c>
      <c r="M587" s="1029"/>
      <c r="N587" s="1036">
        <f t="shared" si="231"/>
        <v>0</v>
      </c>
      <c r="O587" s="1032">
        <f t="shared" si="203"/>
        <v>0</v>
      </c>
      <c r="P587" s="1033">
        <f t="shared" si="204"/>
        <v>0</v>
      </c>
      <c r="Q587" s="1033">
        <f t="shared" si="232"/>
        <v>0</v>
      </c>
      <c r="R587" s="1030">
        <f t="shared" si="233"/>
        <v>0</v>
      </c>
      <c r="S587" s="1029"/>
      <c r="T587" s="1031">
        <f t="shared" si="234"/>
        <v>0</v>
      </c>
      <c r="U587" s="1033">
        <f t="shared" si="205"/>
        <v>0</v>
      </c>
      <c r="V587" s="1033">
        <f t="shared" si="206"/>
        <v>0</v>
      </c>
      <c r="W587" s="1033">
        <f t="shared" si="235"/>
        <v>0</v>
      </c>
      <c r="X587" s="1030">
        <f t="shared" si="236"/>
        <v>0</v>
      </c>
      <c r="Y587" s="1029"/>
      <c r="Z587" s="1031">
        <f t="shared" si="207"/>
        <v>0</v>
      </c>
      <c r="AA587" s="1029">
        <f t="shared" si="208"/>
        <v>0</v>
      </c>
      <c r="AB587" s="1033">
        <f t="shared" si="209"/>
        <v>0</v>
      </c>
      <c r="AC587" s="1029">
        <f t="shared" si="210"/>
        <v>0</v>
      </c>
      <c r="AD587" s="1030">
        <f t="shared" si="211"/>
        <v>0</v>
      </c>
      <c r="AE587" s="1033">
        <f t="shared" si="237"/>
        <v>0</v>
      </c>
      <c r="AF587" s="1033">
        <f t="shared" si="238"/>
        <v>0</v>
      </c>
      <c r="AG587" s="1029">
        <f t="shared" si="239"/>
        <v>0</v>
      </c>
      <c r="AH587" s="1033">
        <f t="shared" si="240"/>
        <v>0</v>
      </c>
      <c r="AI587" s="1030">
        <f t="shared" si="241"/>
        <v>0</v>
      </c>
      <c r="AJ587" s="1029"/>
      <c r="AK587" s="1031">
        <f t="shared" si="242"/>
        <v>0</v>
      </c>
      <c r="AL587" s="1033">
        <f t="shared" si="243"/>
        <v>0</v>
      </c>
      <c r="AM587" s="1029">
        <f t="shared" si="244"/>
        <v>0</v>
      </c>
      <c r="AN587" s="1033">
        <f t="shared" si="245"/>
        <v>0</v>
      </c>
      <c r="AO587" s="1030">
        <f t="shared" si="246"/>
        <v>0</v>
      </c>
      <c r="AP587" s="1029"/>
      <c r="AQ587" s="1031">
        <f t="shared" si="247"/>
        <v>0</v>
      </c>
      <c r="AR587" s="1033">
        <f t="shared" si="212"/>
        <v>0</v>
      </c>
      <c r="AS587" s="1029">
        <f t="shared" si="213"/>
        <v>0</v>
      </c>
      <c r="AT587" s="1033">
        <f t="shared" si="248"/>
        <v>0</v>
      </c>
      <c r="AU587" s="1030">
        <f t="shared" si="249"/>
        <v>0</v>
      </c>
      <c r="AV587" s="1029"/>
      <c r="AW587" s="1031">
        <f t="shared" si="250"/>
        <v>0</v>
      </c>
      <c r="AX587" s="1033">
        <f t="shared" si="214"/>
        <v>0</v>
      </c>
      <c r="AY587" s="1033">
        <f t="shared" si="215"/>
        <v>0</v>
      </c>
      <c r="AZ587" s="1033">
        <f t="shared" si="251"/>
        <v>0</v>
      </c>
      <c r="BA587" s="1030">
        <f t="shared" si="252"/>
        <v>0</v>
      </c>
      <c r="BB587" s="1029"/>
      <c r="BC587" s="1036">
        <f t="shared" si="216"/>
        <v>0</v>
      </c>
      <c r="BD587" s="1033">
        <f t="shared" si="217"/>
        <v>0</v>
      </c>
      <c r="BE587" s="1029">
        <f t="shared" si="218"/>
        <v>0</v>
      </c>
      <c r="BF587" s="1033">
        <f t="shared" si="219"/>
        <v>0</v>
      </c>
      <c r="BG587" s="1035">
        <f t="shared" si="220"/>
        <v>0</v>
      </c>
    </row>
    <row r="588" spans="1:59" x14ac:dyDescent="0.25">
      <c r="A588" s="827">
        <v>10</v>
      </c>
      <c r="B588" s="1031">
        <f t="shared" si="221"/>
        <v>0</v>
      </c>
      <c r="C588" s="1029">
        <f t="shared" si="222"/>
        <v>0</v>
      </c>
      <c r="D588" s="1033">
        <f t="shared" si="223"/>
        <v>0</v>
      </c>
      <c r="E588" s="1029">
        <f t="shared" si="224"/>
        <v>0</v>
      </c>
      <c r="F588" s="1030">
        <f t="shared" si="225"/>
        <v>0</v>
      </c>
      <c r="G588" s="1029"/>
      <c r="H588" s="1036">
        <f t="shared" si="226"/>
        <v>0</v>
      </c>
      <c r="I588" s="1033">
        <f t="shared" si="227"/>
        <v>0</v>
      </c>
      <c r="J588" s="1033">
        <f t="shared" si="228"/>
        <v>0</v>
      </c>
      <c r="K588" s="1033">
        <f t="shared" si="229"/>
        <v>0</v>
      </c>
      <c r="L588" s="1035">
        <f t="shared" si="230"/>
        <v>0</v>
      </c>
      <c r="M588" s="1029"/>
      <c r="N588" s="1036">
        <f t="shared" si="231"/>
        <v>0</v>
      </c>
      <c r="O588" s="1032">
        <f t="shared" si="203"/>
        <v>0</v>
      </c>
      <c r="P588" s="1033">
        <f t="shared" si="204"/>
        <v>0</v>
      </c>
      <c r="Q588" s="1033">
        <f t="shared" si="232"/>
        <v>0</v>
      </c>
      <c r="R588" s="1030">
        <f t="shared" si="233"/>
        <v>0</v>
      </c>
      <c r="S588" s="1029"/>
      <c r="T588" s="1031">
        <f t="shared" si="234"/>
        <v>0</v>
      </c>
      <c r="U588" s="1033">
        <f t="shared" si="205"/>
        <v>0</v>
      </c>
      <c r="V588" s="1033">
        <f t="shared" si="206"/>
        <v>0</v>
      </c>
      <c r="W588" s="1033">
        <f t="shared" si="235"/>
        <v>0</v>
      </c>
      <c r="X588" s="1030">
        <f t="shared" si="236"/>
        <v>0</v>
      </c>
      <c r="Y588" s="1029"/>
      <c r="Z588" s="1031">
        <f t="shared" si="207"/>
        <v>0</v>
      </c>
      <c r="AA588" s="1029">
        <f t="shared" si="208"/>
        <v>0</v>
      </c>
      <c r="AB588" s="1033">
        <f t="shared" si="209"/>
        <v>0</v>
      </c>
      <c r="AC588" s="1029">
        <f t="shared" si="210"/>
        <v>0</v>
      </c>
      <c r="AD588" s="1030">
        <f t="shared" si="211"/>
        <v>0</v>
      </c>
      <c r="AE588" s="1033">
        <f t="shared" si="237"/>
        <v>0</v>
      </c>
      <c r="AF588" s="1033">
        <f t="shared" si="238"/>
        <v>0</v>
      </c>
      <c r="AG588" s="1029">
        <f t="shared" si="239"/>
        <v>0</v>
      </c>
      <c r="AH588" s="1033">
        <f t="shared" si="240"/>
        <v>0</v>
      </c>
      <c r="AI588" s="1030">
        <f t="shared" si="241"/>
        <v>0</v>
      </c>
      <c r="AJ588" s="1029"/>
      <c r="AK588" s="1031">
        <f t="shared" si="242"/>
        <v>0</v>
      </c>
      <c r="AL588" s="1033">
        <f t="shared" si="243"/>
        <v>0</v>
      </c>
      <c r="AM588" s="1029">
        <f t="shared" si="244"/>
        <v>0</v>
      </c>
      <c r="AN588" s="1033">
        <f t="shared" si="245"/>
        <v>0</v>
      </c>
      <c r="AO588" s="1030">
        <f t="shared" si="246"/>
        <v>0</v>
      </c>
      <c r="AP588" s="1029"/>
      <c r="AQ588" s="1031">
        <f t="shared" si="247"/>
        <v>0</v>
      </c>
      <c r="AR588" s="1033">
        <f t="shared" si="212"/>
        <v>0</v>
      </c>
      <c r="AS588" s="1029">
        <f t="shared" si="213"/>
        <v>0</v>
      </c>
      <c r="AT588" s="1033">
        <f t="shared" si="248"/>
        <v>0</v>
      </c>
      <c r="AU588" s="1030">
        <f t="shared" si="249"/>
        <v>0</v>
      </c>
      <c r="AV588" s="1029"/>
      <c r="AW588" s="1031">
        <f t="shared" si="250"/>
        <v>0</v>
      </c>
      <c r="AX588" s="1033">
        <f t="shared" si="214"/>
        <v>0</v>
      </c>
      <c r="AY588" s="1033">
        <f t="shared" si="215"/>
        <v>0</v>
      </c>
      <c r="AZ588" s="1033">
        <f t="shared" si="251"/>
        <v>0</v>
      </c>
      <c r="BA588" s="1030">
        <f t="shared" si="252"/>
        <v>0</v>
      </c>
      <c r="BB588" s="1029"/>
      <c r="BC588" s="1036">
        <f t="shared" si="216"/>
        <v>0</v>
      </c>
      <c r="BD588" s="1033">
        <f t="shared" si="217"/>
        <v>0</v>
      </c>
      <c r="BE588" s="1029">
        <f t="shared" si="218"/>
        <v>0</v>
      </c>
      <c r="BF588" s="1033">
        <f t="shared" si="219"/>
        <v>0</v>
      </c>
      <c r="BG588" s="1035">
        <f t="shared" si="220"/>
        <v>0</v>
      </c>
    </row>
    <row r="589" spans="1:59" x14ac:dyDescent="0.25">
      <c r="A589" s="827">
        <v>11</v>
      </c>
      <c r="B589" s="1031">
        <f t="shared" si="221"/>
        <v>0</v>
      </c>
      <c r="C589" s="1029">
        <f t="shared" si="222"/>
        <v>0</v>
      </c>
      <c r="D589" s="1033">
        <f t="shared" si="223"/>
        <v>0</v>
      </c>
      <c r="E589" s="1029">
        <f t="shared" si="224"/>
        <v>0</v>
      </c>
      <c r="F589" s="1030">
        <f t="shared" si="225"/>
        <v>0</v>
      </c>
      <c r="G589" s="1029"/>
      <c r="H589" s="1036">
        <f t="shared" si="226"/>
        <v>0</v>
      </c>
      <c r="I589" s="1033">
        <f t="shared" si="227"/>
        <v>0</v>
      </c>
      <c r="J589" s="1033">
        <f t="shared" si="228"/>
        <v>0</v>
      </c>
      <c r="K589" s="1033">
        <f t="shared" si="229"/>
        <v>0</v>
      </c>
      <c r="L589" s="1035">
        <f t="shared" si="230"/>
        <v>0</v>
      </c>
      <c r="M589" s="1029"/>
      <c r="N589" s="1036">
        <f t="shared" si="231"/>
        <v>0</v>
      </c>
      <c r="O589" s="1032">
        <f t="shared" si="203"/>
        <v>0</v>
      </c>
      <c r="P589" s="1033">
        <f t="shared" si="204"/>
        <v>0</v>
      </c>
      <c r="Q589" s="1033">
        <f t="shared" si="232"/>
        <v>0</v>
      </c>
      <c r="R589" s="1030">
        <f t="shared" si="233"/>
        <v>0</v>
      </c>
      <c r="S589" s="1029"/>
      <c r="T589" s="1031">
        <f t="shared" si="234"/>
        <v>0</v>
      </c>
      <c r="U589" s="1033">
        <f t="shared" si="205"/>
        <v>0</v>
      </c>
      <c r="V589" s="1033">
        <f t="shared" si="206"/>
        <v>0</v>
      </c>
      <c r="W589" s="1033">
        <f t="shared" si="235"/>
        <v>0</v>
      </c>
      <c r="X589" s="1030">
        <f t="shared" si="236"/>
        <v>0</v>
      </c>
      <c r="Y589" s="1029"/>
      <c r="Z589" s="1031">
        <f t="shared" si="207"/>
        <v>0</v>
      </c>
      <c r="AA589" s="1029">
        <f t="shared" si="208"/>
        <v>0</v>
      </c>
      <c r="AB589" s="1033">
        <f t="shared" si="209"/>
        <v>0</v>
      </c>
      <c r="AC589" s="1029">
        <f t="shared" si="210"/>
        <v>0</v>
      </c>
      <c r="AD589" s="1030">
        <f t="shared" si="211"/>
        <v>0</v>
      </c>
      <c r="AE589" s="1033">
        <f t="shared" si="237"/>
        <v>0</v>
      </c>
      <c r="AF589" s="1033">
        <f t="shared" si="238"/>
        <v>0</v>
      </c>
      <c r="AG589" s="1029">
        <f t="shared" si="239"/>
        <v>0</v>
      </c>
      <c r="AH589" s="1033">
        <f t="shared" si="240"/>
        <v>0</v>
      </c>
      <c r="AI589" s="1030">
        <f t="shared" si="241"/>
        <v>0</v>
      </c>
      <c r="AJ589" s="1029"/>
      <c r="AK589" s="1031">
        <f t="shared" si="242"/>
        <v>0</v>
      </c>
      <c r="AL589" s="1033">
        <f t="shared" si="243"/>
        <v>0</v>
      </c>
      <c r="AM589" s="1029">
        <f t="shared" si="244"/>
        <v>0</v>
      </c>
      <c r="AN589" s="1033">
        <f t="shared" si="245"/>
        <v>0</v>
      </c>
      <c r="AO589" s="1030">
        <f t="shared" si="246"/>
        <v>0</v>
      </c>
      <c r="AP589" s="1029"/>
      <c r="AQ589" s="1031">
        <f t="shared" si="247"/>
        <v>0</v>
      </c>
      <c r="AR589" s="1033">
        <f t="shared" si="212"/>
        <v>0</v>
      </c>
      <c r="AS589" s="1029">
        <f t="shared" si="213"/>
        <v>0</v>
      </c>
      <c r="AT589" s="1033">
        <f t="shared" si="248"/>
        <v>0</v>
      </c>
      <c r="AU589" s="1030">
        <f t="shared" si="249"/>
        <v>0</v>
      </c>
      <c r="AV589" s="1029"/>
      <c r="AW589" s="1031">
        <f t="shared" si="250"/>
        <v>0</v>
      </c>
      <c r="AX589" s="1033">
        <f t="shared" si="214"/>
        <v>0</v>
      </c>
      <c r="AY589" s="1033">
        <f t="shared" si="215"/>
        <v>0</v>
      </c>
      <c r="AZ589" s="1033">
        <f t="shared" si="251"/>
        <v>0</v>
      </c>
      <c r="BA589" s="1030">
        <f t="shared" si="252"/>
        <v>0</v>
      </c>
      <c r="BB589" s="1029"/>
      <c r="BC589" s="1036">
        <f t="shared" si="216"/>
        <v>0</v>
      </c>
      <c r="BD589" s="1033">
        <f t="shared" si="217"/>
        <v>0</v>
      </c>
      <c r="BE589" s="1029">
        <f t="shared" si="218"/>
        <v>0</v>
      </c>
      <c r="BF589" s="1033">
        <f t="shared" si="219"/>
        <v>0</v>
      </c>
      <c r="BG589" s="1035">
        <f t="shared" si="220"/>
        <v>0</v>
      </c>
    </row>
    <row r="590" spans="1:59" x14ac:dyDescent="0.25">
      <c r="A590" s="827">
        <v>12</v>
      </c>
      <c r="B590" s="1031">
        <f t="shared" si="221"/>
        <v>0</v>
      </c>
      <c r="C590" s="1029">
        <f t="shared" si="222"/>
        <v>0</v>
      </c>
      <c r="D590" s="1033">
        <f t="shared" si="223"/>
        <v>0</v>
      </c>
      <c r="E590" s="1029">
        <f t="shared" si="224"/>
        <v>0</v>
      </c>
      <c r="F590" s="1030">
        <f t="shared" si="225"/>
        <v>0</v>
      </c>
      <c r="G590" s="1029"/>
      <c r="H590" s="1036">
        <f t="shared" si="226"/>
        <v>0</v>
      </c>
      <c r="I590" s="1033">
        <f t="shared" si="227"/>
        <v>0</v>
      </c>
      <c r="J590" s="1033">
        <f t="shared" si="228"/>
        <v>0</v>
      </c>
      <c r="K590" s="1033">
        <f t="shared" si="229"/>
        <v>0</v>
      </c>
      <c r="L590" s="1035">
        <f t="shared" si="230"/>
        <v>0</v>
      </c>
      <c r="M590" s="1029"/>
      <c r="N590" s="1036">
        <f t="shared" si="231"/>
        <v>0</v>
      </c>
      <c r="O590" s="1032">
        <f t="shared" si="203"/>
        <v>0</v>
      </c>
      <c r="P590" s="1033">
        <f t="shared" si="204"/>
        <v>0</v>
      </c>
      <c r="Q590" s="1033">
        <f t="shared" si="232"/>
        <v>0</v>
      </c>
      <c r="R590" s="1030">
        <f t="shared" si="233"/>
        <v>0</v>
      </c>
      <c r="S590" s="1029"/>
      <c r="T590" s="1031">
        <f t="shared" si="234"/>
        <v>0</v>
      </c>
      <c r="U590" s="1033">
        <f t="shared" si="205"/>
        <v>0</v>
      </c>
      <c r="V590" s="1033">
        <f t="shared" si="206"/>
        <v>0</v>
      </c>
      <c r="W590" s="1033">
        <f t="shared" si="235"/>
        <v>0</v>
      </c>
      <c r="X590" s="1030">
        <f t="shared" si="236"/>
        <v>0</v>
      </c>
      <c r="Y590" s="1029"/>
      <c r="Z590" s="1031">
        <f t="shared" si="207"/>
        <v>0</v>
      </c>
      <c r="AA590" s="1029">
        <f t="shared" si="208"/>
        <v>0</v>
      </c>
      <c r="AB590" s="1033">
        <f t="shared" si="209"/>
        <v>0</v>
      </c>
      <c r="AC590" s="1029">
        <f t="shared" si="210"/>
        <v>0</v>
      </c>
      <c r="AD590" s="1030">
        <f t="shared" si="211"/>
        <v>0</v>
      </c>
      <c r="AE590" s="1033">
        <f t="shared" si="237"/>
        <v>0</v>
      </c>
      <c r="AF590" s="1033">
        <f t="shared" si="238"/>
        <v>0</v>
      </c>
      <c r="AG590" s="1029">
        <f t="shared" si="239"/>
        <v>0</v>
      </c>
      <c r="AH590" s="1033">
        <f t="shared" si="240"/>
        <v>0</v>
      </c>
      <c r="AI590" s="1030">
        <f t="shared" si="241"/>
        <v>0</v>
      </c>
      <c r="AJ590" s="1029"/>
      <c r="AK590" s="1031">
        <f t="shared" si="242"/>
        <v>0</v>
      </c>
      <c r="AL590" s="1033">
        <f t="shared" si="243"/>
        <v>0</v>
      </c>
      <c r="AM590" s="1029">
        <f t="shared" si="244"/>
        <v>0</v>
      </c>
      <c r="AN590" s="1033">
        <f t="shared" si="245"/>
        <v>0</v>
      </c>
      <c r="AO590" s="1030">
        <f t="shared" si="246"/>
        <v>0</v>
      </c>
      <c r="AP590" s="1029"/>
      <c r="AQ590" s="1031">
        <f t="shared" si="247"/>
        <v>0</v>
      </c>
      <c r="AR590" s="1033">
        <f t="shared" si="212"/>
        <v>0</v>
      </c>
      <c r="AS590" s="1029">
        <f t="shared" si="213"/>
        <v>0</v>
      </c>
      <c r="AT590" s="1033">
        <f t="shared" si="248"/>
        <v>0</v>
      </c>
      <c r="AU590" s="1030">
        <f t="shared" si="249"/>
        <v>0</v>
      </c>
      <c r="AV590" s="1029"/>
      <c r="AW590" s="1031">
        <f t="shared" si="250"/>
        <v>0</v>
      </c>
      <c r="AX590" s="1033">
        <f t="shared" si="214"/>
        <v>0</v>
      </c>
      <c r="AY590" s="1033">
        <f t="shared" si="215"/>
        <v>0</v>
      </c>
      <c r="AZ590" s="1033">
        <f t="shared" si="251"/>
        <v>0</v>
      </c>
      <c r="BA590" s="1030">
        <f t="shared" si="252"/>
        <v>0</v>
      </c>
      <c r="BB590" s="1029"/>
      <c r="BC590" s="1036">
        <f t="shared" si="216"/>
        <v>0</v>
      </c>
      <c r="BD590" s="1033">
        <f t="shared" si="217"/>
        <v>0</v>
      </c>
      <c r="BE590" s="1029">
        <f t="shared" si="218"/>
        <v>0</v>
      </c>
      <c r="BF590" s="1033">
        <f t="shared" si="219"/>
        <v>0</v>
      </c>
      <c r="BG590" s="1035">
        <f t="shared" si="220"/>
        <v>0</v>
      </c>
    </row>
    <row r="591" spans="1:59" x14ac:dyDescent="0.25">
      <c r="A591" s="827">
        <v>13</v>
      </c>
      <c r="B591" s="1031">
        <f t="shared" si="221"/>
        <v>0</v>
      </c>
      <c r="C591" s="1029">
        <f t="shared" si="222"/>
        <v>0</v>
      </c>
      <c r="D591" s="1033">
        <f t="shared" si="223"/>
        <v>0</v>
      </c>
      <c r="E591" s="1029">
        <f t="shared" si="224"/>
        <v>0</v>
      </c>
      <c r="F591" s="1030">
        <f t="shared" si="225"/>
        <v>0</v>
      </c>
      <c r="G591" s="1029"/>
      <c r="H591" s="1036">
        <f t="shared" si="226"/>
        <v>0</v>
      </c>
      <c r="I591" s="1033">
        <f t="shared" si="227"/>
        <v>0</v>
      </c>
      <c r="J591" s="1033">
        <f t="shared" si="228"/>
        <v>0</v>
      </c>
      <c r="K591" s="1033">
        <f t="shared" si="229"/>
        <v>0</v>
      </c>
      <c r="L591" s="1035">
        <f t="shared" si="230"/>
        <v>0</v>
      </c>
      <c r="M591" s="1029"/>
      <c r="N591" s="1036">
        <f t="shared" si="231"/>
        <v>0</v>
      </c>
      <c r="O591" s="1032">
        <f t="shared" si="203"/>
        <v>0</v>
      </c>
      <c r="P591" s="1033">
        <f t="shared" si="204"/>
        <v>0</v>
      </c>
      <c r="Q591" s="1033">
        <f t="shared" si="232"/>
        <v>0</v>
      </c>
      <c r="R591" s="1030">
        <f t="shared" si="233"/>
        <v>0</v>
      </c>
      <c r="S591" s="1029"/>
      <c r="T591" s="1031">
        <f t="shared" si="234"/>
        <v>0</v>
      </c>
      <c r="U591" s="1033">
        <f t="shared" si="205"/>
        <v>0</v>
      </c>
      <c r="V591" s="1033">
        <f t="shared" si="206"/>
        <v>0</v>
      </c>
      <c r="W591" s="1033">
        <f t="shared" si="235"/>
        <v>0</v>
      </c>
      <c r="X591" s="1030">
        <f t="shared" si="236"/>
        <v>0</v>
      </c>
      <c r="Y591" s="1029"/>
      <c r="Z591" s="1031">
        <f t="shared" si="207"/>
        <v>0</v>
      </c>
      <c r="AA591" s="1029">
        <f t="shared" si="208"/>
        <v>0</v>
      </c>
      <c r="AB591" s="1033">
        <f t="shared" si="209"/>
        <v>0</v>
      </c>
      <c r="AC591" s="1029">
        <f t="shared" si="210"/>
        <v>0</v>
      </c>
      <c r="AD591" s="1030">
        <f t="shared" si="211"/>
        <v>0</v>
      </c>
      <c r="AE591" s="1033">
        <f t="shared" si="237"/>
        <v>0</v>
      </c>
      <c r="AF591" s="1033">
        <f t="shared" si="238"/>
        <v>0</v>
      </c>
      <c r="AG591" s="1029">
        <f t="shared" si="239"/>
        <v>0</v>
      </c>
      <c r="AH591" s="1033">
        <f t="shared" si="240"/>
        <v>0</v>
      </c>
      <c r="AI591" s="1030">
        <f t="shared" si="241"/>
        <v>0</v>
      </c>
      <c r="AJ591" s="1029"/>
      <c r="AK591" s="1031">
        <f t="shared" si="242"/>
        <v>0</v>
      </c>
      <c r="AL591" s="1033">
        <f t="shared" si="243"/>
        <v>0</v>
      </c>
      <c r="AM591" s="1029">
        <f t="shared" si="244"/>
        <v>0</v>
      </c>
      <c r="AN591" s="1033">
        <f t="shared" si="245"/>
        <v>0</v>
      </c>
      <c r="AO591" s="1030">
        <f t="shared" si="246"/>
        <v>0</v>
      </c>
      <c r="AP591" s="1029"/>
      <c r="AQ591" s="1031">
        <f t="shared" si="247"/>
        <v>0</v>
      </c>
      <c r="AR591" s="1033">
        <f t="shared" si="212"/>
        <v>0</v>
      </c>
      <c r="AS591" s="1029">
        <f t="shared" si="213"/>
        <v>0</v>
      </c>
      <c r="AT591" s="1033">
        <f t="shared" si="248"/>
        <v>0</v>
      </c>
      <c r="AU591" s="1030">
        <f t="shared" si="249"/>
        <v>0</v>
      </c>
      <c r="AV591" s="1029"/>
      <c r="AW591" s="1031">
        <f t="shared" si="250"/>
        <v>0</v>
      </c>
      <c r="AX591" s="1033">
        <f t="shared" si="214"/>
        <v>0</v>
      </c>
      <c r="AY591" s="1033">
        <f t="shared" si="215"/>
        <v>0</v>
      </c>
      <c r="AZ591" s="1033">
        <f t="shared" si="251"/>
        <v>0</v>
      </c>
      <c r="BA591" s="1030">
        <f t="shared" si="252"/>
        <v>0</v>
      </c>
      <c r="BB591" s="1029"/>
      <c r="BC591" s="1036">
        <f t="shared" si="216"/>
        <v>0</v>
      </c>
      <c r="BD591" s="1033">
        <f t="shared" si="217"/>
        <v>0</v>
      </c>
      <c r="BE591" s="1029">
        <f t="shared" si="218"/>
        <v>0</v>
      </c>
      <c r="BF591" s="1033">
        <f t="shared" si="219"/>
        <v>0</v>
      </c>
      <c r="BG591" s="1035">
        <f t="shared" si="220"/>
        <v>0</v>
      </c>
    </row>
    <row r="592" spans="1:59" x14ac:dyDescent="0.25">
      <c r="A592" s="827">
        <v>14</v>
      </c>
      <c r="B592" s="1031">
        <f t="shared" si="221"/>
        <v>0</v>
      </c>
      <c r="C592" s="1029">
        <f t="shared" si="222"/>
        <v>0</v>
      </c>
      <c r="D592" s="1033">
        <f t="shared" si="223"/>
        <v>0</v>
      </c>
      <c r="E592" s="1029">
        <f t="shared" si="224"/>
        <v>0</v>
      </c>
      <c r="F592" s="1030">
        <f t="shared" si="225"/>
        <v>0</v>
      </c>
      <c r="G592" s="1029"/>
      <c r="H592" s="1036">
        <f t="shared" si="226"/>
        <v>0</v>
      </c>
      <c r="I592" s="1033">
        <f t="shared" si="227"/>
        <v>0</v>
      </c>
      <c r="J592" s="1033">
        <f t="shared" si="228"/>
        <v>0</v>
      </c>
      <c r="K592" s="1033">
        <f t="shared" si="229"/>
        <v>0</v>
      </c>
      <c r="L592" s="1035">
        <f t="shared" si="230"/>
        <v>0</v>
      </c>
      <c r="M592" s="1029"/>
      <c r="N592" s="1036">
        <f t="shared" si="231"/>
        <v>0</v>
      </c>
      <c r="O592" s="1032">
        <f t="shared" si="203"/>
        <v>0</v>
      </c>
      <c r="P592" s="1033">
        <f t="shared" si="204"/>
        <v>0</v>
      </c>
      <c r="Q592" s="1033">
        <f t="shared" si="232"/>
        <v>0</v>
      </c>
      <c r="R592" s="1030">
        <f t="shared" si="233"/>
        <v>0</v>
      </c>
      <c r="S592" s="1029"/>
      <c r="T592" s="1031">
        <f t="shared" si="234"/>
        <v>0</v>
      </c>
      <c r="U592" s="1033">
        <f t="shared" si="205"/>
        <v>0</v>
      </c>
      <c r="V592" s="1033">
        <f t="shared" si="206"/>
        <v>0</v>
      </c>
      <c r="W592" s="1033">
        <f t="shared" si="235"/>
        <v>0</v>
      </c>
      <c r="X592" s="1030">
        <f t="shared" si="236"/>
        <v>0</v>
      </c>
      <c r="Y592" s="1029"/>
      <c r="Z592" s="1031">
        <f t="shared" si="207"/>
        <v>0</v>
      </c>
      <c r="AA592" s="1029">
        <f t="shared" si="208"/>
        <v>0</v>
      </c>
      <c r="AB592" s="1033">
        <f t="shared" si="209"/>
        <v>0</v>
      </c>
      <c r="AC592" s="1029">
        <f t="shared" si="210"/>
        <v>0</v>
      </c>
      <c r="AD592" s="1030">
        <f t="shared" si="211"/>
        <v>0</v>
      </c>
      <c r="AE592" s="1033">
        <f t="shared" si="237"/>
        <v>0</v>
      </c>
      <c r="AF592" s="1033">
        <f t="shared" si="238"/>
        <v>0</v>
      </c>
      <c r="AG592" s="1029">
        <f t="shared" si="239"/>
        <v>0</v>
      </c>
      <c r="AH592" s="1033">
        <f t="shared" si="240"/>
        <v>0</v>
      </c>
      <c r="AI592" s="1030">
        <f t="shared" si="241"/>
        <v>0</v>
      </c>
      <c r="AJ592" s="1029"/>
      <c r="AK592" s="1031">
        <f t="shared" si="242"/>
        <v>0</v>
      </c>
      <c r="AL592" s="1033">
        <f t="shared" si="243"/>
        <v>0</v>
      </c>
      <c r="AM592" s="1029">
        <f t="shared" si="244"/>
        <v>0</v>
      </c>
      <c r="AN592" s="1033">
        <f t="shared" si="245"/>
        <v>0</v>
      </c>
      <c r="AO592" s="1030">
        <f t="shared" si="246"/>
        <v>0</v>
      </c>
      <c r="AP592" s="1029"/>
      <c r="AQ592" s="1031">
        <f t="shared" si="247"/>
        <v>0</v>
      </c>
      <c r="AR592" s="1033">
        <f t="shared" si="212"/>
        <v>0</v>
      </c>
      <c r="AS592" s="1029">
        <f t="shared" si="213"/>
        <v>0</v>
      </c>
      <c r="AT592" s="1033">
        <f t="shared" si="248"/>
        <v>0</v>
      </c>
      <c r="AU592" s="1030">
        <f t="shared" si="249"/>
        <v>0</v>
      </c>
      <c r="AV592" s="1029"/>
      <c r="AW592" s="1031">
        <f t="shared" si="250"/>
        <v>0</v>
      </c>
      <c r="AX592" s="1033">
        <f t="shared" si="214"/>
        <v>0</v>
      </c>
      <c r="AY592" s="1033">
        <f t="shared" si="215"/>
        <v>0</v>
      </c>
      <c r="AZ592" s="1033">
        <f t="shared" si="251"/>
        <v>0</v>
      </c>
      <c r="BA592" s="1030">
        <f t="shared" si="252"/>
        <v>0</v>
      </c>
      <c r="BB592" s="1029"/>
      <c r="BC592" s="1036">
        <f t="shared" si="216"/>
        <v>0</v>
      </c>
      <c r="BD592" s="1033">
        <f t="shared" si="217"/>
        <v>0</v>
      </c>
      <c r="BE592" s="1029">
        <f t="shared" si="218"/>
        <v>0</v>
      </c>
      <c r="BF592" s="1033">
        <f t="shared" si="219"/>
        <v>0</v>
      </c>
      <c r="BG592" s="1035">
        <f t="shared" si="220"/>
        <v>0</v>
      </c>
    </row>
    <row r="593" spans="1:59" x14ac:dyDescent="0.25">
      <c r="A593" s="827">
        <v>15</v>
      </c>
      <c r="B593" s="1031">
        <f t="shared" si="221"/>
        <v>0</v>
      </c>
      <c r="C593" s="1029">
        <f t="shared" si="222"/>
        <v>0</v>
      </c>
      <c r="D593" s="1033">
        <f t="shared" si="223"/>
        <v>0</v>
      </c>
      <c r="E593" s="1029">
        <f t="shared" si="224"/>
        <v>0</v>
      </c>
      <c r="F593" s="1030">
        <f t="shared" si="225"/>
        <v>0</v>
      </c>
      <c r="G593" s="1029"/>
      <c r="H593" s="1036">
        <f t="shared" si="226"/>
        <v>0</v>
      </c>
      <c r="I593" s="1033">
        <f t="shared" si="227"/>
        <v>0</v>
      </c>
      <c r="J593" s="1033">
        <f t="shared" si="228"/>
        <v>0</v>
      </c>
      <c r="K593" s="1033">
        <f t="shared" si="229"/>
        <v>0</v>
      </c>
      <c r="L593" s="1035">
        <f t="shared" si="230"/>
        <v>0</v>
      </c>
      <c r="M593" s="1029"/>
      <c r="N593" s="1036">
        <f t="shared" si="231"/>
        <v>0</v>
      </c>
      <c r="O593" s="1032">
        <f t="shared" si="203"/>
        <v>0</v>
      </c>
      <c r="P593" s="1033">
        <f t="shared" si="204"/>
        <v>0</v>
      </c>
      <c r="Q593" s="1033">
        <f t="shared" si="232"/>
        <v>0</v>
      </c>
      <c r="R593" s="1030">
        <f t="shared" si="233"/>
        <v>0</v>
      </c>
      <c r="S593" s="1029"/>
      <c r="T593" s="1031">
        <f t="shared" si="234"/>
        <v>0</v>
      </c>
      <c r="U593" s="1033">
        <f t="shared" si="205"/>
        <v>0</v>
      </c>
      <c r="V593" s="1033">
        <f t="shared" si="206"/>
        <v>0</v>
      </c>
      <c r="W593" s="1033">
        <f t="shared" si="235"/>
        <v>0</v>
      </c>
      <c r="X593" s="1030">
        <f t="shared" si="236"/>
        <v>0</v>
      </c>
      <c r="Y593" s="1029"/>
      <c r="Z593" s="1031">
        <f t="shared" si="207"/>
        <v>0</v>
      </c>
      <c r="AA593" s="1029">
        <f t="shared" si="208"/>
        <v>0</v>
      </c>
      <c r="AB593" s="1033">
        <f t="shared" si="209"/>
        <v>0</v>
      </c>
      <c r="AC593" s="1029">
        <f t="shared" si="210"/>
        <v>0</v>
      </c>
      <c r="AD593" s="1030">
        <f t="shared" si="211"/>
        <v>0</v>
      </c>
      <c r="AE593" s="1033">
        <f t="shared" si="237"/>
        <v>0</v>
      </c>
      <c r="AF593" s="1033">
        <f t="shared" si="238"/>
        <v>0</v>
      </c>
      <c r="AG593" s="1029">
        <f t="shared" si="239"/>
        <v>0</v>
      </c>
      <c r="AH593" s="1033">
        <f t="shared" si="240"/>
        <v>0</v>
      </c>
      <c r="AI593" s="1030">
        <f t="shared" si="241"/>
        <v>0</v>
      </c>
      <c r="AJ593" s="1029"/>
      <c r="AK593" s="1031">
        <f t="shared" si="242"/>
        <v>0</v>
      </c>
      <c r="AL593" s="1033">
        <f t="shared" si="243"/>
        <v>0</v>
      </c>
      <c r="AM593" s="1029">
        <f t="shared" si="244"/>
        <v>0</v>
      </c>
      <c r="AN593" s="1033">
        <f t="shared" si="245"/>
        <v>0</v>
      </c>
      <c r="AO593" s="1030">
        <f t="shared" si="246"/>
        <v>0</v>
      </c>
      <c r="AP593" s="1029"/>
      <c r="AQ593" s="1031">
        <f t="shared" si="247"/>
        <v>0</v>
      </c>
      <c r="AR593" s="1033">
        <f t="shared" si="212"/>
        <v>0</v>
      </c>
      <c r="AS593" s="1029">
        <f t="shared" si="213"/>
        <v>0</v>
      </c>
      <c r="AT593" s="1033">
        <f t="shared" si="248"/>
        <v>0</v>
      </c>
      <c r="AU593" s="1030">
        <f t="shared" si="249"/>
        <v>0</v>
      </c>
      <c r="AV593" s="1029"/>
      <c r="AW593" s="1031">
        <f t="shared" si="250"/>
        <v>0</v>
      </c>
      <c r="AX593" s="1033">
        <f t="shared" si="214"/>
        <v>0</v>
      </c>
      <c r="AY593" s="1033">
        <f t="shared" si="215"/>
        <v>0</v>
      </c>
      <c r="AZ593" s="1033">
        <f t="shared" si="251"/>
        <v>0</v>
      </c>
      <c r="BA593" s="1030">
        <f t="shared" si="252"/>
        <v>0</v>
      </c>
      <c r="BB593" s="1029"/>
      <c r="BC593" s="1036">
        <f t="shared" si="216"/>
        <v>0</v>
      </c>
      <c r="BD593" s="1033">
        <f t="shared" si="217"/>
        <v>0</v>
      </c>
      <c r="BE593" s="1029">
        <f t="shared" si="218"/>
        <v>0</v>
      </c>
      <c r="BF593" s="1033">
        <f t="shared" si="219"/>
        <v>0</v>
      </c>
      <c r="BG593" s="1035">
        <f t="shared" si="220"/>
        <v>0</v>
      </c>
    </row>
    <row r="594" spans="1:59" x14ac:dyDescent="0.25">
      <c r="A594" s="827">
        <v>16</v>
      </c>
      <c r="B594" s="1031">
        <f t="shared" si="221"/>
        <v>0</v>
      </c>
      <c r="C594" s="1029">
        <f t="shared" si="222"/>
        <v>0</v>
      </c>
      <c r="D594" s="1033">
        <f t="shared" si="223"/>
        <v>0</v>
      </c>
      <c r="E594" s="1029">
        <f t="shared" si="224"/>
        <v>0</v>
      </c>
      <c r="F594" s="1030">
        <f t="shared" si="225"/>
        <v>0</v>
      </c>
      <c r="G594" s="1029"/>
      <c r="H594" s="1036">
        <f t="shared" si="226"/>
        <v>0</v>
      </c>
      <c r="I594" s="1033">
        <f t="shared" si="227"/>
        <v>0</v>
      </c>
      <c r="J594" s="1033">
        <f t="shared" si="228"/>
        <v>0</v>
      </c>
      <c r="K594" s="1033">
        <f t="shared" si="229"/>
        <v>0</v>
      </c>
      <c r="L594" s="1035">
        <f t="shared" si="230"/>
        <v>0</v>
      </c>
      <c r="M594" s="1029"/>
      <c r="N594" s="1036">
        <f t="shared" si="231"/>
        <v>0</v>
      </c>
      <c r="O594" s="1032">
        <f t="shared" si="203"/>
        <v>0</v>
      </c>
      <c r="P594" s="1033">
        <f t="shared" si="204"/>
        <v>0</v>
      </c>
      <c r="Q594" s="1033">
        <f t="shared" si="232"/>
        <v>0</v>
      </c>
      <c r="R594" s="1030">
        <f t="shared" si="233"/>
        <v>0</v>
      </c>
      <c r="S594" s="1029"/>
      <c r="T594" s="1031">
        <f t="shared" si="234"/>
        <v>0</v>
      </c>
      <c r="U594" s="1033">
        <f t="shared" si="205"/>
        <v>0</v>
      </c>
      <c r="V594" s="1033">
        <f t="shared" si="206"/>
        <v>0</v>
      </c>
      <c r="W594" s="1033">
        <f t="shared" si="235"/>
        <v>0</v>
      </c>
      <c r="X594" s="1030">
        <f t="shared" si="236"/>
        <v>0</v>
      </c>
      <c r="Y594" s="1029"/>
      <c r="Z594" s="1031">
        <f t="shared" si="207"/>
        <v>0</v>
      </c>
      <c r="AA594" s="1029">
        <f t="shared" si="208"/>
        <v>0</v>
      </c>
      <c r="AB594" s="1033">
        <f t="shared" si="209"/>
        <v>0</v>
      </c>
      <c r="AC594" s="1029">
        <f t="shared" si="210"/>
        <v>0</v>
      </c>
      <c r="AD594" s="1030">
        <f t="shared" si="211"/>
        <v>0</v>
      </c>
      <c r="AE594" s="1033">
        <f t="shared" si="237"/>
        <v>0</v>
      </c>
      <c r="AF594" s="1033">
        <f t="shared" si="238"/>
        <v>0</v>
      </c>
      <c r="AG594" s="1029">
        <f t="shared" si="239"/>
        <v>0</v>
      </c>
      <c r="AH594" s="1033">
        <f t="shared" si="240"/>
        <v>0</v>
      </c>
      <c r="AI594" s="1030">
        <f t="shared" si="241"/>
        <v>0</v>
      </c>
      <c r="AJ594" s="1029"/>
      <c r="AK594" s="1031">
        <f t="shared" si="242"/>
        <v>0</v>
      </c>
      <c r="AL594" s="1033">
        <f t="shared" si="243"/>
        <v>0</v>
      </c>
      <c r="AM594" s="1029">
        <f t="shared" si="244"/>
        <v>0</v>
      </c>
      <c r="AN594" s="1033">
        <f t="shared" si="245"/>
        <v>0</v>
      </c>
      <c r="AO594" s="1030">
        <f t="shared" si="246"/>
        <v>0</v>
      </c>
      <c r="AP594" s="1029"/>
      <c r="AQ594" s="1031">
        <f t="shared" si="247"/>
        <v>0</v>
      </c>
      <c r="AR594" s="1033">
        <f t="shared" si="212"/>
        <v>0</v>
      </c>
      <c r="AS594" s="1029">
        <f t="shared" si="213"/>
        <v>0</v>
      </c>
      <c r="AT594" s="1033">
        <f t="shared" si="248"/>
        <v>0</v>
      </c>
      <c r="AU594" s="1030">
        <f t="shared" si="249"/>
        <v>0</v>
      </c>
      <c r="AV594" s="1029"/>
      <c r="AW594" s="1031">
        <f t="shared" si="250"/>
        <v>0</v>
      </c>
      <c r="AX594" s="1033">
        <f t="shared" si="214"/>
        <v>0</v>
      </c>
      <c r="AY594" s="1033">
        <f t="shared" si="215"/>
        <v>0</v>
      </c>
      <c r="AZ594" s="1033">
        <f t="shared" si="251"/>
        <v>0</v>
      </c>
      <c r="BA594" s="1030">
        <f t="shared" si="252"/>
        <v>0</v>
      </c>
      <c r="BB594" s="1029"/>
      <c r="BC594" s="1036">
        <f t="shared" si="216"/>
        <v>0</v>
      </c>
      <c r="BD594" s="1033">
        <f t="shared" si="217"/>
        <v>0</v>
      </c>
      <c r="BE594" s="1029">
        <f t="shared" si="218"/>
        <v>0</v>
      </c>
      <c r="BF594" s="1033">
        <f t="shared" si="219"/>
        <v>0</v>
      </c>
      <c r="BG594" s="1035">
        <f t="shared" si="220"/>
        <v>0</v>
      </c>
    </row>
    <row r="595" spans="1:59" x14ac:dyDescent="0.25">
      <c r="A595" s="827">
        <v>17</v>
      </c>
      <c r="B595" s="1031">
        <f t="shared" si="221"/>
        <v>0</v>
      </c>
      <c r="C595" s="1029">
        <f t="shared" si="222"/>
        <v>0</v>
      </c>
      <c r="D595" s="1033">
        <f t="shared" si="223"/>
        <v>0</v>
      </c>
      <c r="E595" s="1029">
        <f t="shared" si="224"/>
        <v>0</v>
      </c>
      <c r="F595" s="1030">
        <f t="shared" si="225"/>
        <v>0</v>
      </c>
      <c r="G595" s="1029"/>
      <c r="H595" s="1036">
        <f t="shared" si="226"/>
        <v>0</v>
      </c>
      <c r="I595" s="1033">
        <f t="shared" si="227"/>
        <v>0</v>
      </c>
      <c r="J595" s="1033">
        <f t="shared" si="228"/>
        <v>0</v>
      </c>
      <c r="K595" s="1033">
        <f t="shared" si="229"/>
        <v>0</v>
      </c>
      <c r="L595" s="1035">
        <f t="shared" si="230"/>
        <v>0</v>
      </c>
      <c r="M595" s="1029"/>
      <c r="N595" s="1036">
        <f t="shared" si="231"/>
        <v>0</v>
      </c>
      <c r="O595" s="1032">
        <f t="shared" si="203"/>
        <v>0</v>
      </c>
      <c r="P595" s="1033">
        <f t="shared" si="204"/>
        <v>0</v>
      </c>
      <c r="Q595" s="1033">
        <f t="shared" si="232"/>
        <v>0</v>
      </c>
      <c r="R595" s="1030">
        <f t="shared" si="233"/>
        <v>0</v>
      </c>
      <c r="S595" s="1029"/>
      <c r="T595" s="1031">
        <f t="shared" si="234"/>
        <v>0</v>
      </c>
      <c r="U595" s="1033">
        <f t="shared" si="205"/>
        <v>0</v>
      </c>
      <c r="V595" s="1033">
        <f t="shared" si="206"/>
        <v>0</v>
      </c>
      <c r="W595" s="1033">
        <f t="shared" si="235"/>
        <v>0</v>
      </c>
      <c r="X595" s="1030">
        <f t="shared" si="236"/>
        <v>0</v>
      </c>
      <c r="Y595" s="1029"/>
      <c r="Z595" s="1031">
        <f t="shared" si="207"/>
        <v>0</v>
      </c>
      <c r="AA595" s="1029">
        <f t="shared" si="208"/>
        <v>0</v>
      </c>
      <c r="AB595" s="1033">
        <f t="shared" si="209"/>
        <v>0</v>
      </c>
      <c r="AC595" s="1029">
        <f t="shared" si="210"/>
        <v>0</v>
      </c>
      <c r="AD595" s="1030">
        <f t="shared" si="211"/>
        <v>0</v>
      </c>
      <c r="AE595" s="1033">
        <f t="shared" si="237"/>
        <v>0</v>
      </c>
      <c r="AF595" s="1033">
        <f t="shared" si="238"/>
        <v>0</v>
      </c>
      <c r="AG595" s="1029">
        <f t="shared" si="239"/>
        <v>0</v>
      </c>
      <c r="AH595" s="1033">
        <f t="shared" si="240"/>
        <v>0</v>
      </c>
      <c r="AI595" s="1030">
        <f t="shared" si="241"/>
        <v>0</v>
      </c>
      <c r="AJ595" s="1029"/>
      <c r="AK595" s="1031">
        <f t="shared" si="242"/>
        <v>0</v>
      </c>
      <c r="AL595" s="1033">
        <f t="shared" si="243"/>
        <v>0</v>
      </c>
      <c r="AM595" s="1029">
        <f t="shared" si="244"/>
        <v>0</v>
      </c>
      <c r="AN595" s="1033">
        <f t="shared" si="245"/>
        <v>0</v>
      </c>
      <c r="AO595" s="1030">
        <f t="shared" si="246"/>
        <v>0</v>
      </c>
      <c r="AP595" s="1029"/>
      <c r="AQ595" s="1031">
        <f t="shared" si="247"/>
        <v>0</v>
      </c>
      <c r="AR595" s="1033">
        <f t="shared" si="212"/>
        <v>0</v>
      </c>
      <c r="AS595" s="1029">
        <f t="shared" si="213"/>
        <v>0</v>
      </c>
      <c r="AT595" s="1033">
        <f t="shared" si="248"/>
        <v>0</v>
      </c>
      <c r="AU595" s="1030">
        <f t="shared" si="249"/>
        <v>0</v>
      </c>
      <c r="AV595" s="1029"/>
      <c r="AW595" s="1031">
        <f t="shared" si="250"/>
        <v>0</v>
      </c>
      <c r="AX595" s="1033">
        <f t="shared" si="214"/>
        <v>0</v>
      </c>
      <c r="AY595" s="1033">
        <f t="shared" si="215"/>
        <v>0</v>
      </c>
      <c r="AZ595" s="1033">
        <f t="shared" si="251"/>
        <v>0</v>
      </c>
      <c r="BA595" s="1030">
        <f t="shared" si="252"/>
        <v>0</v>
      </c>
      <c r="BB595" s="1029"/>
      <c r="BC595" s="1036">
        <f t="shared" si="216"/>
        <v>0</v>
      </c>
      <c r="BD595" s="1033">
        <f t="shared" si="217"/>
        <v>0</v>
      </c>
      <c r="BE595" s="1029">
        <f t="shared" si="218"/>
        <v>0</v>
      </c>
      <c r="BF595" s="1033">
        <f t="shared" si="219"/>
        <v>0</v>
      </c>
      <c r="BG595" s="1035">
        <f t="shared" si="220"/>
        <v>0</v>
      </c>
    </row>
    <row r="596" spans="1:59" x14ac:dyDescent="0.25">
      <c r="A596" s="827">
        <v>18</v>
      </c>
      <c r="B596" s="1031">
        <f t="shared" si="221"/>
        <v>0</v>
      </c>
      <c r="C596" s="1029">
        <f t="shared" si="222"/>
        <v>0</v>
      </c>
      <c r="D596" s="1033">
        <f t="shared" si="223"/>
        <v>0</v>
      </c>
      <c r="E596" s="1029">
        <f t="shared" si="224"/>
        <v>0</v>
      </c>
      <c r="F596" s="1030">
        <f t="shared" si="225"/>
        <v>0</v>
      </c>
      <c r="G596" s="1029"/>
      <c r="H596" s="1036">
        <f t="shared" si="226"/>
        <v>0</v>
      </c>
      <c r="I596" s="1033">
        <f t="shared" si="227"/>
        <v>0</v>
      </c>
      <c r="J596" s="1033">
        <f t="shared" si="228"/>
        <v>0</v>
      </c>
      <c r="K596" s="1033">
        <f t="shared" si="229"/>
        <v>0</v>
      </c>
      <c r="L596" s="1035">
        <f t="shared" si="230"/>
        <v>0</v>
      </c>
      <c r="M596" s="1029"/>
      <c r="N596" s="1036">
        <f t="shared" si="231"/>
        <v>0</v>
      </c>
      <c r="O596" s="1032">
        <f t="shared" si="203"/>
        <v>0</v>
      </c>
      <c r="P596" s="1033">
        <f t="shared" si="204"/>
        <v>0</v>
      </c>
      <c r="Q596" s="1033">
        <f t="shared" si="232"/>
        <v>0</v>
      </c>
      <c r="R596" s="1030">
        <f t="shared" si="233"/>
        <v>0</v>
      </c>
      <c r="S596" s="1029"/>
      <c r="T596" s="1031">
        <f t="shared" si="234"/>
        <v>0</v>
      </c>
      <c r="U596" s="1033">
        <f t="shared" si="205"/>
        <v>0</v>
      </c>
      <c r="V596" s="1033">
        <f t="shared" si="206"/>
        <v>0</v>
      </c>
      <c r="W596" s="1033">
        <f t="shared" si="235"/>
        <v>0</v>
      </c>
      <c r="X596" s="1030">
        <f t="shared" si="236"/>
        <v>0</v>
      </c>
      <c r="Y596" s="1029"/>
      <c r="Z596" s="1031">
        <f t="shared" si="207"/>
        <v>0</v>
      </c>
      <c r="AA596" s="1029">
        <f t="shared" si="208"/>
        <v>0</v>
      </c>
      <c r="AB596" s="1033">
        <f t="shared" si="209"/>
        <v>0</v>
      </c>
      <c r="AC596" s="1029">
        <f t="shared" si="210"/>
        <v>0</v>
      </c>
      <c r="AD596" s="1030">
        <f t="shared" si="211"/>
        <v>0</v>
      </c>
      <c r="AE596" s="1033">
        <f t="shared" si="237"/>
        <v>0</v>
      </c>
      <c r="AF596" s="1033">
        <f t="shared" si="238"/>
        <v>0</v>
      </c>
      <c r="AG596" s="1029">
        <f t="shared" si="239"/>
        <v>0</v>
      </c>
      <c r="AH596" s="1033">
        <f t="shared" si="240"/>
        <v>0</v>
      </c>
      <c r="AI596" s="1030">
        <f t="shared" si="241"/>
        <v>0</v>
      </c>
      <c r="AJ596" s="1029"/>
      <c r="AK596" s="1031">
        <f t="shared" si="242"/>
        <v>0</v>
      </c>
      <c r="AL596" s="1033">
        <f t="shared" si="243"/>
        <v>0</v>
      </c>
      <c r="AM596" s="1029">
        <f t="shared" si="244"/>
        <v>0</v>
      </c>
      <c r="AN596" s="1033">
        <f t="shared" si="245"/>
        <v>0</v>
      </c>
      <c r="AO596" s="1030">
        <f t="shared" si="246"/>
        <v>0</v>
      </c>
      <c r="AP596" s="1029"/>
      <c r="AQ596" s="1031">
        <f t="shared" si="247"/>
        <v>0</v>
      </c>
      <c r="AR596" s="1033">
        <f t="shared" si="212"/>
        <v>0</v>
      </c>
      <c r="AS596" s="1029">
        <f t="shared" si="213"/>
        <v>0</v>
      </c>
      <c r="AT596" s="1033">
        <f t="shared" si="248"/>
        <v>0</v>
      </c>
      <c r="AU596" s="1030">
        <f t="shared" si="249"/>
        <v>0</v>
      </c>
      <c r="AV596" s="1029"/>
      <c r="AW596" s="1031">
        <f t="shared" si="250"/>
        <v>0</v>
      </c>
      <c r="AX596" s="1033">
        <f t="shared" si="214"/>
        <v>0</v>
      </c>
      <c r="AY596" s="1033">
        <f t="shared" si="215"/>
        <v>0</v>
      </c>
      <c r="AZ596" s="1033">
        <f t="shared" si="251"/>
        <v>0</v>
      </c>
      <c r="BA596" s="1030">
        <f t="shared" si="252"/>
        <v>0</v>
      </c>
      <c r="BB596" s="1029"/>
      <c r="BC596" s="1036">
        <f t="shared" si="216"/>
        <v>0</v>
      </c>
      <c r="BD596" s="1033">
        <f t="shared" si="217"/>
        <v>0</v>
      </c>
      <c r="BE596" s="1029">
        <f t="shared" si="218"/>
        <v>0</v>
      </c>
      <c r="BF596" s="1033">
        <f t="shared" si="219"/>
        <v>0</v>
      </c>
      <c r="BG596" s="1035">
        <f t="shared" si="220"/>
        <v>0</v>
      </c>
    </row>
    <row r="597" spans="1:59" x14ac:dyDescent="0.25">
      <c r="A597" s="827">
        <v>19</v>
      </c>
      <c r="B597" s="1031">
        <f t="shared" si="221"/>
        <v>0</v>
      </c>
      <c r="C597" s="1029">
        <f t="shared" si="222"/>
        <v>0</v>
      </c>
      <c r="D597" s="1033">
        <f t="shared" si="223"/>
        <v>0</v>
      </c>
      <c r="E597" s="1029">
        <f t="shared" si="224"/>
        <v>0</v>
      </c>
      <c r="F597" s="1030">
        <f t="shared" si="225"/>
        <v>0</v>
      </c>
      <c r="G597" s="1029"/>
      <c r="H597" s="1036">
        <f t="shared" si="226"/>
        <v>0</v>
      </c>
      <c r="I597" s="1033">
        <f t="shared" si="227"/>
        <v>0</v>
      </c>
      <c r="J597" s="1033">
        <f t="shared" si="228"/>
        <v>0</v>
      </c>
      <c r="K597" s="1033">
        <f t="shared" si="229"/>
        <v>0</v>
      </c>
      <c r="L597" s="1035">
        <f t="shared" si="230"/>
        <v>0</v>
      </c>
      <c r="M597" s="1029"/>
      <c r="N597" s="1036">
        <f t="shared" si="231"/>
        <v>0</v>
      </c>
      <c r="O597" s="1032">
        <f t="shared" si="203"/>
        <v>0</v>
      </c>
      <c r="P597" s="1033">
        <f t="shared" si="204"/>
        <v>0</v>
      </c>
      <c r="Q597" s="1033">
        <f t="shared" si="232"/>
        <v>0</v>
      </c>
      <c r="R597" s="1030">
        <f t="shared" si="233"/>
        <v>0</v>
      </c>
      <c r="S597" s="1029"/>
      <c r="T597" s="1031">
        <f t="shared" si="234"/>
        <v>0</v>
      </c>
      <c r="U597" s="1033">
        <f t="shared" si="205"/>
        <v>0</v>
      </c>
      <c r="V597" s="1033">
        <f t="shared" si="206"/>
        <v>0</v>
      </c>
      <c r="W597" s="1033">
        <f t="shared" si="235"/>
        <v>0</v>
      </c>
      <c r="X597" s="1030">
        <f t="shared" si="236"/>
        <v>0</v>
      </c>
      <c r="Y597" s="1029"/>
      <c r="Z597" s="1031">
        <f t="shared" si="207"/>
        <v>0</v>
      </c>
      <c r="AA597" s="1029">
        <f t="shared" si="208"/>
        <v>0</v>
      </c>
      <c r="AB597" s="1033">
        <f t="shared" si="209"/>
        <v>0</v>
      </c>
      <c r="AC597" s="1029">
        <f t="shared" si="210"/>
        <v>0</v>
      </c>
      <c r="AD597" s="1030">
        <f t="shared" si="211"/>
        <v>0</v>
      </c>
      <c r="AE597" s="1033">
        <f t="shared" si="237"/>
        <v>0</v>
      </c>
      <c r="AF597" s="1033">
        <f t="shared" si="238"/>
        <v>0</v>
      </c>
      <c r="AG597" s="1029">
        <f t="shared" si="239"/>
        <v>0</v>
      </c>
      <c r="AH597" s="1033">
        <f t="shared" si="240"/>
        <v>0</v>
      </c>
      <c r="AI597" s="1030">
        <f t="shared" si="241"/>
        <v>0</v>
      </c>
      <c r="AJ597" s="1029"/>
      <c r="AK597" s="1031">
        <f t="shared" si="242"/>
        <v>0</v>
      </c>
      <c r="AL597" s="1033">
        <f t="shared" si="243"/>
        <v>0</v>
      </c>
      <c r="AM597" s="1029">
        <f t="shared" si="244"/>
        <v>0</v>
      </c>
      <c r="AN597" s="1033">
        <f t="shared" si="245"/>
        <v>0</v>
      </c>
      <c r="AO597" s="1030">
        <f t="shared" si="246"/>
        <v>0</v>
      </c>
      <c r="AP597" s="1029"/>
      <c r="AQ597" s="1031">
        <f t="shared" si="247"/>
        <v>0</v>
      </c>
      <c r="AR597" s="1033">
        <f t="shared" si="212"/>
        <v>0</v>
      </c>
      <c r="AS597" s="1029">
        <f t="shared" si="213"/>
        <v>0</v>
      </c>
      <c r="AT597" s="1033">
        <f t="shared" si="248"/>
        <v>0</v>
      </c>
      <c r="AU597" s="1030">
        <f t="shared" si="249"/>
        <v>0</v>
      </c>
      <c r="AV597" s="1029"/>
      <c r="AW597" s="1031">
        <f t="shared" si="250"/>
        <v>0</v>
      </c>
      <c r="AX597" s="1033">
        <f t="shared" si="214"/>
        <v>0</v>
      </c>
      <c r="AY597" s="1033">
        <f t="shared" si="215"/>
        <v>0</v>
      </c>
      <c r="AZ597" s="1033">
        <f t="shared" si="251"/>
        <v>0</v>
      </c>
      <c r="BA597" s="1030">
        <f t="shared" si="252"/>
        <v>0</v>
      </c>
      <c r="BB597" s="1029"/>
      <c r="BC597" s="1036">
        <f t="shared" si="216"/>
        <v>0</v>
      </c>
      <c r="BD597" s="1033">
        <f t="shared" si="217"/>
        <v>0</v>
      </c>
      <c r="BE597" s="1029">
        <f t="shared" si="218"/>
        <v>0</v>
      </c>
      <c r="BF597" s="1033">
        <f t="shared" si="219"/>
        <v>0</v>
      </c>
      <c r="BG597" s="1035">
        <f t="shared" si="220"/>
        <v>0</v>
      </c>
    </row>
    <row r="598" spans="1:59" x14ac:dyDescent="0.25">
      <c r="A598" s="827">
        <v>20</v>
      </c>
      <c r="B598" s="1031">
        <f t="shared" si="221"/>
        <v>0</v>
      </c>
      <c r="C598" s="1029">
        <f t="shared" si="222"/>
        <v>0</v>
      </c>
      <c r="D598" s="1033">
        <f t="shared" si="223"/>
        <v>0</v>
      </c>
      <c r="E598" s="1029">
        <f t="shared" si="224"/>
        <v>0</v>
      </c>
      <c r="F598" s="1030">
        <f t="shared" si="225"/>
        <v>0</v>
      </c>
      <c r="G598" s="1029"/>
      <c r="H598" s="1036">
        <f t="shared" si="226"/>
        <v>0</v>
      </c>
      <c r="I598" s="1033">
        <f t="shared" si="227"/>
        <v>0</v>
      </c>
      <c r="J598" s="1033">
        <f t="shared" si="228"/>
        <v>0</v>
      </c>
      <c r="K598" s="1033">
        <f t="shared" si="229"/>
        <v>0</v>
      </c>
      <c r="L598" s="1035">
        <f t="shared" si="230"/>
        <v>0</v>
      </c>
      <c r="M598" s="1029"/>
      <c r="N598" s="1036">
        <f t="shared" si="231"/>
        <v>0</v>
      </c>
      <c r="O598" s="1032">
        <f t="shared" si="203"/>
        <v>0</v>
      </c>
      <c r="P598" s="1033">
        <f t="shared" si="204"/>
        <v>0</v>
      </c>
      <c r="Q598" s="1033">
        <f t="shared" si="232"/>
        <v>0</v>
      </c>
      <c r="R598" s="1030">
        <f t="shared" si="233"/>
        <v>0</v>
      </c>
      <c r="S598" s="1029"/>
      <c r="T598" s="1031">
        <f t="shared" si="234"/>
        <v>0</v>
      </c>
      <c r="U598" s="1033">
        <f t="shared" si="205"/>
        <v>0</v>
      </c>
      <c r="V598" s="1033">
        <f t="shared" si="206"/>
        <v>0</v>
      </c>
      <c r="W598" s="1033">
        <f t="shared" si="235"/>
        <v>0</v>
      </c>
      <c r="X598" s="1030">
        <f t="shared" si="236"/>
        <v>0</v>
      </c>
      <c r="Y598" s="1029"/>
      <c r="Z598" s="1031">
        <f t="shared" si="207"/>
        <v>0</v>
      </c>
      <c r="AA598" s="1029">
        <f t="shared" si="208"/>
        <v>0</v>
      </c>
      <c r="AB598" s="1033">
        <f t="shared" si="209"/>
        <v>0</v>
      </c>
      <c r="AC598" s="1029">
        <f t="shared" si="210"/>
        <v>0</v>
      </c>
      <c r="AD598" s="1030">
        <f t="shared" si="211"/>
        <v>0</v>
      </c>
      <c r="AE598" s="1033">
        <f t="shared" si="237"/>
        <v>0</v>
      </c>
      <c r="AF598" s="1033">
        <f t="shared" si="238"/>
        <v>0</v>
      </c>
      <c r="AG598" s="1029">
        <f t="shared" si="239"/>
        <v>0</v>
      </c>
      <c r="AH598" s="1033">
        <f t="shared" si="240"/>
        <v>0</v>
      </c>
      <c r="AI598" s="1030">
        <f t="shared" si="241"/>
        <v>0</v>
      </c>
      <c r="AJ598" s="1029"/>
      <c r="AK598" s="1031">
        <f t="shared" si="242"/>
        <v>0</v>
      </c>
      <c r="AL598" s="1033">
        <f t="shared" si="243"/>
        <v>0</v>
      </c>
      <c r="AM598" s="1029">
        <f t="shared" si="244"/>
        <v>0</v>
      </c>
      <c r="AN598" s="1033">
        <f t="shared" si="245"/>
        <v>0</v>
      </c>
      <c r="AO598" s="1030">
        <f t="shared" si="246"/>
        <v>0</v>
      </c>
      <c r="AP598" s="1029"/>
      <c r="AQ598" s="1031">
        <f t="shared" si="247"/>
        <v>0</v>
      </c>
      <c r="AR598" s="1033">
        <f t="shared" si="212"/>
        <v>0</v>
      </c>
      <c r="AS598" s="1029">
        <f t="shared" si="213"/>
        <v>0</v>
      </c>
      <c r="AT598" s="1033">
        <f t="shared" si="248"/>
        <v>0</v>
      </c>
      <c r="AU598" s="1030">
        <f t="shared" si="249"/>
        <v>0</v>
      </c>
      <c r="AV598" s="1029"/>
      <c r="AW598" s="1031">
        <f t="shared" si="250"/>
        <v>0</v>
      </c>
      <c r="AX598" s="1033">
        <f t="shared" si="214"/>
        <v>0</v>
      </c>
      <c r="AY598" s="1033">
        <f t="shared" si="215"/>
        <v>0</v>
      </c>
      <c r="AZ598" s="1033">
        <f t="shared" si="251"/>
        <v>0</v>
      </c>
      <c r="BA598" s="1030">
        <f t="shared" si="252"/>
        <v>0</v>
      </c>
      <c r="BB598" s="1029"/>
      <c r="BC598" s="1036">
        <f t="shared" si="216"/>
        <v>0</v>
      </c>
      <c r="BD598" s="1033">
        <f t="shared" si="217"/>
        <v>0</v>
      </c>
      <c r="BE598" s="1029">
        <f t="shared" si="218"/>
        <v>0</v>
      </c>
      <c r="BF598" s="1033">
        <f t="shared" si="219"/>
        <v>0</v>
      </c>
      <c r="BG598" s="1035">
        <f t="shared" si="220"/>
        <v>0</v>
      </c>
    </row>
    <row r="599" spans="1:59" x14ac:dyDescent="0.25">
      <c r="A599" s="827">
        <v>21</v>
      </c>
      <c r="B599" s="1031">
        <f t="shared" si="221"/>
        <v>0</v>
      </c>
      <c r="C599" s="1029">
        <f t="shared" si="222"/>
        <v>0</v>
      </c>
      <c r="D599" s="1033">
        <f t="shared" si="223"/>
        <v>0</v>
      </c>
      <c r="E599" s="1029">
        <f t="shared" si="224"/>
        <v>0</v>
      </c>
      <c r="F599" s="1030">
        <f t="shared" si="225"/>
        <v>0</v>
      </c>
      <c r="G599" s="1029"/>
      <c r="H599" s="1036">
        <f t="shared" si="226"/>
        <v>0</v>
      </c>
      <c r="I599" s="1033">
        <f t="shared" si="227"/>
        <v>0</v>
      </c>
      <c r="J599" s="1033">
        <f t="shared" si="228"/>
        <v>0</v>
      </c>
      <c r="K599" s="1033">
        <f t="shared" si="229"/>
        <v>0</v>
      </c>
      <c r="L599" s="1035">
        <f t="shared" si="230"/>
        <v>0</v>
      </c>
      <c r="M599" s="1029"/>
      <c r="N599" s="1036">
        <f t="shared" si="231"/>
        <v>0</v>
      </c>
      <c r="O599" s="1032">
        <f t="shared" si="203"/>
        <v>0</v>
      </c>
      <c r="P599" s="1033">
        <f t="shared" si="204"/>
        <v>0</v>
      </c>
      <c r="Q599" s="1033">
        <f t="shared" si="232"/>
        <v>0</v>
      </c>
      <c r="R599" s="1030">
        <f t="shared" si="233"/>
        <v>0</v>
      </c>
      <c r="S599" s="1029"/>
      <c r="T599" s="1031">
        <f t="shared" si="234"/>
        <v>0</v>
      </c>
      <c r="U599" s="1033">
        <f t="shared" si="205"/>
        <v>0</v>
      </c>
      <c r="V599" s="1033">
        <f t="shared" si="206"/>
        <v>0</v>
      </c>
      <c r="W599" s="1033">
        <f t="shared" si="235"/>
        <v>0</v>
      </c>
      <c r="X599" s="1030">
        <f t="shared" si="236"/>
        <v>0</v>
      </c>
      <c r="Y599" s="1029"/>
      <c r="Z599" s="1031">
        <f t="shared" si="207"/>
        <v>0</v>
      </c>
      <c r="AA599" s="1029">
        <f t="shared" si="208"/>
        <v>0</v>
      </c>
      <c r="AB599" s="1033">
        <f t="shared" si="209"/>
        <v>0</v>
      </c>
      <c r="AC599" s="1029">
        <f t="shared" si="210"/>
        <v>0</v>
      </c>
      <c r="AD599" s="1030">
        <f t="shared" si="211"/>
        <v>0</v>
      </c>
      <c r="AE599" s="1033">
        <f t="shared" si="237"/>
        <v>0</v>
      </c>
      <c r="AF599" s="1033">
        <f t="shared" si="238"/>
        <v>0</v>
      </c>
      <c r="AG599" s="1029">
        <f t="shared" si="239"/>
        <v>0</v>
      </c>
      <c r="AH599" s="1033">
        <f t="shared" si="240"/>
        <v>0</v>
      </c>
      <c r="AI599" s="1030">
        <f t="shared" si="241"/>
        <v>0</v>
      </c>
      <c r="AJ599" s="1029"/>
      <c r="AK599" s="1031">
        <f t="shared" si="242"/>
        <v>0</v>
      </c>
      <c r="AL599" s="1033">
        <f t="shared" si="243"/>
        <v>0</v>
      </c>
      <c r="AM599" s="1029">
        <f t="shared" si="244"/>
        <v>0</v>
      </c>
      <c r="AN599" s="1033">
        <f t="shared" si="245"/>
        <v>0</v>
      </c>
      <c r="AO599" s="1030">
        <f t="shared" si="246"/>
        <v>0</v>
      </c>
      <c r="AP599" s="1029"/>
      <c r="AQ599" s="1031">
        <f t="shared" si="247"/>
        <v>0</v>
      </c>
      <c r="AR599" s="1033">
        <f t="shared" si="212"/>
        <v>0</v>
      </c>
      <c r="AS599" s="1029">
        <f t="shared" si="213"/>
        <v>0</v>
      </c>
      <c r="AT599" s="1033">
        <f t="shared" si="248"/>
        <v>0</v>
      </c>
      <c r="AU599" s="1030">
        <f t="shared" si="249"/>
        <v>0</v>
      </c>
      <c r="AV599" s="1029"/>
      <c r="AW599" s="1031">
        <f t="shared" si="250"/>
        <v>0</v>
      </c>
      <c r="AX599" s="1033">
        <f t="shared" si="214"/>
        <v>0</v>
      </c>
      <c r="AY599" s="1033">
        <f t="shared" si="215"/>
        <v>0</v>
      </c>
      <c r="AZ599" s="1033">
        <f t="shared" si="251"/>
        <v>0</v>
      </c>
      <c r="BA599" s="1030">
        <f t="shared" si="252"/>
        <v>0</v>
      </c>
      <c r="BB599" s="1029"/>
      <c r="BC599" s="1036">
        <f t="shared" si="216"/>
        <v>0</v>
      </c>
      <c r="BD599" s="1033">
        <f t="shared" si="217"/>
        <v>0</v>
      </c>
      <c r="BE599" s="1029">
        <f t="shared" si="218"/>
        <v>0</v>
      </c>
      <c r="BF599" s="1033">
        <f t="shared" si="219"/>
        <v>0</v>
      </c>
      <c r="BG599" s="1035">
        <f t="shared" si="220"/>
        <v>0</v>
      </c>
    </row>
    <row r="600" spans="1:59" x14ac:dyDescent="0.25">
      <c r="A600" s="827">
        <v>22</v>
      </c>
      <c r="B600" s="1031">
        <f t="shared" si="221"/>
        <v>0</v>
      </c>
      <c r="C600" s="1029">
        <f t="shared" si="222"/>
        <v>0</v>
      </c>
      <c r="D600" s="1033">
        <f t="shared" si="223"/>
        <v>0</v>
      </c>
      <c r="E600" s="1029">
        <f t="shared" si="224"/>
        <v>0</v>
      </c>
      <c r="F600" s="1030">
        <f t="shared" si="225"/>
        <v>0</v>
      </c>
      <c r="G600" s="1029"/>
      <c r="H600" s="1036">
        <f t="shared" si="226"/>
        <v>0</v>
      </c>
      <c r="I600" s="1033">
        <f t="shared" si="227"/>
        <v>0</v>
      </c>
      <c r="J600" s="1033">
        <f t="shared" si="228"/>
        <v>0</v>
      </c>
      <c r="K600" s="1033">
        <f t="shared" si="229"/>
        <v>0</v>
      </c>
      <c r="L600" s="1035">
        <f t="shared" si="230"/>
        <v>0</v>
      </c>
      <c r="M600" s="1029"/>
      <c r="N600" s="1036">
        <f t="shared" si="231"/>
        <v>0</v>
      </c>
      <c r="O600" s="1032">
        <f t="shared" si="203"/>
        <v>0</v>
      </c>
      <c r="P600" s="1033">
        <f t="shared" si="204"/>
        <v>0</v>
      </c>
      <c r="Q600" s="1033">
        <f t="shared" si="232"/>
        <v>0</v>
      </c>
      <c r="R600" s="1030">
        <f t="shared" si="233"/>
        <v>0</v>
      </c>
      <c r="S600" s="1029"/>
      <c r="T600" s="1031">
        <f t="shared" si="234"/>
        <v>0</v>
      </c>
      <c r="U600" s="1033">
        <f t="shared" si="205"/>
        <v>0</v>
      </c>
      <c r="V600" s="1033">
        <f t="shared" si="206"/>
        <v>0</v>
      </c>
      <c r="W600" s="1033">
        <f t="shared" si="235"/>
        <v>0</v>
      </c>
      <c r="X600" s="1030">
        <f t="shared" si="236"/>
        <v>0</v>
      </c>
      <c r="Y600" s="1029"/>
      <c r="Z600" s="1031">
        <f t="shared" si="207"/>
        <v>0</v>
      </c>
      <c r="AA600" s="1029">
        <f t="shared" si="208"/>
        <v>0</v>
      </c>
      <c r="AB600" s="1033">
        <f t="shared" si="209"/>
        <v>0</v>
      </c>
      <c r="AC600" s="1029">
        <f t="shared" si="210"/>
        <v>0</v>
      </c>
      <c r="AD600" s="1030">
        <f t="shared" si="211"/>
        <v>0</v>
      </c>
      <c r="AE600" s="1033">
        <f t="shared" si="237"/>
        <v>0</v>
      </c>
      <c r="AF600" s="1033">
        <f t="shared" si="238"/>
        <v>0</v>
      </c>
      <c r="AG600" s="1029">
        <f t="shared" si="239"/>
        <v>0</v>
      </c>
      <c r="AH600" s="1033">
        <f t="shared" si="240"/>
        <v>0</v>
      </c>
      <c r="AI600" s="1030">
        <f t="shared" si="241"/>
        <v>0</v>
      </c>
      <c r="AJ600" s="1029"/>
      <c r="AK600" s="1031">
        <f t="shared" si="242"/>
        <v>0</v>
      </c>
      <c r="AL600" s="1033">
        <f t="shared" si="243"/>
        <v>0</v>
      </c>
      <c r="AM600" s="1029">
        <f t="shared" si="244"/>
        <v>0</v>
      </c>
      <c r="AN600" s="1033">
        <f t="shared" si="245"/>
        <v>0</v>
      </c>
      <c r="AO600" s="1030">
        <f t="shared" si="246"/>
        <v>0</v>
      </c>
      <c r="AP600" s="1029"/>
      <c r="AQ600" s="1031">
        <f t="shared" si="247"/>
        <v>0</v>
      </c>
      <c r="AR600" s="1033">
        <f t="shared" si="212"/>
        <v>0</v>
      </c>
      <c r="AS600" s="1029">
        <f t="shared" si="213"/>
        <v>0</v>
      </c>
      <c r="AT600" s="1033">
        <f t="shared" si="248"/>
        <v>0</v>
      </c>
      <c r="AU600" s="1030">
        <f t="shared" si="249"/>
        <v>0</v>
      </c>
      <c r="AV600" s="1029"/>
      <c r="AW600" s="1031">
        <f t="shared" si="250"/>
        <v>0</v>
      </c>
      <c r="AX600" s="1033">
        <f t="shared" si="214"/>
        <v>0</v>
      </c>
      <c r="AY600" s="1033">
        <f t="shared" si="215"/>
        <v>0</v>
      </c>
      <c r="AZ600" s="1033">
        <f t="shared" si="251"/>
        <v>0</v>
      </c>
      <c r="BA600" s="1030">
        <f t="shared" si="252"/>
        <v>0</v>
      </c>
      <c r="BB600" s="1029"/>
      <c r="BC600" s="1036">
        <f t="shared" si="216"/>
        <v>0</v>
      </c>
      <c r="BD600" s="1033">
        <f t="shared" si="217"/>
        <v>0</v>
      </c>
      <c r="BE600" s="1029">
        <f t="shared" si="218"/>
        <v>0</v>
      </c>
      <c r="BF600" s="1033">
        <f t="shared" si="219"/>
        <v>0</v>
      </c>
      <c r="BG600" s="1035">
        <f t="shared" si="220"/>
        <v>0</v>
      </c>
    </row>
    <row r="601" spans="1:59" x14ac:dyDescent="0.25">
      <c r="A601" s="827">
        <v>23</v>
      </c>
      <c r="B601" s="1031">
        <f t="shared" si="221"/>
        <v>0</v>
      </c>
      <c r="C601" s="1029">
        <f t="shared" si="222"/>
        <v>0</v>
      </c>
      <c r="D601" s="1033">
        <f t="shared" si="223"/>
        <v>0</v>
      </c>
      <c r="E601" s="1029">
        <f t="shared" si="224"/>
        <v>0</v>
      </c>
      <c r="F601" s="1030">
        <f t="shared" si="225"/>
        <v>0</v>
      </c>
      <c r="G601" s="1029"/>
      <c r="H601" s="1036">
        <f t="shared" si="226"/>
        <v>0</v>
      </c>
      <c r="I601" s="1033">
        <f t="shared" si="227"/>
        <v>0</v>
      </c>
      <c r="J601" s="1033">
        <f t="shared" si="228"/>
        <v>0</v>
      </c>
      <c r="K601" s="1033">
        <f t="shared" si="229"/>
        <v>0</v>
      </c>
      <c r="L601" s="1035">
        <f t="shared" si="230"/>
        <v>0</v>
      </c>
      <c r="M601" s="1029"/>
      <c r="N601" s="1036">
        <f t="shared" si="231"/>
        <v>0</v>
      </c>
      <c r="O601" s="1032">
        <f t="shared" si="203"/>
        <v>0</v>
      </c>
      <c r="P601" s="1033">
        <f t="shared" si="204"/>
        <v>0</v>
      </c>
      <c r="Q601" s="1033">
        <f t="shared" si="232"/>
        <v>0</v>
      </c>
      <c r="R601" s="1030">
        <f t="shared" si="233"/>
        <v>0</v>
      </c>
      <c r="S601" s="1029"/>
      <c r="T601" s="1031">
        <f t="shared" si="234"/>
        <v>0</v>
      </c>
      <c r="U601" s="1033">
        <f t="shared" si="205"/>
        <v>0</v>
      </c>
      <c r="V601" s="1033">
        <f t="shared" si="206"/>
        <v>0</v>
      </c>
      <c r="W601" s="1033">
        <f t="shared" si="235"/>
        <v>0</v>
      </c>
      <c r="X601" s="1030">
        <f t="shared" si="236"/>
        <v>0</v>
      </c>
      <c r="Y601" s="1029"/>
      <c r="Z601" s="1031">
        <f t="shared" si="207"/>
        <v>0</v>
      </c>
      <c r="AA601" s="1029">
        <f t="shared" si="208"/>
        <v>0</v>
      </c>
      <c r="AB601" s="1033">
        <f t="shared" si="209"/>
        <v>0</v>
      </c>
      <c r="AC601" s="1029">
        <f t="shared" si="210"/>
        <v>0</v>
      </c>
      <c r="AD601" s="1030">
        <f t="shared" si="211"/>
        <v>0</v>
      </c>
      <c r="AE601" s="1033">
        <f t="shared" si="237"/>
        <v>0</v>
      </c>
      <c r="AF601" s="1033">
        <f t="shared" si="238"/>
        <v>0</v>
      </c>
      <c r="AG601" s="1029">
        <f t="shared" si="239"/>
        <v>0</v>
      </c>
      <c r="AH601" s="1033">
        <f t="shared" si="240"/>
        <v>0</v>
      </c>
      <c r="AI601" s="1030">
        <f t="shared" si="241"/>
        <v>0</v>
      </c>
      <c r="AJ601" s="1029"/>
      <c r="AK601" s="1031">
        <f t="shared" si="242"/>
        <v>0</v>
      </c>
      <c r="AL601" s="1033">
        <f t="shared" si="243"/>
        <v>0</v>
      </c>
      <c r="AM601" s="1029">
        <f t="shared" si="244"/>
        <v>0</v>
      </c>
      <c r="AN601" s="1033">
        <f t="shared" si="245"/>
        <v>0</v>
      </c>
      <c r="AO601" s="1030">
        <f t="shared" si="246"/>
        <v>0</v>
      </c>
      <c r="AP601" s="1029"/>
      <c r="AQ601" s="1031">
        <f t="shared" si="247"/>
        <v>0</v>
      </c>
      <c r="AR601" s="1033">
        <f t="shared" si="212"/>
        <v>0</v>
      </c>
      <c r="AS601" s="1029">
        <f t="shared" si="213"/>
        <v>0</v>
      </c>
      <c r="AT601" s="1033">
        <f t="shared" si="248"/>
        <v>0</v>
      </c>
      <c r="AU601" s="1030">
        <f t="shared" si="249"/>
        <v>0</v>
      </c>
      <c r="AV601" s="1029"/>
      <c r="AW601" s="1031">
        <f t="shared" si="250"/>
        <v>0</v>
      </c>
      <c r="AX601" s="1033">
        <f t="shared" si="214"/>
        <v>0</v>
      </c>
      <c r="AY601" s="1033">
        <f t="shared" si="215"/>
        <v>0</v>
      </c>
      <c r="AZ601" s="1033">
        <f t="shared" si="251"/>
        <v>0</v>
      </c>
      <c r="BA601" s="1030">
        <f t="shared" si="252"/>
        <v>0</v>
      </c>
      <c r="BB601" s="1029"/>
      <c r="BC601" s="1036">
        <f t="shared" si="216"/>
        <v>0</v>
      </c>
      <c r="BD601" s="1033">
        <f t="shared" si="217"/>
        <v>0</v>
      </c>
      <c r="BE601" s="1029">
        <f t="shared" si="218"/>
        <v>0</v>
      </c>
      <c r="BF601" s="1033">
        <f t="shared" si="219"/>
        <v>0</v>
      </c>
      <c r="BG601" s="1035">
        <f t="shared" si="220"/>
        <v>0</v>
      </c>
    </row>
    <row r="602" spans="1:59" x14ac:dyDescent="0.25">
      <c r="A602" s="827">
        <v>24</v>
      </c>
      <c r="B602" s="1031">
        <f t="shared" si="221"/>
        <v>0</v>
      </c>
      <c r="C602" s="1029">
        <f t="shared" si="222"/>
        <v>0</v>
      </c>
      <c r="D602" s="1033">
        <f t="shared" si="223"/>
        <v>0</v>
      </c>
      <c r="E602" s="1029">
        <f t="shared" si="224"/>
        <v>0</v>
      </c>
      <c r="F602" s="1030">
        <f t="shared" si="225"/>
        <v>0</v>
      </c>
      <c r="G602" s="1029"/>
      <c r="H602" s="1036">
        <f t="shared" si="226"/>
        <v>0</v>
      </c>
      <c r="I602" s="1033">
        <f t="shared" si="227"/>
        <v>0</v>
      </c>
      <c r="J602" s="1033">
        <f t="shared" si="228"/>
        <v>0</v>
      </c>
      <c r="K602" s="1033">
        <f t="shared" si="229"/>
        <v>0</v>
      </c>
      <c r="L602" s="1035">
        <f t="shared" si="230"/>
        <v>0</v>
      </c>
      <c r="M602" s="1029"/>
      <c r="N602" s="1036">
        <f t="shared" si="231"/>
        <v>0</v>
      </c>
      <c r="O602" s="1032">
        <f t="shared" si="203"/>
        <v>0</v>
      </c>
      <c r="P602" s="1033">
        <f t="shared" si="204"/>
        <v>0</v>
      </c>
      <c r="Q602" s="1033">
        <f t="shared" si="232"/>
        <v>0</v>
      </c>
      <c r="R602" s="1030">
        <f t="shared" si="233"/>
        <v>0</v>
      </c>
      <c r="S602" s="1029"/>
      <c r="T602" s="1031">
        <f t="shared" si="234"/>
        <v>0</v>
      </c>
      <c r="U602" s="1033">
        <f t="shared" si="205"/>
        <v>0</v>
      </c>
      <c r="V602" s="1033">
        <f t="shared" si="206"/>
        <v>0</v>
      </c>
      <c r="W602" s="1033">
        <f t="shared" si="235"/>
        <v>0</v>
      </c>
      <c r="X602" s="1030">
        <f t="shared" si="236"/>
        <v>0</v>
      </c>
      <c r="Y602" s="1029"/>
      <c r="Z602" s="1031">
        <f t="shared" si="207"/>
        <v>0</v>
      </c>
      <c r="AA602" s="1029">
        <f t="shared" si="208"/>
        <v>0</v>
      </c>
      <c r="AB602" s="1033">
        <f t="shared" si="209"/>
        <v>0</v>
      </c>
      <c r="AC602" s="1029">
        <f t="shared" si="210"/>
        <v>0</v>
      </c>
      <c r="AD602" s="1030">
        <f t="shared" si="211"/>
        <v>0</v>
      </c>
      <c r="AE602" s="1033">
        <f t="shared" si="237"/>
        <v>0</v>
      </c>
      <c r="AF602" s="1033">
        <f t="shared" si="238"/>
        <v>0</v>
      </c>
      <c r="AG602" s="1029">
        <f t="shared" si="239"/>
        <v>0</v>
      </c>
      <c r="AH602" s="1033">
        <f t="shared" si="240"/>
        <v>0</v>
      </c>
      <c r="AI602" s="1030">
        <f t="shared" si="241"/>
        <v>0</v>
      </c>
      <c r="AJ602" s="1029"/>
      <c r="AK602" s="1031">
        <f t="shared" si="242"/>
        <v>0</v>
      </c>
      <c r="AL602" s="1033">
        <f t="shared" si="243"/>
        <v>0</v>
      </c>
      <c r="AM602" s="1029">
        <f t="shared" si="244"/>
        <v>0</v>
      </c>
      <c r="AN602" s="1033">
        <f t="shared" si="245"/>
        <v>0</v>
      </c>
      <c r="AO602" s="1030">
        <f t="shared" si="246"/>
        <v>0</v>
      </c>
      <c r="AP602" s="1029"/>
      <c r="AQ602" s="1031">
        <f t="shared" si="247"/>
        <v>0</v>
      </c>
      <c r="AR602" s="1033">
        <f t="shared" si="212"/>
        <v>0</v>
      </c>
      <c r="AS602" s="1029">
        <f t="shared" si="213"/>
        <v>0</v>
      </c>
      <c r="AT602" s="1033">
        <f t="shared" si="248"/>
        <v>0</v>
      </c>
      <c r="AU602" s="1030">
        <f t="shared" si="249"/>
        <v>0</v>
      </c>
      <c r="AV602" s="1029"/>
      <c r="AW602" s="1031">
        <f t="shared" si="250"/>
        <v>0</v>
      </c>
      <c r="AX602" s="1033">
        <f t="shared" si="214"/>
        <v>0</v>
      </c>
      <c r="AY602" s="1033">
        <f t="shared" si="215"/>
        <v>0</v>
      </c>
      <c r="AZ602" s="1033">
        <f t="shared" si="251"/>
        <v>0</v>
      </c>
      <c r="BA602" s="1030">
        <f t="shared" si="252"/>
        <v>0</v>
      </c>
      <c r="BB602" s="1029"/>
      <c r="BC602" s="1036">
        <f t="shared" si="216"/>
        <v>0</v>
      </c>
      <c r="BD602" s="1033">
        <f t="shared" si="217"/>
        <v>0</v>
      </c>
      <c r="BE602" s="1029">
        <f t="shared" si="218"/>
        <v>0</v>
      </c>
      <c r="BF602" s="1033">
        <f t="shared" si="219"/>
        <v>0</v>
      </c>
      <c r="BG602" s="1035">
        <f t="shared" si="220"/>
        <v>0</v>
      </c>
    </row>
    <row r="603" spans="1:59" x14ac:dyDescent="0.25">
      <c r="A603" s="827">
        <v>25</v>
      </c>
      <c r="B603" s="1031">
        <f t="shared" si="221"/>
        <v>0</v>
      </c>
      <c r="C603" s="1029">
        <f t="shared" si="222"/>
        <v>0</v>
      </c>
      <c r="D603" s="1033">
        <f t="shared" si="223"/>
        <v>0</v>
      </c>
      <c r="E603" s="1029">
        <f t="shared" si="224"/>
        <v>0</v>
      </c>
      <c r="F603" s="1030">
        <f t="shared" si="225"/>
        <v>0</v>
      </c>
      <c r="G603" s="1029"/>
      <c r="H603" s="1036">
        <f t="shared" si="226"/>
        <v>0</v>
      </c>
      <c r="I603" s="1033">
        <f t="shared" si="227"/>
        <v>0</v>
      </c>
      <c r="J603" s="1033">
        <f t="shared" si="228"/>
        <v>0</v>
      </c>
      <c r="K603" s="1033">
        <f t="shared" si="229"/>
        <v>0</v>
      </c>
      <c r="L603" s="1035">
        <f t="shared" si="230"/>
        <v>0</v>
      </c>
      <c r="M603" s="1029"/>
      <c r="N603" s="1036">
        <f t="shared" si="231"/>
        <v>0</v>
      </c>
      <c r="O603" s="1032">
        <f t="shared" si="203"/>
        <v>0</v>
      </c>
      <c r="P603" s="1033">
        <f t="shared" si="204"/>
        <v>0</v>
      </c>
      <c r="Q603" s="1033">
        <f t="shared" si="232"/>
        <v>0</v>
      </c>
      <c r="R603" s="1030">
        <f t="shared" si="233"/>
        <v>0</v>
      </c>
      <c r="S603" s="1029"/>
      <c r="T603" s="1031">
        <f t="shared" si="234"/>
        <v>0</v>
      </c>
      <c r="U603" s="1033">
        <f t="shared" si="205"/>
        <v>0</v>
      </c>
      <c r="V603" s="1033">
        <f t="shared" si="206"/>
        <v>0</v>
      </c>
      <c r="W603" s="1033">
        <f t="shared" si="235"/>
        <v>0</v>
      </c>
      <c r="X603" s="1030">
        <f t="shared" si="236"/>
        <v>0</v>
      </c>
      <c r="Y603" s="1029"/>
      <c r="Z603" s="1031">
        <f t="shared" si="207"/>
        <v>0</v>
      </c>
      <c r="AA603" s="1029">
        <f t="shared" si="208"/>
        <v>0</v>
      </c>
      <c r="AB603" s="1033">
        <f t="shared" si="209"/>
        <v>0</v>
      </c>
      <c r="AC603" s="1029">
        <f t="shared" si="210"/>
        <v>0</v>
      </c>
      <c r="AD603" s="1030">
        <f t="shared" si="211"/>
        <v>0</v>
      </c>
      <c r="AE603" s="1033">
        <f t="shared" si="237"/>
        <v>0</v>
      </c>
      <c r="AF603" s="1033">
        <f t="shared" si="238"/>
        <v>0</v>
      </c>
      <c r="AG603" s="1029">
        <f t="shared" si="239"/>
        <v>0</v>
      </c>
      <c r="AH603" s="1033">
        <f t="shared" si="240"/>
        <v>0</v>
      </c>
      <c r="AI603" s="1030">
        <f t="shared" si="241"/>
        <v>0</v>
      </c>
      <c r="AJ603" s="1029"/>
      <c r="AK603" s="1031">
        <f t="shared" si="242"/>
        <v>0</v>
      </c>
      <c r="AL603" s="1033">
        <f t="shared" si="243"/>
        <v>0</v>
      </c>
      <c r="AM603" s="1029">
        <f t="shared" si="244"/>
        <v>0</v>
      </c>
      <c r="AN603" s="1033">
        <f t="shared" si="245"/>
        <v>0</v>
      </c>
      <c r="AO603" s="1030">
        <f t="shared" si="246"/>
        <v>0</v>
      </c>
      <c r="AP603" s="1029"/>
      <c r="AQ603" s="1031">
        <f t="shared" si="247"/>
        <v>0</v>
      </c>
      <c r="AR603" s="1033">
        <f t="shared" si="212"/>
        <v>0</v>
      </c>
      <c r="AS603" s="1029">
        <f t="shared" si="213"/>
        <v>0</v>
      </c>
      <c r="AT603" s="1033">
        <f t="shared" si="248"/>
        <v>0</v>
      </c>
      <c r="AU603" s="1030">
        <f t="shared" si="249"/>
        <v>0</v>
      </c>
      <c r="AV603" s="1029"/>
      <c r="AW603" s="1031">
        <f t="shared" si="250"/>
        <v>0</v>
      </c>
      <c r="AX603" s="1033">
        <f t="shared" si="214"/>
        <v>0</v>
      </c>
      <c r="AY603" s="1033">
        <f t="shared" si="215"/>
        <v>0</v>
      </c>
      <c r="AZ603" s="1033">
        <f t="shared" si="251"/>
        <v>0</v>
      </c>
      <c r="BA603" s="1030">
        <f t="shared" si="252"/>
        <v>0</v>
      </c>
      <c r="BB603" s="1029"/>
      <c r="BC603" s="1036">
        <f t="shared" si="216"/>
        <v>0</v>
      </c>
      <c r="BD603" s="1033">
        <f t="shared" si="217"/>
        <v>0</v>
      </c>
      <c r="BE603" s="1029">
        <f t="shared" si="218"/>
        <v>0</v>
      </c>
      <c r="BF603" s="1033">
        <f t="shared" si="219"/>
        <v>0</v>
      </c>
      <c r="BG603" s="1035">
        <f t="shared" si="220"/>
        <v>0</v>
      </c>
    </row>
    <row r="604" spans="1:59" x14ac:dyDescent="0.25">
      <c r="A604" s="827">
        <v>26</v>
      </c>
      <c r="B604" s="1031">
        <f t="shared" si="221"/>
        <v>0</v>
      </c>
      <c r="C604" s="1029">
        <f t="shared" si="222"/>
        <v>0</v>
      </c>
      <c r="D604" s="1033">
        <f t="shared" si="223"/>
        <v>0</v>
      </c>
      <c r="E604" s="1029">
        <f t="shared" si="224"/>
        <v>0</v>
      </c>
      <c r="F604" s="1030">
        <f t="shared" si="225"/>
        <v>0</v>
      </c>
      <c r="G604" s="1029"/>
      <c r="H604" s="1036">
        <f t="shared" si="226"/>
        <v>0</v>
      </c>
      <c r="I604" s="1033">
        <f t="shared" si="227"/>
        <v>0</v>
      </c>
      <c r="J604" s="1033">
        <f t="shared" si="228"/>
        <v>0</v>
      </c>
      <c r="K604" s="1033">
        <f t="shared" si="229"/>
        <v>0</v>
      </c>
      <c r="L604" s="1035">
        <f t="shared" si="230"/>
        <v>0</v>
      </c>
      <c r="M604" s="1029"/>
      <c r="N604" s="1036">
        <f t="shared" si="231"/>
        <v>0</v>
      </c>
      <c r="O604" s="1032">
        <f t="shared" si="203"/>
        <v>0</v>
      </c>
      <c r="P604" s="1033">
        <f t="shared" si="204"/>
        <v>0</v>
      </c>
      <c r="Q604" s="1033">
        <f t="shared" si="232"/>
        <v>0</v>
      </c>
      <c r="R604" s="1030">
        <f t="shared" si="233"/>
        <v>0</v>
      </c>
      <c r="S604" s="1029"/>
      <c r="T604" s="1031">
        <f t="shared" si="234"/>
        <v>0</v>
      </c>
      <c r="U604" s="1033">
        <f t="shared" si="205"/>
        <v>0</v>
      </c>
      <c r="V604" s="1033">
        <f t="shared" si="206"/>
        <v>0</v>
      </c>
      <c r="W604" s="1033">
        <f t="shared" si="235"/>
        <v>0</v>
      </c>
      <c r="X604" s="1030">
        <f t="shared" si="236"/>
        <v>0</v>
      </c>
      <c r="Y604" s="1029"/>
      <c r="Z604" s="1031">
        <f t="shared" si="207"/>
        <v>0</v>
      </c>
      <c r="AA604" s="1029">
        <f t="shared" si="208"/>
        <v>0</v>
      </c>
      <c r="AB604" s="1033">
        <f t="shared" si="209"/>
        <v>0</v>
      </c>
      <c r="AC604" s="1029">
        <f t="shared" si="210"/>
        <v>0</v>
      </c>
      <c r="AD604" s="1030">
        <f t="shared" si="211"/>
        <v>0</v>
      </c>
      <c r="AE604" s="1033">
        <f t="shared" si="237"/>
        <v>0</v>
      </c>
      <c r="AF604" s="1033">
        <f t="shared" si="238"/>
        <v>0</v>
      </c>
      <c r="AG604" s="1029">
        <f t="shared" si="239"/>
        <v>0</v>
      </c>
      <c r="AH604" s="1033">
        <f t="shared" si="240"/>
        <v>0</v>
      </c>
      <c r="AI604" s="1030">
        <f t="shared" si="241"/>
        <v>0</v>
      </c>
      <c r="AJ604" s="1029"/>
      <c r="AK604" s="1031">
        <f t="shared" si="242"/>
        <v>0</v>
      </c>
      <c r="AL604" s="1033">
        <f t="shared" si="243"/>
        <v>0</v>
      </c>
      <c r="AM604" s="1029">
        <f t="shared" si="244"/>
        <v>0</v>
      </c>
      <c r="AN604" s="1033">
        <f t="shared" si="245"/>
        <v>0</v>
      </c>
      <c r="AO604" s="1030">
        <f t="shared" si="246"/>
        <v>0</v>
      </c>
      <c r="AP604" s="1029"/>
      <c r="AQ604" s="1031">
        <f t="shared" si="247"/>
        <v>0</v>
      </c>
      <c r="AR604" s="1033">
        <f t="shared" si="212"/>
        <v>0</v>
      </c>
      <c r="AS604" s="1029">
        <f t="shared" si="213"/>
        <v>0</v>
      </c>
      <c r="AT604" s="1033">
        <f t="shared" si="248"/>
        <v>0</v>
      </c>
      <c r="AU604" s="1030">
        <f t="shared" si="249"/>
        <v>0</v>
      </c>
      <c r="AV604" s="1029"/>
      <c r="AW604" s="1031">
        <f t="shared" si="250"/>
        <v>0</v>
      </c>
      <c r="AX604" s="1033">
        <f t="shared" si="214"/>
        <v>0</v>
      </c>
      <c r="AY604" s="1033">
        <f t="shared" si="215"/>
        <v>0</v>
      </c>
      <c r="AZ604" s="1033">
        <f t="shared" si="251"/>
        <v>0</v>
      </c>
      <c r="BA604" s="1030">
        <f t="shared" si="252"/>
        <v>0</v>
      </c>
      <c r="BB604" s="1029"/>
      <c r="BC604" s="1036">
        <f t="shared" si="216"/>
        <v>0</v>
      </c>
      <c r="BD604" s="1033">
        <f t="shared" si="217"/>
        <v>0</v>
      </c>
      <c r="BE604" s="1029">
        <f t="shared" si="218"/>
        <v>0</v>
      </c>
      <c r="BF604" s="1033">
        <f t="shared" si="219"/>
        <v>0</v>
      </c>
      <c r="BG604" s="1035">
        <f t="shared" si="220"/>
        <v>0</v>
      </c>
    </row>
    <row r="605" spans="1:59" x14ac:dyDescent="0.25">
      <c r="A605" s="827">
        <v>27</v>
      </c>
      <c r="B605" s="1031">
        <f t="shared" si="221"/>
        <v>0</v>
      </c>
      <c r="C605" s="1029">
        <f t="shared" si="222"/>
        <v>0</v>
      </c>
      <c r="D605" s="1033">
        <f t="shared" si="223"/>
        <v>0</v>
      </c>
      <c r="E605" s="1029">
        <f t="shared" si="224"/>
        <v>0</v>
      </c>
      <c r="F605" s="1030">
        <f t="shared" si="225"/>
        <v>0</v>
      </c>
      <c r="G605" s="1029"/>
      <c r="H605" s="1036">
        <f t="shared" si="226"/>
        <v>0</v>
      </c>
      <c r="I605" s="1033">
        <f t="shared" si="227"/>
        <v>0</v>
      </c>
      <c r="J605" s="1033">
        <f t="shared" si="228"/>
        <v>0</v>
      </c>
      <c r="K605" s="1033">
        <f t="shared" si="229"/>
        <v>0</v>
      </c>
      <c r="L605" s="1035">
        <f t="shared" si="230"/>
        <v>0</v>
      </c>
      <c r="M605" s="1029"/>
      <c r="N605" s="1036">
        <f t="shared" si="231"/>
        <v>0</v>
      </c>
      <c r="O605" s="1032">
        <f t="shared" si="203"/>
        <v>0</v>
      </c>
      <c r="P605" s="1033">
        <f t="shared" si="204"/>
        <v>0</v>
      </c>
      <c r="Q605" s="1033">
        <f t="shared" si="232"/>
        <v>0</v>
      </c>
      <c r="R605" s="1030">
        <f t="shared" si="233"/>
        <v>0</v>
      </c>
      <c r="S605" s="1029"/>
      <c r="T605" s="1031">
        <f t="shared" si="234"/>
        <v>0</v>
      </c>
      <c r="U605" s="1033">
        <f t="shared" si="205"/>
        <v>0</v>
      </c>
      <c r="V605" s="1033">
        <f t="shared" si="206"/>
        <v>0</v>
      </c>
      <c r="W605" s="1033">
        <f t="shared" si="235"/>
        <v>0</v>
      </c>
      <c r="X605" s="1030">
        <f t="shared" si="236"/>
        <v>0</v>
      </c>
      <c r="Y605" s="1029"/>
      <c r="Z605" s="1031">
        <f t="shared" si="207"/>
        <v>0</v>
      </c>
      <c r="AA605" s="1029">
        <f t="shared" si="208"/>
        <v>0</v>
      </c>
      <c r="AB605" s="1033">
        <f t="shared" si="209"/>
        <v>0</v>
      </c>
      <c r="AC605" s="1029">
        <f t="shared" si="210"/>
        <v>0</v>
      </c>
      <c r="AD605" s="1030">
        <f t="shared" si="211"/>
        <v>0</v>
      </c>
      <c r="AE605" s="1033">
        <f t="shared" si="237"/>
        <v>0</v>
      </c>
      <c r="AF605" s="1033">
        <f t="shared" si="238"/>
        <v>0</v>
      </c>
      <c r="AG605" s="1029">
        <f t="shared" si="239"/>
        <v>0</v>
      </c>
      <c r="AH605" s="1033">
        <f t="shared" si="240"/>
        <v>0</v>
      </c>
      <c r="AI605" s="1030">
        <f t="shared" si="241"/>
        <v>0</v>
      </c>
      <c r="AJ605" s="1029"/>
      <c r="AK605" s="1031">
        <f t="shared" si="242"/>
        <v>0</v>
      </c>
      <c r="AL605" s="1033">
        <f t="shared" si="243"/>
        <v>0</v>
      </c>
      <c r="AM605" s="1029">
        <f t="shared" si="244"/>
        <v>0</v>
      </c>
      <c r="AN605" s="1033">
        <f t="shared" si="245"/>
        <v>0</v>
      </c>
      <c r="AO605" s="1030">
        <f t="shared" si="246"/>
        <v>0</v>
      </c>
      <c r="AP605" s="1029"/>
      <c r="AQ605" s="1031">
        <f t="shared" si="247"/>
        <v>0</v>
      </c>
      <c r="AR605" s="1033">
        <f t="shared" si="212"/>
        <v>0</v>
      </c>
      <c r="AS605" s="1029">
        <f t="shared" si="213"/>
        <v>0</v>
      </c>
      <c r="AT605" s="1033">
        <f t="shared" si="248"/>
        <v>0</v>
      </c>
      <c r="AU605" s="1030">
        <f t="shared" si="249"/>
        <v>0</v>
      </c>
      <c r="AV605" s="1029"/>
      <c r="AW605" s="1031">
        <f t="shared" si="250"/>
        <v>0</v>
      </c>
      <c r="AX605" s="1033">
        <f t="shared" si="214"/>
        <v>0</v>
      </c>
      <c r="AY605" s="1033">
        <f t="shared" si="215"/>
        <v>0</v>
      </c>
      <c r="AZ605" s="1033">
        <f t="shared" si="251"/>
        <v>0</v>
      </c>
      <c r="BA605" s="1030">
        <f t="shared" si="252"/>
        <v>0</v>
      </c>
      <c r="BB605" s="1029"/>
      <c r="BC605" s="1036">
        <f t="shared" si="216"/>
        <v>0</v>
      </c>
      <c r="BD605" s="1033">
        <f t="shared" si="217"/>
        <v>0</v>
      </c>
      <c r="BE605" s="1029">
        <f t="shared" si="218"/>
        <v>0</v>
      </c>
      <c r="BF605" s="1033">
        <f t="shared" si="219"/>
        <v>0</v>
      </c>
      <c r="BG605" s="1035">
        <f t="shared" si="220"/>
        <v>0</v>
      </c>
    </row>
    <row r="606" spans="1:59" x14ac:dyDescent="0.25">
      <c r="A606" s="827">
        <v>28</v>
      </c>
      <c r="B606" s="1031">
        <f t="shared" si="221"/>
        <v>0</v>
      </c>
      <c r="C606" s="1029">
        <f t="shared" si="222"/>
        <v>0</v>
      </c>
      <c r="D606" s="1033">
        <f t="shared" si="223"/>
        <v>0</v>
      </c>
      <c r="E606" s="1029">
        <f t="shared" si="224"/>
        <v>0</v>
      </c>
      <c r="F606" s="1030">
        <f t="shared" si="225"/>
        <v>0</v>
      </c>
      <c r="G606" s="1029"/>
      <c r="H606" s="1036">
        <f t="shared" si="226"/>
        <v>0</v>
      </c>
      <c r="I606" s="1033">
        <f t="shared" si="227"/>
        <v>0</v>
      </c>
      <c r="J606" s="1033">
        <f t="shared" si="228"/>
        <v>0</v>
      </c>
      <c r="K606" s="1033">
        <f t="shared" si="229"/>
        <v>0</v>
      </c>
      <c r="L606" s="1035">
        <f t="shared" si="230"/>
        <v>0</v>
      </c>
      <c r="M606" s="1029"/>
      <c r="N606" s="1036">
        <f t="shared" si="231"/>
        <v>0</v>
      </c>
      <c r="O606" s="1032">
        <f t="shared" si="203"/>
        <v>0</v>
      </c>
      <c r="P606" s="1033">
        <f t="shared" si="204"/>
        <v>0</v>
      </c>
      <c r="Q606" s="1033">
        <f t="shared" si="232"/>
        <v>0</v>
      </c>
      <c r="R606" s="1030">
        <f t="shared" si="233"/>
        <v>0</v>
      </c>
      <c r="S606" s="1029"/>
      <c r="T606" s="1031">
        <f t="shared" si="234"/>
        <v>0</v>
      </c>
      <c r="U606" s="1033">
        <f t="shared" si="205"/>
        <v>0</v>
      </c>
      <c r="V606" s="1033">
        <f t="shared" si="206"/>
        <v>0</v>
      </c>
      <c r="W606" s="1033">
        <f t="shared" si="235"/>
        <v>0</v>
      </c>
      <c r="X606" s="1030">
        <f t="shared" si="236"/>
        <v>0</v>
      </c>
      <c r="Y606" s="1029"/>
      <c r="Z606" s="1031">
        <f t="shared" si="207"/>
        <v>0</v>
      </c>
      <c r="AA606" s="1029">
        <f t="shared" si="208"/>
        <v>0</v>
      </c>
      <c r="AB606" s="1033">
        <f t="shared" si="209"/>
        <v>0</v>
      </c>
      <c r="AC606" s="1029">
        <f t="shared" si="210"/>
        <v>0</v>
      </c>
      <c r="AD606" s="1030">
        <f t="shared" si="211"/>
        <v>0</v>
      </c>
      <c r="AE606" s="1033">
        <f t="shared" si="237"/>
        <v>0</v>
      </c>
      <c r="AF606" s="1033">
        <f t="shared" si="238"/>
        <v>0</v>
      </c>
      <c r="AG606" s="1029">
        <f t="shared" si="239"/>
        <v>0</v>
      </c>
      <c r="AH606" s="1033">
        <f t="shared" si="240"/>
        <v>0</v>
      </c>
      <c r="AI606" s="1030">
        <f t="shared" si="241"/>
        <v>0</v>
      </c>
      <c r="AJ606" s="1029"/>
      <c r="AK606" s="1031">
        <f t="shared" si="242"/>
        <v>0</v>
      </c>
      <c r="AL606" s="1033">
        <f t="shared" si="243"/>
        <v>0</v>
      </c>
      <c r="AM606" s="1029">
        <f t="shared" si="244"/>
        <v>0</v>
      </c>
      <c r="AN606" s="1033">
        <f t="shared" si="245"/>
        <v>0</v>
      </c>
      <c r="AO606" s="1030">
        <f t="shared" si="246"/>
        <v>0</v>
      </c>
      <c r="AP606" s="1029"/>
      <c r="AQ606" s="1031">
        <f t="shared" si="247"/>
        <v>0</v>
      </c>
      <c r="AR606" s="1033">
        <f t="shared" si="212"/>
        <v>0</v>
      </c>
      <c r="AS606" s="1029">
        <f t="shared" si="213"/>
        <v>0</v>
      </c>
      <c r="AT606" s="1033">
        <f t="shared" si="248"/>
        <v>0</v>
      </c>
      <c r="AU606" s="1030">
        <f t="shared" si="249"/>
        <v>0</v>
      </c>
      <c r="AV606" s="1029"/>
      <c r="AW606" s="1031">
        <f t="shared" si="250"/>
        <v>0</v>
      </c>
      <c r="AX606" s="1033">
        <f t="shared" si="214"/>
        <v>0</v>
      </c>
      <c r="AY606" s="1033">
        <f t="shared" si="215"/>
        <v>0</v>
      </c>
      <c r="AZ606" s="1033">
        <f t="shared" si="251"/>
        <v>0</v>
      </c>
      <c r="BA606" s="1030">
        <f t="shared" si="252"/>
        <v>0</v>
      </c>
      <c r="BB606" s="1029"/>
      <c r="BC606" s="1036">
        <f t="shared" si="216"/>
        <v>0</v>
      </c>
      <c r="BD606" s="1033">
        <f t="shared" si="217"/>
        <v>0</v>
      </c>
      <c r="BE606" s="1029">
        <f t="shared" si="218"/>
        <v>0</v>
      </c>
      <c r="BF606" s="1033">
        <f t="shared" si="219"/>
        <v>0</v>
      </c>
      <c r="BG606" s="1035">
        <f t="shared" si="220"/>
        <v>0</v>
      </c>
    </row>
    <row r="607" spans="1:59" x14ac:dyDescent="0.25">
      <c r="A607" s="827">
        <v>29</v>
      </c>
      <c r="B607" s="1031">
        <f t="shared" si="221"/>
        <v>0</v>
      </c>
      <c r="C607" s="1029">
        <f t="shared" si="222"/>
        <v>0</v>
      </c>
      <c r="D607" s="1033">
        <f t="shared" si="223"/>
        <v>0</v>
      </c>
      <c r="E607" s="1029">
        <f t="shared" si="224"/>
        <v>0</v>
      </c>
      <c r="F607" s="1030">
        <f t="shared" si="225"/>
        <v>0</v>
      </c>
      <c r="G607" s="1029"/>
      <c r="H607" s="1036">
        <f t="shared" si="226"/>
        <v>0</v>
      </c>
      <c r="I607" s="1033">
        <f t="shared" si="227"/>
        <v>0</v>
      </c>
      <c r="J607" s="1033">
        <f t="shared" si="228"/>
        <v>0</v>
      </c>
      <c r="K607" s="1033">
        <f t="shared" si="229"/>
        <v>0</v>
      </c>
      <c r="L607" s="1035">
        <f t="shared" si="230"/>
        <v>0</v>
      </c>
      <c r="M607" s="1029"/>
      <c r="N607" s="1036">
        <f t="shared" si="231"/>
        <v>0</v>
      </c>
      <c r="O607" s="1032">
        <f t="shared" si="203"/>
        <v>0</v>
      </c>
      <c r="P607" s="1033">
        <f t="shared" si="204"/>
        <v>0</v>
      </c>
      <c r="Q607" s="1033">
        <f t="shared" si="232"/>
        <v>0</v>
      </c>
      <c r="R607" s="1030">
        <f t="shared" si="233"/>
        <v>0</v>
      </c>
      <c r="S607" s="1029"/>
      <c r="T607" s="1031">
        <f t="shared" si="234"/>
        <v>0</v>
      </c>
      <c r="U607" s="1033">
        <f t="shared" si="205"/>
        <v>0</v>
      </c>
      <c r="V607" s="1033">
        <f t="shared" si="206"/>
        <v>0</v>
      </c>
      <c r="W607" s="1033">
        <f t="shared" si="235"/>
        <v>0</v>
      </c>
      <c r="X607" s="1030">
        <f t="shared" si="236"/>
        <v>0</v>
      </c>
      <c r="Y607" s="1029"/>
      <c r="Z607" s="1031">
        <f t="shared" si="207"/>
        <v>0</v>
      </c>
      <c r="AA607" s="1029">
        <f t="shared" si="208"/>
        <v>0</v>
      </c>
      <c r="AB607" s="1033">
        <f t="shared" si="209"/>
        <v>0</v>
      </c>
      <c r="AC607" s="1029">
        <f t="shared" si="210"/>
        <v>0</v>
      </c>
      <c r="AD607" s="1030">
        <f t="shared" si="211"/>
        <v>0</v>
      </c>
      <c r="AE607" s="1033">
        <f t="shared" si="237"/>
        <v>0</v>
      </c>
      <c r="AF607" s="1033">
        <f t="shared" si="238"/>
        <v>0</v>
      </c>
      <c r="AG607" s="1029">
        <f t="shared" si="239"/>
        <v>0</v>
      </c>
      <c r="AH607" s="1033">
        <f t="shared" si="240"/>
        <v>0</v>
      </c>
      <c r="AI607" s="1030">
        <f t="shared" si="241"/>
        <v>0</v>
      </c>
      <c r="AJ607" s="1029"/>
      <c r="AK607" s="1031">
        <f t="shared" si="242"/>
        <v>0</v>
      </c>
      <c r="AL607" s="1033">
        <f t="shared" si="243"/>
        <v>0</v>
      </c>
      <c r="AM607" s="1029">
        <f t="shared" si="244"/>
        <v>0</v>
      </c>
      <c r="AN607" s="1033">
        <f t="shared" si="245"/>
        <v>0</v>
      </c>
      <c r="AO607" s="1030">
        <f t="shared" si="246"/>
        <v>0</v>
      </c>
      <c r="AP607" s="1029"/>
      <c r="AQ607" s="1031">
        <f t="shared" si="247"/>
        <v>0</v>
      </c>
      <c r="AR607" s="1033">
        <f t="shared" si="212"/>
        <v>0</v>
      </c>
      <c r="AS607" s="1029">
        <f t="shared" si="213"/>
        <v>0</v>
      </c>
      <c r="AT607" s="1033">
        <f t="shared" si="248"/>
        <v>0</v>
      </c>
      <c r="AU607" s="1030">
        <f t="shared" si="249"/>
        <v>0</v>
      </c>
      <c r="AV607" s="1029"/>
      <c r="AW607" s="1031">
        <f t="shared" si="250"/>
        <v>0</v>
      </c>
      <c r="AX607" s="1033">
        <f t="shared" si="214"/>
        <v>0</v>
      </c>
      <c r="AY607" s="1033">
        <f t="shared" si="215"/>
        <v>0</v>
      </c>
      <c r="AZ607" s="1033">
        <f t="shared" si="251"/>
        <v>0</v>
      </c>
      <c r="BA607" s="1030">
        <f t="shared" si="252"/>
        <v>0</v>
      </c>
      <c r="BB607" s="1029"/>
      <c r="BC607" s="1036">
        <f t="shared" si="216"/>
        <v>0</v>
      </c>
      <c r="BD607" s="1033">
        <f t="shared" si="217"/>
        <v>0</v>
      </c>
      <c r="BE607" s="1029">
        <f t="shared" si="218"/>
        <v>0</v>
      </c>
      <c r="BF607" s="1033">
        <f t="shared" si="219"/>
        <v>0</v>
      </c>
      <c r="BG607" s="1035">
        <f t="shared" si="220"/>
        <v>0</v>
      </c>
    </row>
    <row r="608" spans="1:59" x14ac:dyDescent="0.25">
      <c r="A608" s="827">
        <v>30</v>
      </c>
      <c r="B608" s="1031">
        <f t="shared" si="221"/>
        <v>0</v>
      </c>
      <c r="C608" s="1029">
        <f t="shared" si="222"/>
        <v>0</v>
      </c>
      <c r="D608" s="1033">
        <f t="shared" si="223"/>
        <v>0</v>
      </c>
      <c r="E608" s="1029">
        <f t="shared" si="224"/>
        <v>0</v>
      </c>
      <c r="F608" s="1030">
        <f t="shared" si="225"/>
        <v>0</v>
      </c>
      <c r="G608" s="1029"/>
      <c r="H608" s="1036">
        <f t="shared" si="226"/>
        <v>0</v>
      </c>
      <c r="I608" s="1033">
        <f t="shared" si="227"/>
        <v>0</v>
      </c>
      <c r="J608" s="1033">
        <f t="shared" si="228"/>
        <v>0</v>
      </c>
      <c r="K608" s="1033">
        <f t="shared" si="229"/>
        <v>0</v>
      </c>
      <c r="L608" s="1035">
        <f t="shared" si="230"/>
        <v>0</v>
      </c>
      <c r="M608" s="1029"/>
      <c r="N608" s="1036">
        <f t="shared" si="231"/>
        <v>0</v>
      </c>
      <c r="O608" s="1032">
        <f t="shared" si="203"/>
        <v>0</v>
      </c>
      <c r="P608" s="1033">
        <f t="shared" si="204"/>
        <v>0</v>
      </c>
      <c r="Q608" s="1033">
        <f t="shared" si="232"/>
        <v>0</v>
      </c>
      <c r="R608" s="1030">
        <f t="shared" si="233"/>
        <v>0</v>
      </c>
      <c r="S608" s="1029"/>
      <c r="T608" s="1031">
        <f t="shared" si="234"/>
        <v>0</v>
      </c>
      <c r="U608" s="1033">
        <f t="shared" si="205"/>
        <v>0</v>
      </c>
      <c r="V608" s="1033">
        <f t="shared" si="206"/>
        <v>0</v>
      </c>
      <c r="W608" s="1033">
        <f t="shared" si="235"/>
        <v>0</v>
      </c>
      <c r="X608" s="1030">
        <f t="shared" si="236"/>
        <v>0</v>
      </c>
      <c r="Y608" s="1029"/>
      <c r="Z608" s="1031">
        <f t="shared" si="207"/>
        <v>0</v>
      </c>
      <c r="AA608" s="1029">
        <f t="shared" si="208"/>
        <v>0</v>
      </c>
      <c r="AB608" s="1033">
        <f t="shared" si="209"/>
        <v>0</v>
      </c>
      <c r="AC608" s="1029">
        <f t="shared" si="210"/>
        <v>0</v>
      </c>
      <c r="AD608" s="1030">
        <f t="shared" si="211"/>
        <v>0</v>
      </c>
      <c r="AE608" s="1033">
        <f t="shared" si="237"/>
        <v>0</v>
      </c>
      <c r="AF608" s="1033">
        <f t="shared" si="238"/>
        <v>0</v>
      </c>
      <c r="AG608" s="1029">
        <f t="shared" si="239"/>
        <v>0</v>
      </c>
      <c r="AH608" s="1033">
        <f t="shared" si="240"/>
        <v>0</v>
      </c>
      <c r="AI608" s="1030">
        <f t="shared" si="241"/>
        <v>0</v>
      </c>
      <c r="AJ608" s="1029"/>
      <c r="AK608" s="1031">
        <f t="shared" si="242"/>
        <v>0</v>
      </c>
      <c r="AL608" s="1033">
        <f t="shared" si="243"/>
        <v>0</v>
      </c>
      <c r="AM608" s="1029">
        <f t="shared" si="244"/>
        <v>0</v>
      </c>
      <c r="AN608" s="1033">
        <f t="shared" si="245"/>
        <v>0</v>
      </c>
      <c r="AO608" s="1030">
        <f t="shared" si="246"/>
        <v>0</v>
      </c>
      <c r="AP608" s="1029"/>
      <c r="AQ608" s="1031">
        <f t="shared" si="247"/>
        <v>0</v>
      </c>
      <c r="AR608" s="1033">
        <f t="shared" si="212"/>
        <v>0</v>
      </c>
      <c r="AS608" s="1029">
        <f t="shared" si="213"/>
        <v>0</v>
      </c>
      <c r="AT608" s="1033">
        <f t="shared" si="248"/>
        <v>0</v>
      </c>
      <c r="AU608" s="1030">
        <f t="shared" si="249"/>
        <v>0</v>
      </c>
      <c r="AV608" s="1029"/>
      <c r="AW608" s="1031">
        <f t="shared" si="250"/>
        <v>0</v>
      </c>
      <c r="AX608" s="1033">
        <f t="shared" si="214"/>
        <v>0</v>
      </c>
      <c r="AY608" s="1033">
        <f t="shared" si="215"/>
        <v>0</v>
      </c>
      <c r="AZ608" s="1033">
        <f t="shared" si="251"/>
        <v>0</v>
      </c>
      <c r="BA608" s="1030">
        <f t="shared" si="252"/>
        <v>0</v>
      </c>
      <c r="BB608" s="1029"/>
      <c r="BC608" s="1036">
        <f t="shared" si="216"/>
        <v>0</v>
      </c>
      <c r="BD608" s="1033">
        <f t="shared" si="217"/>
        <v>0</v>
      </c>
      <c r="BE608" s="1029">
        <f t="shared" si="218"/>
        <v>0</v>
      </c>
      <c r="BF608" s="1033">
        <f t="shared" si="219"/>
        <v>0</v>
      </c>
      <c r="BG608" s="1035">
        <f t="shared" si="220"/>
        <v>0</v>
      </c>
    </row>
    <row r="609" spans="1:59" x14ac:dyDescent="0.25">
      <c r="A609" s="827">
        <v>31</v>
      </c>
      <c r="B609" s="1031">
        <f t="shared" si="221"/>
        <v>0</v>
      </c>
      <c r="C609" s="1029">
        <f t="shared" si="222"/>
        <v>0</v>
      </c>
      <c r="D609" s="1033">
        <f t="shared" si="223"/>
        <v>0</v>
      </c>
      <c r="E609" s="1029">
        <f t="shared" si="224"/>
        <v>0</v>
      </c>
      <c r="F609" s="1030">
        <f t="shared" si="225"/>
        <v>0</v>
      </c>
      <c r="G609" s="1029"/>
      <c r="H609" s="1036">
        <f t="shared" si="226"/>
        <v>0</v>
      </c>
      <c r="I609" s="1033">
        <f t="shared" si="227"/>
        <v>0</v>
      </c>
      <c r="J609" s="1033">
        <f t="shared" si="228"/>
        <v>0</v>
      </c>
      <c r="K609" s="1033">
        <f t="shared" si="229"/>
        <v>0</v>
      </c>
      <c r="L609" s="1035">
        <f t="shared" si="230"/>
        <v>0</v>
      </c>
      <c r="M609" s="1029"/>
      <c r="N609" s="1036">
        <f t="shared" si="231"/>
        <v>0</v>
      </c>
      <c r="O609" s="1032">
        <f t="shared" si="203"/>
        <v>0</v>
      </c>
      <c r="P609" s="1033">
        <f t="shared" si="204"/>
        <v>0</v>
      </c>
      <c r="Q609" s="1033">
        <f t="shared" si="232"/>
        <v>0</v>
      </c>
      <c r="R609" s="1030">
        <f t="shared" si="233"/>
        <v>0</v>
      </c>
      <c r="S609" s="1029"/>
      <c r="T609" s="1031">
        <f t="shared" si="234"/>
        <v>0</v>
      </c>
      <c r="U609" s="1033">
        <f t="shared" si="205"/>
        <v>0</v>
      </c>
      <c r="V609" s="1033">
        <f t="shared" si="206"/>
        <v>0</v>
      </c>
      <c r="W609" s="1033">
        <f t="shared" si="235"/>
        <v>0</v>
      </c>
      <c r="X609" s="1030">
        <f t="shared" si="236"/>
        <v>0</v>
      </c>
      <c r="Y609" s="1029"/>
      <c r="Z609" s="1031">
        <f t="shared" si="207"/>
        <v>0</v>
      </c>
      <c r="AA609" s="1029">
        <f t="shared" si="208"/>
        <v>0</v>
      </c>
      <c r="AB609" s="1033">
        <f t="shared" si="209"/>
        <v>0</v>
      </c>
      <c r="AC609" s="1029">
        <f t="shared" si="210"/>
        <v>0</v>
      </c>
      <c r="AD609" s="1030">
        <f t="shared" si="211"/>
        <v>0</v>
      </c>
      <c r="AE609" s="1033">
        <f t="shared" si="237"/>
        <v>0</v>
      </c>
      <c r="AF609" s="1033">
        <f t="shared" si="238"/>
        <v>0</v>
      </c>
      <c r="AG609" s="1029">
        <f t="shared" si="239"/>
        <v>0</v>
      </c>
      <c r="AH609" s="1033">
        <f t="shared" si="240"/>
        <v>0</v>
      </c>
      <c r="AI609" s="1030">
        <f t="shared" si="241"/>
        <v>0</v>
      </c>
      <c r="AJ609" s="1029"/>
      <c r="AK609" s="1031">
        <f t="shared" si="242"/>
        <v>0</v>
      </c>
      <c r="AL609" s="1033">
        <f t="shared" si="243"/>
        <v>0</v>
      </c>
      <c r="AM609" s="1029">
        <f t="shared" si="244"/>
        <v>0</v>
      </c>
      <c r="AN609" s="1033">
        <f t="shared" si="245"/>
        <v>0</v>
      </c>
      <c r="AO609" s="1030">
        <f t="shared" si="246"/>
        <v>0</v>
      </c>
      <c r="AP609" s="1029"/>
      <c r="AQ609" s="1031">
        <f t="shared" si="247"/>
        <v>0</v>
      </c>
      <c r="AR609" s="1033">
        <f t="shared" si="212"/>
        <v>0</v>
      </c>
      <c r="AS609" s="1029">
        <f t="shared" si="213"/>
        <v>0</v>
      </c>
      <c r="AT609" s="1033">
        <f t="shared" si="248"/>
        <v>0</v>
      </c>
      <c r="AU609" s="1030">
        <f t="shared" si="249"/>
        <v>0</v>
      </c>
      <c r="AV609" s="1029"/>
      <c r="AW609" s="1031">
        <f t="shared" si="250"/>
        <v>0</v>
      </c>
      <c r="AX609" s="1033">
        <f t="shared" si="214"/>
        <v>0</v>
      </c>
      <c r="AY609" s="1033">
        <f t="shared" si="215"/>
        <v>0</v>
      </c>
      <c r="AZ609" s="1033">
        <f t="shared" si="251"/>
        <v>0</v>
      </c>
      <c r="BA609" s="1030">
        <f t="shared" si="252"/>
        <v>0</v>
      </c>
      <c r="BB609" s="1029"/>
      <c r="BC609" s="1036">
        <f t="shared" si="216"/>
        <v>0</v>
      </c>
      <c r="BD609" s="1033">
        <f t="shared" si="217"/>
        <v>0</v>
      </c>
      <c r="BE609" s="1029">
        <f t="shared" si="218"/>
        <v>0</v>
      </c>
      <c r="BF609" s="1033">
        <f t="shared" si="219"/>
        <v>0</v>
      </c>
      <c r="BG609" s="1035">
        <f t="shared" si="220"/>
        <v>0</v>
      </c>
    </row>
    <row r="610" spans="1:59" x14ac:dyDescent="0.25">
      <c r="A610" s="827">
        <v>32</v>
      </c>
      <c r="B610" s="1031">
        <f t="shared" si="221"/>
        <v>0</v>
      </c>
      <c r="C610" s="1029">
        <f t="shared" si="222"/>
        <v>0</v>
      </c>
      <c r="D610" s="1033">
        <f t="shared" si="223"/>
        <v>0</v>
      </c>
      <c r="E610" s="1029">
        <f t="shared" si="224"/>
        <v>0</v>
      </c>
      <c r="F610" s="1030">
        <f t="shared" si="225"/>
        <v>0</v>
      </c>
      <c r="G610" s="1029"/>
      <c r="H610" s="1036">
        <f t="shared" si="226"/>
        <v>0</v>
      </c>
      <c r="I610" s="1033">
        <f t="shared" si="227"/>
        <v>0</v>
      </c>
      <c r="J610" s="1033">
        <f t="shared" si="228"/>
        <v>0</v>
      </c>
      <c r="K610" s="1033">
        <f t="shared" si="229"/>
        <v>0</v>
      </c>
      <c r="L610" s="1035">
        <f t="shared" si="230"/>
        <v>0</v>
      </c>
      <c r="M610" s="1029"/>
      <c r="N610" s="1036">
        <f t="shared" si="231"/>
        <v>0</v>
      </c>
      <c r="O610" s="1032">
        <f t="shared" si="203"/>
        <v>0</v>
      </c>
      <c r="P610" s="1033">
        <f t="shared" si="204"/>
        <v>0</v>
      </c>
      <c r="Q610" s="1033">
        <f t="shared" si="232"/>
        <v>0</v>
      </c>
      <c r="R610" s="1030">
        <f t="shared" si="233"/>
        <v>0</v>
      </c>
      <c r="S610" s="1029"/>
      <c r="T610" s="1031">
        <f t="shared" si="234"/>
        <v>0</v>
      </c>
      <c r="U610" s="1033">
        <f t="shared" si="205"/>
        <v>0</v>
      </c>
      <c r="V610" s="1033">
        <f t="shared" si="206"/>
        <v>0</v>
      </c>
      <c r="W610" s="1033">
        <f t="shared" si="235"/>
        <v>0</v>
      </c>
      <c r="X610" s="1030">
        <f t="shared" si="236"/>
        <v>0</v>
      </c>
      <c r="Y610" s="1029"/>
      <c r="Z610" s="1031">
        <f t="shared" si="207"/>
        <v>0</v>
      </c>
      <c r="AA610" s="1029">
        <f t="shared" si="208"/>
        <v>0</v>
      </c>
      <c r="AB610" s="1033">
        <f t="shared" si="209"/>
        <v>0</v>
      </c>
      <c r="AC610" s="1029">
        <f t="shared" si="210"/>
        <v>0</v>
      </c>
      <c r="AD610" s="1030">
        <f t="shared" si="211"/>
        <v>0</v>
      </c>
      <c r="AE610" s="1033">
        <f t="shared" si="237"/>
        <v>0</v>
      </c>
      <c r="AF610" s="1033">
        <f t="shared" si="238"/>
        <v>0</v>
      </c>
      <c r="AG610" s="1029">
        <f t="shared" si="239"/>
        <v>0</v>
      </c>
      <c r="AH610" s="1033">
        <f t="shared" si="240"/>
        <v>0</v>
      </c>
      <c r="AI610" s="1030">
        <f t="shared" si="241"/>
        <v>0</v>
      </c>
      <c r="AJ610" s="1029"/>
      <c r="AK610" s="1031">
        <f t="shared" si="242"/>
        <v>0</v>
      </c>
      <c r="AL610" s="1033">
        <f t="shared" si="243"/>
        <v>0</v>
      </c>
      <c r="AM610" s="1029">
        <f t="shared" si="244"/>
        <v>0</v>
      </c>
      <c r="AN610" s="1033">
        <f t="shared" si="245"/>
        <v>0</v>
      </c>
      <c r="AO610" s="1030">
        <f t="shared" si="246"/>
        <v>0</v>
      </c>
      <c r="AP610" s="1029"/>
      <c r="AQ610" s="1031">
        <f t="shared" si="247"/>
        <v>0</v>
      </c>
      <c r="AR610" s="1033">
        <f t="shared" si="212"/>
        <v>0</v>
      </c>
      <c r="AS610" s="1029">
        <f t="shared" si="213"/>
        <v>0</v>
      </c>
      <c r="AT610" s="1033">
        <f t="shared" si="248"/>
        <v>0</v>
      </c>
      <c r="AU610" s="1030">
        <f t="shared" si="249"/>
        <v>0</v>
      </c>
      <c r="AV610" s="1029"/>
      <c r="AW610" s="1031">
        <f t="shared" si="250"/>
        <v>0</v>
      </c>
      <c r="AX610" s="1033">
        <f t="shared" si="214"/>
        <v>0</v>
      </c>
      <c r="AY610" s="1033">
        <f t="shared" si="215"/>
        <v>0</v>
      </c>
      <c r="AZ610" s="1033">
        <f t="shared" si="251"/>
        <v>0</v>
      </c>
      <c r="BA610" s="1030">
        <f t="shared" si="252"/>
        <v>0</v>
      </c>
      <c r="BB610" s="1029"/>
      <c r="BC610" s="1036">
        <f t="shared" si="216"/>
        <v>0</v>
      </c>
      <c r="BD610" s="1033">
        <f t="shared" si="217"/>
        <v>0</v>
      </c>
      <c r="BE610" s="1029">
        <f t="shared" si="218"/>
        <v>0</v>
      </c>
      <c r="BF610" s="1033">
        <f t="shared" si="219"/>
        <v>0</v>
      </c>
      <c r="BG610" s="1035">
        <f t="shared" si="220"/>
        <v>0</v>
      </c>
    </row>
    <row r="611" spans="1:59" x14ac:dyDescent="0.25">
      <c r="A611" s="827">
        <v>33</v>
      </c>
      <c r="B611" s="1031">
        <f t="shared" si="221"/>
        <v>0</v>
      </c>
      <c r="C611" s="1029">
        <f t="shared" si="222"/>
        <v>0</v>
      </c>
      <c r="D611" s="1033">
        <f t="shared" si="223"/>
        <v>0</v>
      </c>
      <c r="E611" s="1029">
        <f t="shared" si="224"/>
        <v>0</v>
      </c>
      <c r="F611" s="1030">
        <f t="shared" si="225"/>
        <v>0</v>
      </c>
      <c r="G611" s="1029"/>
      <c r="H611" s="1036">
        <f t="shared" si="226"/>
        <v>0</v>
      </c>
      <c r="I611" s="1033">
        <f t="shared" si="227"/>
        <v>0</v>
      </c>
      <c r="J611" s="1033">
        <f t="shared" si="228"/>
        <v>0</v>
      </c>
      <c r="K611" s="1033">
        <f t="shared" si="229"/>
        <v>0</v>
      </c>
      <c r="L611" s="1035">
        <f t="shared" si="230"/>
        <v>0</v>
      </c>
      <c r="M611" s="1029"/>
      <c r="N611" s="1036">
        <f t="shared" si="231"/>
        <v>0</v>
      </c>
      <c r="O611" s="1032">
        <f t="shared" si="203"/>
        <v>0</v>
      </c>
      <c r="P611" s="1033">
        <f t="shared" si="204"/>
        <v>0</v>
      </c>
      <c r="Q611" s="1033">
        <f t="shared" si="232"/>
        <v>0</v>
      </c>
      <c r="R611" s="1030">
        <f t="shared" si="233"/>
        <v>0</v>
      </c>
      <c r="S611" s="1029"/>
      <c r="T611" s="1031">
        <f t="shared" si="234"/>
        <v>0</v>
      </c>
      <c r="U611" s="1033">
        <f t="shared" si="205"/>
        <v>0</v>
      </c>
      <c r="V611" s="1033">
        <f t="shared" si="206"/>
        <v>0</v>
      </c>
      <c r="W611" s="1033">
        <f t="shared" si="235"/>
        <v>0</v>
      </c>
      <c r="X611" s="1030">
        <f t="shared" si="236"/>
        <v>0</v>
      </c>
      <c r="Y611" s="1029"/>
      <c r="Z611" s="1031">
        <f t="shared" si="207"/>
        <v>0</v>
      </c>
      <c r="AA611" s="1029">
        <f t="shared" si="208"/>
        <v>0</v>
      </c>
      <c r="AB611" s="1033">
        <f t="shared" si="209"/>
        <v>0</v>
      </c>
      <c r="AC611" s="1029">
        <f t="shared" si="210"/>
        <v>0</v>
      </c>
      <c r="AD611" s="1030">
        <f t="shared" si="211"/>
        <v>0</v>
      </c>
      <c r="AE611" s="1033">
        <f t="shared" si="237"/>
        <v>0</v>
      </c>
      <c r="AF611" s="1033">
        <f t="shared" si="238"/>
        <v>0</v>
      </c>
      <c r="AG611" s="1029">
        <f t="shared" si="239"/>
        <v>0</v>
      </c>
      <c r="AH611" s="1033">
        <f t="shared" si="240"/>
        <v>0</v>
      </c>
      <c r="AI611" s="1030">
        <f t="shared" si="241"/>
        <v>0</v>
      </c>
      <c r="AJ611" s="1029"/>
      <c r="AK611" s="1031">
        <f t="shared" si="242"/>
        <v>0</v>
      </c>
      <c r="AL611" s="1033">
        <f t="shared" si="243"/>
        <v>0</v>
      </c>
      <c r="AM611" s="1029">
        <f t="shared" si="244"/>
        <v>0</v>
      </c>
      <c r="AN611" s="1033">
        <f t="shared" si="245"/>
        <v>0</v>
      </c>
      <c r="AO611" s="1030">
        <f t="shared" si="246"/>
        <v>0</v>
      </c>
      <c r="AP611" s="1029"/>
      <c r="AQ611" s="1031">
        <f t="shared" si="247"/>
        <v>0</v>
      </c>
      <c r="AR611" s="1033">
        <f t="shared" si="212"/>
        <v>0</v>
      </c>
      <c r="AS611" s="1029">
        <f t="shared" si="213"/>
        <v>0</v>
      </c>
      <c r="AT611" s="1033">
        <f t="shared" si="248"/>
        <v>0</v>
      </c>
      <c r="AU611" s="1030">
        <f t="shared" si="249"/>
        <v>0</v>
      </c>
      <c r="AV611" s="1029"/>
      <c r="AW611" s="1031">
        <f t="shared" si="250"/>
        <v>0</v>
      </c>
      <c r="AX611" s="1033">
        <f t="shared" si="214"/>
        <v>0</v>
      </c>
      <c r="AY611" s="1033">
        <f t="shared" si="215"/>
        <v>0</v>
      </c>
      <c r="AZ611" s="1033">
        <f t="shared" si="251"/>
        <v>0</v>
      </c>
      <c r="BA611" s="1030">
        <f t="shared" si="252"/>
        <v>0</v>
      </c>
      <c r="BB611" s="1029"/>
      <c r="BC611" s="1036">
        <f t="shared" si="216"/>
        <v>0</v>
      </c>
      <c r="BD611" s="1033">
        <f t="shared" si="217"/>
        <v>0</v>
      </c>
      <c r="BE611" s="1029">
        <f t="shared" si="218"/>
        <v>0</v>
      </c>
      <c r="BF611" s="1033">
        <f t="shared" si="219"/>
        <v>0</v>
      </c>
      <c r="BG611" s="1035">
        <f t="shared" si="220"/>
        <v>0</v>
      </c>
    </row>
    <row r="612" spans="1:59" x14ac:dyDescent="0.25">
      <c r="A612" s="827">
        <v>34</v>
      </c>
      <c r="B612" s="1031">
        <f t="shared" si="221"/>
        <v>0</v>
      </c>
      <c r="C612" s="1029">
        <f t="shared" si="222"/>
        <v>0</v>
      </c>
      <c r="D612" s="1033">
        <f t="shared" si="223"/>
        <v>0</v>
      </c>
      <c r="E612" s="1029">
        <f t="shared" si="224"/>
        <v>0</v>
      </c>
      <c r="F612" s="1030">
        <f t="shared" si="225"/>
        <v>0</v>
      </c>
      <c r="G612" s="1029"/>
      <c r="H612" s="1036">
        <f t="shared" si="226"/>
        <v>0</v>
      </c>
      <c r="I612" s="1033">
        <f t="shared" si="227"/>
        <v>0</v>
      </c>
      <c r="J612" s="1033">
        <f t="shared" si="228"/>
        <v>0</v>
      </c>
      <c r="K612" s="1033">
        <f t="shared" si="229"/>
        <v>0</v>
      </c>
      <c r="L612" s="1035">
        <f t="shared" si="230"/>
        <v>0</v>
      </c>
      <c r="M612" s="1029"/>
      <c r="N612" s="1036">
        <f t="shared" si="231"/>
        <v>0</v>
      </c>
      <c r="O612" s="1032">
        <f t="shared" si="203"/>
        <v>0</v>
      </c>
      <c r="P612" s="1033">
        <f t="shared" si="204"/>
        <v>0</v>
      </c>
      <c r="Q612" s="1033">
        <f t="shared" si="232"/>
        <v>0</v>
      </c>
      <c r="R612" s="1030">
        <f t="shared" si="233"/>
        <v>0</v>
      </c>
      <c r="S612" s="1029"/>
      <c r="T612" s="1031">
        <f t="shared" si="234"/>
        <v>0</v>
      </c>
      <c r="U612" s="1033">
        <f t="shared" si="205"/>
        <v>0</v>
      </c>
      <c r="V612" s="1033">
        <f t="shared" si="206"/>
        <v>0</v>
      </c>
      <c r="W612" s="1033">
        <f t="shared" si="235"/>
        <v>0</v>
      </c>
      <c r="X612" s="1030">
        <f t="shared" si="236"/>
        <v>0</v>
      </c>
      <c r="Y612" s="1029"/>
      <c r="Z612" s="1031">
        <f t="shared" si="207"/>
        <v>0</v>
      </c>
      <c r="AA612" s="1029">
        <f t="shared" si="208"/>
        <v>0</v>
      </c>
      <c r="AB612" s="1033">
        <f t="shared" si="209"/>
        <v>0</v>
      </c>
      <c r="AC612" s="1029">
        <f t="shared" si="210"/>
        <v>0</v>
      </c>
      <c r="AD612" s="1030">
        <f t="shared" si="211"/>
        <v>0</v>
      </c>
      <c r="AE612" s="1033">
        <f t="shared" si="237"/>
        <v>0</v>
      </c>
      <c r="AF612" s="1033">
        <f t="shared" si="238"/>
        <v>0</v>
      </c>
      <c r="AG612" s="1029">
        <f t="shared" si="239"/>
        <v>0</v>
      </c>
      <c r="AH612" s="1033">
        <f t="shared" si="240"/>
        <v>0</v>
      </c>
      <c r="AI612" s="1030">
        <f t="shared" si="241"/>
        <v>0</v>
      </c>
      <c r="AJ612" s="1029"/>
      <c r="AK612" s="1031">
        <f t="shared" si="242"/>
        <v>0</v>
      </c>
      <c r="AL612" s="1033">
        <f t="shared" si="243"/>
        <v>0</v>
      </c>
      <c r="AM612" s="1029">
        <f t="shared" si="244"/>
        <v>0</v>
      </c>
      <c r="AN612" s="1033">
        <f t="shared" si="245"/>
        <v>0</v>
      </c>
      <c r="AO612" s="1030">
        <f t="shared" si="246"/>
        <v>0</v>
      </c>
      <c r="AP612" s="1029"/>
      <c r="AQ612" s="1031">
        <f t="shared" si="247"/>
        <v>0</v>
      </c>
      <c r="AR612" s="1033">
        <f t="shared" si="212"/>
        <v>0</v>
      </c>
      <c r="AS612" s="1029">
        <f t="shared" si="213"/>
        <v>0</v>
      </c>
      <c r="AT612" s="1033">
        <f t="shared" si="248"/>
        <v>0</v>
      </c>
      <c r="AU612" s="1030">
        <f t="shared" si="249"/>
        <v>0</v>
      </c>
      <c r="AV612" s="1029"/>
      <c r="AW612" s="1031">
        <f t="shared" si="250"/>
        <v>0</v>
      </c>
      <c r="AX612" s="1033">
        <f t="shared" si="214"/>
        <v>0</v>
      </c>
      <c r="AY612" s="1033">
        <f t="shared" si="215"/>
        <v>0</v>
      </c>
      <c r="AZ612" s="1033">
        <f t="shared" si="251"/>
        <v>0</v>
      </c>
      <c r="BA612" s="1030">
        <f t="shared" si="252"/>
        <v>0</v>
      </c>
      <c r="BB612" s="1029"/>
      <c r="BC612" s="1036">
        <f t="shared" si="216"/>
        <v>0</v>
      </c>
      <c r="BD612" s="1033">
        <f t="shared" si="217"/>
        <v>0</v>
      </c>
      <c r="BE612" s="1029">
        <f t="shared" si="218"/>
        <v>0</v>
      </c>
      <c r="BF612" s="1033">
        <f t="shared" si="219"/>
        <v>0</v>
      </c>
      <c r="BG612" s="1035">
        <f t="shared" si="220"/>
        <v>0</v>
      </c>
    </row>
    <row r="613" spans="1:59" x14ac:dyDescent="0.25">
      <c r="A613" s="827">
        <v>35</v>
      </c>
      <c r="B613" s="1031">
        <f t="shared" si="221"/>
        <v>0</v>
      </c>
      <c r="C613" s="1029">
        <f t="shared" si="222"/>
        <v>0</v>
      </c>
      <c r="D613" s="1033">
        <f t="shared" si="223"/>
        <v>0</v>
      </c>
      <c r="E613" s="1029">
        <f t="shared" si="224"/>
        <v>0</v>
      </c>
      <c r="F613" s="1030">
        <f t="shared" si="225"/>
        <v>0</v>
      </c>
      <c r="G613" s="1029"/>
      <c r="H613" s="1036">
        <f t="shared" si="226"/>
        <v>0</v>
      </c>
      <c r="I613" s="1033">
        <f t="shared" si="227"/>
        <v>0</v>
      </c>
      <c r="J613" s="1033">
        <f t="shared" si="228"/>
        <v>0</v>
      </c>
      <c r="K613" s="1033">
        <f t="shared" si="229"/>
        <v>0</v>
      </c>
      <c r="L613" s="1035">
        <f t="shared" si="230"/>
        <v>0</v>
      </c>
      <c r="M613" s="1029"/>
      <c r="N613" s="1036">
        <f t="shared" si="231"/>
        <v>0</v>
      </c>
      <c r="O613" s="1032">
        <f t="shared" si="203"/>
        <v>0</v>
      </c>
      <c r="P613" s="1033">
        <f t="shared" si="204"/>
        <v>0</v>
      </c>
      <c r="Q613" s="1033">
        <f t="shared" si="232"/>
        <v>0</v>
      </c>
      <c r="R613" s="1030">
        <f t="shared" si="233"/>
        <v>0</v>
      </c>
      <c r="S613" s="1029"/>
      <c r="T613" s="1031">
        <f t="shared" si="234"/>
        <v>0</v>
      </c>
      <c r="U613" s="1033">
        <f t="shared" si="205"/>
        <v>0</v>
      </c>
      <c r="V613" s="1033">
        <f t="shared" si="206"/>
        <v>0</v>
      </c>
      <c r="W613" s="1033">
        <f t="shared" si="235"/>
        <v>0</v>
      </c>
      <c r="X613" s="1030">
        <f t="shared" si="236"/>
        <v>0</v>
      </c>
      <c r="Y613" s="1029"/>
      <c r="Z613" s="1031">
        <f t="shared" si="207"/>
        <v>0</v>
      </c>
      <c r="AA613" s="1029">
        <f t="shared" si="208"/>
        <v>0</v>
      </c>
      <c r="AB613" s="1033">
        <f t="shared" si="209"/>
        <v>0</v>
      </c>
      <c r="AC613" s="1029">
        <f t="shared" si="210"/>
        <v>0</v>
      </c>
      <c r="AD613" s="1030">
        <f t="shared" si="211"/>
        <v>0</v>
      </c>
      <c r="AE613" s="1033">
        <f t="shared" si="237"/>
        <v>0</v>
      </c>
      <c r="AF613" s="1033">
        <f t="shared" si="238"/>
        <v>0</v>
      </c>
      <c r="AG613" s="1029">
        <f t="shared" si="239"/>
        <v>0</v>
      </c>
      <c r="AH613" s="1033">
        <f t="shared" si="240"/>
        <v>0</v>
      </c>
      <c r="AI613" s="1030">
        <f t="shared" si="241"/>
        <v>0</v>
      </c>
      <c r="AJ613" s="1029"/>
      <c r="AK613" s="1031">
        <f t="shared" si="242"/>
        <v>0</v>
      </c>
      <c r="AL613" s="1033">
        <f t="shared" si="243"/>
        <v>0</v>
      </c>
      <c r="AM613" s="1029">
        <f t="shared" si="244"/>
        <v>0</v>
      </c>
      <c r="AN613" s="1033">
        <f t="shared" si="245"/>
        <v>0</v>
      </c>
      <c r="AO613" s="1030">
        <f t="shared" si="246"/>
        <v>0</v>
      </c>
      <c r="AP613" s="1029"/>
      <c r="AQ613" s="1031">
        <f t="shared" si="247"/>
        <v>0</v>
      </c>
      <c r="AR613" s="1033">
        <f t="shared" si="212"/>
        <v>0</v>
      </c>
      <c r="AS613" s="1029">
        <f t="shared" si="213"/>
        <v>0</v>
      </c>
      <c r="AT613" s="1033">
        <f t="shared" si="248"/>
        <v>0</v>
      </c>
      <c r="AU613" s="1030">
        <f t="shared" si="249"/>
        <v>0</v>
      </c>
      <c r="AV613" s="1029"/>
      <c r="AW613" s="1031">
        <f t="shared" si="250"/>
        <v>0</v>
      </c>
      <c r="AX613" s="1033">
        <f t="shared" si="214"/>
        <v>0</v>
      </c>
      <c r="AY613" s="1033">
        <f t="shared" si="215"/>
        <v>0</v>
      </c>
      <c r="AZ613" s="1033">
        <f t="shared" si="251"/>
        <v>0</v>
      </c>
      <c r="BA613" s="1030">
        <f t="shared" si="252"/>
        <v>0</v>
      </c>
      <c r="BB613" s="1029"/>
      <c r="BC613" s="1036">
        <f t="shared" si="216"/>
        <v>0</v>
      </c>
      <c r="BD613" s="1033">
        <f t="shared" si="217"/>
        <v>0</v>
      </c>
      <c r="BE613" s="1029">
        <f t="shared" si="218"/>
        <v>0</v>
      </c>
      <c r="BF613" s="1033">
        <f t="shared" si="219"/>
        <v>0</v>
      </c>
      <c r="BG613" s="1035">
        <f t="shared" si="220"/>
        <v>0</v>
      </c>
    </row>
    <row r="614" spans="1:59" x14ac:dyDescent="0.25">
      <c r="A614" s="827">
        <v>36</v>
      </c>
      <c r="B614" s="1031">
        <f t="shared" si="221"/>
        <v>0</v>
      </c>
      <c r="C614" s="1029">
        <f t="shared" si="222"/>
        <v>0</v>
      </c>
      <c r="D614" s="1033">
        <f t="shared" si="223"/>
        <v>0</v>
      </c>
      <c r="E614" s="1029">
        <f t="shared" si="224"/>
        <v>0</v>
      </c>
      <c r="F614" s="1030">
        <f t="shared" si="225"/>
        <v>0</v>
      </c>
      <c r="G614" s="1029"/>
      <c r="H614" s="1036">
        <f t="shared" si="226"/>
        <v>0</v>
      </c>
      <c r="I614" s="1033">
        <f t="shared" si="227"/>
        <v>0</v>
      </c>
      <c r="J614" s="1033">
        <f t="shared" si="228"/>
        <v>0</v>
      </c>
      <c r="K614" s="1033">
        <f t="shared" si="229"/>
        <v>0</v>
      </c>
      <c r="L614" s="1035">
        <f t="shared" si="230"/>
        <v>0</v>
      </c>
      <c r="M614" s="1029"/>
      <c r="N614" s="1036">
        <f t="shared" si="231"/>
        <v>0</v>
      </c>
      <c r="O614" s="1032">
        <f t="shared" si="203"/>
        <v>0</v>
      </c>
      <c r="P614" s="1033">
        <f t="shared" si="204"/>
        <v>0</v>
      </c>
      <c r="Q614" s="1033">
        <f t="shared" si="232"/>
        <v>0</v>
      </c>
      <c r="R614" s="1030">
        <f t="shared" si="233"/>
        <v>0</v>
      </c>
      <c r="S614" s="1029"/>
      <c r="T614" s="1031">
        <f t="shared" si="234"/>
        <v>0</v>
      </c>
      <c r="U614" s="1033">
        <f t="shared" si="205"/>
        <v>0</v>
      </c>
      <c r="V614" s="1033">
        <f t="shared" si="206"/>
        <v>0</v>
      </c>
      <c r="W614" s="1033">
        <f t="shared" si="235"/>
        <v>0</v>
      </c>
      <c r="X614" s="1030">
        <f t="shared" si="236"/>
        <v>0</v>
      </c>
      <c r="Y614" s="1029"/>
      <c r="Z614" s="1031">
        <f t="shared" si="207"/>
        <v>0</v>
      </c>
      <c r="AA614" s="1029">
        <f t="shared" si="208"/>
        <v>0</v>
      </c>
      <c r="AB614" s="1033">
        <f t="shared" si="209"/>
        <v>0</v>
      </c>
      <c r="AC614" s="1029">
        <f t="shared" si="210"/>
        <v>0</v>
      </c>
      <c r="AD614" s="1030">
        <f t="shared" si="211"/>
        <v>0</v>
      </c>
      <c r="AE614" s="1033">
        <f t="shared" si="237"/>
        <v>0</v>
      </c>
      <c r="AF614" s="1033">
        <f t="shared" si="238"/>
        <v>0</v>
      </c>
      <c r="AG614" s="1029">
        <f t="shared" si="239"/>
        <v>0</v>
      </c>
      <c r="AH614" s="1033">
        <f t="shared" si="240"/>
        <v>0</v>
      </c>
      <c r="AI614" s="1030">
        <f t="shared" si="241"/>
        <v>0</v>
      </c>
      <c r="AJ614" s="1029"/>
      <c r="AK614" s="1031">
        <f t="shared" si="242"/>
        <v>0</v>
      </c>
      <c r="AL614" s="1033">
        <f t="shared" si="243"/>
        <v>0</v>
      </c>
      <c r="AM614" s="1029">
        <f t="shared" si="244"/>
        <v>0</v>
      </c>
      <c r="AN614" s="1033">
        <f t="shared" si="245"/>
        <v>0</v>
      </c>
      <c r="AO614" s="1030">
        <f t="shared" si="246"/>
        <v>0</v>
      </c>
      <c r="AP614" s="1029"/>
      <c r="AQ614" s="1031">
        <f t="shared" si="247"/>
        <v>0</v>
      </c>
      <c r="AR614" s="1033">
        <f t="shared" si="212"/>
        <v>0</v>
      </c>
      <c r="AS614" s="1029">
        <f t="shared" si="213"/>
        <v>0</v>
      </c>
      <c r="AT614" s="1033">
        <f t="shared" si="248"/>
        <v>0</v>
      </c>
      <c r="AU614" s="1030">
        <f t="shared" si="249"/>
        <v>0</v>
      </c>
      <c r="AV614" s="1029"/>
      <c r="AW614" s="1031">
        <f t="shared" si="250"/>
        <v>0</v>
      </c>
      <c r="AX614" s="1033">
        <f t="shared" si="214"/>
        <v>0</v>
      </c>
      <c r="AY614" s="1033">
        <f t="shared" si="215"/>
        <v>0</v>
      </c>
      <c r="AZ614" s="1033">
        <f t="shared" si="251"/>
        <v>0</v>
      </c>
      <c r="BA614" s="1030">
        <f t="shared" si="252"/>
        <v>0</v>
      </c>
      <c r="BB614" s="1029"/>
      <c r="BC614" s="1036">
        <f t="shared" si="216"/>
        <v>0</v>
      </c>
      <c r="BD614" s="1033">
        <f t="shared" si="217"/>
        <v>0</v>
      </c>
      <c r="BE614" s="1029">
        <f t="shared" si="218"/>
        <v>0</v>
      </c>
      <c r="BF614" s="1033">
        <f t="shared" si="219"/>
        <v>0</v>
      </c>
      <c r="BG614" s="1035">
        <f t="shared" si="220"/>
        <v>0</v>
      </c>
    </row>
    <row r="615" spans="1:59" x14ac:dyDescent="0.25">
      <c r="A615" s="827">
        <v>37</v>
      </c>
      <c r="B615" s="1031">
        <f t="shared" si="221"/>
        <v>0</v>
      </c>
      <c r="C615" s="1029">
        <f t="shared" si="222"/>
        <v>0</v>
      </c>
      <c r="D615" s="1033">
        <f t="shared" si="223"/>
        <v>0</v>
      </c>
      <c r="E615" s="1029">
        <f t="shared" si="224"/>
        <v>0</v>
      </c>
      <c r="F615" s="1030">
        <f t="shared" si="225"/>
        <v>0</v>
      </c>
      <c r="G615" s="1029"/>
      <c r="H615" s="1036">
        <f t="shared" si="226"/>
        <v>0</v>
      </c>
      <c r="I615" s="1033">
        <f t="shared" si="227"/>
        <v>0</v>
      </c>
      <c r="J615" s="1033">
        <f t="shared" si="228"/>
        <v>0</v>
      </c>
      <c r="K615" s="1033">
        <f t="shared" si="229"/>
        <v>0</v>
      </c>
      <c r="L615" s="1035">
        <f t="shared" si="230"/>
        <v>0</v>
      </c>
      <c r="M615" s="1029"/>
      <c r="N615" s="1036">
        <f t="shared" si="231"/>
        <v>0</v>
      </c>
      <c r="O615" s="1032">
        <f t="shared" si="203"/>
        <v>0</v>
      </c>
      <c r="P615" s="1033">
        <f t="shared" si="204"/>
        <v>0</v>
      </c>
      <c r="Q615" s="1033">
        <f t="shared" si="232"/>
        <v>0</v>
      </c>
      <c r="R615" s="1030">
        <f t="shared" si="233"/>
        <v>0</v>
      </c>
      <c r="S615" s="1029"/>
      <c r="T615" s="1031">
        <f t="shared" si="234"/>
        <v>0</v>
      </c>
      <c r="U615" s="1033">
        <f t="shared" si="205"/>
        <v>0</v>
      </c>
      <c r="V615" s="1033">
        <f t="shared" si="206"/>
        <v>0</v>
      </c>
      <c r="W615" s="1033">
        <f t="shared" si="235"/>
        <v>0</v>
      </c>
      <c r="X615" s="1030">
        <f t="shared" si="236"/>
        <v>0</v>
      </c>
      <c r="Y615" s="1029"/>
      <c r="Z615" s="1031">
        <f t="shared" si="207"/>
        <v>0</v>
      </c>
      <c r="AA615" s="1029">
        <f t="shared" si="208"/>
        <v>0</v>
      </c>
      <c r="AB615" s="1033">
        <f t="shared" si="209"/>
        <v>0</v>
      </c>
      <c r="AC615" s="1029">
        <f t="shared" si="210"/>
        <v>0</v>
      </c>
      <c r="AD615" s="1030">
        <f t="shared" si="211"/>
        <v>0</v>
      </c>
      <c r="AE615" s="1033">
        <f t="shared" si="237"/>
        <v>0</v>
      </c>
      <c r="AF615" s="1033">
        <f t="shared" si="238"/>
        <v>0</v>
      </c>
      <c r="AG615" s="1029">
        <f t="shared" si="239"/>
        <v>0</v>
      </c>
      <c r="AH615" s="1033">
        <f t="shared" si="240"/>
        <v>0</v>
      </c>
      <c r="AI615" s="1030">
        <f t="shared" si="241"/>
        <v>0</v>
      </c>
      <c r="AJ615" s="1029"/>
      <c r="AK615" s="1031">
        <f t="shared" si="242"/>
        <v>0</v>
      </c>
      <c r="AL615" s="1033">
        <f t="shared" si="243"/>
        <v>0</v>
      </c>
      <c r="AM615" s="1029">
        <f t="shared" si="244"/>
        <v>0</v>
      </c>
      <c r="AN615" s="1033">
        <f t="shared" si="245"/>
        <v>0</v>
      </c>
      <c r="AO615" s="1030">
        <f t="shared" si="246"/>
        <v>0</v>
      </c>
      <c r="AP615" s="1029"/>
      <c r="AQ615" s="1031">
        <f t="shared" si="247"/>
        <v>0</v>
      </c>
      <c r="AR615" s="1033">
        <f t="shared" si="212"/>
        <v>0</v>
      </c>
      <c r="AS615" s="1029">
        <f t="shared" si="213"/>
        <v>0</v>
      </c>
      <c r="AT615" s="1033">
        <f t="shared" si="248"/>
        <v>0</v>
      </c>
      <c r="AU615" s="1030">
        <f t="shared" si="249"/>
        <v>0</v>
      </c>
      <c r="AV615" s="1029"/>
      <c r="AW615" s="1031">
        <f t="shared" si="250"/>
        <v>0</v>
      </c>
      <c r="AX615" s="1033">
        <f t="shared" si="214"/>
        <v>0</v>
      </c>
      <c r="AY615" s="1033">
        <f t="shared" si="215"/>
        <v>0</v>
      </c>
      <c r="AZ615" s="1033">
        <f t="shared" si="251"/>
        <v>0</v>
      </c>
      <c r="BA615" s="1030">
        <f t="shared" si="252"/>
        <v>0</v>
      </c>
      <c r="BB615" s="1029"/>
      <c r="BC615" s="1036">
        <f t="shared" si="216"/>
        <v>0</v>
      </c>
      <c r="BD615" s="1033">
        <f t="shared" si="217"/>
        <v>0</v>
      </c>
      <c r="BE615" s="1029">
        <f t="shared" si="218"/>
        <v>0</v>
      </c>
      <c r="BF615" s="1033">
        <f t="shared" si="219"/>
        <v>0</v>
      </c>
      <c r="BG615" s="1035">
        <f t="shared" si="220"/>
        <v>0</v>
      </c>
    </row>
    <row r="616" spans="1:59" x14ac:dyDescent="0.25">
      <c r="A616" s="827">
        <v>38</v>
      </c>
      <c r="B616" s="1031">
        <f t="shared" si="221"/>
        <v>0</v>
      </c>
      <c r="C616" s="1029">
        <f t="shared" si="222"/>
        <v>0</v>
      </c>
      <c r="D616" s="1033">
        <f t="shared" si="223"/>
        <v>0</v>
      </c>
      <c r="E616" s="1029">
        <f t="shared" si="224"/>
        <v>0</v>
      </c>
      <c r="F616" s="1030">
        <f t="shared" si="225"/>
        <v>0</v>
      </c>
      <c r="G616" s="1029"/>
      <c r="H616" s="1036">
        <f t="shared" si="226"/>
        <v>0</v>
      </c>
      <c r="I616" s="1033">
        <f t="shared" si="227"/>
        <v>0</v>
      </c>
      <c r="J616" s="1033">
        <f t="shared" si="228"/>
        <v>0</v>
      </c>
      <c r="K616" s="1033">
        <f t="shared" si="229"/>
        <v>0</v>
      </c>
      <c r="L616" s="1035">
        <f t="shared" si="230"/>
        <v>0</v>
      </c>
      <c r="M616" s="1029"/>
      <c r="N616" s="1036">
        <f t="shared" si="231"/>
        <v>0</v>
      </c>
      <c r="O616" s="1032">
        <f t="shared" si="203"/>
        <v>0</v>
      </c>
      <c r="P616" s="1033">
        <f t="shared" si="204"/>
        <v>0</v>
      </c>
      <c r="Q616" s="1033">
        <f t="shared" si="232"/>
        <v>0</v>
      </c>
      <c r="R616" s="1030">
        <f t="shared" si="233"/>
        <v>0</v>
      </c>
      <c r="S616" s="1029"/>
      <c r="T616" s="1031">
        <f t="shared" si="234"/>
        <v>0</v>
      </c>
      <c r="U616" s="1033">
        <f t="shared" si="205"/>
        <v>0</v>
      </c>
      <c r="V616" s="1033">
        <f t="shared" si="206"/>
        <v>0</v>
      </c>
      <c r="W616" s="1033">
        <f t="shared" si="235"/>
        <v>0</v>
      </c>
      <c r="X616" s="1030">
        <f t="shared" si="236"/>
        <v>0</v>
      </c>
      <c r="Y616" s="1029"/>
      <c r="Z616" s="1031">
        <f t="shared" si="207"/>
        <v>0</v>
      </c>
      <c r="AA616" s="1029">
        <f t="shared" si="208"/>
        <v>0</v>
      </c>
      <c r="AB616" s="1033">
        <f t="shared" si="209"/>
        <v>0</v>
      </c>
      <c r="AC616" s="1029">
        <f t="shared" si="210"/>
        <v>0</v>
      </c>
      <c r="AD616" s="1030">
        <f t="shared" si="211"/>
        <v>0</v>
      </c>
      <c r="AE616" s="1033">
        <f t="shared" si="237"/>
        <v>0</v>
      </c>
      <c r="AF616" s="1033">
        <f t="shared" si="238"/>
        <v>0</v>
      </c>
      <c r="AG616" s="1029">
        <f t="shared" si="239"/>
        <v>0</v>
      </c>
      <c r="AH616" s="1033">
        <f t="shared" si="240"/>
        <v>0</v>
      </c>
      <c r="AI616" s="1030">
        <f t="shared" si="241"/>
        <v>0</v>
      </c>
      <c r="AJ616" s="1029"/>
      <c r="AK616" s="1031">
        <f t="shared" si="242"/>
        <v>0</v>
      </c>
      <c r="AL616" s="1033">
        <f t="shared" si="243"/>
        <v>0</v>
      </c>
      <c r="AM616" s="1029">
        <f t="shared" si="244"/>
        <v>0</v>
      </c>
      <c r="AN616" s="1033">
        <f t="shared" si="245"/>
        <v>0</v>
      </c>
      <c r="AO616" s="1030">
        <f t="shared" si="246"/>
        <v>0</v>
      </c>
      <c r="AP616" s="1029"/>
      <c r="AQ616" s="1031">
        <f t="shared" si="247"/>
        <v>0</v>
      </c>
      <c r="AR616" s="1033">
        <f t="shared" si="212"/>
        <v>0</v>
      </c>
      <c r="AS616" s="1029">
        <f t="shared" si="213"/>
        <v>0</v>
      </c>
      <c r="AT616" s="1033">
        <f t="shared" si="248"/>
        <v>0</v>
      </c>
      <c r="AU616" s="1030">
        <f t="shared" si="249"/>
        <v>0</v>
      </c>
      <c r="AV616" s="1029"/>
      <c r="AW616" s="1031">
        <f t="shared" si="250"/>
        <v>0</v>
      </c>
      <c r="AX616" s="1033">
        <f t="shared" si="214"/>
        <v>0</v>
      </c>
      <c r="AY616" s="1033">
        <f t="shared" si="215"/>
        <v>0</v>
      </c>
      <c r="AZ616" s="1033">
        <f t="shared" si="251"/>
        <v>0</v>
      </c>
      <c r="BA616" s="1030">
        <f t="shared" si="252"/>
        <v>0</v>
      </c>
      <c r="BB616" s="1029"/>
      <c r="BC616" s="1036">
        <f t="shared" si="216"/>
        <v>0</v>
      </c>
      <c r="BD616" s="1033">
        <f t="shared" si="217"/>
        <v>0</v>
      </c>
      <c r="BE616" s="1029">
        <f t="shared" si="218"/>
        <v>0</v>
      </c>
      <c r="BF616" s="1033">
        <f t="shared" si="219"/>
        <v>0</v>
      </c>
      <c r="BG616" s="1035">
        <f t="shared" si="220"/>
        <v>0</v>
      </c>
    </row>
    <row r="617" spans="1:59" x14ac:dyDescent="0.25">
      <c r="A617" s="827">
        <v>39</v>
      </c>
      <c r="B617" s="1031">
        <f t="shared" si="221"/>
        <v>0</v>
      </c>
      <c r="C617" s="1029">
        <f t="shared" si="222"/>
        <v>0</v>
      </c>
      <c r="D617" s="1033">
        <f t="shared" si="223"/>
        <v>0</v>
      </c>
      <c r="E617" s="1029">
        <f t="shared" si="224"/>
        <v>0</v>
      </c>
      <c r="F617" s="1030">
        <f t="shared" si="225"/>
        <v>0</v>
      </c>
      <c r="G617" s="1029"/>
      <c r="H617" s="1036">
        <f t="shared" si="226"/>
        <v>0</v>
      </c>
      <c r="I617" s="1033">
        <f t="shared" si="227"/>
        <v>0</v>
      </c>
      <c r="J617" s="1033">
        <f t="shared" si="228"/>
        <v>0</v>
      </c>
      <c r="K617" s="1033">
        <f t="shared" si="229"/>
        <v>0</v>
      </c>
      <c r="L617" s="1035">
        <f t="shared" si="230"/>
        <v>0</v>
      </c>
      <c r="M617" s="1029"/>
      <c r="N617" s="1036">
        <f t="shared" si="231"/>
        <v>0</v>
      </c>
      <c r="O617" s="1032">
        <f t="shared" si="203"/>
        <v>0</v>
      </c>
      <c r="P617" s="1033">
        <f t="shared" si="204"/>
        <v>0</v>
      </c>
      <c r="Q617" s="1033">
        <f t="shared" si="232"/>
        <v>0</v>
      </c>
      <c r="R617" s="1030">
        <f t="shared" si="233"/>
        <v>0</v>
      </c>
      <c r="S617" s="1029"/>
      <c r="T617" s="1031">
        <f t="shared" si="234"/>
        <v>0</v>
      </c>
      <c r="U617" s="1033">
        <f t="shared" si="205"/>
        <v>0</v>
      </c>
      <c r="V617" s="1033">
        <f t="shared" si="206"/>
        <v>0</v>
      </c>
      <c r="W617" s="1033">
        <f t="shared" si="235"/>
        <v>0</v>
      </c>
      <c r="X617" s="1030">
        <f t="shared" si="236"/>
        <v>0</v>
      </c>
      <c r="Y617" s="1029"/>
      <c r="Z617" s="1031">
        <f t="shared" si="207"/>
        <v>0</v>
      </c>
      <c r="AA617" s="1029">
        <f t="shared" si="208"/>
        <v>0</v>
      </c>
      <c r="AB617" s="1033">
        <f t="shared" si="209"/>
        <v>0</v>
      </c>
      <c r="AC617" s="1029">
        <f t="shared" si="210"/>
        <v>0</v>
      </c>
      <c r="AD617" s="1030">
        <f t="shared" si="211"/>
        <v>0</v>
      </c>
      <c r="AE617" s="1033">
        <f t="shared" si="237"/>
        <v>0</v>
      </c>
      <c r="AF617" s="1033">
        <f t="shared" si="238"/>
        <v>0</v>
      </c>
      <c r="AG617" s="1029">
        <f t="shared" si="239"/>
        <v>0</v>
      </c>
      <c r="AH617" s="1033">
        <f t="shared" si="240"/>
        <v>0</v>
      </c>
      <c r="AI617" s="1030">
        <f t="shared" si="241"/>
        <v>0</v>
      </c>
      <c r="AJ617" s="1029"/>
      <c r="AK617" s="1031">
        <f t="shared" si="242"/>
        <v>0</v>
      </c>
      <c r="AL617" s="1033">
        <f t="shared" si="243"/>
        <v>0</v>
      </c>
      <c r="AM617" s="1029">
        <f t="shared" si="244"/>
        <v>0</v>
      </c>
      <c r="AN617" s="1033">
        <f t="shared" si="245"/>
        <v>0</v>
      </c>
      <c r="AO617" s="1030">
        <f t="shared" si="246"/>
        <v>0</v>
      </c>
      <c r="AP617" s="1029"/>
      <c r="AQ617" s="1031">
        <f t="shared" si="247"/>
        <v>0</v>
      </c>
      <c r="AR617" s="1033">
        <f t="shared" si="212"/>
        <v>0</v>
      </c>
      <c r="AS617" s="1029">
        <f t="shared" si="213"/>
        <v>0</v>
      </c>
      <c r="AT617" s="1033">
        <f t="shared" si="248"/>
        <v>0</v>
      </c>
      <c r="AU617" s="1030">
        <f t="shared" si="249"/>
        <v>0</v>
      </c>
      <c r="AV617" s="1029"/>
      <c r="AW617" s="1031">
        <f t="shared" si="250"/>
        <v>0</v>
      </c>
      <c r="AX617" s="1033">
        <f t="shared" si="214"/>
        <v>0</v>
      </c>
      <c r="AY617" s="1033">
        <f t="shared" si="215"/>
        <v>0</v>
      </c>
      <c r="AZ617" s="1033">
        <f t="shared" si="251"/>
        <v>0</v>
      </c>
      <c r="BA617" s="1030">
        <f t="shared" si="252"/>
        <v>0</v>
      </c>
      <c r="BB617" s="1029"/>
      <c r="BC617" s="1036">
        <f t="shared" si="216"/>
        <v>0</v>
      </c>
      <c r="BD617" s="1033">
        <f t="shared" si="217"/>
        <v>0</v>
      </c>
      <c r="BE617" s="1029">
        <f t="shared" si="218"/>
        <v>0</v>
      </c>
      <c r="BF617" s="1033">
        <f t="shared" si="219"/>
        <v>0</v>
      </c>
      <c r="BG617" s="1035">
        <f t="shared" si="220"/>
        <v>0</v>
      </c>
    </row>
    <row r="618" spans="1:59" ht="13.8" thickBot="1" x14ac:dyDescent="0.3">
      <c r="A618" s="838">
        <v>40</v>
      </c>
      <c r="B618" s="1031">
        <f t="shared" si="221"/>
        <v>0</v>
      </c>
      <c r="C618" s="1029">
        <f t="shared" si="222"/>
        <v>0</v>
      </c>
      <c r="D618" s="1033">
        <f t="shared" si="223"/>
        <v>0</v>
      </c>
      <c r="E618" s="1029">
        <f t="shared" si="224"/>
        <v>0</v>
      </c>
      <c r="F618" s="1030">
        <f t="shared" si="225"/>
        <v>0</v>
      </c>
      <c r="G618" s="1052"/>
      <c r="H618" s="1036">
        <f t="shared" si="226"/>
        <v>0</v>
      </c>
      <c r="I618" s="1033">
        <f t="shared" si="227"/>
        <v>0</v>
      </c>
      <c r="J618" s="1033">
        <f t="shared" si="228"/>
        <v>0</v>
      </c>
      <c r="K618" s="1033">
        <f t="shared" si="229"/>
        <v>0</v>
      </c>
      <c r="L618" s="1035">
        <f t="shared" si="230"/>
        <v>0</v>
      </c>
      <c r="M618" s="1052"/>
      <c r="N618" s="1036">
        <f t="shared" si="231"/>
        <v>0</v>
      </c>
      <c r="O618" s="1032">
        <f t="shared" si="203"/>
        <v>0</v>
      </c>
      <c r="P618" s="1033">
        <f t="shared" si="204"/>
        <v>0</v>
      </c>
      <c r="Q618" s="1033">
        <f t="shared" si="232"/>
        <v>0</v>
      </c>
      <c r="R618" s="1030">
        <f t="shared" si="233"/>
        <v>0</v>
      </c>
      <c r="S618" s="1052"/>
      <c r="T618" s="1031">
        <f t="shared" si="234"/>
        <v>0</v>
      </c>
      <c r="U618" s="1033">
        <f t="shared" si="205"/>
        <v>0</v>
      </c>
      <c r="V618" s="1033">
        <f t="shared" si="206"/>
        <v>0</v>
      </c>
      <c r="W618" s="1033">
        <f t="shared" si="235"/>
        <v>0</v>
      </c>
      <c r="X618" s="1030">
        <f t="shared" si="236"/>
        <v>0</v>
      </c>
      <c r="Y618" s="1052"/>
      <c r="Z618" s="1031">
        <f t="shared" si="207"/>
        <v>0</v>
      </c>
      <c r="AA618" s="1029">
        <f t="shared" si="208"/>
        <v>0</v>
      </c>
      <c r="AB618" s="1033">
        <f t="shared" si="209"/>
        <v>0</v>
      </c>
      <c r="AC618" s="1029">
        <f t="shared" si="210"/>
        <v>0</v>
      </c>
      <c r="AD618" s="1030">
        <f t="shared" si="211"/>
        <v>0</v>
      </c>
      <c r="AE618" s="1033">
        <f t="shared" si="237"/>
        <v>0</v>
      </c>
      <c r="AF618" s="1033">
        <f t="shared" si="238"/>
        <v>0</v>
      </c>
      <c r="AG618" s="1029">
        <f t="shared" si="239"/>
        <v>0</v>
      </c>
      <c r="AH618" s="1033">
        <f t="shared" si="240"/>
        <v>0</v>
      </c>
      <c r="AI618" s="1030">
        <f t="shared" si="241"/>
        <v>0</v>
      </c>
      <c r="AJ618" s="1052"/>
      <c r="AK618" s="1031">
        <f t="shared" si="242"/>
        <v>0</v>
      </c>
      <c r="AL618" s="1033">
        <f t="shared" si="243"/>
        <v>0</v>
      </c>
      <c r="AM618" s="1029">
        <f t="shared" si="244"/>
        <v>0</v>
      </c>
      <c r="AN618" s="1033">
        <f t="shared" si="245"/>
        <v>0</v>
      </c>
      <c r="AO618" s="1030">
        <f t="shared" si="246"/>
        <v>0</v>
      </c>
      <c r="AP618" s="1052"/>
      <c r="AQ618" s="1031">
        <f t="shared" si="247"/>
        <v>0</v>
      </c>
      <c r="AR618" s="1033">
        <f t="shared" si="212"/>
        <v>0</v>
      </c>
      <c r="AS618" s="1029">
        <f t="shared" si="213"/>
        <v>0</v>
      </c>
      <c r="AT618" s="1033">
        <f t="shared" si="248"/>
        <v>0</v>
      </c>
      <c r="AU618" s="1030">
        <f t="shared" si="249"/>
        <v>0</v>
      </c>
      <c r="AV618" s="1052"/>
      <c r="AW618" s="1031">
        <f t="shared" si="250"/>
        <v>0</v>
      </c>
      <c r="AX618" s="1033">
        <f t="shared" si="214"/>
        <v>0</v>
      </c>
      <c r="AY618" s="1033">
        <f t="shared" si="215"/>
        <v>0</v>
      </c>
      <c r="AZ618" s="1033">
        <f t="shared" si="251"/>
        <v>0</v>
      </c>
      <c r="BA618" s="1030">
        <f t="shared" si="252"/>
        <v>0</v>
      </c>
      <c r="BB618" s="1052"/>
      <c r="BC618" s="1036">
        <f t="shared" si="216"/>
        <v>0</v>
      </c>
      <c r="BD618" s="1033">
        <f t="shared" si="217"/>
        <v>0</v>
      </c>
      <c r="BE618" s="1029">
        <f t="shared" si="218"/>
        <v>0</v>
      </c>
      <c r="BF618" s="1033">
        <f t="shared" si="219"/>
        <v>0</v>
      </c>
      <c r="BG618" s="1035">
        <f t="shared" si="220"/>
        <v>0</v>
      </c>
    </row>
    <row r="621" spans="1:59" ht="13.8" thickBot="1" x14ac:dyDescent="0.3">
      <c r="G621" s="41" t="s">
        <v>425</v>
      </c>
    </row>
    <row r="622" spans="1:59" s="9" customFormat="1" ht="24" customHeight="1" thickBot="1" x14ac:dyDescent="0.35">
      <c r="B622" s="1352" t="s">
        <v>426</v>
      </c>
      <c r="C622" s="1353"/>
      <c r="D622" s="1354"/>
      <c r="F622" s="1355" t="s">
        <v>427</v>
      </c>
      <c r="G622" s="1356"/>
      <c r="H622" s="1355" t="s">
        <v>428</v>
      </c>
      <c r="I622" s="1356"/>
      <c r="J622" s="1355" t="s">
        <v>429</v>
      </c>
      <c r="K622" s="1356"/>
      <c r="L622" s="1349" t="s">
        <v>430</v>
      </c>
      <c r="M622" s="1351"/>
      <c r="N622" s="1349" t="s">
        <v>431</v>
      </c>
      <c r="O622" s="1351"/>
      <c r="P622" s="1349" t="s">
        <v>432</v>
      </c>
      <c r="Q622" s="1350"/>
      <c r="R622" s="1350"/>
      <c r="S622" s="1350"/>
      <c r="T622" s="1350"/>
      <c r="U622" s="1351"/>
    </row>
    <row r="623" spans="1:59" s="9" customFormat="1" ht="19.5" customHeight="1" thickBot="1" x14ac:dyDescent="0.3">
      <c r="A623" s="820" t="s">
        <v>43</v>
      </c>
      <c r="B623" s="1062" t="s">
        <v>62</v>
      </c>
      <c r="C623" s="1063" t="s">
        <v>184</v>
      </c>
      <c r="D623" s="1063" t="s">
        <v>185</v>
      </c>
      <c r="E623" s="1064" t="s">
        <v>174</v>
      </c>
      <c r="F623" s="1065" t="s">
        <v>180</v>
      </c>
      <c r="G623" s="1066" t="s">
        <v>182</v>
      </c>
      <c r="H623" s="1065" t="s">
        <v>181</v>
      </c>
      <c r="I623" s="1066" t="s">
        <v>183</v>
      </c>
      <c r="J623" s="1067" t="s">
        <v>279</v>
      </c>
      <c r="K623" s="1068" t="s">
        <v>285</v>
      </c>
      <c r="L623" s="1069" t="s">
        <v>433</v>
      </c>
      <c r="M623" s="1070" t="s">
        <v>434</v>
      </c>
      <c r="N623" s="1069" t="s">
        <v>435</v>
      </c>
      <c r="O623" s="1070" t="s">
        <v>436</v>
      </c>
      <c r="P623" s="1069" t="s">
        <v>291</v>
      </c>
      <c r="Q623" s="1071" t="s">
        <v>308</v>
      </c>
      <c r="R623" s="1071" t="s">
        <v>292</v>
      </c>
      <c r="S623" s="1071" t="s">
        <v>309</v>
      </c>
      <c r="T623" s="1071" t="s">
        <v>293</v>
      </c>
      <c r="U623" s="1070" t="s">
        <v>310</v>
      </c>
    </row>
    <row r="624" spans="1:59" x14ac:dyDescent="0.25">
      <c r="A624" s="871">
        <v>1</v>
      </c>
      <c r="B624" s="1072">
        <f t="shared" ref="B624:D639" ca="1" si="253">B536</f>
        <v>100</v>
      </c>
      <c r="C624" s="1073">
        <f t="shared" ca="1" si="253"/>
        <v>-0.6</v>
      </c>
      <c r="D624" s="1073">
        <f t="shared" ca="1" si="253"/>
        <v>0.8</v>
      </c>
      <c r="E624" s="1074">
        <f>IF(AND(ISNUMBER(System!$C4),System!AQ4&lt;&gt;0),1,0)</f>
        <v>0</v>
      </c>
      <c r="F624" s="1075">
        <f>IF(AND(ISNUMBER(System!$C4),E624&lt;&gt;0),System!BC122,PlotData!$CB$3)</f>
        <v>0</v>
      </c>
      <c r="G624" s="1076">
        <f>IF(AND(ISNUMBER(System!$C4),E624&lt;&gt;0),System!BE122-IF(D624=0,0,1)*$J$1*MIN($E$1,B624)*ABS(C624)- $H$1*$E$1*ABS(D624),PlotData!$CB$4)</f>
        <v>0</v>
      </c>
      <c r="H624" s="1075">
        <f>IF(AND(ISNUMBER(System!$C4),E624&lt;&gt;0),System!BD122,PlotData!$CB$3)</f>
        <v>0</v>
      </c>
      <c r="I624" s="1076">
        <f>IF(AND(ISNUMBER(System!$C4),E624&lt;&gt;0),System!BF122-IF(D624=0,0,1)*$J$1*MIN($E$1,B624)*ABS(C624)-$H$1*$E$1*ABS(D624),PlotData!$CB$4)</f>
        <v>0</v>
      </c>
      <c r="J624" s="1077">
        <f>IF(AND(ISNUMBER(System!$C4),E624&lt;&gt;0),F624+(H624-F624)/2,PlotData!$CB$3)</f>
        <v>0</v>
      </c>
      <c r="K624" s="1076">
        <f>IF(AND(ISNUMBER(System!$C4),E624&lt;&gt;0),G624+(I624-G624)/2,PlotData!$CB$4)</f>
        <v>0</v>
      </c>
      <c r="L624" s="1078">
        <f>IF(AND(ISNUMBER(System!$C4),System!AQ4=1),J624-$Z$627,PlotData!$CB$3)</f>
        <v>0</v>
      </c>
      <c r="M624" s="1076">
        <f>IF(AND(ISNUMBER(System!$C4),System!AQ4=1),K624,PlotData!$CB$4)</f>
        <v>0</v>
      </c>
      <c r="N624" s="1075">
        <f>IF(AND(ISNUMBER(System!$C4),System!AQ4=2),J624,PlotData!$CB$3)</f>
        <v>0</v>
      </c>
      <c r="O624" s="1076">
        <f>IF(AND(ISNUMBER(System!$C4),System!AQ4=2),K624-$Z$627,PlotData!$CB$4)</f>
        <v>0</v>
      </c>
      <c r="P624" s="1075">
        <f>IF(E624&lt;&gt;0,IF(System!AQ4=1,L624-$Z$630-$Z$628,N624+$Z$630),PlotData!$CB$3)</f>
        <v>0</v>
      </c>
      <c r="Q624" s="1079">
        <f>IF(E624&lt;&gt;0,IF(System!AQ4=1,M624+$Z$631-Z$633+$Z$632,O624+$Z$631),PlotData!$CB$4)</f>
        <v>0</v>
      </c>
      <c r="R624" s="1079">
        <f>IF(E624&lt;&gt;0,P624+$Z$632,PlotData!$CB$3)</f>
        <v>0</v>
      </c>
      <c r="S624" s="1079">
        <f>IF(E624&lt;&gt;0,Q624-0.4*$Z$633,PlotData!$CB$4)</f>
        <v>0</v>
      </c>
      <c r="T624" s="1079">
        <f>IF(E624&lt;&gt;0,R624,PlotData!$CB$3)</f>
        <v>0</v>
      </c>
      <c r="U624" s="1076">
        <f>IF(E624&lt;&gt;0,S624+$Z$633,PlotData!$CB$4)</f>
        <v>0</v>
      </c>
    </row>
    <row r="625" spans="1:26" ht="13.8" thickBot="1" x14ac:dyDescent="0.3">
      <c r="A625" s="827">
        <v>2</v>
      </c>
      <c r="B625" s="1072">
        <f t="shared" ca="1" si="253"/>
        <v>60</v>
      </c>
      <c r="C625" s="1073">
        <f t="shared" ca="1" si="253"/>
        <v>-1</v>
      </c>
      <c r="D625" s="1073">
        <f t="shared" ca="1" si="253"/>
        <v>0</v>
      </c>
      <c r="E625" s="1074">
        <f>IF(AND(ISNUMBER(System!$C5),System!AQ5&lt;&gt;0),1,0)</f>
        <v>0</v>
      </c>
      <c r="F625" s="1072">
        <f>IF(AND(ISNUMBER(System!$C5),E625&lt;&gt;0),System!BC123,PlotData!$CB$3)</f>
        <v>0</v>
      </c>
      <c r="G625" s="1074">
        <f>IF(AND(ISNUMBER(System!$C5),E625&lt;&gt;0),System!BE123-IF(D625=0,0,1)*$J$1*MIN($E$1,B625)*ABS(C625)- $H$1*$E$1*ABS(D625),PlotData!$CB$4)</f>
        <v>0</v>
      </c>
      <c r="H625" s="1072">
        <f>IF(AND(ISNUMBER(System!$C5),E625&lt;&gt;0),System!BD123,PlotData!$CB$3)</f>
        <v>0</v>
      </c>
      <c r="I625" s="1074">
        <f>IF(AND(ISNUMBER(System!$C5),E625&lt;&gt;0),System!BF123-IF(D625=0,0,1)*$J$1*MIN($E$1,B625)*ABS(C625)-$H$1*$E$1*ABS(D625),PlotData!$CB$4)</f>
        <v>0</v>
      </c>
      <c r="J625" s="1080">
        <f>IF(AND(ISNUMBER(System!$C5),E625&lt;&gt;0),F625+(H625-F625)/2,PlotData!$CB$3)</f>
        <v>0</v>
      </c>
      <c r="K625" s="1074">
        <f>IF(AND(ISNUMBER(System!$C5),E625&lt;&gt;0),G625+(I625-G625)/2,PlotData!$CB$4)</f>
        <v>0</v>
      </c>
      <c r="L625" s="1081">
        <f>IF(AND(ISNUMBER(System!$C5),System!AQ5=1),J625-$Z$627,PlotData!$CB$3)</f>
        <v>0</v>
      </c>
      <c r="M625" s="1074">
        <f>IF(AND(ISNUMBER(System!$C5),System!AQ5=1),K625,PlotData!$CB$4)</f>
        <v>0</v>
      </c>
      <c r="N625" s="1072">
        <f>IF(AND(ISNUMBER(System!$C5),System!AQ5=2),J625,PlotData!$CB$3)</f>
        <v>0</v>
      </c>
      <c r="O625" s="1074">
        <f>IF(AND(ISNUMBER(System!$C5),System!AQ5=2),K625-$Z$627,PlotData!$CB$4)</f>
        <v>0</v>
      </c>
      <c r="P625" s="1072">
        <f>IF(E625&lt;&gt;0,IF(System!AQ5=1,L625-$Z$630-$Z$628,N625+$Z$630),PlotData!$CB$3)</f>
        <v>0</v>
      </c>
      <c r="Q625" s="1073">
        <f>IF(E625&lt;&gt;0,IF(System!AQ5=1,M625+$Z$631-Z$633+$Z$632,O625+$Z$631),PlotData!$CB$4)</f>
        <v>0</v>
      </c>
      <c r="R625" s="1073">
        <f>IF(E625&lt;&gt;0,P625+$Z$632,PlotData!$CB$3)</f>
        <v>0</v>
      </c>
      <c r="S625" s="1073">
        <f>IF(E625&lt;&gt;0,Q625-0.4*$Z$633,PlotData!$CB$4)</f>
        <v>0</v>
      </c>
      <c r="T625" s="1073">
        <f>IF(E625&lt;&gt;0,R625,PlotData!$CB$3)</f>
        <v>0</v>
      </c>
      <c r="U625" s="1074">
        <f>IF(E625&lt;&gt;0,S625+$Z$633,PlotData!$CB$4)</f>
        <v>0</v>
      </c>
    </row>
    <row r="626" spans="1:26" ht="13.8" thickBot="1" x14ac:dyDescent="0.3">
      <c r="A626" s="827">
        <v>3</v>
      </c>
      <c r="B626" s="1072">
        <f t="shared" ca="1" si="253"/>
        <v>72.111025509279784</v>
      </c>
      <c r="C626" s="1073">
        <f t="shared" ca="1" si="253"/>
        <v>0.83205029433784372</v>
      </c>
      <c r="D626" s="1073">
        <f t="shared" ca="1" si="253"/>
        <v>0.55470019622522915</v>
      </c>
      <c r="E626" s="1074">
        <f>IF(AND(ISNUMBER(System!$C6),System!AQ6&lt;&gt;0),1,0)</f>
        <v>0</v>
      </c>
      <c r="F626" s="1072">
        <f>IF(AND(ISNUMBER(System!$C6),E626&lt;&gt;0),System!BC124,PlotData!$CB$3)</f>
        <v>0</v>
      </c>
      <c r="G626" s="1074">
        <f>IF(AND(ISNUMBER(System!$C6),E626&lt;&gt;0),System!BE124-IF(D626=0,0,1)*$J$1*MIN($E$1,B626)*ABS(C626)- $H$1*$E$1*ABS(D626),PlotData!$CB$4)</f>
        <v>0</v>
      </c>
      <c r="H626" s="1072">
        <f>IF(AND(ISNUMBER(System!$C6),E626&lt;&gt;0),System!BD124,PlotData!$CB$3)</f>
        <v>0</v>
      </c>
      <c r="I626" s="1074">
        <f>IF(AND(ISNUMBER(System!$C6),E626&lt;&gt;0),System!BF124-IF(D626=0,0,1)*$J$1*MIN($E$1,B626)*ABS(C626)-$H$1*$E$1*ABS(D626),PlotData!$CB$4)</f>
        <v>0</v>
      </c>
      <c r="J626" s="1080">
        <f>IF(AND(ISNUMBER(System!$C6),E626&lt;&gt;0),F626+(H626-F626)/2,PlotData!$CB$3)</f>
        <v>0</v>
      </c>
      <c r="K626" s="1074">
        <f>IF(AND(ISNUMBER(System!$C6),E626&lt;&gt;0),G626+(I626-G626)/2,PlotData!$CB$4)</f>
        <v>0</v>
      </c>
      <c r="L626" s="1081">
        <f>IF(AND(ISNUMBER(System!$C6),System!AQ6=1),J626-$Z$627,PlotData!$CB$3)</f>
        <v>0</v>
      </c>
      <c r="M626" s="1074">
        <f>IF(AND(ISNUMBER(System!$C6),System!AQ6=1),K626,PlotData!$CB$4)</f>
        <v>0</v>
      </c>
      <c r="N626" s="1072">
        <f>IF(AND(ISNUMBER(System!$C6),System!AQ6=2),J626,PlotData!$CB$3)</f>
        <v>0</v>
      </c>
      <c r="O626" s="1074">
        <f>IF(AND(ISNUMBER(System!$C6),System!AQ6=2),K626-$Z$627,PlotData!$CB$4)</f>
        <v>0</v>
      </c>
      <c r="P626" s="1072">
        <f>IF(E626&lt;&gt;0,IF(System!AQ6=1,L626-$Z$630-$Z$628,N626+$Z$630),PlotData!$CB$3)</f>
        <v>0</v>
      </c>
      <c r="Q626" s="1073">
        <f>IF(E626&lt;&gt;0,IF(System!AQ6=1,M626+$Z$631-Z$633+$Z$632,O626+$Z$631),PlotData!$CB$4)</f>
        <v>0</v>
      </c>
      <c r="R626" s="1073">
        <f>IF(E626&lt;&gt;0,P626+$Z$632,PlotData!$CB$3)</f>
        <v>0</v>
      </c>
      <c r="S626" s="1073">
        <f>IF(E626&lt;&gt;0,Q626-0.4*$Z$633,PlotData!$CB$4)</f>
        <v>0</v>
      </c>
      <c r="T626" s="1073">
        <f>IF(E626&lt;&gt;0,R626,PlotData!$CB$3)</f>
        <v>0</v>
      </c>
      <c r="U626" s="1074">
        <f>IF(E626&lt;&gt;0,S626+$Z$633,PlotData!$CB$4)</f>
        <v>0</v>
      </c>
      <c r="X626" s="1082" t="s">
        <v>394</v>
      </c>
      <c r="Z626" s="148"/>
    </row>
    <row r="627" spans="1:26" x14ac:dyDescent="0.25">
      <c r="A627" s="827">
        <v>4</v>
      </c>
      <c r="B627" s="1072">
        <f t="shared" ca="1" si="253"/>
        <v>76.157731058639087</v>
      </c>
      <c r="C627" s="1073">
        <f t="shared" ca="1" si="253"/>
        <v>0.39391929857916763</v>
      </c>
      <c r="D627" s="1073">
        <f t="shared" ca="1" si="253"/>
        <v>-0.91914503001805781</v>
      </c>
      <c r="E627" s="1074">
        <f>IF(AND(ISNUMBER(System!$C7),System!AQ7&lt;&gt;0),1,0)</f>
        <v>0</v>
      </c>
      <c r="F627" s="1072">
        <f>IF(AND(ISNUMBER(System!$C7),E627&lt;&gt;0),System!BC125,PlotData!$CB$3)</f>
        <v>0</v>
      </c>
      <c r="G627" s="1074">
        <f>IF(AND(ISNUMBER(System!$C7),E627&lt;&gt;0),System!BE125-IF(D627=0,0,1)*$J$1*MIN($E$1,B627)*ABS(C627)- $H$1*$E$1*ABS(D627),PlotData!$CB$4)</f>
        <v>0</v>
      </c>
      <c r="H627" s="1072">
        <f>IF(AND(ISNUMBER(System!$C7),E627&lt;&gt;0),System!BD125,PlotData!$CB$3)</f>
        <v>0</v>
      </c>
      <c r="I627" s="1074">
        <f>IF(AND(ISNUMBER(System!$C7),E627&lt;&gt;0),System!BF125-IF(D627=0,0,1)*$J$1*MIN($E$1,B627)*ABS(C627)-$H$1*$E$1*ABS(D627),PlotData!$CB$4)</f>
        <v>0</v>
      </c>
      <c r="J627" s="1080">
        <f>IF(AND(ISNUMBER(System!$C7),E627&lt;&gt;0),F627+(H627-F627)/2,PlotData!$CB$3)</f>
        <v>0</v>
      </c>
      <c r="K627" s="1074">
        <f>IF(AND(ISNUMBER(System!$C7),E627&lt;&gt;0),G627+(I627-G627)/2,PlotData!$CB$4)</f>
        <v>0</v>
      </c>
      <c r="L627" s="1081">
        <f>IF(AND(ISNUMBER(System!$C7),System!AQ7=1),J627-$Z$627,PlotData!$CB$3)</f>
        <v>0</v>
      </c>
      <c r="M627" s="1074">
        <f>IF(AND(ISNUMBER(System!$C7),System!AQ7=1),K627,PlotData!$CB$4)</f>
        <v>0</v>
      </c>
      <c r="N627" s="1072">
        <f>IF(AND(ISNUMBER(System!$C7),System!AQ7=2),J627,PlotData!$CB$3)</f>
        <v>0</v>
      </c>
      <c r="O627" s="1074">
        <f>IF(AND(ISNUMBER(System!$C7),System!AQ7=2),K627-$Z$627,PlotData!$CB$4)</f>
        <v>0</v>
      </c>
      <c r="P627" s="1072">
        <f>IF(E627&lt;&gt;0,IF(System!AQ7=1,L627-$Z$630-$Z$628,N627+$Z$630),PlotData!$CB$3)</f>
        <v>0</v>
      </c>
      <c r="Q627" s="1073">
        <f>IF(E627&lt;&gt;0,IF(System!AQ7=1,M627+$Z$631-Z$633+$Z$632,O627+$Z$631),PlotData!$CB$4)</f>
        <v>0</v>
      </c>
      <c r="R627" s="1073">
        <f>IF(E627&lt;&gt;0,P627+$Z$632,PlotData!$CB$3)</f>
        <v>0</v>
      </c>
      <c r="S627" s="1073">
        <f>IF(E627&lt;&gt;0,Q627-0.4*$Z$633,PlotData!$CB$4)</f>
        <v>0</v>
      </c>
      <c r="T627" s="1073">
        <f>IF(E627&lt;&gt;0,R627,PlotData!$CB$3)</f>
        <v>0</v>
      </c>
      <c r="U627" s="1074">
        <f>IF(E627&lt;&gt;0,S627+$Z$633,PlotData!$CB$4)</f>
        <v>0</v>
      </c>
      <c r="X627" s="1360" t="s">
        <v>437</v>
      </c>
      <c r="Y627" s="1083" t="s">
        <v>438</v>
      </c>
      <c r="Z627" s="1084">
        <v>1.3</v>
      </c>
    </row>
    <row r="628" spans="1:26" x14ac:dyDescent="0.25">
      <c r="A628" s="827">
        <v>5</v>
      </c>
      <c r="B628" s="1072">
        <f t="shared" ca="1" si="253"/>
        <v>184.39088914585776</v>
      </c>
      <c r="C628" s="1073">
        <f t="shared" ca="1" si="253"/>
        <v>-0.75925660236529657</v>
      </c>
      <c r="D628" s="1073">
        <f t="shared" ca="1" si="253"/>
        <v>-0.65079137345596849</v>
      </c>
      <c r="E628" s="1074">
        <f>IF(AND(ISNUMBER(System!$C8),System!AQ8&lt;&gt;0),1,0)</f>
        <v>0</v>
      </c>
      <c r="F628" s="1072">
        <f>IF(AND(ISNUMBER(System!$C8),E628&lt;&gt;0),System!BC126,PlotData!$CB$3)</f>
        <v>0</v>
      </c>
      <c r="G628" s="1074">
        <f>IF(AND(ISNUMBER(System!$C8),E628&lt;&gt;0),System!BE126-IF(D628=0,0,1)*$J$1*MIN($E$1,B628)*ABS(C628)- $H$1*$E$1*ABS(D628),PlotData!$CB$4)</f>
        <v>0</v>
      </c>
      <c r="H628" s="1072">
        <f>IF(AND(ISNUMBER(System!$C8),E628&lt;&gt;0),System!BD126,PlotData!$CB$3)</f>
        <v>0</v>
      </c>
      <c r="I628" s="1074">
        <f>IF(AND(ISNUMBER(System!$C8),E628&lt;&gt;0),System!BF126-IF(D628=0,0,1)*$J$1*MIN($E$1,B628)*ABS(C628)-$H$1*$E$1*ABS(D628),PlotData!$CB$4)</f>
        <v>0</v>
      </c>
      <c r="J628" s="1080">
        <f>IF(AND(ISNUMBER(System!$C8),E628&lt;&gt;0),F628+(H628-F628)/2,PlotData!$CB$3)</f>
        <v>0</v>
      </c>
      <c r="K628" s="1074">
        <f>IF(AND(ISNUMBER(System!$C8),E628&lt;&gt;0),G628+(I628-G628)/2,PlotData!$CB$4)</f>
        <v>0</v>
      </c>
      <c r="L628" s="1081">
        <f>IF(AND(ISNUMBER(System!$C8),System!AQ8=1),J628-$Z$627,PlotData!$CB$3)</f>
        <v>0</v>
      </c>
      <c r="M628" s="1074">
        <f>IF(AND(ISNUMBER(System!$C8),System!AQ8=1),K628,PlotData!$CB$4)</f>
        <v>0</v>
      </c>
      <c r="N628" s="1072">
        <f>IF(AND(ISNUMBER(System!$C8),System!AQ8=2),J628,PlotData!$CB$3)</f>
        <v>0</v>
      </c>
      <c r="O628" s="1074">
        <f>IF(AND(ISNUMBER(System!$C8),System!AQ8=2),K628-$Z$627,PlotData!$CB$4)</f>
        <v>0</v>
      </c>
      <c r="P628" s="1072">
        <f>IF(E628&lt;&gt;0,IF(System!AQ8=1,L628-$Z$630-$Z$628,N628+$Z$630),PlotData!$CB$3)</f>
        <v>0</v>
      </c>
      <c r="Q628" s="1073">
        <f>IF(E628&lt;&gt;0,IF(System!AQ8=1,M628+$Z$631-Z$633+$Z$632,O628+$Z$631),PlotData!$CB$4)</f>
        <v>0</v>
      </c>
      <c r="R628" s="1073">
        <f>IF(E628&lt;&gt;0,P628+$Z$632,PlotData!$CB$3)</f>
        <v>0</v>
      </c>
      <c r="S628" s="1073">
        <f>IF(E628&lt;&gt;0,Q628-0.4*$Z$633,PlotData!$CB$4)</f>
        <v>0</v>
      </c>
      <c r="T628" s="1073">
        <f>IF(E628&lt;&gt;0,R628,PlotData!$CB$3)</f>
        <v>0</v>
      </c>
      <c r="U628" s="1074">
        <f>IF(E628&lt;&gt;0,S628+$Z$633,PlotData!$CB$4)</f>
        <v>0</v>
      </c>
      <c r="X628" s="1361"/>
      <c r="Y628" s="1085" t="s">
        <v>439</v>
      </c>
      <c r="Z628" s="1086">
        <v>0.3</v>
      </c>
    </row>
    <row r="629" spans="1:26" ht="13.8" thickBot="1" x14ac:dyDescent="0.3">
      <c r="A629" s="827">
        <v>6</v>
      </c>
      <c r="B629" s="1072">
        <f t="shared" si="253"/>
        <v>0</v>
      </c>
      <c r="C629" s="1073">
        <f t="shared" si="253"/>
        <v>0</v>
      </c>
      <c r="D629" s="1073">
        <f t="shared" si="253"/>
        <v>0</v>
      </c>
      <c r="E629" s="1074">
        <f>IF(AND(ISNUMBER(System!$C9),System!AQ9&lt;&gt;0),1,0)</f>
        <v>0</v>
      </c>
      <c r="F629" s="1072">
        <f>IF(AND(ISNUMBER(System!$C9),E629&lt;&gt;0),System!BC127,PlotData!$CB$3)</f>
        <v>0</v>
      </c>
      <c r="G629" s="1074">
        <f>IF(AND(ISNUMBER(System!$C9),E629&lt;&gt;0),System!BE127-IF(D629=0,0,1)*$J$1*MIN($E$1,B629)*ABS(C629)- $H$1*$E$1*ABS(D629),PlotData!$CB$4)</f>
        <v>0</v>
      </c>
      <c r="H629" s="1072">
        <f>IF(AND(ISNUMBER(System!$C9),E629&lt;&gt;0),System!BD127,PlotData!$CB$3)</f>
        <v>0</v>
      </c>
      <c r="I629" s="1074">
        <f>IF(AND(ISNUMBER(System!$C9),E629&lt;&gt;0),System!BF127-IF(D629=0,0,1)*$J$1*MIN($E$1,B629)*ABS(C629)-$H$1*$E$1*ABS(D629),PlotData!$CB$4)</f>
        <v>0</v>
      </c>
      <c r="J629" s="1080">
        <f>IF(AND(ISNUMBER(System!$C9),E629&lt;&gt;0),F629+(H629-F629)/2,PlotData!$CB$3)</f>
        <v>0</v>
      </c>
      <c r="K629" s="1074">
        <f>IF(AND(ISNUMBER(System!$C9),E629&lt;&gt;0),G629+(I629-G629)/2,PlotData!$CB$4)</f>
        <v>0</v>
      </c>
      <c r="L629" s="1081">
        <f>IF(AND(ISNUMBER(System!$C9),System!AQ9=1),J629-$Z$627,PlotData!$CB$3)</f>
        <v>0</v>
      </c>
      <c r="M629" s="1074">
        <f>IF(AND(ISNUMBER(System!$C9),System!AQ9=1),K629,PlotData!$CB$4)</f>
        <v>0</v>
      </c>
      <c r="N629" s="1072">
        <f>IF(AND(ISNUMBER(System!$C9),System!AQ9=2),J629,PlotData!$CB$3)</f>
        <v>0</v>
      </c>
      <c r="O629" s="1074">
        <f>IF(AND(ISNUMBER(System!$C9),System!AQ9=2),K629-$Z$627,PlotData!$CB$4)</f>
        <v>0</v>
      </c>
      <c r="P629" s="1072">
        <f>IF(E629&lt;&gt;0,IF(System!AQ9=1,L629-$Z$630-$Z$628,N629+$Z$630),PlotData!$CB$3)</f>
        <v>0</v>
      </c>
      <c r="Q629" s="1073">
        <f>IF(E629&lt;&gt;0,IF(System!AQ9=1,M629+$Z$631-Z$633+$Z$632,O629+$Z$631),PlotData!$CB$4)</f>
        <v>0</v>
      </c>
      <c r="R629" s="1073">
        <f>IF(E629&lt;&gt;0,P629+$Z$632,PlotData!$CB$3)</f>
        <v>0</v>
      </c>
      <c r="S629" s="1073">
        <f>IF(E629&lt;&gt;0,Q629-0.4*$Z$633,PlotData!$CB$4)</f>
        <v>0</v>
      </c>
      <c r="T629" s="1073">
        <f>IF(E629&lt;&gt;0,R629,PlotData!$CB$3)</f>
        <v>0</v>
      </c>
      <c r="U629" s="1074">
        <f>IF(E629&lt;&gt;0,S629+$Z$633,PlotData!$CB$4)</f>
        <v>0</v>
      </c>
      <c r="X629" s="1362"/>
      <c r="Y629" s="1087" t="s">
        <v>440</v>
      </c>
      <c r="Z629" s="1088">
        <v>0.3</v>
      </c>
    </row>
    <row r="630" spans="1:26" x14ac:dyDescent="0.25">
      <c r="A630" s="827">
        <v>7</v>
      </c>
      <c r="B630" s="1072">
        <f t="shared" si="253"/>
        <v>0</v>
      </c>
      <c r="C630" s="1073">
        <f t="shared" si="253"/>
        <v>0</v>
      </c>
      <c r="D630" s="1073">
        <f t="shared" si="253"/>
        <v>0</v>
      </c>
      <c r="E630" s="1074">
        <f>IF(AND(ISNUMBER(System!$C10),System!AQ10&lt;&gt;0),1,0)</f>
        <v>0</v>
      </c>
      <c r="F630" s="1072">
        <f>IF(AND(ISNUMBER(System!$C10),E630&lt;&gt;0),System!BC128,PlotData!$CB$3)</f>
        <v>0</v>
      </c>
      <c r="G630" s="1074">
        <f>IF(AND(ISNUMBER(System!$C10),E630&lt;&gt;0),System!BE128-IF(D630=0,0,1)*$J$1*MIN($E$1,B630)*ABS(C630)- $H$1*$E$1*ABS(D630),PlotData!$CB$4)</f>
        <v>0</v>
      </c>
      <c r="H630" s="1072">
        <f>IF(AND(ISNUMBER(System!$C10),E630&lt;&gt;0),System!BD128,PlotData!$CB$3)</f>
        <v>0</v>
      </c>
      <c r="I630" s="1074">
        <f>IF(AND(ISNUMBER(System!$C10),E630&lt;&gt;0),System!BF128-IF(D630=0,0,1)*$J$1*MIN($E$1,B630)*ABS(C630)-$H$1*$E$1*ABS(D630),PlotData!$CB$4)</f>
        <v>0</v>
      </c>
      <c r="J630" s="1080">
        <f>IF(AND(ISNUMBER(System!$C10),E630&lt;&gt;0),F630+(H630-F630)/2,PlotData!$CB$3)</f>
        <v>0</v>
      </c>
      <c r="K630" s="1074">
        <f>IF(AND(ISNUMBER(System!$C10),E630&lt;&gt;0),G630+(I630-G630)/2,PlotData!$CB$4)</f>
        <v>0</v>
      </c>
      <c r="L630" s="1081">
        <f>IF(AND(ISNUMBER(System!$C10),System!AQ10=1),J630-$Z$627,PlotData!$CB$3)</f>
        <v>0</v>
      </c>
      <c r="M630" s="1074">
        <f>IF(AND(ISNUMBER(System!$C10),System!AQ10=1),K630,PlotData!$CB$4)</f>
        <v>0</v>
      </c>
      <c r="N630" s="1072">
        <f>IF(AND(ISNUMBER(System!$C10),System!AQ10=2),J630,PlotData!$CB$3)</f>
        <v>0</v>
      </c>
      <c r="O630" s="1074">
        <f>IF(AND(ISNUMBER(System!$C10),System!AQ10=2),K630-$Z$627,PlotData!$CB$4)</f>
        <v>0</v>
      </c>
      <c r="P630" s="1072">
        <f>IF(E630&lt;&gt;0,IF(System!AQ10=1,L630-$Z$630-$Z$628,N630+$Z$630),PlotData!$CB$3)</f>
        <v>0</v>
      </c>
      <c r="Q630" s="1073">
        <f>IF(E630&lt;&gt;0,IF(System!AQ10=1,M630+$Z$631-Z$633+$Z$632,O630+$Z$631),PlotData!$CB$4)</f>
        <v>0</v>
      </c>
      <c r="R630" s="1073">
        <f>IF(E630&lt;&gt;0,P630+$Z$632,PlotData!$CB$3)</f>
        <v>0</v>
      </c>
      <c r="S630" s="1073">
        <f>IF(E630&lt;&gt;0,Q630-0.4*$Z$633,PlotData!$CB$4)</f>
        <v>0</v>
      </c>
      <c r="T630" s="1073">
        <f>IF(E630&lt;&gt;0,R630,PlotData!$CB$3)</f>
        <v>0</v>
      </c>
      <c r="U630" s="1074">
        <f>IF(E630&lt;&gt;0,S630+$Z$633,PlotData!$CB$4)</f>
        <v>0</v>
      </c>
      <c r="X630" s="1360" t="s">
        <v>432</v>
      </c>
      <c r="Y630" s="1089" t="s">
        <v>441</v>
      </c>
      <c r="Z630" s="1084">
        <v>0.1</v>
      </c>
    </row>
    <row r="631" spans="1:26" x14ac:dyDescent="0.25">
      <c r="A631" s="827">
        <v>8</v>
      </c>
      <c r="B631" s="1072">
        <f t="shared" si="253"/>
        <v>0</v>
      </c>
      <c r="C631" s="1073">
        <f t="shared" si="253"/>
        <v>0</v>
      </c>
      <c r="D631" s="1073">
        <f t="shared" si="253"/>
        <v>0</v>
      </c>
      <c r="E631" s="1074">
        <f>IF(AND(ISNUMBER(System!$C11),System!AQ11&lt;&gt;0),1,0)</f>
        <v>0</v>
      </c>
      <c r="F631" s="1072">
        <f>IF(AND(ISNUMBER(System!$C11),E631&lt;&gt;0),System!BC129,PlotData!$CB$3)</f>
        <v>0</v>
      </c>
      <c r="G631" s="1074">
        <f>IF(AND(ISNUMBER(System!$C11),E631&lt;&gt;0),System!BE129-IF(D631=0,0,1)*$J$1*MIN($E$1,B631)*ABS(C631)- $H$1*$E$1*ABS(D631),PlotData!$CB$4)</f>
        <v>0</v>
      </c>
      <c r="H631" s="1072">
        <f>IF(AND(ISNUMBER(System!$C11),E631&lt;&gt;0),System!BD129,PlotData!$CB$3)</f>
        <v>0</v>
      </c>
      <c r="I631" s="1074">
        <f>IF(AND(ISNUMBER(System!$C11),E631&lt;&gt;0),System!BF129-IF(D631=0,0,1)*$J$1*MIN($E$1,B631)*ABS(C631)-$H$1*$E$1*ABS(D631),PlotData!$CB$4)</f>
        <v>0</v>
      </c>
      <c r="J631" s="1080">
        <f>IF(AND(ISNUMBER(System!$C11),E631&lt;&gt;0),F631+(H631-F631)/2,PlotData!$CB$3)</f>
        <v>0</v>
      </c>
      <c r="K631" s="1074">
        <f>IF(AND(ISNUMBER(System!$C11),E631&lt;&gt;0),G631+(I631-G631)/2,PlotData!$CB$4)</f>
        <v>0</v>
      </c>
      <c r="L631" s="1081">
        <f>IF(AND(ISNUMBER(System!$C11),System!AQ11=1),J631-$Z$627,PlotData!$CB$3)</f>
        <v>0</v>
      </c>
      <c r="M631" s="1074">
        <f>IF(AND(ISNUMBER(System!$C11),System!AQ11=1),K631,PlotData!$CB$4)</f>
        <v>0</v>
      </c>
      <c r="N631" s="1072">
        <f>IF(AND(ISNUMBER(System!$C11),System!AQ11=2),J631,PlotData!$CB$3)</f>
        <v>0</v>
      </c>
      <c r="O631" s="1074">
        <f>IF(AND(ISNUMBER(System!$C11),System!AQ11=2),K631-$Z$627,PlotData!$CB$4)</f>
        <v>0</v>
      </c>
      <c r="P631" s="1072">
        <f>IF(E631&lt;&gt;0,IF(System!AQ11=1,L631-$Z$630-$Z$628,N631+$Z$630),PlotData!$CB$3)</f>
        <v>0</v>
      </c>
      <c r="Q631" s="1073">
        <f>IF(E631&lt;&gt;0,IF(System!AQ11=1,M631+$Z$631-Z$633+$Z$632,O631+$Z$631),PlotData!$CB$4)</f>
        <v>0</v>
      </c>
      <c r="R631" s="1073">
        <f>IF(E631&lt;&gt;0,P631+$Z$632,PlotData!$CB$3)</f>
        <v>0</v>
      </c>
      <c r="S631" s="1073">
        <f>IF(E631&lt;&gt;0,Q631-0.4*$Z$633,PlotData!$CB$4)</f>
        <v>0</v>
      </c>
      <c r="T631" s="1073">
        <f>IF(E631&lt;&gt;0,R631,PlotData!$CB$3)</f>
        <v>0</v>
      </c>
      <c r="U631" s="1074">
        <f>IF(E631&lt;&gt;0,S631+$Z$633,PlotData!$CB$4)</f>
        <v>0</v>
      </c>
      <c r="X631" s="1361"/>
      <c r="Y631" s="1085" t="s">
        <v>442</v>
      </c>
      <c r="Z631" s="1086">
        <v>-0.3</v>
      </c>
    </row>
    <row r="632" spans="1:26" x14ac:dyDescent="0.25">
      <c r="A632" s="827">
        <v>9</v>
      </c>
      <c r="B632" s="1072">
        <f t="shared" si="253"/>
        <v>0</v>
      </c>
      <c r="C632" s="1073">
        <f t="shared" si="253"/>
        <v>0</v>
      </c>
      <c r="D632" s="1073">
        <f t="shared" si="253"/>
        <v>0</v>
      </c>
      <c r="E632" s="1074">
        <f>IF(AND(ISNUMBER(System!$C12),System!AQ12&lt;&gt;0),1,0)</f>
        <v>0</v>
      </c>
      <c r="F632" s="1072">
        <f>IF(AND(ISNUMBER(System!$C12),E632&lt;&gt;0),System!BC130,PlotData!$CB$3)</f>
        <v>0</v>
      </c>
      <c r="G632" s="1074">
        <f>IF(AND(ISNUMBER(System!$C12),E632&lt;&gt;0),System!BE130-IF(D632=0,0,1)*$J$1*MIN($E$1,B632)*ABS(C632)- $H$1*$E$1*ABS(D632),PlotData!$CB$4)</f>
        <v>0</v>
      </c>
      <c r="H632" s="1072">
        <f>IF(AND(ISNUMBER(System!$C12),E632&lt;&gt;0),System!BD130,PlotData!$CB$3)</f>
        <v>0</v>
      </c>
      <c r="I632" s="1074">
        <f>IF(AND(ISNUMBER(System!$C12),E632&lt;&gt;0),System!BF130-IF(D632=0,0,1)*$J$1*MIN($E$1,B632)*ABS(C632)-$H$1*$E$1*ABS(D632),PlotData!$CB$4)</f>
        <v>0</v>
      </c>
      <c r="J632" s="1080">
        <f>IF(AND(ISNUMBER(System!$C12),E632&lt;&gt;0),F632+(H632-F632)/2,PlotData!$CB$3)</f>
        <v>0</v>
      </c>
      <c r="K632" s="1074">
        <f>IF(AND(ISNUMBER(System!$C12),E632&lt;&gt;0),G632+(I632-G632)/2,PlotData!$CB$4)</f>
        <v>0</v>
      </c>
      <c r="L632" s="1081">
        <f>IF(AND(ISNUMBER(System!$C12),System!AQ12=1),J632-$Z$627,PlotData!$CB$3)</f>
        <v>0</v>
      </c>
      <c r="M632" s="1074">
        <f>IF(AND(ISNUMBER(System!$C12),System!AQ12=1),K632,PlotData!$CB$4)</f>
        <v>0</v>
      </c>
      <c r="N632" s="1072">
        <f>IF(AND(ISNUMBER(System!$C12),System!AQ12=2),J632,PlotData!$CB$3)</f>
        <v>0</v>
      </c>
      <c r="O632" s="1074">
        <f>IF(AND(ISNUMBER(System!$C12),System!AQ12=2),K632-$Z$627,PlotData!$CB$4)</f>
        <v>0</v>
      </c>
      <c r="P632" s="1072">
        <f>IF(E632&lt;&gt;0,IF(System!AQ12=1,L632-$Z$630-$Z$628,N632+$Z$630),PlotData!$CB$3)</f>
        <v>0</v>
      </c>
      <c r="Q632" s="1073">
        <f>IF(E632&lt;&gt;0,IF(System!AQ12=1,M632+$Z$631-Z$633+$Z$632,O632+$Z$631),PlotData!$CB$4)</f>
        <v>0</v>
      </c>
      <c r="R632" s="1073">
        <f>IF(E632&lt;&gt;0,P632+$Z$632,PlotData!$CB$3)</f>
        <v>0</v>
      </c>
      <c r="S632" s="1073">
        <f>IF(E632&lt;&gt;0,Q632-0.4*$Z$633,PlotData!$CB$4)</f>
        <v>0</v>
      </c>
      <c r="T632" s="1073">
        <f>IF(E632&lt;&gt;0,R632,PlotData!$CB$3)</f>
        <v>0</v>
      </c>
      <c r="U632" s="1074">
        <f>IF(E632&lt;&gt;0,S632+$Z$633,PlotData!$CB$4)</f>
        <v>0</v>
      </c>
      <c r="X632" s="1361"/>
      <c r="Y632" s="1085" t="s">
        <v>443</v>
      </c>
      <c r="Z632" s="1086">
        <v>0.3</v>
      </c>
    </row>
    <row r="633" spans="1:26" ht="13.8" thickBot="1" x14ac:dyDescent="0.3">
      <c r="A633" s="827">
        <v>10</v>
      </c>
      <c r="B633" s="1072">
        <f t="shared" si="253"/>
        <v>0</v>
      </c>
      <c r="C633" s="1073">
        <f t="shared" si="253"/>
        <v>0</v>
      </c>
      <c r="D633" s="1073">
        <f t="shared" si="253"/>
        <v>0</v>
      </c>
      <c r="E633" s="1074">
        <f>IF(AND(ISNUMBER(System!$C13),System!AQ13&lt;&gt;0),1,0)</f>
        <v>0</v>
      </c>
      <c r="F633" s="1072">
        <f>IF(AND(ISNUMBER(System!$C13),E633&lt;&gt;0),System!BC131,PlotData!$CB$3)</f>
        <v>0</v>
      </c>
      <c r="G633" s="1074">
        <f>IF(AND(ISNUMBER(System!$C13),E633&lt;&gt;0),System!BE131-IF(D633=0,0,1)*$J$1*MIN($E$1,B633)*ABS(C633)- $H$1*$E$1*ABS(D633),PlotData!$CB$4)</f>
        <v>0</v>
      </c>
      <c r="H633" s="1072">
        <f>IF(AND(ISNUMBER(System!$C13),E633&lt;&gt;0),System!BD131,PlotData!$CB$3)</f>
        <v>0</v>
      </c>
      <c r="I633" s="1074">
        <f>IF(AND(ISNUMBER(System!$C13),E633&lt;&gt;0),System!BF131-IF(D633=0,0,1)*$J$1*MIN($E$1,B633)*ABS(C633)-$H$1*$E$1*ABS(D633),PlotData!$CB$4)</f>
        <v>0</v>
      </c>
      <c r="J633" s="1080">
        <f>IF(AND(ISNUMBER(System!$C13),E633&lt;&gt;0),F633+(H633-F633)/2,PlotData!$CB$3)</f>
        <v>0</v>
      </c>
      <c r="K633" s="1074">
        <f>IF(AND(ISNUMBER(System!$C13),E633&lt;&gt;0),G633+(I633-G633)/2,PlotData!$CB$4)</f>
        <v>0</v>
      </c>
      <c r="L633" s="1081">
        <f>IF(AND(ISNUMBER(System!$C13),System!AQ13=1),J633-$Z$627,PlotData!$CB$3)</f>
        <v>0</v>
      </c>
      <c r="M633" s="1074">
        <f>IF(AND(ISNUMBER(System!$C13),System!AQ13=1),K633,PlotData!$CB$4)</f>
        <v>0</v>
      </c>
      <c r="N633" s="1072">
        <f>IF(AND(ISNUMBER(System!$C13),System!AQ13=2),J633,PlotData!$CB$3)</f>
        <v>0</v>
      </c>
      <c r="O633" s="1074">
        <f>IF(AND(ISNUMBER(System!$C13),System!AQ13=2),K633-$Z$627,PlotData!$CB$4)</f>
        <v>0</v>
      </c>
      <c r="P633" s="1072">
        <f>IF(E633&lt;&gt;0,IF(System!AQ13=1,L633-$Z$630-$Z$628,N633+$Z$630),PlotData!$CB$3)</f>
        <v>0</v>
      </c>
      <c r="Q633" s="1073">
        <f>IF(E633&lt;&gt;0,IF(System!AQ13=1,M633+$Z$631-Z$633+$Z$632,O633+$Z$631),PlotData!$CB$4)</f>
        <v>0</v>
      </c>
      <c r="R633" s="1073">
        <f>IF(E633&lt;&gt;0,P633+$Z$632,PlotData!$CB$3)</f>
        <v>0</v>
      </c>
      <c r="S633" s="1073">
        <f>IF(E633&lt;&gt;0,Q633-0.4*$Z$633,PlotData!$CB$4)</f>
        <v>0</v>
      </c>
      <c r="T633" s="1073">
        <f>IF(E633&lt;&gt;0,R633,PlotData!$CB$3)</f>
        <v>0</v>
      </c>
      <c r="U633" s="1074">
        <f>IF(E633&lt;&gt;0,S633+$Z$633,PlotData!$CB$4)</f>
        <v>0</v>
      </c>
      <c r="X633" s="1362"/>
      <c r="Y633" s="1087" t="s">
        <v>438</v>
      </c>
      <c r="Z633" s="1088">
        <v>0.6</v>
      </c>
    </row>
    <row r="634" spans="1:26" x14ac:dyDescent="0.25">
      <c r="A634" s="827">
        <v>11</v>
      </c>
      <c r="B634" s="1072">
        <f t="shared" si="253"/>
        <v>0</v>
      </c>
      <c r="C634" s="1073">
        <f t="shared" si="253"/>
        <v>0</v>
      </c>
      <c r="D634" s="1073">
        <f t="shared" si="253"/>
        <v>0</v>
      </c>
      <c r="E634" s="1074">
        <f>IF(AND(ISNUMBER(System!$C14),System!AQ14&lt;&gt;0),1,0)</f>
        <v>0</v>
      </c>
      <c r="F634" s="1072">
        <f>IF(AND(ISNUMBER(System!$C14),E634&lt;&gt;0),System!BC132,PlotData!$CB$3)</f>
        <v>0</v>
      </c>
      <c r="G634" s="1074">
        <f>IF(AND(ISNUMBER(System!$C14),E634&lt;&gt;0),System!BE132-IF(D634=0,0,1)*$J$1*MIN($E$1,B634)*ABS(C634)- $H$1*$E$1*ABS(D634),PlotData!$CB$4)</f>
        <v>0</v>
      </c>
      <c r="H634" s="1072">
        <f>IF(AND(ISNUMBER(System!$C14),E634&lt;&gt;0),System!BD132,PlotData!$CB$3)</f>
        <v>0</v>
      </c>
      <c r="I634" s="1074">
        <f>IF(AND(ISNUMBER(System!$C14),E634&lt;&gt;0),System!BF132-IF(D634=0,0,1)*$J$1*MIN($E$1,B634)*ABS(C634)-$H$1*$E$1*ABS(D634),PlotData!$CB$4)</f>
        <v>0</v>
      </c>
      <c r="J634" s="1080">
        <f>IF(AND(ISNUMBER(System!$C14),E634&lt;&gt;0),F634+(H634-F634)/2,PlotData!$CB$3)</f>
        <v>0</v>
      </c>
      <c r="K634" s="1074">
        <f>IF(AND(ISNUMBER(System!$C14),E634&lt;&gt;0),G634+(I634-G634)/2,PlotData!$CB$4)</f>
        <v>0</v>
      </c>
      <c r="L634" s="1081">
        <f>IF(AND(ISNUMBER(System!$C14),System!AQ14=1),J634-$Z$627,PlotData!$CB$3)</f>
        <v>0</v>
      </c>
      <c r="M634" s="1074">
        <f>IF(AND(ISNUMBER(System!$C14),System!AQ14=1),K634,PlotData!$CB$4)</f>
        <v>0</v>
      </c>
      <c r="N634" s="1072">
        <f>IF(AND(ISNUMBER(System!$C14),System!AQ14=2),J634,PlotData!$CB$3)</f>
        <v>0</v>
      </c>
      <c r="O634" s="1074">
        <f>IF(AND(ISNUMBER(System!$C14),System!AQ14=2),K634-$Z$627,PlotData!$CB$4)</f>
        <v>0</v>
      </c>
      <c r="P634" s="1072">
        <f>IF(E634&lt;&gt;0,IF(System!AQ14=1,L634-$Z$630-$Z$628,N634+$Z$630),PlotData!$CB$3)</f>
        <v>0</v>
      </c>
      <c r="Q634" s="1073">
        <f>IF(E634&lt;&gt;0,IF(System!AQ14=1,M634+$Z$631-Z$633+$Z$632,O634+$Z$631),PlotData!$CB$4)</f>
        <v>0</v>
      </c>
      <c r="R634" s="1073">
        <f>IF(E634&lt;&gt;0,P634+$Z$632,PlotData!$CB$3)</f>
        <v>0</v>
      </c>
      <c r="S634" s="1073">
        <f>IF(E634&lt;&gt;0,Q634-0.4*$Z$633,PlotData!$CB$4)</f>
        <v>0</v>
      </c>
      <c r="T634" s="1073">
        <f>IF(E634&lt;&gt;0,R634,PlotData!$CB$3)</f>
        <v>0</v>
      </c>
      <c r="U634" s="1074">
        <f>IF(E634&lt;&gt;0,S634+$Z$633,PlotData!$CB$4)</f>
        <v>0</v>
      </c>
    </row>
    <row r="635" spans="1:26" x14ac:dyDescent="0.25">
      <c r="A635" s="827">
        <v>12</v>
      </c>
      <c r="B635" s="1072">
        <f t="shared" si="253"/>
        <v>0</v>
      </c>
      <c r="C635" s="1073">
        <f t="shared" si="253"/>
        <v>0</v>
      </c>
      <c r="D635" s="1073">
        <f t="shared" si="253"/>
        <v>0</v>
      </c>
      <c r="E635" s="1074">
        <f>IF(AND(ISNUMBER(System!$C15),System!AQ15&lt;&gt;0),1,0)</f>
        <v>0</v>
      </c>
      <c r="F635" s="1072">
        <f>IF(AND(ISNUMBER(System!$C15),E635&lt;&gt;0),System!BC133,PlotData!$CB$3)</f>
        <v>0</v>
      </c>
      <c r="G635" s="1074">
        <f>IF(AND(ISNUMBER(System!$C15),E635&lt;&gt;0),System!BE133-IF(D635=0,0,1)*$J$1*MIN($E$1,B635)*ABS(C635)- $H$1*$E$1*ABS(D635),PlotData!$CB$4)</f>
        <v>0</v>
      </c>
      <c r="H635" s="1072">
        <f>IF(AND(ISNUMBER(System!$C15),E635&lt;&gt;0),System!BD133,PlotData!$CB$3)</f>
        <v>0</v>
      </c>
      <c r="I635" s="1074">
        <f>IF(AND(ISNUMBER(System!$C15),E635&lt;&gt;0),System!BF133-IF(D635=0,0,1)*$J$1*MIN($E$1,B635)*ABS(C635)-$H$1*$E$1*ABS(D635),PlotData!$CB$4)</f>
        <v>0</v>
      </c>
      <c r="J635" s="1080">
        <f>IF(AND(ISNUMBER(System!$C15),E635&lt;&gt;0),F635+(H635-F635)/2,PlotData!$CB$3)</f>
        <v>0</v>
      </c>
      <c r="K635" s="1074">
        <f>IF(AND(ISNUMBER(System!$C15),E635&lt;&gt;0),G635+(I635-G635)/2,PlotData!$CB$4)</f>
        <v>0</v>
      </c>
      <c r="L635" s="1081">
        <f>IF(AND(ISNUMBER(System!$C15),System!AQ15=1),J635-$Z$627,PlotData!$CB$3)</f>
        <v>0</v>
      </c>
      <c r="M635" s="1074">
        <f>IF(AND(ISNUMBER(System!$C15),System!AQ15=1),K635,PlotData!$CB$4)</f>
        <v>0</v>
      </c>
      <c r="N635" s="1072">
        <f>IF(AND(ISNUMBER(System!$C15),System!AQ15=2),J635,PlotData!$CB$3)</f>
        <v>0</v>
      </c>
      <c r="O635" s="1074">
        <f>IF(AND(ISNUMBER(System!$C15),System!AQ15=2),K635-$Z$627,PlotData!$CB$4)</f>
        <v>0</v>
      </c>
      <c r="P635" s="1072">
        <f>IF(E635&lt;&gt;0,IF(System!AQ15=1,L635-$Z$630-$Z$628,N635+$Z$630),PlotData!$CB$3)</f>
        <v>0</v>
      </c>
      <c r="Q635" s="1073">
        <f>IF(E635&lt;&gt;0,IF(System!AQ15=1,M635+$Z$631-Z$633+$Z$632,O635+$Z$631),PlotData!$CB$4)</f>
        <v>0</v>
      </c>
      <c r="R635" s="1073">
        <f>IF(E635&lt;&gt;0,P635+$Z$632,PlotData!$CB$3)</f>
        <v>0</v>
      </c>
      <c r="S635" s="1073">
        <f>IF(E635&lt;&gt;0,Q635-0.4*$Z$633,PlotData!$CB$4)</f>
        <v>0</v>
      </c>
      <c r="T635" s="1073">
        <f>IF(E635&lt;&gt;0,R635,PlotData!$CB$3)</f>
        <v>0</v>
      </c>
      <c r="U635" s="1074">
        <f>IF(E635&lt;&gt;0,S635+$Z$633,PlotData!$CB$4)</f>
        <v>0</v>
      </c>
    </row>
    <row r="636" spans="1:26" x14ac:dyDescent="0.25">
      <c r="A636" s="827">
        <v>13</v>
      </c>
      <c r="B636" s="1072">
        <f t="shared" si="253"/>
        <v>0</v>
      </c>
      <c r="C636" s="1073">
        <f t="shared" si="253"/>
        <v>0</v>
      </c>
      <c r="D636" s="1073">
        <f t="shared" si="253"/>
        <v>0</v>
      </c>
      <c r="E636" s="1074">
        <f>IF(AND(ISNUMBER(System!$C16),System!AQ16&lt;&gt;0),1,0)</f>
        <v>0</v>
      </c>
      <c r="F636" s="1072">
        <f>IF(AND(ISNUMBER(System!$C16),E636&lt;&gt;0),System!BC134,PlotData!$CB$3)</f>
        <v>0</v>
      </c>
      <c r="G636" s="1074">
        <f>IF(AND(ISNUMBER(System!$C16),E636&lt;&gt;0),System!BE134-IF(D636=0,0,1)*$J$1*MIN($E$1,B636)*ABS(C636)- $H$1*$E$1*ABS(D636),PlotData!$CB$4)</f>
        <v>0</v>
      </c>
      <c r="H636" s="1072">
        <f>IF(AND(ISNUMBER(System!$C16),E636&lt;&gt;0),System!BD134,PlotData!$CB$3)</f>
        <v>0</v>
      </c>
      <c r="I636" s="1074">
        <f>IF(AND(ISNUMBER(System!$C16),E636&lt;&gt;0),System!BF134-IF(D636=0,0,1)*$J$1*MIN($E$1,B636)*ABS(C636)-$H$1*$E$1*ABS(D636),PlotData!$CB$4)</f>
        <v>0</v>
      </c>
      <c r="J636" s="1080">
        <f>IF(AND(ISNUMBER(System!$C16),E636&lt;&gt;0),F636+(H636-F636)/2,PlotData!$CB$3)</f>
        <v>0</v>
      </c>
      <c r="K636" s="1074">
        <f>IF(AND(ISNUMBER(System!$C16),E636&lt;&gt;0),G636+(I636-G636)/2,PlotData!$CB$4)</f>
        <v>0</v>
      </c>
      <c r="L636" s="1081">
        <f>IF(AND(ISNUMBER(System!$C16),System!AQ16=1),J636-$Z$627,PlotData!$CB$3)</f>
        <v>0</v>
      </c>
      <c r="M636" s="1074">
        <f>IF(AND(ISNUMBER(System!$C16),System!AQ16=1),K636,PlotData!$CB$4)</f>
        <v>0</v>
      </c>
      <c r="N636" s="1072">
        <f>IF(AND(ISNUMBER(System!$C16),System!AQ16=2),J636,PlotData!$CB$3)</f>
        <v>0</v>
      </c>
      <c r="O636" s="1074">
        <f>IF(AND(ISNUMBER(System!$C16),System!AQ16=2),K636-$Z$627,PlotData!$CB$4)</f>
        <v>0</v>
      </c>
      <c r="P636" s="1072">
        <f>IF(E636&lt;&gt;0,IF(System!AQ16=1,L636-$Z$630-$Z$628,N636+$Z$630),PlotData!$CB$3)</f>
        <v>0</v>
      </c>
      <c r="Q636" s="1073">
        <f>IF(E636&lt;&gt;0,IF(System!AQ16=1,M636+$Z$631-Z$633+$Z$632,O636+$Z$631),PlotData!$CB$4)</f>
        <v>0</v>
      </c>
      <c r="R636" s="1073">
        <f>IF(E636&lt;&gt;0,P636+$Z$632,PlotData!$CB$3)</f>
        <v>0</v>
      </c>
      <c r="S636" s="1073">
        <f>IF(E636&lt;&gt;0,Q636-0.4*$Z$633,PlotData!$CB$4)</f>
        <v>0</v>
      </c>
      <c r="T636" s="1073">
        <f>IF(E636&lt;&gt;0,R636,PlotData!$CB$3)</f>
        <v>0</v>
      </c>
      <c r="U636" s="1074">
        <f>IF(E636&lt;&gt;0,S636+$Z$633,PlotData!$CB$4)</f>
        <v>0</v>
      </c>
    </row>
    <row r="637" spans="1:26" x14ac:dyDescent="0.25">
      <c r="A637" s="827">
        <v>14</v>
      </c>
      <c r="B637" s="1072">
        <f t="shared" si="253"/>
        <v>0</v>
      </c>
      <c r="C637" s="1073">
        <f t="shared" si="253"/>
        <v>0</v>
      </c>
      <c r="D637" s="1073">
        <f t="shared" si="253"/>
        <v>0</v>
      </c>
      <c r="E637" s="1074">
        <f>IF(AND(ISNUMBER(System!$C17),System!AQ17&lt;&gt;0),1,0)</f>
        <v>0</v>
      </c>
      <c r="F637" s="1072">
        <f>IF(AND(ISNUMBER(System!$C17),E637&lt;&gt;0),System!BC135,PlotData!$CB$3)</f>
        <v>0</v>
      </c>
      <c r="G637" s="1074">
        <f>IF(AND(ISNUMBER(System!$C17),E637&lt;&gt;0),System!BE135-IF(D637=0,0,1)*$J$1*MIN($E$1,B637)*ABS(C637)- $H$1*$E$1*ABS(D637),PlotData!$CB$4)</f>
        <v>0</v>
      </c>
      <c r="H637" s="1072">
        <f>IF(AND(ISNUMBER(System!$C17),E637&lt;&gt;0),System!BD135,PlotData!$CB$3)</f>
        <v>0</v>
      </c>
      <c r="I637" s="1074">
        <f>IF(AND(ISNUMBER(System!$C17),E637&lt;&gt;0),System!BF135-IF(D637=0,0,1)*$J$1*MIN($E$1,B637)*ABS(C637)-$H$1*$E$1*ABS(D637),PlotData!$CB$4)</f>
        <v>0</v>
      </c>
      <c r="J637" s="1080">
        <f>IF(AND(ISNUMBER(System!$C17),E637&lt;&gt;0),F637+(H637-F637)/2,PlotData!$CB$3)</f>
        <v>0</v>
      </c>
      <c r="K637" s="1074">
        <f>IF(AND(ISNUMBER(System!$C17),E637&lt;&gt;0),G637+(I637-G637)/2,PlotData!$CB$4)</f>
        <v>0</v>
      </c>
      <c r="L637" s="1081">
        <f>IF(AND(ISNUMBER(System!$C17),System!AQ17=1),J637-$Z$627,PlotData!$CB$3)</f>
        <v>0</v>
      </c>
      <c r="M637" s="1074">
        <f>IF(AND(ISNUMBER(System!$C17),System!AQ17=1),K637,PlotData!$CB$4)</f>
        <v>0</v>
      </c>
      <c r="N637" s="1072">
        <f>IF(AND(ISNUMBER(System!$C17),System!AQ17=2),J637,PlotData!$CB$3)</f>
        <v>0</v>
      </c>
      <c r="O637" s="1074">
        <f>IF(AND(ISNUMBER(System!$C17),System!AQ17=2),K637-$Z$627,PlotData!$CB$4)</f>
        <v>0</v>
      </c>
      <c r="P637" s="1072">
        <f>IF(E637&lt;&gt;0,IF(System!AQ17=1,L637-$Z$630-$Z$628,N637+$Z$630),PlotData!$CB$3)</f>
        <v>0</v>
      </c>
      <c r="Q637" s="1073">
        <f>IF(E637&lt;&gt;0,IF(System!AQ17=1,M637+$Z$631-Z$633+$Z$632,O637+$Z$631),PlotData!$CB$4)</f>
        <v>0</v>
      </c>
      <c r="R637" s="1073">
        <f>IF(E637&lt;&gt;0,P637+$Z$632,PlotData!$CB$3)</f>
        <v>0</v>
      </c>
      <c r="S637" s="1073">
        <f>IF(E637&lt;&gt;0,Q637-0.4*$Z$633,PlotData!$CB$4)</f>
        <v>0</v>
      </c>
      <c r="T637" s="1073">
        <f>IF(E637&lt;&gt;0,R637,PlotData!$CB$3)</f>
        <v>0</v>
      </c>
      <c r="U637" s="1074">
        <f>IF(E637&lt;&gt;0,S637+$Z$633,PlotData!$CB$4)</f>
        <v>0</v>
      </c>
    </row>
    <row r="638" spans="1:26" x14ac:dyDescent="0.25">
      <c r="A638" s="827">
        <v>15</v>
      </c>
      <c r="B638" s="1072">
        <f t="shared" si="253"/>
        <v>0</v>
      </c>
      <c r="C638" s="1073">
        <f t="shared" si="253"/>
        <v>0</v>
      </c>
      <c r="D638" s="1073">
        <f t="shared" si="253"/>
        <v>0</v>
      </c>
      <c r="E638" s="1074">
        <f>IF(AND(ISNUMBER(System!$C18),System!AQ18&lt;&gt;0),1,0)</f>
        <v>0</v>
      </c>
      <c r="F638" s="1072">
        <f>IF(AND(ISNUMBER(System!$C18),E638&lt;&gt;0),System!BC136,PlotData!$CB$3)</f>
        <v>0</v>
      </c>
      <c r="G638" s="1074">
        <f>IF(AND(ISNUMBER(System!$C18),E638&lt;&gt;0),System!BE136-IF(D638=0,0,1)*$J$1*MIN($E$1,B638)*ABS(C638)- $H$1*$E$1*ABS(D638),PlotData!$CB$4)</f>
        <v>0</v>
      </c>
      <c r="H638" s="1072">
        <f>IF(AND(ISNUMBER(System!$C18),E638&lt;&gt;0),System!BD136,PlotData!$CB$3)</f>
        <v>0</v>
      </c>
      <c r="I638" s="1074">
        <f>IF(AND(ISNUMBER(System!$C18),E638&lt;&gt;0),System!BF136-IF(D638=0,0,1)*$J$1*MIN($E$1,B638)*ABS(C638)-$H$1*$E$1*ABS(D638),PlotData!$CB$4)</f>
        <v>0</v>
      </c>
      <c r="J638" s="1080">
        <f>IF(AND(ISNUMBER(System!$C18),E638&lt;&gt;0),F638+(H638-F638)/2,PlotData!$CB$3)</f>
        <v>0</v>
      </c>
      <c r="K638" s="1074">
        <f>IF(AND(ISNUMBER(System!$C18),E638&lt;&gt;0),G638+(I638-G638)/2,PlotData!$CB$4)</f>
        <v>0</v>
      </c>
      <c r="L638" s="1081">
        <f>IF(AND(ISNUMBER(System!$C18),System!AQ18=1),J638-$Z$627,PlotData!$CB$3)</f>
        <v>0</v>
      </c>
      <c r="M638" s="1074">
        <f>IF(AND(ISNUMBER(System!$C18),System!AQ18=1),K638,PlotData!$CB$4)</f>
        <v>0</v>
      </c>
      <c r="N638" s="1072">
        <f>IF(AND(ISNUMBER(System!$C18),System!AQ18=2),J638,PlotData!$CB$3)</f>
        <v>0</v>
      </c>
      <c r="O638" s="1074">
        <f>IF(AND(ISNUMBER(System!$C18),System!AQ18=2),K638-$Z$627,PlotData!$CB$4)</f>
        <v>0</v>
      </c>
      <c r="P638" s="1072">
        <f>IF(E638&lt;&gt;0,IF(System!AQ18=1,L638-$Z$630-$Z$628,N638+$Z$630),PlotData!$CB$3)</f>
        <v>0</v>
      </c>
      <c r="Q638" s="1073">
        <f>IF(E638&lt;&gt;0,IF(System!AQ18=1,M638+$Z$631-Z$633+$Z$632,O638+$Z$631),PlotData!$CB$4)</f>
        <v>0</v>
      </c>
      <c r="R638" s="1073">
        <f>IF(E638&lt;&gt;0,P638+$Z$632,PlotData!$CB$3)</f>
        <v>0</v>
      </c>
      <c r="S638" s="1073">
        <f>IF(E638&lt;&gt;0,Q638-0.4*$Z$633,PlotData!$CB$4)</f>
        <v>0</v>
      </c>
      <c r="T638" s="1073">
        <f>IF(E638&lt;&gt;0,R638,PlotData!$CB$3)</f>
        <v>0</v>
      </c>
      <c r="U638" s="1074">
        <f>IF(E638&lt;&gt;0,S638+$Z$633,PlotData!$CB$4)</f>
        <v>0</v>
      </c>
    </row>
    <row r="639" spans="1:26" x14ac:dyDescent="0.25">
      <c r="A639" s="827">
        <v>16</v>
      </c>
      <c r="B639" s="1072">
        <f t="shared" si="253"/>
        <v>0</v>
      </c>
      <c r="C639" s="1073">
        <f t="shared" si="253"/>
        <v>0</v>
      </c>
      <c r="D639" s="1073">
        <f t="shared" si="253"/>
        <v>0</v>
      </c>
      <c r="E639" s="1074">
        <f>IF(AND(ISNUMBER(System!$C19),System!AQ19&lt;&gt;0),1,0)</f>
        <v>0</v>
      </c>
      <c r="F639" s="1072">
        <f>IF(AND(ISNUMBER(System!$C19),E639&lt;&gt;0),System!BC137,PlotData!$CB$3)</f>
        <v>0</v>
      </c>
      <c r="G639" s="1074">
        <f>IF(AND(ISNUMBER(System!$C19),E639&lt;&gt;0),System!BE137-IF(D639=0,0,1)*$J$1*MIN($E$1,B639)*ABS(C639)- $H$1*$E$1*ABS(D639),PlotData!$CB$4)</f>
        <v>0</v>
      </c>
      <c r="H639" s="1072">
        <f>IF(AND(ISNUMBER(System!$C19),E639&lt;&gt;0),System!BD137,PlotData!$CB$3)</f>
        <v>0</v>
      </c>
      <c r="I639" s="1074">
        <f>IF(AND(ISNUMBER(System!$C19),E639&lt;&gt;0),System!BF137-IF(D639=0,0,1)*$J$1*MIN($E$1,B639)*ABS(C639)-$H$1*$E$1*ABS(D639),PlotData!$CB$4)</f>
        <v>0</v>
      </c>
      <c r="J639" s="1080">
        <f>IF(AND(ISNUMBER(System!$C19),E639&lt;&gt;0),F639+(H639-F639)/2,PlotData!$CB$3)</f>
        <v>0</v>
      </c>
      <c r="K639" s="1074">
        <f>IF(AND(ISNUMBER(System!$C19),E639&lt;&gt;0),G639+(I639-G639)/2,PlotData!$CB$4)</f>
        <v>0</v>
      </c>
      <c r="L639" s="1081">
        <f>IF(AND(ISNUMBER(System!$C19),System!AQ19=1),J639-$Z$627,PlotData!$CB$3)</f>
        <v>0</v>
      </c>
      <c r="M639" s="1074">
        <f>IF(AND(ISNUMBER(System!$C19),System!AQ19=1),K639,PlotData!$CB$4)</f>
        <v>0</v>
      </c>
      <c r="N639" s="1072">
        <f>IF(AND(ISNUMBER(System!$C19),System!AQ19=2),J639,PlotData!$CB$3)</f>
        <v>0</v>
      </c>
      <c r="O639" s="1074">
        <f>IF(AND(ISNUMBER(System!$C19),System!AQ19=2),K639-$Z$627,PlotData!$CB$4)</f>
        <v>0</v>
      </c>
      <c r="P639" s="1072">
        <f>IF(E639&lt;&gt;0,IF(System!AQ19=1,L639-$Z$630-$Z$628,N639+$Z$630),PlotData!$CB$3)</f>
        <v>0</v>
      </c>
      <c r="Q639" s="1073">
        <f>IF(E639&lt;&gt;0,IF(System!AQ19=1,M639+$Z$631-Z$633+$Z$632,O639+$Z$631),PlotData!$CB$4)</f>
        <v>0</v>
      </c>
      <c r="R639" s="1073">
        <f>IF(E639&lt;&gt;0,P639+$Z$632,PlotData!$CB$3)</f>
        <v>0</v>
      </c>
      <c r="S639" s="1073">
        <f>IF(E639&lt;&gt;0,Q639-0.4*$Z$633,PlotData!$CB$4)</f>
        <v>0</v>
      </c>
      <c r="T639" s="1073">
        <f>IF(E639&lt;&gt;0,R639,PlotData!$CB$3)</f>
        <v>0</v>
      </c>
      <c r="U639" s="1074">
        <f>IF(E639&lt;&gt;0,S639+$Z$633,PlotData!$CB$4)</f>
        <v>0</v>
      </c>
    </row>
    <row r="640" spans="1:26" x14ac:dyDescent="0.25">
      <c r="A640" s="827">
        <v>17</v>
      </c>
      <c r="B640" s="1072">
        <f t="shared" ref="B640:D655" si="254">B552</f>
        <v>0</v>
      </c>
      <c r="C640" s="1073">
        <f t="shared" si="254"/>
        <v>0</v>
      </c>
      <c r="D640" s="1073">
        <f t="shared" si="254"/>
        <v>0</v>
      </c>
      <c r="E640" s="1074">
        <f>IF(AND(ISNUMBER(System!$C20),System!AQ20&lt;&gt;0),1,0)</f>
        <v>0</v>
      </c>
      <c r="F640" s="1072">
        <f>IF(AND(ISNUMBER(System!$C20),E640&lt;&gt;0),System!BC138,PlotData!$CB$3)</f>
        <v>0</v>
      </c>
      <c r="G640" s="1074">
        <f>IF(AND(ISNUMBER(System!$C20),E640&lt;&gt;0),System!BE138-IF(D640=0,0,1)*$J$1*MIN($E$1,B640)*ABS(C640)- $H$1*$E$1*ABS(D640),PlotData!$CB$4)</f>
        <v>0</v>
      </c>
      <c r="H640" s="1072">
        <f>IF(AND(ISNUMBER(System!$C20),E640&lt;&gt;0),System!BD138,PlotData!$CB$3)</f>
        <v>0</v>
      </c>
      <c r="I640" s="1074">
        <f>IF(AND(ISNUMBER(System!$C20),E640&lt;&gt;0),System!BF138-IF(D640=0,0,1)*$J$1*MIN($E$1,B640)*ABS(C640)-$H$1*$E$1*ABS(D640),PlotData!$CB$4)</f>
        <v>0</v>
      </c>
      <c r="J640" s="1080">
        <f>IF(AND(ISNUMBER(System!$C20),E640&lt;&gt;0),F640+(H640-F640)/2,PlotData!$CB$3)</f>
        <v>0</v>
      </c>
      <c r="K640" s="1074">
        <f>IF(AND(ISNUMBER(System!$C20),E640&lt;&gt;0),G640+(I640-G640)/2,PlotData!$CB$4)</f>
        <v>0</v>
      </c>
      <c r="L640" s="1081">
        <f>IF(AND(ISNUMBER(System!$C20),System!AQ20=1),J640-$Z$627,PlotData!$CB$3)</f>
        <v>0</v>
      </c>
      <c r="M640" s="1074">
        <f>IF(AND(ISNUMBER(System!$C20),System!AQ20=1),K640,PlotData!$CB$4)</f>
        <v>0</v>
      </c>
      <c r="N640" s="1072">
        <f>IF(AND(ISNUMBER(System!$C20),System!AQ20=2),J640,PlotData!$CB$3)</f>
        <v>0</v>
      </c>
      <c r="O640" s="1074">
        <f>IF(AND(ISNUMBER(System!$C20),System!AQ20=2),K640-$Z$627,PlotData!$CB$4)</f>
        <v>0</v>
      </c>
      <c r="P640" s="1072">
        <f>IF(E640&lt;&gt;0,IF(System!AQ20=1,L640-$Z$630-$Z$628,N640+$Z$630),PlotData!$CB$3)</f>
        <v>0</v>
      </c>
      <c r="Q640" s="1073">
        <f>IF(E640&lt;&gt;0,IF(System!AQ20=1,M640+$Z$631-Z$633+$Z$632,O640+$Z$631),PlotData!$CB$4)</f>
        <v>0</v>
      </c>
      <c r="R640" s="1073">
        <f>IF(E640&lt;&gt;0,P640+$Z$632,PlotData!$CB$3)</f>
        <v>0</v>
      </c>
      <c r="S640" s="1073">
        <f>IF(E640&lt;&gt;0,Q640-0.4*$Z$633,PlotData!$CB$4)</f>
        <v>0</v>
      </c>
      <c r="T640" s="1073">
        <f>IF(E640&lt;&gt;0,R640,PlotData!$CB$3)</f>
        <v>0</v>
      </c>
      <c r="U640" s="1074">
        <f>IF(E640&lt;&gt;0,S640+$Z$633,PlotData!$CB$4)</f>
        <v>0</v>
      </c>
    </row>
    <row r="641" spans="1:21" x14ac:dyDescent="0.25">
      <c r="A641" s="827">
        <v>18</v>
      </c>
      <c r="B641" s="1072">
        <f t="shared" si="254"/>
        <v>0</v>
      </c>
      <c r="C641" s="1073">
        <f t="shared" si="254"/>
        <v>0</v>
      </c>
      <c r="D641" s="1073">
        <f t="shared" si="254"/>
        <v>0</v>
      </c>
      <c r="E641" s="1074">
        <f>IF(AND(ISNUMBER(System!$C21),System!AQ21&lt;&gt;0),1,0)</f>
        <v>0</v>
      </c>
      <c r="F641" s="1072">
        <f>IF(AND(ISNUMBER(System!$C21),E641&lt;&gt;0),System!BC139,PlotData!$CB$3)</f>
        <v>0</v>
      </c>
      <c r="G641" s="1074">
        <f>IF(AND(ISNUMBER(System!$C21),E641&lt;&gt;0),System!BE139-IF(D641=0,0,1)*$J$1*MIN($E$1,B641)*ABS(C641)- $H$1*$E$1*ABS(D641),PlotData!$CB$4)</f>
        <v>0</v>
      </c>
      <c r="H641" s="1072">
        <f>IF(AND(ISNUMBER(System!$C21),E641&lt;&gt;0),System!BD139,PlotData!$CB$3)</f>
        <v>0</v>
      </c>
      <c r="I641" s="1074">
        <f>IF(AND(ISNUMBER(System!$C21),E641&lt;&gt;0),System!BF139-IF(D641=0,0,1)*$J$1*MIN($E$1,B641)*ABS(C641)-$H$1*$E$1*ABS(D641),PlotData!$CB$4)</f>
        <v>0</v>
      </c>
      <c r="J641" s="1080">
        <f>IF(AND(ISNUMBER(System!$C21),E641&lt;&gt;0),F641+(H641-F641)/2,PlotData!$CB$3)</f>
        <v>0</v>
      </c>
      <c r="K641" s="1074">
        <f>IF(AND(ISNUMBER(System!$C21),E641&lt;&gt;0),G641+(I641-G641)/2,PlotData!$CB$4)</f>
        <v>0</v>
      </c>
      <c r="L641" s="1081">
        <f>IF(AND(ISNUMBER(System!$C21),System!AQ21=1),J641-$Z$627,PlotData!$CB$3)</f>
        <v>0</v>
      </c>
      <c r="M641" s="1074">
        <f>IF(AND(ISNUMBER(System!$C21),System!AQ21=1),K641,PlotData!$CB$4)</f>
        <v>0</v>
      </c>
      <c r="N641" s="1072">
        <f>IF(AND(ISNUMBER(System!$C21),System!AQ21=2),J641,PlotData!$CB$3)</f>
        <v>0</v>
      </c>
      <c r="O641" s="1074">
        <f>IF(AND(ISNUMBER(System!$C21),System!AQ21=2),K641-$Z$627,PlotData!$CB$4)</f>
        <v>0</v>
      </c>
      <c r="P641" s="1072">
        <f>IF(E641&lt;&gt;0,IF(System!AQ21=1,L641-$Z$630-$Z$628,N641+$Z$630),PlotData!$CB$3)</f>
        <v>0</v>
      </c>
      <c r="Q641" s="1073">
        <f>IF(E641&lt;&gt;0,IF(System!AQ21=1,M641+$Z$631-Z$633+$Z$632,O641+$Z$631),PlotData!$CB$4)</f>
        <v>0</v>
      </c>
      <c r="R641" s="1073">
        <f>IF(E641&lt;&gt;0,P641+$Z$632,PlotData!$CB$3)</f>
        <v>0</v>
      </c>
      <c r="S641" s="1073">
        <f>IF(E641&lt;&gt;0,Q641-0.4*$Z$633,PlotData!$CB$4)</f>
        <v>0</v>
      </c>
      <c r="T641" s="1073">
        <f>IF(E641&lt;&gt;0,R641,PlotData!$CB$3)</f>
        <v>0</v>
      </c>
      <c r="U641" s="1074">
        <f>IF(E641&lt;&gt;0,S641+$Z$633,PlotData!$CB$4)</f>
        <v>0</v>
      </c>
    </row>
    <row r="642" spans="1:21" x14ac:dyDescent="0.25">
      <c r="A642" s="827">
        <v>19</v>
      </c>
      <c r="B642" s="1072">
        <f t="shared" si="254"/>
        <v>0</v>
      </c>
      <c r="C642" s="1073">
        <f t="shared" si="254"/>
        <v>0</v>
      </c>
      <c r="D642" s="1073">
        <f t="shared" si="254"/>
        <v>0</v>
      </c>
      <c r="E642" s="1074">
        <f>IF(AND(ISNUMBER(System!$C22),System!AQ22&lt;&gt;0),1,0)</f>
        <v>0</v>
      </c>
      <c r="F642" s="1072">
        <f>IF(AND(ISNUMBER(System!$C22),E642&lt;&gt;0),System!BC140,PlotData!$CB$3)</f>
        <v>0</v>
      </c>
      <c r="G642" s="1074">
        <f>IF(AND(ISNUMBER(System!$C22),E642&lt;&gt;0),System!BE140-IF(D642=0,0,1)*$J$1*MIN($E$1,B642)*ABS(C642)- $H$1*$E$1*ABS(D642),PlotData!$CB$4)</f>
        <v>0</v>
      </c>
      <c r="H642" s="1072">
        <f>IF(AND(ISNUMBER(System!$C22),E642&lt;&gt;0),System!BD140,PlotData!$CB$3)</f>
        <v>0</v>
      </c>
      <c r="I642" s="1074">
        <f>IF(AND(ISNUMBER(System!$C22),E642&lt;&gt;0),System!BF140-IF(D642=0,0,1)*$J$1*MIN($E$1,B642)*ABS(C642)-$H$1*$E$1*ABS(D642),PlotData!$CB$4)</f>
        <v>0</v>
      </c>
      <c r="J642" s="1080">
        <f>IF(AND(ISNUMBER(System!$C22),E642&lt;&gt;0),F642+(H642-F642)/2,PlotData!$CB$3)</f>
        <v>0</v>
      </c>
      <c r="K642" s="1074">
        <f>IF(AND(ISNUMBER(System!$C22),E642&lt;&gt;0),G642+(I642-G642)/2,PlotData!$CB$4)</f>
        <v>0</v>
      </c>
      <c r="L642" s="1081">
        <f>IF(AND(ISNUMBER(System!$C22),System!AQ22=1),J642-$Z$627,PlotData!$CB$3)</f>
        <v>0</v>
      </c>
      <c r="M642" s="1074">
        <f>IF(AND(ISNUMBER(System!$C22),System!AQ22=1),K642,PlotData!$CB$4)</f>
        <v>0</v>
      </c>
      <c r="N642" s="1072">
        <f>IF(AND(ISNUMBER(System!$C22),System!AQ22=2),J642,PlotData!$CB$3)</f>
        <v>0</v>
      </c>
      <c r="O642" s="1074">
        <f>IF(AND(ISNUMBER(System!$C22),System!AQ22=2),K642-$Z$627,PlotData!$CB$4)</f>
        <v>0</v>
      </c>
      <c r="P642" s="1072">
        <f>IF(E642&lt;&gt;0,IF(System!AQ22=1,L642-$Z$630-$Z$628,N642+$Z$630),PlotData!$CB$3)</f>
        <v>0</v>
      </c>
      <c r="Q642" s="1073">
        <f>IF(E642&lt;&gt;0,IF(System!AQ22=1,M642+$Z$631-Z$633+$Z$632,O642+$Z$631),PlotData!$CB$4)</f>
        <v>0</v>
      </c>
      <c r="R642" s="1073">
        <f>IF(E642&lt;&gt;0,P642+$Z$632,PlotData!$CB$3)</f>
        <v>0</v>
      </c>
      <c r="S642" s="1073">
        <f>IF(E642&lt;&gt;0,Q642-0.4*$Z$633,PlotData!$CB$4)</f>
        <v>0</v>
      </c>
      <c r="T642" s="1073">
        <f>IF(E642&lt;&gt;0,R642,PlotData!$CB$3)</f>
        <v>0</v>
      </c>
      <c r="U642" s="1074">
        <f>IF(E642&lt;&gt;0,S642+$Z$633,PlotData!$CB$4)</f>
        <v>0</v>
      </c>
    </row>
    <row r="643" spans="1:21" x14ac:dyDescent="0.25">
      <c r="A643" s="827">
        <v>20</v>
      </c>
      <c r="B643" s="1072">
        <f t="shared" si="254"/>
        <v>0</v>
      </c>
      <c r="C643" s="1073">
        <f t="shared" si="254"/>
        <v>0</v>
      </c>
      <c r="D643" s="1073">
        <f t="shared" si="254"/>
        <v>0</v>
      </c>
      <c r="E643" s="1074">
        <f>IF(AND(ISNUMBER(System!$C23),System!AQ23&lt;&gt;0),1,0)</f>
        <v>0</v>
      </c>
      <c r="F643" s="1072">
        <f>IF(AND(ISNUMBER(System!$C23),E643&lt;&gt;0),System!BC141,PlotData!$CB$3)</f>
        <v>0</v>
      </c>
      <c r="G643" s="1074">
        <f>IF(AND(ISNUMBER(System!$C23),E643&lt;&gt;0),System!BE141-IF(D643=0,0,1)*$J$1*MIN($E$1,B643)*ABS(C643)- $H$1*$E$1*ABS(D643),PlotData!$CB$4)</f>
        <v>0</v>
      </c>
      <c r="H643" s="1072">
        <f>IF(AND(ISNUMBER(System!$C23),E643&lt;&gt;0),System!BD141,PlotData!$CB$3)</f>
        <v>0</v>
      </c>
      <c r="I643" s="1074">
        <f>IF(AND(ISNUMBER(System!$C23),E643&lt;&gt;0),System!BF141-IF(D643=0,0,1)*$J$1*MIN($E$1,B643)*ABS(C643)-$H$1*$E$1*ABS(D643),PlotData!$CB$4)</f>
        <v>0</v>
      </c>
      <c r="J643" s="1080">
        <f>IF(AND(ISNUMBER(System!$C23),E643&lt;&gt;0),F643+(H643-F643)/2,PlotData!$CB$3)</f>
        <v>0</v>
      </c>
      <c r="K643" s="1074">
        <f>IF(AND(ISNUMBER(System!$C23),E643&lt;&gt;0),G643+(I643-G643)/2,PlotData!$CB$4)</f>
        <v>0</v>
      </c>
      <c r="L643" s="1081">
        <f>IF(AND(ISNUMBER(System!$C23),System!AQ23=1),J643-$Z$627,PlotData!$CB$3)</f>
        <v>0</v>
      </c>
      <c r="M643" s="1074">
        <f>IF(AND(ISNUMBER(System!$C23),System!AQ23=1),K643,PlotData!$CB$4)</f>
        <v>0</v>
      </c>
      <c r="N643" s="1072">
        <f>IF(AND(ISNUMBER(System!$C23),System!AQ23=2),J643,PlotData!$CB$3)</f>
        <v>0</v>
      </c>
      <c r="O643" s="1074">
        <f>IF(AND(ISNUMBER(System!$C23),System!AQ23=2),K643-$Z$627,PlotData!$CB$4)</f>
        <v>0</v>
      </c>
      <c r="P643" s="1072">
        <f>IF(E643&lt;&gt;0,IF(System!AQ23=1,L643-$Z$630-$Z$628,N643+$Z$630),PlotData!$CB$3)</f>
        <v>0</v>
      </c>
      <c r="Q643" s="1073">
        <f>IF(E643&lt;&gt;0,IF(System!AQ23=1,M643+$Z$631-Z$633+$Z$632,O643+$Z$631),PlotData!$CB$4)</f>
        <v>0</v>
      </c>
      <c r="R643" s="1073">
        <f>IF(E643&lt;&gt;0,P643+$Z$632,PlotData!$CB$3)</f>
        <v>0</v>
      </c>
      <c r="S643" s="1073">
        <f>IF(E643&lt;&gt;0,Q643-0.4*$Z$633,PlotData!$CB$4)</f>
        <v>0</v>
      </c>
      <c r="T643" s="1073">
        <f>IF(E643&lt;&gt;0,R643,PlotData!$CB$3)</f>
        <v>0</v>
      </c>
      <c r="U643" s="1074">
        <f>IF(E643&lt;&gt;0,S643+$Z$633,PlotData!$CB$4)</f>
        <v>0</v>
      </c>
    </row>
    <row r="644" spans="1:21" x14ac:dyDescent="0.25">
      <c r="A644" s="827">
        <v>21</v>
      </c>
      <c r="B644" s="1072">
        <f t="shared" si="254"/>
        <v>0</v>
      </c>
      <c r="C644" s="1073">
        <f t="shared" si="254"/>
        <v>0</v>
      </c>
      <c r="D644" s="1073">
        <f t="shared" si="254"/>
        <v>0</v>
      </c>
      <c r="E644" s="1074">
        <f>IF(AND(ISNUMBER(System!$C24),System!AQ24&lt;&gt;0),1,0)</f>
        <v>0</v>
      </c>
      <c r="F644" s="1072">
        <f>IF(AND(ISNUMBER(System!$C24),E644&lt;&gt;0),System!BC142,PlotData!$CB$3)</f>
        <v>0</v>
      </c>
      <c r="G644" s="1074">
        <f>IF(AND(ISNUMBER(System!$C24),E644&lt;&gt;0),System!BE142-IF(D644=0,0,1)*$J$1*MIN($E$1,B644)*ABS(C644)- $H$1*$E$1*ABS(D644),PlotData!$CB$4)</f>
        <v>0</v>
      </c>
      <c r="H644" s="1072">
        <f>IF(AND(ISNUMBER(System!$C24),E644&lt;&gt;0),System!BD142,PlotData!$CB$3)</f>
        <v>0</v>
      </c>
      <c r="I644" s="1074">
        <f>IF(AND(ISNUMBER(System!$C24),E644&lt;&gt;0),System!BF142-IF(D644=0,0,1)*$J$1*MIN($E$1,B644)*ABS(C644)-$H$1*$E$1*ABS(D644),PlotData!$CB$4)</f>
        <v>0</v>
      </c>
      <c r="J644" s="1080">
        <f>IF(AND(ISNUMBER(System!$C24),E644&lt;&gt;0),F644+(H644-F644)/2,PlotData!$CB$3)</f>
        <v>0</v>
      </c>
      <c r="K644" s="1074">
        <f>IF(AND(ISNUMBER(System!$C24),E644&lt;&gt;0),G644+(I644-G644)/2,PlotData!$CB$4)</f>
        <v>0</v>
      </c>
      <c r="L644" s="1081">
        <f>IF(AND(ISNUMBER(System!$C24),System!AQ24=1),J644-$Z$627,PlotData!$CB$3)</f>
        <v>0</v>
      </c>
      <c r="M644" s="1074">
        <f>IF(AND(ISNUMBER(System!$C24),System!AQ24=1),K644,PlotData!$CB$4)</f>
        <v>0</v>
      </c>
      <c r="N644" s="1072">
        <f>IF(AND(ISNUMBER(System!$C24),System!AQ24=2),J644,PlotData!$CB$3)</f>
        <v>0</v>
      </c>
      <c r="O644" s="1074">
        <f>IF(AND(ISNUMBER(System!$C24),System!AQ24=2),K644-$Z$627,PlotData!$CB$4)</f>
        <v>0</v>
      </c>
      <c r="P644" s="1072">
        <f>IF(E644&lt;&gt;0,IF(System!AQ24=1,L644-$Z$630-$Z$628,N644+$Z$630),PlotData!$CB$3)</f>
        <v>0</v>
      </c>
      <c r="Q644" s="1073">
        <f>IF(E644&lt;&gt;0,IF(System!AQ24=1,M644+$Z$631-Z$633+$Z$632,O644+$Z$631),PlotData!$CB$4)</f>
        <v>0</v>
      </c>
      <c r="R644" s="1073">
        <f>IF(E644&lt;&gt;0,P644+$Z$632,PlotData!$CB$3)</f>
        <v>0</v>
      </c>
      <c r="S644" s="1073">
        <f>IF(E644&lt;&gt;0,Q644-0.4*$Z$633,PlotData!$CB$4)</f>
        <v>0</v>
      </c>
      <c r="T644" s="1073">
        <f>IF(E644&lt;&gt;0,R644,PlotData!$CB$3)</f>
        <v>0</v>
      </c>
      <c r="U644" s="1074">
        <f>IF(E644&lt;&gt;0,S644+$Z$633,PlotData!$CB$4)</f>
        <v>0</v>
      </c>
    </row>
    <row r="645" spans="1:21" x14ac:dyDescent="0.25">
      <c r="A645" s="827">
        <v>22</v>
      </c>
      <c r="B645" s="1072">
        <f t="shared" si="254"/>
        <v>0</v>
      </c>
      <c r="C645" s="1073">
        <f t="shared" si="254"/>
        <v>0</v>
      </c>
      <c r="D645" s="1073">
        <f t="shared" si="254"/>
        <v>0</v>
      </c>
      <c r="E645" s="1074">
        <f>IF(AND(ISNUMBER(System!$C25),System!AQ25&lt;&gt;0),1,0)</f>
        <v>0</v>
      </c>
      <c r="F645" s="1072">
        <f>IF(AND(ISNUMBER(System!$C25),E645&lt;&gt;0),System!BC143,PlotData!$CB$3)</f>
        <v>0</v>
      </c>
      <c r="G645" s="1074">
        <f>IF(AND(ISNUMBER(System!$C25),E645&lt;&gt;0),System!BE143-IF(D645=0,0,1)*$J$1*MIN($E$1,B645)*ABS(C645)- $H$1*$E$1*ABS(D645),PlotData!$CB$4)</f>
        <v>0</v>
      </c>
      <c r="H645" s="1072">
        <f>IF(AND(ISNUMBER(System!$C25),E645&lt;&gt;0),System!BD143,PlotData!$CB$3)</f>
        <v>0</v>
      </c>
      <c r="I645" s="1074">
        <f>IF(AND(ISNUMBER(System!$C25),E645&lt;&gt;0),System!BF143-IF(D645=0,0,1)*$J$1*MIN($E$1,B645)*ABS(C645)-$H$1*$E$1*ABS(D645),PlotData!$CB$4)</f>
        <v>0</v>
      </c>
      <c r="J645" s="1080">
        <f>IF(AND(ISNUMBER(System!$C25),E645&lt;&gt;0),F645+(H645-F645)/2,PlotData!$CB$3)</f>
        <v>0</v>
      </c>
      <c r="K645" s="1074">
        <f>IF(AND(ISNUMBER(System!$C25),E645&lt;&gt;0),G645+(I645-G645)/2,PlotData!$CB$4)</f>
        <v>0</v>
      </c>
      <c r="L645" s="1081">
        <f>IF(AND(ISNUMBER(System!$C25),System!AQ25=1),J645-$Z$627,PlotData!$CB$3)</f>
        <v>0</v>
      </c>
      <c r="M645" s="1074">
        <f>IF(AND(ISNUMBER(System!$C25),System!AQ25=1),K645,PlotData!$CB$4)</f>
        <v>0</v>
      </c>
      <c r="N645" s="1072">
        <f>IF(AND(ISNUMBER(System!$C25),System!AQ25=2),J645,PlotData!$CB$3)</f>
        <v>0</v>
      </c>
      <c r="O645" s="1074">
        <f>IF(AND(ISNUMBER(System!$C25),System!AQ25=2),K645-$Z$627,PlotData!$CB$4)</f>
        <v>0</v>
      </c>
      <c r="P645" s="1072">
        <f>IF(E645&lt;&gt;0,IF(System!AQ25=1,L645-$Z$630-$Z$628,N645+$Z$630),PlotData!$CB$3)</f>
        <v>0</v>
      </c>
      <c r="Q645" s="1073">
        <f>IF(E645&lt;&gt;0,IF(System!AQ25=1,M645+$Z$631-Z$633+$Z$632,O645+$Z$631),PlotData!$CB$4)</f>
        <v>0</v>
      </c>
      <c r="R645" s="1073">
        <f>IF(E645&lt;&gt;0,P645+$Z$632,PlotData!$CB$3)</f>
        <v>0</v>
      </c>
      <c r="S645" s="1073">
        <f>IF(E645&lt;&gt;0,Q645-0.4*$Z$633,PlotData!$CB$4)</f>
        <v>0</v>
      </c>
      <c r="T645" s="1073">
        <f>IF(E645&lt;&gt;0,R645,PlotData!$CB$3)</f>
        <v>0</v>
      </c>
      <c r="U645" s="1074">
        <f>IF(E645&lt;&gt;0,S645+$Z$633,PlotData!$CB$4)</f>
        <v>0</v>
      </c>
    </row>
    <row r="646" spans="1:21" x14ac:dyDescent="0.25">
      <c r="A646" s="827">
        <v>23</v>
      </c>
      <c r="B646" s="1072">
        <f t="shared" si="254"/>
        <v>0</v>
      </c>
      <c r="C646" s="1073">
        <f t="shared" si="254"/>
        <v>0</v>
      </c>
      <c r="D646" s="1073">
        <f t="shared" si="254"/>
        <v>0</v>
      </c>
      <c r="E646" s="1074">
        <f>IF(AND(ISNUMBER(System!$C26),System!AQ26&lt;&gt;0),1,0)</f>
        <v>0</v>
      </c>
      <c r="F646" s="1072">
        <f>IF(AND(ISNUMBER(System!$C26),E646&lt;&gt;0),System!BC144,PlotData!$CB$3)</f>
        <v>0</v>
      </c>
      <c r="G646" s="1074">
        <f>IF(AND(ISNUMBER(System!$C26),E646&lt;&gt;0),System!BE144-IF(D646=0,0,1)*$J$1*MIN($E$1,B646)*ABS(C646)- $H$1*$E$1*ABS(D646),PlotData!$CB$4)</f>
        <v>0</v>
      </c>
      <c r="H646" s="1072">
        <f>IF(AND(ISNUMBER(System!$C26),E646&lt;&gt;0),System!BD144,PlotData!$CB$3)</f>
        <v>0</v>
      </c>
      <c r="I646" s="1074">
        <f>IF(AND(ISNUMBER(System!$C26),E646&lt;&gt;0),System!BF144-IF(D646=0,0,1)*$J$1*MIN($E$1,B646)*ABS(C646)-$H$1*$E$1*ABS(D646),PlotData!$CB$4)</f>
        <v>0</v>
      </c>
      <c r="J646" s="1080">
        <f>IF(AND(ISNUMBER(System!$C26),E646&lt;&gt;0),F646+(H646-F646)/2,PlotData!$CB$3)</f>
        <v>0</v>
      </c>
      <c r="K646" s="1074">
        <f>IF(AND(ISNUMBER(System!$C26),E646&lt;&gt;0),G646+(I646-G646)/2,PlotData!$CB$4)</f>
        <v>0</v>
      </c>
      <c r="L646" s="1081">
        <f>IF(AND(ISNUMBER(System!$C26),System!AQ26=1),J646-$Z$627,PlotData!$CB$3)</f>
        <v>0</v>
      </c>
      <c r="M646" s="1074">
        <f>IF(AND(ISNUMBER(System!$C26),System!AQ26=1),K646,PlotData!$CB$4)</f>
        <v>0</v>
      </c>
      <c r="N646" s="1072">
        <f>IF(AND(ISNUMBER(System!$C26),System!AQ26=2),J646,PlotData!$CB$3)</f>
        <v>0</v>
      </c>
      <c r="O646" s="1074">
        <f>IF(AND(ISNUMBER(System!$C26),System!AQ26=2),K646-$Z$627,PlotData!$CB$4)</f>
        <v>0</v>
      </c>
      <c r="P646" s="1072">
        <f>IF(E646&lt;&gt;0,IF(System!AQ26=1,L646-$Z$630-$Z$628,N646+$Z$630),PlotData!$CB$3)</f>
        <v>0</v>
      </c>
      <c r="Q646" s="1073">
        <f>IF(E646&lt;&gt;0,IF(System!AQ26=1,M646+$Z$631-Z$633+$Z$632,O646+$Z$631),PlotData!$CB$4)</f>
        <v>0</v>
      </c>
      <c r="R646" s="1073">
        <f>IF(E646&lt;&gt;0,P646+$Z$632,PlotData!$CB$3)</f>
        <v>0</v>
      </c>
      <c r="S646" s="1073">
        <f>IF(E646&lt;&gt;0,Q646-0.4*$Z$633,PlotData!$CB$4)</f>
        <v>0</v>
      </c>
      <c r="T646" s="1073">
        <f>IF(E646&lt;&gt;0,R646,PlotData!$CB$3)</f>
        <v>0</v>
      </c>
      <c r="U646" s="1074">
        <f>IF(E646&lt;&gt;0,S646+$Z$633,PlotData!$CB$4)</f>
        <v>0</v>
      </c>
    </row>
    <row r="647" spans="1:21" x14ac:dyDescent="0.25">
      <c r="A647" s="827">
        <v>24</v>
      </c>
      <c r="B647" s="1072">
        <f t="shared" si="254"/>
        <v>0</v>
      </c>
      <c r="C647" s="1073">
        <f t="shared" si="254"/>
        <v>0</v>
      </c>
      <c r="D647" s="1073">
        <f t="shared" si="254"/>
        <v>0</v>
      </c>
      <c r="E647" s="1074">
        <f>IF(AND(ISNUMBER(System!$C27),System!AQ27&lt;&gt;0),1,0)</f>
        <v>0</v>
      </c>
      <c r="F647" s="1072">
        <f>IF(AND(ISNUMBER(System!$C27),E647&lt;&gt;0),System!BC145,PlotData!$CB$3)</f>
        <v>0</v>
      </c>
      <c r="G647" s="1074">
        <f>IF(AND(ISNUMBER(System!$C27),E647&lt;&gt;0),System!BE145-IF(D647=0,0,1)*$J$1*MIN($E$1,B647)*ABS(C647)- $H$1*$E$1*ABS(D647),PlotData!$CB$4)</f>
        <v>0</v>
      </c>
      <c r="H647" s="1072">
        <f>IF(AND(ISNUMBER(System!$C27),E647&lt;&gt;0),System!BD145,PlotData!$CB$3)</f>
        <v>0</v>
      </c>
      <c r="I647" s="1074">
        <f>IF(AND(ISNUMBER(System!$C27),E647&lt;&gt;0),System!BF145-IF(D647=0,0,1)*$J$1*MIN($E$1,B647)*ABS(C647)-$H$1*$E$1*ABS(D647),PlotData!$CB$4)</f>
        <v>0</v>
      </c>
      <c r="J647" s="1080">
        <f>IF(AND(ISNUMBER(System!$C27),E647&lt;&gt;0),F647+(H647-F647)/2,PlotData!$CB$3)</f>
        <v>0</v>
      </c>
      <c r="K647" s="1074">
        <f>IF(AND(ISNUMBER(System!$C27),E647&lt;&gt;0),G647+(I647-G647)/2,PlotData!$CB$4)</f>
        <v>0</v>
      </c>
      <c r="L647" s="1081">
        <f>IF(AND(ISNUMBER(System!$C27),System!AQ27=1),J647-$Z$627,PlotData!$CB$3)</f>
        <v>0</v>
      </c>
      <c r="M647" s="1074">
        <f>IF(AND(ISNUMBER(System!$C27),System!AQ27=1),K647,PlotData!$CB$4)</f>
        <v>0</v>
      </c>
      <c r="N647" s="1072">
        <f>IF(AND(ISNUMBER(System!$C27),System!AQ27=2),J647,PlotData!$CB$3)</f>
        <v>0</v>
      </c>
      <c r="O647" s="1074">
        <f>IF(AND(ISNUMBER(System!$C27),System!AQ27=2),K647-$Z$627,PlotData!$CB$4)</f>
        <v>0</v>
      </c>
      <c r="P647" s="1072">
        <f>IF(E647&lt;&gt;0,IF(System!AQ27=1,L647-$Z$630-$Z$628,N647+$Z$630),PlotData!$CB$3)</f>
        <v>0</v>
      </c>
      <c r="Q647" s="1073">
        <f>IF(E647&lt;&gt;0,IF(System!AQ27=1,M647+$Z$631-Z$633+$Z$632,O647+$Z$631),PlotData!$CB$4)</f>
        <v>0</v>
      </c>
      <c r="R647" s="1073">
        <f>IF(E647&lt;&gt;0,P647+$Z$632,PlotData!$CB$3)</f>
        <v>0</v>
      </c>
      <c r="S647" s="1073">
        <f>IF(E647&lt;&gt;0,Q647-0.4*$Z$633,PlotData!$CB$4)</f>
        <v>0</v>
      </c>
      <c r="T647" s="1073">
        <f>IF(E647&lt;&gt;0,R647,PlotData!$CB$3)</f>
        <v>0</v>
      </c>
      <c r="U647" s="1074">
        <f>IF(E647&lt;&gt;0,S647+$Z$633,PlotData!$CB$4)</f>
        <v>0</v>
      </c>
    </row>
    <row r="648" spans="1:21" x14ac:dyDescent="0.25">
      <c r="A648" s="827">
        <v>25</v>
      </c>
      <c r="B648" s="1072">
        <f t="shared" si="254"/>
        <v>0</v>
      </c>
      <c r="C648" s="1073">
        <f t="shared" si="254"/>
        <v>0</v>
      </c>
      <c r="D648" s="1073">
        <f t="shared" si="254"/>
        <v>0</v>
      </c>
      <c r="E648" s="1074">
        <f>IF(AND(ISNUMBER(System!$C28),System!AQ28&lt;&gt;0),1,0)</f>
        <v>0</v>
      </c>
      <c r="F648" s="1072">
        <f>IF(AND(ISNUMBER(System!$C28),E648&lt;&gt;0),System!BC146,PlotData!$CB$3)</f>
        <v>0</v>
      </c>
      <c r="G648" s="1074">
        <f>IF(AND(ISNUMBER(System!$C28),E648&lt;&gt;0),System!BE146-IF(D648=0,0,1)*$J$1*MIN($E$1,B648)*ABS(C648)- $H$1*$E$1*ABS(D648),PlotData!$CB$4)</f>
        <v>0</v>
      </c>
      <c r="H648" s="1072">
        <f>IF(AND(ISNUMBER(System!$C28),E648&lt;&gt;0),System!BD146,PlotData!$CB$3)</f>
        <v>0</v>
      </c>
      <c r="I648" s="1074">
        <f>IF(AND(ISNUMBER(System!$C28),E648&lt;&gt;0),System!BF146-IF(D648=0,0,1)*$J$1*MIN($E$1,B648)*ABS(C648)-$H$1*$E$1*ABS(D648),PlotData!$CB$4)</f>
        <v>0</v>
      </c>
      <c r="J648" s="1080">
        <f>IF(AND(ISNUMBER(System!$C28),E648&lt;&gt;0),F648+(H648-F648)/2,PlotData!$CB$3)</f>
        <v>0</v>
      </c>
      <c r="K648" s="1074">
        <f>IF(AND(ISNUMBER(System!$C28),E648&lt;&gt;0),G648+(I648-G648)/2,PlotData!$CB$4)</f>
        <v>0</v>
      </c>
      <c r="L648" s="1081">
        <f>IF(AND(ISNUMBER(System!$C28),System!AQ28=1),J648-$Z$627,PlotData!$CB$3)</f>
        <v>0</v>
      </c>
      <c r="M648" s="1074">
        <f>IF(AND(ISNUMBER(System!$C28),System!AQ28=1),K648,PlotData!$CB$4)</f>
        <v>0</v>
      </c>
      <c r="N648" s="1072">
        <f>IF(AND(ISNUMBER(System!$C28),System!AQ28=2),J648,PlotData!$CB$3)</f>
        <v>0</v>
      </c>
      <c r="O648" s="1074">
        <f>IF(AND(ISNUMBER(System!$C28),System!AQ28=2),K648-$Z$627,PlotData!$CB$4)</f>
        <v>0</v>
      </c>
      <c r="P648" s="1072">
        <f>IF(E648&lt;&gt;0,IF(System!AQ28=1,L648-$Z$630-$Z$628,N648+$Z$630),PlotData!$CB$3)</f>
        <v>0</v>
      </c>
      <c r="Q648" s="1073">
        <f>IF(E648&lt;&gt;0,IF(System!AQ28=1,M648+$Z$631-Z$633+$Z$632,O648+$Z$631),PlotData!$CB$4)</f>
        <v>0</v>
      </c>
      <c r="R648" s="1073">
        <f>IF(E648&lt;&gt;0,P648+$Z$632,PlotData!$CB$3)</f>
        <v>0</v>
      </c>
      <c r="S648" s="1073">
        <f>IF(E648&lt;&gt;0,Q648-0.4*$Z$633,PlotData!$CB$4)</f>
        <v>0</v>
      </c>
      <c r="T648" s="1073">
        <f>IF(E648&lt;&gt;0,R648,PlotData!$CB$3)</f>
        <v>0</v>
      </c>
      <c r="U648" s="1074">
        <f>IF(E648&lt;&gt;0,S648+$Z$633,PlotData!$CB$4)</f>
        <v>0</v>
      </c>
    </row>
    <row r="649" spans="1:21" x14ac:dyDescent="0.25">
      <c r="A649" s="827">
        <v>26</v>
      </c>
      <c r="B649" s="1072">
        <f t="shared" si="254"/>
        <v>0</v>
      </c>
      <c r="C649" s="1073">
        <f t="shared" si="254"/>
        <v>0</v>
      </c>
      <c r="D649" s="1073">
        <f t="shared" si="254"/>
        <v>0</v>
      </c>
      <c r="E649" s="1074">
        <f>IF(AND(ISNUMBER(System!$C29),System!AQ29&lt;&gt;0),1,0)</f>
        <v>0</v>
      </c>
      <c r="F649" s="1072">
        <f>IF(AND(ISNUMBER(System!$C29),E649&lt;&gt;0),System!BC147,PlotData!$CB$3)</f>
        <v>0</v>
      </c>
      <c r="G649" s="1074">
        <f>IF(AND(ISNUMBER(System!$C29),E649&lt;&gt;0),System!BE147-IF(D649=0,0,1)*$J$1*MIN($E$1,B649)*ABS(C649)- $H$1*$E$1*ABS(D649),PlotData!$CB$4)</f>
        <v>0</v>
      </c>
      <c r="H649" s="1072">
        <f>IF(AND(ISNUMBER(System!$C29),E649&lt;&gt;0),System!BD147,PlotData!$CB$3)</f>
        <v>0</v>
      </c>
      <c r="I649" s="1074">
        <f>IF(AND(ISNUMBER(System!$C29),E649&lt;&gt;0),System!BF147-IF(D649=0,0,1)*$J$1*MIN($E$1,B649)*ABS(C649)-$H$1*$E$1*ABS(D649),PlotData!$CB$4)</f>
        <v>0</v>
      </c>
      <c r="J649" s="1080">
        <f>IF(AND(ISNUMBER(System!$C29),E649&lt;&gt;0),F649+(H649-F649)/2,PlotData!$CB$3)</f>
        <v>0</v>
      </c>
      <c r="K649" s="1074">
        <f>IF(AND(ISNUMBER(System!$C29),E649&lt;&gt;0),G649+(I649-G649)/2,PlotData!$CB$4)</f>
        <v>0</v>
      </c>
      <c r="L649" s="1081">
        <f>IF(AND(ISNUMBER(System!$C29),System!AQ29=1),J649-$Z$627,PlotData!$CB$3)</f>
        <v>0</v>
      </c>
      <c r="M649" s="1074">
        <f>IF(AND(ISNUMBER(System!$C29),System!AQ29=1),K649,PlotData!$CB$4)</f>
        <v>0</v>
      </c>
      <c r="N649" s="1072">
        <f>IF(AND(ISNUMBER(System!$C29),System!AQ29=2),J649,PlotData!$CB$3)</f>
        <v>0</v>
      </c>
      <c r="O649" s="1074">
        <f>IF(AND(ISNUMBER(System!$C29),System!AQ29=2),K649-$Z$627,PlotData!$CB$4)</f>
        <v>0</v>
      </c>
      <c r="P649" s="1072">
        <f>IF(E649&lt;&gt;0,IF(System!AQ29=1,L649-$Z$630-$Z$628,N649+$Z$630),PlotData!$CB$3)</f>
        <v>0</v>
      </c>
      <c r="Q649" s="1073">
        <f>IF(E649&lt;&gt;0,IF(System!AQ29=1,M649+$Z$631-Z$633+$Z$632,O649+$Z$631),PlotData!$CB$4)</f>
        <v>0</v>
      </c>
      <c r="R649" s="1073">
        <f>IF(E649&lt;&gt;0,P649+$Z$632,PlotData!$CB$3)</f>
        <v>0</v>
      </c>
      <c r="S649" s="1073">
        <f>IF(E649&lt;&gt;0,Q649-0.4*$Z$633,PlotData!$CB$4)</f>
        <v>0</v>
      </c>
      <c r="T649" s="1073">
        <f>IF(E649&lt;&gt;0,R649,PlotData!$CB$3)</f>
        <v>0</v>
      </c>
      <c r="U649" s="1074">
        <f>IF(E649&lt;&gt;0,S649+$Z$633,PlotData!$CB$4)</f>
        <v>0</v>
      </c>
    </row>
    <row r="650" spans="1:21" x14ac:dyDescent="0.25">
      <c r="A650" s="827">
        <v>27</v>
      </c>
      <c r="B650" s="1072">
        <f t="shared" si="254"/>
        <v>0</v>
      </c>
      <c r="C650" s="1073">
        <f t="shared" si="254"/>
        <v>0</v>
      </c>
      <c r="D650" s="1073">
        <f t="shared" si="254"/>
        <v>0</v>
      </c>
      <c r="E650" s="1074">
        <f>IF(AND(ISNUMBER(System!$C30),System!AQ30&lt;&gt;0),1,0)</f>
        <v>0</v>
      </c>
      <c r="F650" s="1072">
        <f>IF(AND(ISNUMBER(System!$C30),E650&lt;&gt;0),System!BC148,PlotData!$CB$3)</f>
        <v>0</v>
      </c>
      <c r="G650" s="1074">
        <f>IF(AND(ISNUMBER(System!$C30),E650&lt;&gt;0),System!BE148-IF(D650=0,0,1)*$J$1*MIN($E$1,B650)*ABS(C650)- $H$1*$E$1*ABS(D650),PlotData!$CB$4)</f>
        <v>0</v>
      </c>
      <c r="H650" s="1072">
        <f>IF(AND(ISNUMBER(System!$C30),E650&lt;&gt;0),System!BD148,PlotData!$CB$3)</f>
        <v>0</v>
      </c>
      <c r="I650" s="1074">
        <f>IF(AND(ISNUMBER(System!$C30),E650&lt;&gt;0),System!BF148-IF(D650=0,0,1)*$J$1*MIN($E$1,B650)*ABS(C650)-$H$1*$E$1*ABS(D650),PlotData!$CB$4)</f>
        <v>0</v>
      </c>
      <c r="J650" s="1080">
        <f>IF(AND(ISNUMBER(System!$C30),E650&lt;&gt;0),F650+(H650-F650)/2,PlotData!$CB$3)</f>
        <v>0</v>
      </c>
      <c r="K650" s="1074">
        <f>IF(AND(ISNUMBER(System!$C30),E650&lt;&gt;0),G650+(I650-G650)/2,PlotData!$CB$4)</f>
        <v>0</v>
      </c>
      <c r="L650" s="1081">
        <f>IF(AND(ISNUMBER(System!$C30),System!AQ30=1),J650-$Z$627,PlotData!$CB$3)</f>
        <v>0</v>
      </c>
      <c r="M650" s="1074">
        <f>IF(AND(ISNUMBER(System!$C30),System!AQ30=1),K650,PlotData!$CB$4)</f>
        <v>0</v>
      </c>
      <c r="N650" s="1072">
        <f>IF(AND(ISNUMBER(System!$C30),System!AQ30=2),J650,PlotData!$CB$3)</f>
        <v>0</v>
      </c>
      <c r="O650" s="1074">
        <f>IF(AND(ISNUMBER(System!$C30),System!AQ30=2),K650-$Z$627,PlotData!$CB$4)</f>
        <v>0</v>
      </c>
      <c r="P650" s="1072">
        <f>IF(E650&lt;&gt;0,IF(System!AQ30=1,L650-$Z$630-$Z$628,N650+$Z$630),PlotData!$CB$3)</f>
        <v>0</v>
      </c>
      <c r="Q650" s="1073">
        <f>IF(E650&lt;&gt;0,IF(System!AQ30=1,M650+$Z$631-Z$633+$Z$632,O650+$Z$631),PlotData!$CB$4)</f>
        <v>0</v>
      </c>
      <c r="R650" s="1073">
        <f>IF(E650&lt;&gt;0,P650+$Z$632,PlotData!$CB$3)</f>
        <v>0</v>
      </c>
      <c r="S650" s="1073">
        <f>IF(E650&lt;&gt;0,Q650-0.4*$Z$633,PlotData!$CB$4)</f>
        <v>0</v>
      </c>
      <c r="T650" s="1073">
        <f>IF(E650&lt;&gt;0,R650,PlotData!$CB$3)</f>
        <v>0</v>
      </c>
      <c r="U650" s="1074">
        <f>IF(E650&lt;&gt;0,S650+$Z$633,PlotData!$CB$4)</f>
        <v>0</v>
      </c>
    </row>
    <row r="651" spans="1:21" x14ac:dyDescent="0.25">
      <c r="A651" s="827">
        <v>28</v>
      </c>
      <c r="B651" s="1072">
        <f t="shared" si="254"/>
        <v>0</v>
      </c>
      <c r="C651" s="1073">
        <f t="shared" si="254"/>
        <v>0</v>
      </c>
      <c r="D651" s="1073">
        <f t="shared" si="254"/>
        <v>0</v>
      </c>
      <c r="E651" s="1074">
        <f>IF(AND(ISNUMBER(System!$C31),System!AQ31&lt;&gt;0),1,0)</f>
        <v>0</v>
      </c>
      <c r="F651" s="1072">
        <f>IF(AND(ISNUMBER(System!$C31),E651&lt;&gt;0),System!BC149,PlotData!$CB$3)</f>
        <v>0</v>
      </c>
      <c r="G651" s="1074">
        <f>IF(AND(ISNUMBER(System!$C31),E651&lt;&gt;0),System!BE149-IF(D651=0,0,1)*$J$1*MIN($E$1,B651)*ABS(C651)- $H$1*$E$1*ABS(D651),PlotData!$CB$4)</f>
        <v>0</v>
      </c>
      <c r="H651" s="1072">
        <f>IF(AND(ISNUMBER(System!$C31),E651&lt;&gt;0),System!BD149,PlotData!$CB$3)</f>
        <v>0</v>
      </c>
      <c r="I651" s="1074">
        <f>IF(AND(ISNUMBER(System!$C31),E651&lt;&gt;0),System!BF149-IF(D651=0,0,1)*$J$1*MIN($E$1,B651)*ABS(C651)-$H$1*$E$1*ABS(D651),PlotData!$CB$4)</f>
        <v>0</v>
      </c>
      <c r="J651" s="1080">
        <f>IF(AND(ISNUMBER(System!$C31),E651&lt;&gt;0),F651+(H651-F651)/2,PlotData!$CB$3)</f>
        <v>0</v>
      </c>
      <c r="K651" s="1074">
        <f>IF(AND(ISNUMBER(System!$C31),E651&lt;&gt;0),G651+(I651-G651)/2,PlotData!$CB$4)</f>
        <v>0</v>
      </c>
      <c r="L651" s="1081">
        <f>IF(AND(ISNUMBER(System!$C31),System!AQ31=1),J651-$Z$627,PlotData!$CB$3)</f>
        <v>0</v>
      </c>
      <c r="M651" s="1074">
        <f>IF(AND(ISNUMBER(System!$C31),System!AQ31=1),K651,PlotData!$CB$4)</f>
        <v>0</v>
      </c>
      <c r="N651" s="1072">
        <f>IF(AND(ISNUMBER(System!$C31),System!AQ31=2),J651,PlotData!$CB$3)</f>
        <v>0</v>
      </c>
      <c r="O651" s="1074">
        <f>IF(AND(ISNUMBER(System!$C31),System!AQ31=2),K651-$Z$627,PlotData!$CB$4)</f>
        <v>0</v>
      </c>
      <c r="P651" s="1072">
        <f>IF(E651&lt;&gt;0,IF(System!AQ31=1,L651-$Z$630-$Z$628,N651+$Z$630),PlotData!$CB$3)</f>
        <v>0</v>
      </c>
      <c r="Q651" s="1073">
        <f>IF(E651&lt;&gt;0,IF(System!AQ31=1,M651+$Z$631-Z$633+$Z$632,O651+$Z$631),PlotData!$CB$4)</f>
        <v>0</v>
      </c>
      <c r="R651" s="1073">
        <f>IF(E651&lt;&gt;0,P651+$Z$632,PlotData!$CB$3)</f>
        <v>0</v>
      </c>
      <c r="S651" s="1073">
        <f>IF(E651&lt;&gt;0,Q651-0.4*$Z$633,PlotData!$CB$4)</f>
        <v>0</v>
      </c>
      <c r="T651" s="1073">
        <f>IF(E651&lt;&gt;0,R651,PlotData!$CB$3)</f>
        <v>0</v>
      </c>
      <c r="U651" s="1074">
        <f>IF(E651&lt;&gt;0,S651+$Z$633,PlotData!$CB$4)</f>
        <v>0</v>
      </c>
    </row>
    <row r="652" spans="1:21" x14ac:dyDescent="0.25">
      <c r="A652" s="827">
        <v>29</v>
      </c>
      <c r="B652" s="1072">
        <f t="shared" si="254"/>
        <v>0</v>
      </c>
      <c r="C652" s="1073">
        <f t="shared" si="254"/>
        <v>0</v>
      </c>
      <c r="D652" s="1073">
        <f t="shared" si="254"/>
        <v>0</v>
      </c>
      <c r="E652" s="1074">
        <f>IF(AND(ISNUMBER(System!$C32),System!AQ32&lt;&gt;0),1,0)</f>
        <v>0</v>
      </c>
      <c r="F652" s="1072">
        <f>IF(AND(ISNUMBER(System!$C32),E652&lt;&gt;0),System!BC150,PlotData!$CB$3)</f>
        <v>0</v>
      </c>
      <c r="G652" s="1074">
        <f>IF(AND(ISNUMBER(System!$C32),E652&lt;&gt;0),System!BE150-IF(D652=0,0,1)*$J$1*MIN($E$1,B652)*ABS(C652)- $H$1*$E$1*ABS(D652),PlotData!$CB$4)</f>
        <v>0</v>
      </c>
      <c r="H652" s="1072">
        <f>IF(AND(ISNUMBER(System!$C32),E652&lt;&gt;0),System!BD150,PlotData!$CB$3)</f>
        <v>0</v>
      </c>
      <c r="I652" s="1074">
        <f>IF(AND(ISNUMBER(System!$C32),E652&lt;&gt;0),System!BF150-IF(D652=0,0,1)*$J$1*MIN($E$1,B652)*ABS(C652)-$H$1*$E$1*ABS(D652),PlotData!$CB$4)</f>
        <v>0</v>
      </c>
      <c r="J652" s="1080">
        <f>IF(AND(ISNUMBER(System!$C32),E652&lt;&gt;0),F652+(H652-F652)/2,PlotData!$CB$3)</f>
        <v>0</v>
      </c>
      <c r="K652" s="1074">
        <f>IF(AND(ISNUMBER(System!$C32),E652&lt;&gt;0),G652+(I652-G652)/2,PlotData!$CB$4)</f>
        <v>0</v>
      </c>
      <c r="L652" s="1081">
        <f>IF(AND(ISNUMBER(System!$C32),System!AQ32=1),J652-$Z$627,PlotData!$CB$3)</f>
        <v>0</v>
      </c>
      <c r="M652" s="1074">
        <f>IF(AND(ISNUMBER(System!$C32),System!AQ32=1),K652,PlotData!$CB$4)</f>
        <v>0</v>
      </c>
      <c r="N652" s="1072">
        <f>IF(AND(ISNUMBER(System!$C32),System!AQ32=2),J652,PlotData!$CB$3)</f>
        <v>0</v>
      </c>
      <c r="O652" s="1074">
        <f>IF(AND(ISNUMBER(System!$C32),System!AQ32=2),K652-$Z$627,PlotData!$CB$4)</f>
        <v>0</v>
      </c>
      <c r="P652" s="1072">
        <f>IF(E652&lt;&gt;0,IF(System!AQ32=1,L652-$Z$630-$Z$628,N652+$Z$630),PlotData!$CB$3)</f>
        <v>0</v>
      </c>
      <c r="Q652" s="1073">
        <f>IF(E652&lt;&gt;0,IF(System!AQ32=1,M652+$Z$631-Z$633+$Z$632,O652+$Z$631),PlotData!$CB$4)</f>
        <v>0</v>
      </c>
      <c r="R652" s="1073">
        <f>IF(E652&lt;&gt;0,P652+$Z$632,PlotData!$CB$3)</f>
        <v>0</v>
      </c>
      <c r="S652" s="1073">
        <f>IF(E652&lt;&gt;0,Q652-0.4*$Z$633,PlotData!$CB$4)</f>
        <v>0</v>
      </c>
      <c r="T652" s="1073">
        <f>IF(E652&lt;&gt;0,R652,PlotData!$CB$3)</f>
        <v>0</v>
      </c>
      <c r="U652" s="1074">
        <f>IF(E652&lt;&gt;0,S652+$Z$633,PlotData!$CB$4)</f>
        <v>0</v>
      </c>
    </row>
    <row r="653" spans="1:21" x14ac:dyDescent="0.25">
      <c r="A653" s="827">
        <v>30</v>
      </c>
      <c r="B653" s="1072">
        <f t="shared" si="254"/>
        <v>0</v>
      </c>
      <c r="C653" s="1073">
        <f t="shared" si="254"/>
        <v>0</v>
      </c>
      <c r="D653" s="1073">
        <f t="shared" si="254"/>
        <v>0</v>
      </c>
      <c r="E653" s="1074">
        <f>IF(AND(ISNUMBER(System!$C33),System!AQ33&lt;&gt;0),1,0)</f>
        <v>0</v>
      </c>
      <c r="F653" s="1072">
        <f>IF(AND(ISNUMBER(System!$C33),E653&lt;&gt;0),System!BC151,PlotData!$CB$3)</f>
        <v>0</v>
      </c>
      <c r="G653" s="1074">
        <f>IF(AND(ISNUMBER(System!$C33),E653&lt;&gt;0),System!BE151-IF(D653=0,0,1)*$J$1*MIN($E$1,B653)*ABS(C653)- $H$1*$E$1*ABS(D653),PlotData!$CB$4)</f>
        <v>0</v>
      </c>
      <c r="H653" s="1072">
        <f>IF(AND(ISNUMBER(System!$C33),E653&lt;&gt;0),System!BD151,PlotData!$CB$3)</f>
        <v>0</v>
      </c>
      <c r="I653" s="1074">
        <f>IF(AND(ISNUMBER(System!$C33),E653&lt;&gt;0),System!BF151-IF(D653=0,0,1)*$J$1*MIN($E$1,B653)*ABS(C653)-$H$1*$E$1*ABS(D653),PlotData!$CB$4)</f>
        <v>0</v>
      </c>
      <c r="J653" s="1080">
        <f>IF(AND(ISNUMBER(System!$C33),E653&lt;&gt;0),F653+(H653-F653)/2,PlotData!$CB$3)</f>
        <v>0</v>
      </c>
      <c r="K653" s="1074">
        <f>IF(AND(ISNUMBER(System!$C33),E653&lt;&gt;0),G653+(I653-G653)/2,PlotData!$CB$4)</f>
        <v>0</v>
      </c>
      <c r="L653" s="1081">
        <f>IF(AND(ISNUMBER(System!$C33),System!AQ33=1),J653-$Z$627,PlotData!$CB$3)</f>
        <v>0</v>
      </c>
      <c r="M653" s="1074">
        <f>IF(AND(ISNUMBER(System!$C33),System!AQ33=1),K653,PlotData!$CB$4)</f>
        <v>0</v>
      </c>
      <c r="N653" s="1072">
        <f>IF(AND(ISNUMBER(System!$C33),System!AQ33=2),J653,PlotData!$CB$3)</f>
        <v>0</v>
      </c>
      <c r="O653" s="1074">
        <f>IF(AND(ISNUMBER(System!$C33),System!AQ33=2),K653-$Z$627,PlotData!$CB$4)</f>
        <v>0</v>
      </c>
      <c r="P653" s="1072">
        <f>IF(E653&lt;&gt;0,IF(System!AQ33=1,L653-$Z$630-$Z$628,N653+$Z$630),PlotData!$CB$3)</f>
        <v>0</v>
      </c>
      <c r="Q653" s="1073">
        <f>IF(E653&lt;&gt;0,IF(System!AQ33=1,M653+$Z$631-Z$633+$Z$632,O653+$Z$631),PlotData!$CB$4)</f>
        <v>0</v>
      </c>
      <c r="R653" s="1073">
        <f>IF(E653&lt;&gt;0,P653+$Z$632,PlotData!$CB$3)</f>
        <v>0</v>
      </c>
      <c r="S653" s="1073">
        <f>IF(E653&lt;&gt;0,Q653-0.4*$Z$633,PlotData!$CB$4)</f>
        <v>0</v>
      </c>
      <c r="T653" s="1073">
        <f>IF(E653&lt;&gt;0,R653,PlotData!$CB$3)</f>
        <v>0</v>
      </c>
      <c r="U653" s="1074">
        <f>IF(E653&lt;&gt;0,S653+$Z$633,PlotData!$CB$4)</f>
        <v>0</v>
      </c>
    </row>
    <row r="654" spans="1:21" x14ac:dyDescent="0.25">
      <c r="A654" s="827">
        <v>31</v>
      </c>
      <c r="B654" s="1072">
        <f t="shared" si="254"/>
        <v>0</v>
      </c>
      <c r="C654" s="1073">
        <f t="shared" si="254"/>
        <v>0</v>
      </c>
      <c r="D654" s="1073">
        <f t="shared" si="254"/>
        <v>0</v>
      </c>
      <c r="E654" s="1074">
        <f>IF(AND(ISNUMBER(System!$C34),System!AQ34&lt;&gt;0),1,0)</f>
        <v>0</v>
      </c>
      <c r="F654" s="1072">
        <f>IF(AND(ISNUMBER(System!$C34),E654&lt;&gt;0),System!BC152,PlotData!$CB$3)</f>
        <v>0</v>
      </c>
      <c r="G654" s="1074">
        <f>IF(AND(ISNUMBER(System!$C34),E654&lt;&gt;0),System!BE152-IF(D654=0,0,1)*$J$1*MIN($E$1,B654)*ABS(C654)- $H$1*$E$1*ABS(D654),PlotData!$CB$4)</f>
        <v>0</v>
      </c>
      <c r="H654" s="1072">
        <f>IF(AND(ISNUMBER(System!$C34),E654&lt;&gt;0),System!BD152,PlotData!$CB$3)</f>
        <v>0</v>
      </c>
      <c r="I654" s="1074">
        <f>IF(AND(ISNUMBER(System!$C34),E654&lt;&gt;0),System!BF152-IF(D654=0,0,1)*$J$1*MIN($E$1,B654)*ABS(C654)-$H$1*$E$1*ABS(D654),PlotData!$CB$4)</f>
        <v>0</v>
      </c>
      <c r="J654" s="1080">
        <f>IF(AND(ISNUMBER(System!$C34),E654&lt;&gt;0),F654+(H654-F654)/2,PlotData!$CB$3)</f>
        <v>0</v>
      </c>
      <c r="K654" s="1074">
        <f>IF(AND(ISNUMBER(System!$C34),E654&lt;&gt;0),G654+(I654-G654)/2,PlotData!$CB$4)</f>
        <v>0</v>
      </c>
      <c r="L654" s="1081">
        <f>IF(AND(ISNUMBER(System!$C34),System!AQ34=1),J654-$Z$627,PlotData!$CB$3)</f>
        <v>0</v>
      </c>
      <c r="M654" s="1074">
        <f>IF(AND(ISNUMBER(System!$C34),System!AQ34=1),K654,PlotData!$CB$4)</f>
        <v>0</v>
      </c>
      <c r="N654" s="1072">
        <f>IF(AND(ISNUMBER(System!$C34),System!AQ34=2),J654,PlotData!$CB$3)</f>
        <v>0</v>
      </c>
      <c r="O654" s="1074">
        <f>IF(AND(ISNUMBER(System!$C34),System!AQ34=2),K654-$Z$627,PlotData!$CB$4)</f>
        <v>0</v>
      </c>
      <c r="P654" s="1072">
        <f>IF(E654&lt;&gt;0,IF(System!AQ34=1,L654-$Z$630-$Z$628,N654+$Z$630),PlotData!$CB$3)</f>
        <v>0</v>
      </c>
      <c r="Q654" s="1073">
        <f>IF(E654&lt;&gt;0,IF(System!AQ34=1,M654+$Z$631-Z$633+$Z$632,O654+$Z$631),PlotData!$CB$4)</f>
        <v>0</v>
      </c>
      <c r="R654" s="1073">
        <f>IF(E654&lt;&gt;0,P654+$Z$632,PlotData!$CB$3)</f>
        <v>0</v>
      </c>
      <c r="S654" s="1073">
        <f>IF(E654&lt;&gt;0,Q654-0.4*$Z$633,PlotData!$CB$4)</f>
        <v>0</v>
      </c>
      <c r="T654" s="1073">
        <f>IF(E654&lt;&gt;0,R654,PlotData!$CB$3)</f>
        <v>0</v>
      </c>
      <c r="U654" s="1074">
        <f>IF(E654&lt;&gt;0,S654+$Z$633,PlotData!$CB$4)</f>
        <v>0</v>
      </c>
    </row>
    <row r="655" spans="1:21" x14ac:dyDescent="0.25">
      <c r="A655" s="827">
        <v>32</v>
      </c>
      <c r="B655" s="1072">
        <f t="shared" si="254"/>
        <v>0</v>
      </c>
      <c r="C655" s="1073">
        <f t="shared" si="254"/>
        <v>0</v>
      </c>
      <c r="D655" s="1073">
        <f t="shared" si="254"/>
        <v>0</v>
      </c>
      <c r="E655" s="1074">
        <f>IF(AND(ISNUMBER(System!$C35),System!AQ35&lt;&gt;0),1,0)</f>
        <v>0</v>
      </c>
      <c r="F655" s="1072">
        <f>IF(AND(ISNUMBER(System!$C35),E655&lt;&gt;0),System!BC153,PlotData!$CB$3)</f>
        <v>0</v>
      </c>
      <c r="G655" s="1074">
        <f>IF(AND(ISNUMBER(System!$C35),E655&lt;&gt;0),System!BE153-IF(D655=0,0,1)*$J$1*MIN($E$1,B655)*ABS(C655)- $H$1*$E$1*ABS(D655),PlotData!$CB$4)</f>
        <v>0</v>
      </c>
      <c r="H655" s="1072">
        <f>IF(AND(ISNUMBER(System!$C35),E655&lt;&gt;0),System!BD153,PlotData!$CB$3)</f>
        <v>0</v>
      </c>
      <c r="I655" s="1074">
        <f>IF(AND(ISNUMBER(System!$C35),E655&lt;&gt;0),System!BF153-IF(D655=0,0,1)*$J$1*MIN($E$1,B655)*ABS(C655)-$H$1*$E$1*ABS(D655),PlotData!$CB$4)</f>
        <v>0</v>
      </c>
      <c r="J655" s="1080">
        <f>IF(AND(ISNUMBER(System!$C35),E655&lt;&gt;0),F655+(H655-F655)/2,PlotData!$CB$3)</f>
        <v>0</v>
      </c>
      <c r="K655" s="1074">
        <f>IF(AND(ISNUMBER(System!$C35),E655&lt;&gt;0),G655+(I655-G655)/2,PlotData!$CB$4)</f>
        <v>0</v>
      </c>
      <c r="L655" s="1081">
        <f>IF(AND(ISNUMBER(System!$C35),System!AQ35=1),J655-$Z$627,PlotData!$CB$3)</f>
        <v>0</v>
      </c>
      <c r="M655" s="1074">
        <f>IF(AND(ISNUMBER(System!$C35),System!AQ35=1),K655,PlotData!$CB$4)</f>
        <v>0</v>
      </c>
      <c r="N655" s="1072">
        <f>IF(AND(ISNUMBER(System!$C35),System!AQ35=2),J655,PlotData!$CB$3)</f>
        <v>0</v>
      </c>
      <c r="O655" s="1074">
        <f>IF(AND(ISNUMBER(System!$C35),System!AQ35=2),K655-$Z$627,PlotData!$CB$4)</f>
        <v>0</v>
      </c>
      <c r="P655" s="1072">
        <f>IF(E655&lt;&gt;0,IF(System!AQ35=1,L655-$Z$630-$Z$628,N655+$Z$630),PlotData!$CB$3)</f>
        <v>0</v>
      </c>
      <c r="Q655" s="1073">
        <f>IF(E655&lt;&gt;0,IF(System!AQ35=1,M655+$Z$631-Z$633+$Z$632,O655+$Z$631),PlotData!$CB$4)</f>
        <v>0</v>
      </c>
      <c r="R655" s="1073">
        <f>IF(E655&lt;&gt;0,P655+$Z$632,PlotData!$CB$3)</f>
        <v>0</v>
      </c>
      <c r="S655" s="1073">
        <f>IF(E655&lt;&gt;0,Q655-0.4*$Z$633,PlotData!$CB$4)</f>
        <v>0</v>
      </c>
      <c r="T655" s="1073">
        <f>IF(E655&lt;&gt;0,R655,PlotData!$CB$3)</f>
        <v>0</v>
      </c>
      <c r="U655" s="1074">
        <f>IF(E655&lt;&gt;0,S655+$Z$633,PlotData!$CB$4)</f>
        <v>0</v>
      </c>
    </row>
    <row r="656" spans="1:21" x14ac:dyDescent="0.25">
      <c r="A656" s="827">
        <v>33</v>
      </c>
      <c r="B656" s="1072">
        <f t="shared" ref="B656:D663" si="255">B568</f>
        <v>0</v>
      </c>
      <c r="C656" s="1073">
        <f t="shared" si="255"/>
        <v>0</v>
      </c>
      <c r="D656" s="1073">
        <f t="shared" si="255"/>
        <v>0</v>
      </c>
      <c r="E656" s="1074">
        <f>IF(AND(ISNUMBER(System!$C36),System!AQ36&lt;&gt;0),1,0)</f>
        <v>0</v>
      </c>
      <c r="F656" s="1072">
        <f>IF(AND(ISNUMBER(System!$C36),E656&lt;&gt;0),System!BC154,PlotData!$CB$3)</f>
        <v>0</v>
      </c>
      <c r="G656" s="1074">
        <f>IF(AND(ISNUMBER(System!$C36),E656&lt;&gt;0),System!BE154-IF(D656=0,0,1)*$J$1*MIN($E$1,B656)*ABS(C656)- $H$1*$E$1*ABS(D656),PlotData!$CB$4)</f>
        <v>0</v>
      </c>
      <c r="H656" s="1072">
        <f>IF(AND(ISNUMBER(System!$C36),E656&lt;&gt;0),System!BD154,PlotData!$CB$3)</f>
        <v>0</v>
      </c>
      <c r="I656" s="1074">
        <f>IF(AND(ISNUMBER(System!$C36),E656&lt;&gt;0),System!BF154-IF(D656=0,0,1)*$J$1*MIN($E$1,B656)*ABS(C656)-$H$1*$E$1*ABS(D656),PlotData!$CB$4)</f>
        <v>0</v>
      </c>
      <c r="J656" s="1080">
        <f>IF(AND(ISNUMBER(System!$C36),E656&lt;&gt;0),F656+(H656-F656)/2,PlotData!$CB$3)</f>
        <v>0</v>
      </c>
      <c r="K656" s="1074">
        <f>IF(AND(ISNUMBER(System!$C36),E656&lt;&gt;0),G656+(I656-G656)/2,PlotData!$CB$4)</f>
        <v>0</v>
      </c>
      <c r="L656" s="1081">
        <f>IF(AND(ISNUMBER(System!$C36),System!AQ36=1),J656-$Z$627,PlotData!$CB$3)</f>
        <v>0</v>
      </c>
      <c r="M656" s="1074">
        <f>IF(AND(ISNUMBER(System!$C36),System!AQ36=1),K656,PlotData!$CB$4)</f>
        <v>0</v>
      </c>
      <c r="N656" s="1072">
        <f>IF(AND(ISNUMBER(System!$C36),System!AQ36=2),J656,PlotData!$CB$3)</f>
        <v>0</v>
      </c>
      <c r="O656" s="1074">
        <f>IF(AND(ISNUMBER(System!$C36),System!AQ36=2),K656-$Z$627,PlotData!$CB$4)</f>
        <v>0</v>
      </c>
      <c r="P656" s="1072">
        <f>IF(E656&lt;&gt;0,IF(System!AQ36=1,L656-$Z$630-$Z$628,N656+$Z$630),PlotData!$CB$3)</f>
        <v>0</v>
      </c>
      <c r="Q656" s="1073">
        <f>IF(E656&lt;&gt;0,IF(System!AQ36=1,M656+$Z$631-Z$633+$Z$632,O656+$Z$631),PlotData!$CB$4)</f>
        <v>0</v>
      </c>
      <c r="R656" s="1073">
        <f>IF(E656&lt;&gt;0,P656+$Z$632,PlotData!$CB$3)</f>
        <v>0</v>
      </c>
      <c r="S656" s="1073">
        <f>IF(E656&lt;&gt;0,Q656-0.4*$Z$633,PlotData!$CB$4)</f>
        <v>0</v>
      </c>
      <c r="T656" s="1073">
        <f>IF(E656&lt;&gt;0,R656,PlotData!$CB$3)</f>
        <v>0</v>
      </c>
      <c r="U656" s="1074">
        <f>IF(E656&lt;&gt;0,S656+$Z$633,PlotData!$CB$4)</f>
        <v>0</v>
      </c>
    </row>
    <row r="657" spans="1:25" x14ac:dyDescent="0.25">
      <c r="A657" s="827">
        <v>34</v>
      </c>
      <c r="B657" s="1072">
        <f t="shared" si="255"/>
        <v>0</v>
      </c>
      <c r="C657" s="1073">
        <f t="shared" si="255"/>
        <v>0</v>
      </c>
      <c r="D657" s="1073">
        <f t="shared" si="255"/>
        <v>0</v>
      </c>
      <c r="E657" s="1074">
        <f>IF(AND(ISNUMBER(System!$C37),System!AQ37&lt;&gt;0),1,0)</f>
        <v>0</v>
      </c>
      <c r="F657" s="1072">
        <f>IF(AND(ISNUMBER(System!$C37),E657&lt;&gt;0),System!BC155,PlotData!$CB$3)</f>
        <v>0</v>
      </c>
      <c r="G657" s="1074">
        <f>IF(AND(ISNUMBER(System!$C37),E657&lt;&gt;0),System!BE155-IF(D657=0,0,1)*$J$1*MIN($E$1,B657)*ABS(C657)- $H$1*$E$1*ABS(D657),PlotData!$CB$4)</f>
        <v>0</v>
      </c>
      <c r="H657" s="1072">
        <f>IF(AND(ISNUMBER(System!$C37),E657&lt;&gt;0),System!BD155,PlotData!$CB$3)</f>
        <v>0</v>
      </c>
      <c r="I657" s="1074">
        <f>IF(AND(ISNUMBER(System!$C37),E657&lt;&gt;0),System!BF155-IF(D657=0,0,1)*$J$1*MIN($E$1,B657)*ABS(C657)-$H$1*$E$1*ABS(D657),PlotData!$CB$4)</f>
        <v>0</v>
      </c>
      <c r="J657" s="1080">
        <f>IF(AND(ISNUMBER(System!$C37),E657&lt;&gt;0),F657+(H657-F657)/2,PlotData!$CB$3)</f>
        <v>0</v>
      </c>
      <c r="K657" s="1074">
        <f>IF(AND(ISNUMBER(System!$C37),E657&lt;&gt;0),G657+(I657-G657)/2,PlotData!$CB$4)</f>
        <v>0</v>
      </c>
      <c r="L657" s="1081">
        <f>IF(AND(ISNUMBER(System!$C37),System!AQ37=1),J657-$Z$627,PlotData!$CB$3)</f>
        <v>0</v>
      </c>
      <c r="M657" s="1074">
        <f>IF(AND(ISNUMBER(System!$C37),System!AQ37=1),K657,PlotData!$CB$4)</f>
        <v>0</v>
      </c>
      <c r="N657" s="1072">
        <f>IF(AND(ISNUMBER(System!$C37),System!AQ37=2),J657,PlotData!$CB$3)</f>
        <v>0</v>
      </c>
      <c r="O657" s="1074">
        <f>IF(AND(ISNUMBER(System!$C37),System!AQ37=2),K657-$Z$627,PlotData!$CB$4)</f>
        <v>0</v>
      </c>
      <c r="P657" s="1072">
        <f>IF(E657&lt;&gt;0,IF(System!AQ37=1,L657-$Z$630-$Z$628,N657+$Z$630),PlotData!$CB$3)</f>
        <v>0</v>
      </c>
      <c r="Q657" s="1073">
        <f>IF(E657&lt;&gt;0,IF(System!AQ37=1,M657+$Z$631-Z$633+$Z$632,O657+$Z$631),PlotData!$CB$4)</f>
        <v>0</v>
      </c>
      <c r="R657" s="1073">
        <f>IF(E657&lt;&gt;0,P657+$Z$632,PlotData!$CB$3)</f>
        <v>0</v>
      </c>
      <c r="S657" s="1073">
        <f>IF(E657&lt;&gt;0,Q657-0.4*$Z$633,PlotData!$CB$4)</f>
        <v>0</v>
      </c>
      <c r="T657" s="1073">
        <f>IF(E657&lt;&gt;0,R657,PlotData!$CB$3)</f>
        <v>0</v>
      </c>
      <c r="U657" s="1074">
        <f>IF(E657&lt;&gt;0,S657+$Z$633,PlotData!$CB$4)</f>
        <v>0</v>
      </c>
    </row>
    <row r="658" spans="1:25" x14ac:dyDescent="0.25">
      <c r="A658" s="827">
        <v>35</v>
      </c>
      <c r="B658" s="1072">
        <f t="shared" si="255"/>
        <v>0</v>
      </c>
      <c r="C658" s="1073">
        <f t="shared" si="255"/>
        <v>0</v>
      </c>
      <c r="D658" s="1073">
        <f t="shared" si="255"/>
        <v>0</v>
      </c>
      <c r="E658" s="1074">
        <f>IF(AND(ISNUMBER(System!$C38),System!AQ38&lt;&gt;0),1,0)</f>
        <v>0</v>
      </c>
      <c r="F658" s="1072">
        <f>IF(AND(ISNUMBER(System!$C38),E658&lt;&gt;0),System!BC156,PlotData!$CB$3)</f>
        <v>0</v>
      </c>
      <c r="G658" s="1074">
        <f>IF(AND(ISNUMBER(System!$C38),E658&lt;&gt;0),System!BE156-IF(D658=0,0,1)*$J$1*MIN($E$1,B658)*ABS(C658)- $H$1*$E$1*ABS(D658),PlotData!$CB$4)</f>
        <v>0</v>
      </c>
      <c r="H658" s="1072">
        <f>IF(AND(ISNUMBER(System!$C38),E658&lt;&gt;0),System!BD156,PlotData!$CB$3)</f>
        <v>0</v>
      </c>
      <c r="I658" s="1074">
        <f>IF(AND(ISNUMBER(System!$C38),E658&lt;&gt;0),System!BF156-IF(D658=0,0,1)*$J$1*MIN($E$1,B658)*ABS(C658)-$H$1*$E$1*ABS(D658),PlotData!$CB$4)</f>
        <v>0</v>
      </c>
      <c r="J658" s="1080">
        <f>IF(AND(ISNUMBER(System!$C38),E658&lt;&gt;0),F658+(H658-F658)/2,PlotData!$CB$3)</f>
        <v>0</v>
      </c>
      <c r="K658" s="1074">
        <f>IF(AND(ISNUMBER(System!$C38),E658&lt;&gt;0),G658+(I658-G658)/2,PlotData!$CB$4)</f>
        <v>0</v>
      </c>
      <c r="L658" s="1081">
        <f>IF(AND(ISNUMBER(System!$C38),System!AQ38=1),J658-$Z$627,PlotData!$CB$3)</f>
        <v>0</v>
      </c>
      <c r="M658" s="1074">
        <f>IF(AND(ISNUMBER(System!$C38),System!AQ38=1),K658,PlotData!$CB$4)</f>
        <v>0</v>
      </c>
      <c r="N658" s="1072">
        <f>IF(AND(ISNUMBER(System!$C38),System!AQ38=2),J658,PlotData!$CB$3)</f>
        <v>0</v>
      </c>
      <c r="O658" s="1074">
        <f>IF(AND(ISNUMBER(System!$C38),System!AQ38=2),K658-$Z$627,PlotData!$CB$4)</f>
        <v>0</v>
      </c>
      <c r="P658" s="1072">
        <f>IF(E658&lt;&gt;0,IF(System!AQ38=1,L658-$Z$630-$Z$628,N658+$Z$630),PlotData!$CB$3)</f>
        <v>0</v>
      </c>
      <c r="Q658" s="1073">
        <f>IF(E658&lt;&gt;0,IF(System!AQ38=1,M658+$Z$631-Z$633+$Z$632,O658+$Z$631),PlotData!$CB$4)</f>
        <v>0</v>
      </c>
      <c r="R658" s="1073">
        <f>IF(E658&lt;&gt;0,P658+$Z$632,PlotData!$CB$3)</f>
        <v>0</v>
      </c>
      <c r="S658" s="1073">
        <f>IF(E658&lt;&gt;0,Q658-0.4*$Z$633,PlotData!$CB$4)</f>
        <v>0</v>
      </c>
      <c r="T658" s="1073">
        <f>IF(E658&lt;&gt;0,R658,PlotData!$CB$3)</f>
        <v>0</v>
      </c>
      <c r="U658" s="1074">
        <f>IF(E658&lt;&gt;0,S658+$Z$633,PlotData!$CB$4)</f>
        <v>0</v>
      </c>
    </row>
    <row r="659" spans="1:25" x14ac:dyDescent="0.25">
      <c r="A659" s="827">
        <v>36</v>
      </c>
      <c r="B659" s="1072">
        <f t="shared" si="255"/>
        <v>0</v>
      </c>
      <c r="C659" s="1073">
        <f t="shared" si="255"/>
        <v>0</v>
      </c>
      <c r="D659" s="1073">
        <f t="shared" si="255"/>
        <v>0</v>
      </c>
      <c r="E659" s="1074">
        <f>IF(AND(ISNUMBER(System!$C39),System!AQ39&lt;&gt;0),1,0)</f>
        <v>0</v>
      </c>
      <c r="F659" s="1072">
        <f>IF(AND(ISNUMBER(System!$C39),E659&lt;&gt;0),System!BC157,PlotData!$CB$3)</f>
        <v>0</v>
      </c>
      <c r="G659" s="1074">
        <f>IF(AND(ISNUMBER(System!$C39),E659&lt;&gt;0),System!BE157-IF(D659=0,0,1)*$J$1*MIN($E$1,B659)*ABS(C659)- $H$1*$E$1*ABS(D659),PlotData!$CB$4)</f>
        <v>0</v>
      </c>
      <c r="H659" s="1072">
        <f>IF(AND(ISNUMBER(System!$C39),E659&lt;&gt;0),System!BD157,PlotData!$CB$3)</f>
        <v>0</v>
      </c>
      <c r="I659" s="1074">
        <f>IF(AND(ISNUMBER(System!$C39),E659&lt;&gt;0),System!BF157-IF(D659=0,0,1)*$J$1*MIN($E$1,B659)*ABS(C659)-$H$1*$E$1*ABS(D659),PlotData!$CB$4)</f>
        <v>0</v>
      </c>
      <c r="J659" s="1080">
        <f>IF(AND(ISNUMBER(System!$C39),E659&lt;&gt;0),F659+(H659-F659)/2,PlotData!$CB$3)</f>
        <v>0</v>
      </c>
      <c r="K659" s="1074">
        <f>IF(AND(ISNUMBER(System!$C39),E659&lt;&gt;0),G659+(I659-G659)/2,PlotData!$CB$4)</f>
        <v>0</v>
      </c>
      <c r="L659" s="1081">
        <f>IF(AND(ISNUMBER(System!$C39),System!AQ39=1),J659-$Z$627,PlotData!$CB$3)</f>
        <v>0</v>
      </c>
      <c r="M659" s="1074">
        <f>IF(AND(ISNUMBER(System!$C39),System!AQ39=1),K659,PlotData!$CB$4)</f>
        <v>0</v>
      </c>
      <c r="N659" s="1072">
        <f>IF(AND(ISNUMBER(System!$C39),System!AQ39=2),J659,PlotData!$CB$3)</f>
        <v>0</v>
      </c>
      <c r="O659" s="1074">
        <f>IF(AND(ISNUMBER(System!$C39),System!AQ39=2),K659-$Z$627,PlotData!$CB$4)</f>
        <v>0</v>
      </c>
      <c r="P659" s="1072">
        <f>IF(E659&lt;&gt;0,IF(System!AQ39=1,L659-$Z$630-$Z$628,N659+$Z$630),PlotData!$CB$3)</f>
        <v>0</v>
      </c>
      <c r="Q659" s="1073">
        <f>IF(E659&lt;&gt;0,IF(System!AQ39=1,M659+$Z$631-Z$633+$Z$632,O659+$Z$631),PlotData!$CB$4)</f>
        <v>0</v>
      </c>
      <c r="R659" s="1073">
        <f>IF(E659&lt;&gt;0,P659+$Z$632,PlotData!$CB$3)</f>
        <v>0</v>
      </c>
      <c r="S659" s="1073">
        <f>IF(E659&lt;&gt;0,Q659-0.4*$Z$633,PlotData!$CB$4)</f>
        <v>0</v>
      </c>
      <c r="T659" s="1073">
        <f>IF(E659&lt;&gt;0,R659,PlotData!$CB$3)</f>
        <v>0</v>
      </c>
      <c r="U659" s="1074">
        <f>IF(E659&lt;&gt;0,S659+$Z$633,PlotData!$CB$4)</f>
        <v>0</v>
      </c>
    </row>
    <row r="660" spans="1:25" x14ac:dyDescent="0.25">
      <c r="A660" s="827">
        <v>37</v>
      </c>
      <c r="B660" s="1072">
        <f t="shared" si="255"/>
        <v>0</v>
      </c>
      <c r="C660" s="1073">
        <f t="shared" si="255"/>
        <v>0</v>
      </c>
      <c r="D660" s="1073">
        <f t="shared" si="255"/>
        <v>0</v>
      </c>
      <c r="E660" s="1074">
        <f>IF(AND(ISNUMBER(System!$C40),System!AQ40&lt;&gt;0),1,0)</f>
        <v>0</v>
      </c>
      <c r="F660" s="1072">
        <f>IF(AND(ISNUMBER(System!$C40),E660&lt;&gt;0),System!BC158,PlotData!$CB$3)</f>
        <v>0</v>
      </c>
      <c r="G660" s="1074">
        <f>IF(AND(ISNUMBER(System!$C40),E660&lt;&gt;0),System!BE158-IF(D660=0,0,1)*$J$1*MIN($E$1,B660)*ABS(C660)- $H$1*$E$1*ABS(D660),PlotData!$CB$4)</f>
        <v>0</v>
      </c>
      <c r="H660" s="1072">
        <f>IF(AND(ISNUMBER(System!$C40),E660&lt;&gt;0),System!BD158,PlotData!$CB$3)</f>
        <v>0</v>
      </c>
      <c r="I660" s="1074">
        <f>IF(AND(ISNUMBER(System!$C40),E660&lt;&gt;0),System!BF158-IF(D660=0,0,1)*$J$1*MIN($E$1,B660)*ABS(C660)-$H$1*$E$1*ABS(D660),PlotData!$CB$4)</f>
        <v>0</v>
      </c>
      <c r="J660" s="1080">
        <f>IF(AND(ISNUMBER(System!$C40),E660&lt;&gt;0),F660+(H660-F660)/2,PlotData!$CB$3)</f>
        <v>0</v>
      </c>
      <c r="K660" s="1074">
        <f>IF(AND(ISNUMBER(System!$C40),E660&lt;&gt;0),G660+(I660-G660)/2,PlotData!$CB$4)</f>
        <v>0</v>
      </c>
      <c r="L660" s="1081">
        <f>IF(AND(ISNUMBER(System!$C40),System!AQ40=1),J660-$Z$627,PlotData!$CB$3)</f>
        <v>0</v>
      </c>
      <c r="M660" s="1074">
        <f>IF(AND(ISNUMBER(System!$C40),System!AQ40=1),K660,PlotData!$CB$4)</f>
        <v>0</v>
      </c>
      <c r="N660" s="1072">
        <f>IF(AND(ISNUMBER(System!$C40),System!AQ40=2),J660,PlotData!$CB$3)</f>
        <v>0</v>
      </c>
      <c r="O660" s="1074">
        <f>IF(AND(ISNUMBER(System!$C40),System!AQ40=2),K660-$Z$627,PlotData!$CB$4)</f>
        <v>0</v>
      </c>
      <c r="P660" s="1072">
        <f>IF(E660&lt;&gt;0,IF(System!AQ40=1,L660-$Z$630-$Z$628,N660+$Z$630),PlotData!$CB$3)</f>
        <v>0</v>
      </c>
      <c r="Q660" s="1073">
        <f>IF(E660&lt;&gt;0,IF(System!AQ40=1,M660+$Z$631-Z$633+$Z$632,O660+$Z$631),PlotData!$CB$4)</f>
        <v>0</v>
      </c>
      <c r="R660" s="1073">
        <f>IF(E660&lt;&gt;0,P660+$Z$632,PlotData!$CB$3)</f>
        <v>0</v>
      </c>
      <c r="S660" s="1073">
        <f>IF(E660&lt;&gt;0,Q660-0.4*$Z$633,PlotData!$CB$4)</f>
        <v>0</v>
      </c>
      <c r="T660" s="1073">
        <f>IF(E660&lt;&gt;0,R660,PlotData!$CB$3)</f>
        <v>0</v>
      </c>
      <c r="U660" s="1074">
        <f>IF(E660&lt;&gt;0,S660+$Z$633,PlotData!$CB$4)</f>
        <v>0</v>
      </c>
    </row>
    <row r="661" spans="1:25" x14ac:dyDescent="0.25">
      <c r="A661" s="827">
        <v>38</v>
      </c>
      <c r="B661" s="1072">
        <f t="shared" si="255"/>
        <v>0</v>
      </c>
      <c r="C661" s="1073">
        <f t="shared" si="255"/>
        <v>0</v>
      </c>
      <c r="D661" s="1073">
        <f t="shared" si="255"/>
        <v>0</v>
      </c>
      <c r="E661" s="1074">
        <f>IF(AND(ISNUMBER(System!$C41),System!AQ41&lt;&gt;0),1,0)</f>
        <v>0</v>
      </c>
      <c r="F661" s="1072">
        <f>IF(AND(ISNUMBER(System!$C41),E661&lt;&gt;0),System!BC159,PlotData!$CB$3)</f>
        <v>0</v>
      </c>
      <c r="G661" s="1074">
        <f>IF(AND(ISNUMBER(System!$C41),E661&lt;&gt;0),System!BE159-IF(D661=0,0,1)*$J$1*MIN($E$1,B661)*ABS(C661)- $H$1*$E$1*ABS(D661),PlotData!$CB$4)</f>
        <v>0</v>
      </c>
      <c r="H661" s="1072">
        <f>IF(AND(ISNUMBER(System!$C41),E661&lt;&gt;0),System!BD159,PlotData!$CB$3)</f>
        <v>0</v>
      </c>
      <c r="I661" s="1074">
        <f>IF(AND(ISNUMBER(System!$C41),E661&lt;&gt;0),System!BF159-IF(D661=0,0,1)*$J$1*MIN($E$1,B661)*ABS(C661)-$H$1*$E$1*ABS(D661),PlotData!$CB$4)</f>
        <v>0</v>
      </c>
      <c r="J661" s="1080">
        <f>IF(AND(ISNUMBER(System!$C41),E661&lt;&gt;0),F661+(H661-F661)/2,PlotData!$CB$3)</f>
        <v>0</v>
      </c>
      <c r="K661" s="1074">
        <f>IF(AND(ISNUMBER(System!$C41),E661&lt;&gt;0),G661+(I661-G661)/2,PlotData!$CB$4)</f>
        <v>0</v>
      </c>
      <c r="L661" s="1081">
        <f>IF(AND(ISNUMBER(System!$C41),System!AQ41=1),J661-$Z$627,PlotData!$CB$3)</f>
        <v>0</v>
      </c>
      <c r="M661" s="1074">
        <f>IF(AND(ISNUMBER(System!$C41),System!AQ41=1),K661,PlotData!$CB$4)</f>
        <v>0</v>
      </c>
      <c r="N661" s="1072">
        <f>IF(AND(ISNUMBER(System!$C41),System!AQ41=2),J661,PlotData!$CB$3)</f>
        <v>0</v>
      </c>
      <c r="O661" s="1074">
        <f>IF(AND(ISNUMBER(System!$C41),System!AQ41=2),K661-$Z$627,PlotData!$CB$4)</f>
        <v>0</v>
      </c>
      <c r="P661" s="1072">
        <f>IF(E661&lt;&gt;0,IF(System!AQ41=1,L661-$Z$630-$Z$628,N661+$Z$630),PlotData!$CB$3)</f>
        <v>0</v>
      </c>
      <c r="Q661" s="1073">
        <f>IF(E661&lt;&gt;0,IF(System!AQ41=1,M661+$Z$631-Z$633+$Z$632,O661+$Z$631),PlotData!$CB$4)</f>
        <v>0</v>
      </c>
      <c r="R661" s="1073">
        <f>IF(E661&lt;&gt;0,P661+$Z$632,PlotData!$CB$3)</f>
        <v>0</v>
      </c>
      <c r="S661" s="1073">
        <f>IF(E661&lt;&gt;0,Q661-0.4*$Z$633,PlotData!$CB$4)</f>
        <v>0</v>
      </c>
      <c r="T661" s="1073">
        <f>IF(E661&lt;&gt;0,R661,PlotData!$CB$3)</f>
        <v>0</v>
      </c>
      <c r="U661" s="1074">
        <f>IF(E661&lt;&gt;0,S661+$Z$633,PlotData!$CB$4)</f>
        <v>0</v>
      </c>
    </row>
    <row r="662" spans="1:25" x14ac:dyDescent="0.25">
      <c r="A662" s="827">
        <v>39</v>
      </c>
      <c r="B662" s="1072">
        <f t="shared" si="255"/>
        <v>0</v>
      </c>
      <c r="C662" s="1073">
        <f t="shared" si="255"/>
        <v>0</v>
      </c>
      <c r="D662" s="1073">
        <f t="shared" si="255"/>
        <v>0</v>
      </c>
      <c r="E662" s="1074">
        <f>IF(AND(ISNUMBER(System!$C42),System!AQ42&lt;&gt;0),1,0)</f>
        <v>0</v>
      </c>
      <c r="F662" s="1072">
        <f>IF(AND(ISNUMBER(System!$C42),E662&lt;&gt;0),System!BC160,PlotData!$CB$3)</f>
        <v>0</v>
      </c>
      <c r="G662" s="1074">
        <f>IF(AND(ISNUMBER(System!$C42),E662&lt;&gt;0),System!BE160-IF(D662=0,0,1)*$J$1*MIN($E$1,B662)*ABS(C662)- $H$1*$E$1*ABS(D662),PlotData!$CB$4)</f>
        <v>0</v>
      </c>
      <c r="H662" s="1072">
        <f>IF(AND(ISNUMBER(System!$C42),E662&lt;&gt;0),System!BD160,PlotData!$CB$3)</f>
        <v>0</v>
      </c>
      <c r="I662" s="1074">
        <f>IF(AND(ISNUMBER(System!$C42),E662&lt;&gt;0),System!BF160-IF(D662=0,0,1)*$J$1*MIN($E$1,B662)*ABS(C662)-$H$1*$E$1*ABS(D662),PlotData!$CB$4)</f>
        <v>0</v>
      </c>
      <c r="J662" s="1080">
        <f>IF(AND(ISNUMBER(System!$C42),E662&lt;&gt;0),F662+(H662-F662)/2,PlotData!$CB$3)</f>
        <v>0</v>
      </c>
      <c r="K662" s="1074">
        <f>IF(AND(ISNUMBER(System!$C42),E662&lt;&gt;0),G662+(I662-G662)/2,PlotData!$CB$4)</f>
        <v>0</v>
      </c>
      <c r="L662" s="1081">
        <f>IF(AND(ISNUMBER(System!$C42),System!AQ42=1),J662-$Z$627,PlotData!$CB$3)</f>
        <v>0</v>
      </c>
      <c r="M662" s="1074">
        <f>IF(AND(ISNUMBER(System!$C42),System!AQ42=1),K662,PlotData!$CB$4)</f>
        <v>0</v>
      </c>
      <c r="N662" s="1072">
        <f>IF(AND(ISNUMBER(System!$C42),System!AQ42=2),J662,PlotData!$CB$3)</f>
        <v>0</v>
      </c>
      <c r="O662" s="1074">
        <f>IF(AND(ISNUMBER(System!$C42),System!AQ42=2),K662-$Z$627,PlotData!$CB$4)</f>
        <v>0</v>
      </c>
      <c r="P662" s="1072">
        <f>IF(E662&lt;&gt;0,IF(System!AQ42=1,L662-$Z$630-$Z$628,N662+$Z$630),PlotData!$CB$3)</f>
        <v>0</v>
      </c>
      <c r="Q662" s="1073">
        <f>IF(E662&lt;&gt;0,IF(System!AQ42=1,M662+$Z$631-Z$633+$Z$632,O662+$Z$631),PlotData!$CB$4)</f>
        <v>0</v>
      </c>
      <c r="R662" s="1073">
        <f>IF(E662&lt;&gt;0,P662+$Z$632,PlotData!$CB$3)</f>
        <v>0</v>
      </c>
      <c r="S662" s="1073">
        <f>IF(E662&lt;&gt;0,Q662-0.4*$Z$633,PlotData!$CB$4)</f>
        <v>0</v>
      </c>
      <c r="T662" s="1073">
        <f>IF(E662&lt;&gt;0,R662,PlotData!$CB$3)</f>
        <v>0</v>
      </c>
      <c r="U662" s="1074">
        <f>IF(E662&lt;&gt;0,S662+$Z$633,PlotData!$CB$4)</f>
        <v>0</v>
      </c>
    </row>
    <row r="663" spans="1:25" ht="13.8" thickBot="1" x14ac:dyDescent="0.3">
      <c r="A663" s="838">
        <v>40</v>
      </c>
      <c r="B663" s="1090">
        <f t="shared" si="255"/>
        <v>0</v>
      </c>
      <c r="C663" s="1091">
        <f t="shared" si="255"/>
        <v>0</v>
      </c>
      <c r="D663" s="1091">
        <f t="shared" si="255"/>
        <v>0</v>
      </c>
      <c r="E663" s="1092">
        <f>IF(AND(ISNUMBER(System!$C43),System!AQ43&lt;&gt;0),1,0)</f>
        <v>0</v>
      </c>
      <c r="F663" s="1090">
        <f>IF(AND(ISNUMBER(System!$C43),E663&lt;&gt;0),System!BC161,PlotData!$CB$3)</f>
        <v>0</v>
      </c>
      <c r="G663" s="1092">
        <f>IF(AND(ISNUMBER(System!$C43),E663&lt;&gt;0),System!BE161-IF(D663=0,0,1)*$J$1*MIN($E$1,B663)*ABS(C663)- $H$1*$E$1*ABS(D663),PlotData!$CB$4)</f>
        <v>0</v>
      </c>
      <c r="H663" s="1090">
        <f>IF(AND(ISNUMBER(System!$C43),E663&lt;&gt;0),System!BD161,PlotData!$CB$3)</f>
        <v>0</v>
      </c>
      <c r="I663" s="1092">
        <f>IF(AND(ISNUMBER(System!$C43),E663&lt;&gt;0),System!BF161-IF(D663=0,0,1)*$J$1*MIN($E$1,B663)*ABS(C663)-$H$1*$E$1*ABS(D663),PlotData!$CB$4)</f>
        <v>0</v>
      </c>
      <c r="J663" s="1093">
        <f>IF(AND(ISNUMBER(System!$C43),E663&lt;&gt;0),F663+(H663-F663)/2,PlotData!$CB$3)</f>
        <v>0</v>
      </c>
      <c r="K663" s="1092">
        <f>IF(AND(ISNUMBER(System!$C43),E663&lt;&gt;0),G663+(I663-G663)/2,PlotData!$CB$4)</f>
        <v>0</v>
      </c>
      <c r="L663" s="1094">
        <f>IF(AND(ISNUMBER(System!$C43),System!AQ43=1),J663-$Z$627,PlotData!$CB$3)</f>
        <v>0</v>
      </c>
      <c r="M663" s="1092">
        <f>IF(AND(ISNUMBER(System!$C43),System!AQ43=1),K663,PlotData!$CB$4)</f>
        <v>0</v>
      </c>
      <c r="N663" s="1090">
        <f>IF(AND(ISNUMBER(System!$C43),System!AQ43=2),J663,PlotData!$CB$3)</f>
        <v>0</v>
      </c>
      <c r="O663" s="1092">
        <f>IF(AND(ISNUMBER(System!$C43),System!AQ43=2),K663-$Z$627,PlotData!$CB$4)</f>
        <v>0</v>
      </c>
      <c r="P663" s="1090">
        <f>IF(E663&lt;&gt;0,IF(System!AQ43=1,L663-$Z$630-$Z$628,N663+$Z$630),PlotData!$CB$3)</f>
        <v>0</v>
      </c>
      <c r="Q663" s="1091">
        <f>IF(E663&lt;&gt;0,IF(System!AQ43=1,M663+$Z$631-Z$633+$Z$632,O663+$Z$631),PlotData!$CB$4)</f>
        <v>0</v>
      </c>
      <c r="R663" s="1091">
        <f>IF(E663&lt;&gt;0,P663+$Z$632,PlotData!$CB$3)</f>
        <v>0</v>
      </c>
      <c r="S663" s="1091">
        <f>IF(E663&lt;&gt;0,Q663-0.4*$Z$633,PlotData!$CB$4)</f>
        <v>0</v>
      </c>
      <c r="T663" s="1091">
        <f>IF(E663&lt;&gt;0,R663,PlotData!$CB$3)</f>
        <v>0</v>
      </c>
      <c r="U663" s="1092">
        <f>IF(E663&lt;&gt;0,S663+$Z$633,PlotData!$CB$4)</f>
        <v>0</v>
      </c>
    </row>
    <row r="664" spans="1:25" ht="13.8" thickBot="1" x14ac:dyDescent="0.3"/>
    <row r="665" spans="1:25" s="1095" customFormat="1" ht="22.5" customHeight="1" thickBot="1" x14ac:dyDescent="0.35">
      <c r="B665" s="1349" t="s">
        <v>444</v>
      </c>
      <c r="C665" s="1351"/>
      <c r="E665" s="1349" t="s">
        <v>445</v>
      </c>
      <c r="F665" s="1350"/>
      <c r="G665" s="1350"/>
      <c r="H665" s="1350"/>
      <c r="I665" s="1351"/>
      <c r="K665" s="1349" t="s">
        <v>446</v>
      </c>
      <c r="L665" s="1350"/>
      <c r="M665" s="1351"/>
      <c r="N665" s="1349" t="s">
        <v>444</v>
      </c>
      <c r="O665" s="1351"/>
      <c r="Q665" s="1349" t="s">
        <v>447</v>
      </c>
      <c r="R665" s="1350"/>
      <c r="S665" s="1350"/>
      <c r="T665" s="1350"/>
      <c r="U665" s="1351"/>
      <c r="W665" s="1349" t="s">
        <v>448</v>
      </c>
      <c r="X665" s="1350"/>
      <c r="Y665" s="1351"/>
    </row>
    <row r="666" spans="1:25" s="9" customFormat="1" ht="18" customHeight="1" thickBot="1" x14ac:dyDescent="0.35">
      <c r="A666" s="820" t="s">
        <v>43</v>
      </c>
      <c r="B666" s="1096" t="s">
        <v>291</v>
      </c>
      <c r="C666" s="1097" t="s">
        <v>292</v>
      </c>
      <c r="D666" s="1098"/>
      <c r="E666" s="1097" t="s">
        <v>293</v>
      </c>
      <c r="F666" s="1097" t="s">
        <v>294</v>
      </c>
      <c r="G666" s="1097" t="s">
        <v>295</v>
      </c>
      <c r="H666" s="1097" t="s">
        <v>296</v>
      </c>
      <c r="I666" s="1097" t="s">
        <v>297</v>
      </c>
      <c r="J666" s="1098"/>
      <c r="K666" s="1097" t="s">
        <v>298</v>
      </c>
      <c r="L666" s="1097" t="s">
        <v>299</v>
      </c>
      <c r="M666" s="1097" t="s">
        <v>300</v>
      </c>
      <c r="N666" s="1097" t="s">
        <v>308</v>
      </c>
      <c r="O666" s="1097" t="s">
        <v>309</v>
      </c>
      <c r="P666" s="1098"/>
      <c r="Q666" s="1097" t="s">
        <v>310</v>
      </c>
      <c r="R666" s="1097" t="s">
        <v>311</v>
      </c>
      <c r="S666" s="1097" t="s">
        <v>312</v>
      </c>
      <c r="T666" s="1097" t="s">
        <v>313</v>
      </c>
      <c r="U666" s="1097" t="s">
        <v>314</v>
      </c>
      <c r="V666" s="1098"/>
      <c r="W666" s="1097" t="s">
        <v>315</v>
      </c>
      <c r="X666" s="1097" t="s">
        <v>316</v>
      </c>
      <c r="Y666" s="1099" t="s">
        <v>317</v>
      </c>
    </row>
    <row r="667" spans="1:25" x14ac:dyDescent="0.25">
      <c r="A667" s="827">
        <v>1</v>
      </c>
      <c r="B667" s="1072">
        <f>F624</f>
        <v>0</v>
      </c>
      <c r="C667" s="1073">
        <f>H624</f>
        <v>0</v>
      </c>
      <c r="D667" s="1073"/>
      <c r="E667" s="1073">
        <f t="shared" ref="E667:E706" si="256">J624</f>
        <v>0</v>
      </c>
      <c r="F667" s="1073">
        <f>IF(System!AQ4=1,J624-E624*$Z$629,J624+E624*$Z$628*0.5)</f>
        <v>0</v>
      </c>
      <c r="G667" s="1073">
        <f>IF(System!AQ4=1,F667,J624-E624*$Z$628*0.5)</f>
        <v>0</v>
      </c>
      <c r="H667" s="1073">
        <f>E667</f>
        <v>0</v>
      </c>
      <c r="I667" s="1073">
        <f>IF(System!AQ4=1,L624,N624)</f>
        <v>0</v>
      </c>
      <c r="J667" s="1073"/>
      <c r="K667" s="1073">
        <f t="shared" ref="K667:K706" si="257">P624</f>
        <v>0</v>
      </c>
      <c r="L667" s="1073">
        <f t="shared" ref="L667:L706" si="258">R624</f>
        <v>0</v>
      </c>
      <c r="M667" s="1074">
        <f t="shared" ref="M667:M706" si="259">T624</f>
        <v>0</v>
      </c>
      <c r="N667" s="1072">
        <f t="shared" ref="N667:N706" si="260">G624</f>
        <v>0</v>
      </c>
      <c r="O667" s="1073">
        <f t="shared" ref="O667:O706" si="261">I624</f>
        <v>0</v>
      </c>
      <c r="P667" s="1073"/>
      <c r="Q667" s="1073">
        <f>K624</f>
        <v>0</v>
      </c>
      <c r="R667" s="1073">
        <f>IF(System!AQ4=1,K624+E624*$Z$628*0.5,K624-E624*$Z$629)</f>
        <v>0</v>
      </c>
      <c r="S667" s="1073">
        <f>IF(System!AQ4=1,K624-E624*$Z$628*0.5,R667)</f>
        <v>0</v>
      </c>
      <c r="T667" s="1073">
        <f>Q667</f>
        <v>0</v>
      </c>
      <c r="U667" s="1073">
        <f>IF(System!AQ4=1,M624,O624)</f>
        <v>0</v>
      </c>
      <c r="V667" s="1073"/>
      <c r="W667" s="1073">
        <f>Q624</f>
        <v>0</v>
      </c>
      <c r="X667" s="1073">
        <f>S624</f>
        <v>0</v>
      </c>
      <c r="Y667" s="1074">
        <f>U624</f>
        <v>0</v>
      </c>
    </row>
    <row r="668" spans="1:25" x14ac:dyDescent="0.25">
      <c r="A668" s="827">
        <v>2</v>
      </c>
      <c r="B668" s="1072">
        <f t="shared" ref="B668:B706" si="262">F625</f>
        <v>0</v>
      </c>
      <c r="C668" s="1073">
        <f t="shared" ref="C668:C706" si="263">H625</f>
        <v>0</v>
      </c>
      <c r="D668" s="1073"/>
      <c r="E668" s="1073">
        <f t="shared" si="256"/>
        <v>0</v>
      </c>
      <c r="F668" s="1073">
        <f>IF(System!AQ5=1,J625-E625*$Z$629,J625+E625*$Z$628*0.5)</f>
        <v>0</v>
      </c>
      <c r="G668" s="1073">
        <f>IF(System!AQ5=1,F668,J625-E625*$Z$628*0.5)</f>
        <v>0</v>
      </c>
      <c r="H668" s="1073">
        <f t="shared" ref="H668:H706" si="264">E668</f>
        <v>0</v>
      </c>
      <c r="I668" s="1073">
        <f>IF(System!AQ5=1,L625,N625)</f>
        <v>0</v>
      </c>
      <c r="J668" s="1073"/>
      <c r="K668" s="1073">
        <f t="shared" si="257"/>
        <v>0</v>
      </c>
      <c r="L668" s="1073">
        <f t="shared" si="258"/>
        <v>0</v>
      </c>
      <c r="M668" s="1074">
        <f t="shared" si="259"/>
        <v>0</v>
      </c>
      <c r="N668" s="1072">
        <f t="shared" si="260"/>
        <v>0</v>
      </c>
      <c r="O668" s="1073">
        <f t="shared" si="261"/>
        <v>0</v>
      </c>
      <c r="P668" s="1073"/>
      <c r="Q668" s="1073">
        <f t="shared" ref="Q668:Q706" si="265">K625</f>
        <v>0</v>
      </c>
      <c r="R668" s="1073">
        <f>IF(System!AQ5=1,K625+E625*$Z$628*0.5,K625-E625*$Z$629)</f>
        <v>0</v>
      </c>
      <c r="S668" s="1073">
        <f>IF(System!AQ5=1,K625-E625*$Z$628*0.5,R668)</f>
        <v>0</v>
      </c>
      <c r="T668" s="1073">
        <f t="shared" ref="T668:T706" si="266">Q668</f>
        <v>0</v>
      </c>
      <c r="U668" s="1073">
        <f>IF(System!AQ5=1,M625,O625)</f>
        <v>0</v>
      </c>
      <c r="V668" s="1073"/>
      <c r="W668" s="1073">
        <f t="shared" ref="W668:W706" si="267">Q625</f>
        <v>0</v>
      </c>
      <c r="X668" s="1073">
        <f t="shared" ref="X668:X706" si="268">S625</f>
        <v>0</v>
      </c>
      <c r="Y668" s="1074">
        <f t="shared" ref="Y668:Y706" si="269">U625</f>
        <v>0</v>
      </c>
    </row>
    <row r="669" spans="1:25" x14ac:dyDescent="0.25">
      <c r="A669" s="827">
        <v>3</v>
      </c>
      <c r="B669" s="1072">
        <f t="shared" si="262"/>
        <v>0</v>
      </c>
      <c r="C669" s="1073">
        <f t="shared" si="263"/>
        <v>0</v>
      </c>
      <c r="D669" s="1073"/>
      <c r="E669" s="1073">
        <f t="shared" si="256"/>
        <v>0</v>
      </c>
      <c r="F669" s="1073">
        <f>IF(System!AQ6=1,J626-E626*$Z$629,J626+E626*$Z$628*0.5)</f>
        <v>0</v>
      </c>
      <c r="G669" s="1073">
        <f>IF(System!AQ6=1,F669,J626-E626*$Z$628*0.5)</f>
        <v>0</v>
      </c>
      <c r="H669" s="1073">
        <f t="shared" si="264"/>
        <v>0</v>
      </c>
      <c r="I669" s="1073">
        <f>IF(System!AQ6=1,L626,N626)</f>
        <v>0</v>
      </c>
      <c r="J669" s="1073"/>
      <c r="K669" s="1073">
        <f t="shared" si="257"/>
        <v>0</v>
      </c>
      <c r="L669" s="1073">
        <f t="shared" si="258"/>
        <v>0</v>
      </c>
      <c r="M669" s="1074">
        <f t="shared" si="259"/>
        <v>0</v>
      </c>
      <c r="N669" s="1072">
        <f t="shared" si="260"/>
        <v>0</v>
      </c>
      <c r="O669" s="1073">
        <f t="shared" si="261"/>
        <v>0</v>
      </c>
      <c r="P669" s="1073"/>
      <c r="Q669" s="1073">
        <f t="shared" si="265"/>
        <v>0</v>
      </c>
      <c r="R669" s="1073">
        <f>IF(System!AQ6=1,K626+E626*$Z$628*0.5,K626-E626*$Z$629)</f>
        <v>0</v>
      </c>
      <c r="S669" s="1073">
        <f>IF(System!AQ6=1,K626-E626*$Z$628*0.5,R669)</f>
        <v>0</v>
      </c>
      <c r="T669" s="1073">
        <f t="shared" si="266"/>
        <v>0</v>
      </c>
      <c r="U669" s="1073">
        <f>IF(System!AQ6=1,M626,O626)</f>
        <v>0</v>
      </c>
      <c r="V669" s="1073"/>
      <c r="W669" s="1073">
        <f t="shared" si="267"/>
        <v>0</v>
      </c>
      <c r="X669" s="1073">
        <f t="shared" si="268"/>
        <v>0</v>
      </c>
      <c r="Y669" s="1074">
        <f t="shared" si="269"/>
        <v>0</v>
      </c>
    </row>
    <row r="670" spans="1:25" x14ac:dyDescent="0.25">
      <c r="A670" s="827">
        <v>4</v>
      </c>
      <c r="B670" s="1072">
        <f t="shared" si="262"/>
        <v>0</v>
      </c>
      <c r="C670" s="1073">
        <f t="shared" si="263"/>
        <v>0</v>
      </c>
      <c r="D670" s="1073"/>
      <c r="E670" s="1073">
        <f t="shared" si="256"/>
        <v>0</v>
      </c>
      <c r="F670" s="1073">
        <f>IF(System!AQ7=1,J627-E627*$Z$629,J627+E627*$Z$628*0.5)</f>
        <v>0</v>
      </c>
      <c r="G670" s="1073">
        <f>IF(System!AQ7=1,F670,J627-E627*$Z$628*0.5)</f>
        <v>0</v>
      </c>
      <c r="H670" s="1073">
        <f t="shared" si="264"/>
        <v>0</v>
      </c>
      <c r="I670" s="1073">
        <f>IF(System!AQ7=1,L627,N627)</f>
        <v>0</v>
      </c>
      <c r="J670" s="1073"/>
      <c r="K670" s="1073">
        <f t="shared" si="257"/>
        <v>0</v>
      </c>
      <c r="L670" s="1073">
        <f t="shared" si="258"/>
        <v>0</v>
      </c>
      <c r="M670" s="1074">
        <f t="shared" si="259"/>
        <v>0</v>
      </c>
      <c r="N670" s="1072">
        <f t="shared" si="260"/>
        <v>0</v>
      </c>
      <c r="O670" s="1073">
        <f t="shared" si="261"/>
        <v>0</v>
      </c>
      <c r="P670" s="1073"/>
      <c r="Q670" s="1073">
        <f t="shared" si="265"/>
        <v>0</v>
      </c>
      <c r="R670" s="1073">
        <f>IF(System!AQ7=1,K627+E627*$Z$628*0.5,K627-E627*$Z$629)</f>
        <v>0</v>
      </c>
      <c r="S670" s="1073">
        <f>IF(System!AQ7=1,K627-E627*$Z$628*0.5,R670)</f>
        <v>0</v>
      </c>
      <c r="T670" s="1073">
        <f t="shared" si="266"/>
        <v>0</v>
      </c>
      <c r="U670" s="1073">
        <f>IF(System!AQ7=1,M627,O627)</f>
        <v>0</v>
      </c>
      <c r="V670" s="1073"/>
      <c r="W670" s="1073">
        <f t="shared" si="267"/>
        <v>0</v>
      </c>
      <c r="X670" s="1073">
        <f t="shared" si="268"/>
        <v>0</v>
      </c>
      <c r="Y670" s="1074">
        <f t="shared" si="269"/>
        <v>0</v>
      </c>
    </row>
    <row r="671" spans="1:25" x14ac:dyDescent="0.25">
      <c r="A671" s="827">
        <v>5</v>
      </c>
      <c r="B671" s="1072">
        <f t="shared" si="262"/>
        <v>0</v>
      </c>
      <c r="C671" s="1073">
        <f t="shared" si="263"/>
        <v>0</v>
      </c>
      <c r="D671" s="1073"/>
      <c r="E671" s="1073">
        <f t="shared" si="256"/>
        <v>0</v>
      </c>
      <c r="F671" s="1073">
        <f>IF(System!AQ8=1,J628-E628*$Z$629,J628+E628*$Z$628*0.5)</f>
        <v>0</v>
      </c>
      <c r="G671" s="1073">
        <f>IF(System!AQ8=1,F671,J628-E628*$Z$628*0.5)</f>
        <v>0</v>
      </c>
      <c r="H671" s="1073">
        <f t="shared" si="264"/>
        <v>0</v>
      </c>
      <c r="I671" s="1073">
        <f>IF(System!AQ8=1,L628,N628)</f>
        <v>0</v>
      </c>
      <c r="J671" s="1073"/>
      <c r="K671" s="1073">
        <f t="shared" si="257"/>
        <v>0</v>
      </c>
      <c r="L671" s="1073">
        <f t="shared" si="258"/>
        <v>0</v>
      </c>
      <c r="M671" s="1074">
        <f t="shared" si="259"/>
        <v>0</v>
      </c>
      <c r="N671" s="1072">
        <f t="shared" si="260"/>
        <v>0</v>
      </c>
      <c r="O671" s="1073">
        <f t="shared" si="261"/>
        <v>0</v>
      </c>
      <c r="P671" s="1073"/>
      <c r="Q671" s="1073">
        <f t="shared" si="265"/>
        <v>0</v>
      </c>
      <c r="R671" s="1073">
        <f>IF(System!AQ8=1,K628+E628*$Z$628*0.5,K628-E628*$Z$629)</f>
        <v>0</v>
      </c>
      <c r="S671" s="1073">
        <f>IF(System!AQ8=1,K628-E628*$Z$628*0.5,R671)</f>
        <v>0</v>
      </c>
      <c r="T671" s="1073">
        <f t="shared" si="266"/>
        <v>0</v>
      </c>
      <c r="U671" s="1073">
        <f>IF(System!AQ8=1,M628,O628)</f>
        <v>0</v>
      </c>
      <c r="V671" s="1073"/>
      <c r="W671" s="1073">
        <f t="shared" si="267"/>
        <v>0</v>
      </c>
      <c r="X671" s="1073">
        <f t="shared" si="268"/>
        <v>0</v>
      </c>
      <c r="Y671" s="1074">
        <f t="shared" si="269"/>
        <v>0</v>
      </c>
    </row>
    <row r="672" spans="1:25" x14ac:dyDescent="0.25">
      <c r="A672" s="827">
        <v>6</v>
      </c>
      <c r="B672" s="1072">
        <f t="shared" si="262"/>
        <v>0</v>
      </c>
      <c r="C672" s="1073">
        <f t="shared" si="263"/>
        <v>0</v>
      </c>
      <c r="D672" s="1073"/>
      <c r="E672" s="1073">
        <f t="shared" si="256"/>
        <v>0</v>
      </c>
      <c r="F672" s="1073">
        <f>IF(System!AQ9=1,J629-E629*$Z$629,J629+E629*$Z$628*0.5)</f>
        <v>0</v>
      </c>
      <c r="G672" s="1073">
        <f>IF(System!AQ9=1,F672,J629-E629*$Z$628*0.5)</f>
        <v>0</v>
      </c>
      <c r="H672" s="1073">
        <f t="shared" si="264"/>
        <v>0</v>
      </c>
      <c r="I672" s="1073">
        <f>IF(System!AQ9=1,L629,N629)</f>
        <v>0</v>
      </c>
      <c r="J672" s="1073"/>
      <c r="K672" s="1073">
        <f t="shared" si="257"/>
        <v>0</v>
      </c>
      <c r="L672" s="1073">
        <f t="shared" si="258"/>
        <v>0</v>
      </c>
      <c r="M672" s="1074">
        <f t="shared" si="259"/>
        <v>0</v>
      </c>
      <c r="N672" s="1072">
        <f t="shared" si="260"/>
        <v>0</v>
      </c>
      <c r="O672" s="1073">
        <f t="shared" si="261"/>
        <v>0</v>
      </c>
      <c r="P672" s="1073"/>
      <c r="Q672" s="1073">
        <f t="shared" si="265"/>
        <v>0</v>
      </c>
      <c r="R672" s="1073">
        <f>IF(System!AQ9=1,K629+E629*$Z$628*0.5,K629-E629*$Z$629)</f>
        <v>0</v>
      </c>
      <c r="S672" s="1073">
        <f>IF(System!AQ9=1,K629-E629*$Z$628*0.5,R672)</f>
        <v>0</v>
      </c>
      <c r="T672" s="1073">
        <f t="shared" si="266"/>
        <v>0</v>
      </c>
      <c r="U672" s="1073">
        <f>IF(System!AQ9=1,M629,O629)</f>
        <v>0</v>
      </c>
      <c r="V672" s="1073"/>
      <c r="W672" s="1073">
        <f t="shared" si="267"/>
        <v>0</v>
      </c>
      <c r="X672" s="1073">
        <f t="shared" si="268"/>
        <v>0</v>
      </c>
      <c r="Y672" s="1074">
        <f t="shared" si="269"/>
        <v>0</v>
      </c>
    </row>
    <row r="673" spans="1:25" x14ac:dyDescent="0.25">
      <c r="A673" s="827">
        <v>7</v>
      </c>
      <c r="B673" s="1072">
        <f t="shared" si="262"/>
        <v>0</v>
      </c>
      <c r="C673" s="1073">
        <f t="shared" si="263"/>
        <v>0</v>
      </c>
      <c r="D673" s="1073"/>
      <c r="E673" s="1073">
        <f t="shared" si="256"/>
        <v>0</v>
      </c>
      <c r="F673" s="1073">
        <f>IF(System!AQ10=1,J630-E630*$Z$629,J630+E630*$Z$628*0.5)</f>
        <v>0</v>
      </c>
      <c r="G673" s="1073">
        <f>IF(System!AQ10=1,F673,J630-E630*$Z$628*0.5)</f>
        <v>0</v>
      </c>
      <c r="H673" s="1073">
        <f t="shared" si="264"/>
        <v>0</v>
      </c>
      <c r="I673" s="1073">
        <f>IF(System!AQ10=1,L630,N630)</f>
        <v>0</v>
      </c>
      <c r="J673" s="1073"/>
      <c r="K673" s="1073">
        <f t="shared" si="257"/>
        <v>0</v>
      </c>
      <c r="L673" s="1073">
        <f t="shared" si="258"/>
        <v>0</v>
      </c>
      <c r="M673" s="1074">
        <f t="shared" si="259"/>
        <v>0</v>
      </c>
      <c r="N673" s="1072">
        <f t="shared" si="260"/>
        <v>0</v>
      </c>
      <c r="O673" s="1073">
        <f t="shared" si="261"/>
        <v>0</v>
      </c>
      <c r="P673" s="1073"/>
      <c r="Q673" s="1073">
        <f t="shared" si="265"/>
        <v>0</v>
      </c>
      <c r="R673" s="1073">
        <f>IF(System!AQ10=1,K630+E630*$Z$628*0.5,K630-E630*$Z$629)</f>
        <v>0</v>
      </c>
      <c r="S673" s="1073">
        <f>IF(System!AQ10=1,K630-E630*$Z$628*0.5,R673)</f>
        <v>0</v>
      </c>
      <c r="T673" s="1073">
        <f t="shared" si="266"/>
        <v>0</v>
      </c>
      <c r="U673" s="1073">
        <f>IF(System!AQ10=1,M630,O630)</f>
        <v>0</v>
      </c>
      <c r="V673" s="1073"/>
      <c r="W673" s="1073">
        <f t="shared" si="267"/>
        <v>0</v>
      </c>
      <c r="X673" s="1073">
        <f t="shared" si="268"/>
        <v>0</v>
      </c>
      <c r="Y673" s="1074">
        <f t="shared" si="269"/>
        <v>0</v>
      </c>
    </row>
    <row r="674" spans="1:25" x14ac:dyDescent="0.25">
      <c r="A674" s="827">
        <v>8</v>
      </c>
      <c r="B674" s="1072">
        <f t="shared" si="262"/>
        <v>0</v>
      </c>
      <c r="C674" s="1073">
        <f t="shared" si="263"/>
        <v>0</v>
      </c>
      <c r="D674" s="1073"/>
      <c r="E674" s="1073">
        <f t="shared" si="256"/>
        <v>0</v>
      </c>
      <c r="F674" s="1073">
        <f>IF(System!AQ11=1,J631-E631*$Z$629,J631+E631*$Z$628*0.5)</f>
        <v>0</v>
      </c>
      <c r="G674" s="1073">
        <f>IF(System!AQ11=1,F674,J631-E631*$Z$628*0.5)</f>
        <v>0</v>
      </c>
      <c r="H674" s="1073">
        <f t="shared" si="264"/>
        <v>0</v>
      </c>
      <c r="I674" s="1073">
        <f>IF(System!AQ11=1,L631,N631)</f>
        <v>0</v>
      </c>
      <c r="J674" s="1073"/>
      <c r="K674" s="1073">
        <f t="shared" si="257"/>
        <v>0</v>
      </c>
      <c r="L674" s="1073">
        <f t="shared" si="258"/>
        <v>0</v>
      </c>
      <c r="M674" s="1074">
        <f t="shared" si="259"/>
        <v>0</v>
      </c>
      <c r="N674" s="1072">
        <f t="shared" si="260"/>
        <v>0</v>
      </c>
      <c r="O674" s="1073">
        <f t="shared" si="261"/>
        <v>0</v>
      </c>
      <c r="P674" s="1073"/>
      <c r="Q674" s="1073">
        <f t="shared" si="265"/>
        <v>0</v>
      </c>
      <c r="R674" s="1073">
        <f>IF(System!AQ11=1,K631+E631*$Z$628*0.5,K631-E631*$Z$629)</f>
        <v>0</v>
      </c>
      <c r="S674" s="1073">
        <f>IF(System!AQ11=1,K631-E631*$Z$628*0.5,R674)</f>
        <v>0</v>
      </c>
      <c r="T674" s="1073">
        <f t="shared" si="266"/>
        <v>0</v>
      </c>
      <c r="U674" s="1073">
        <f>IF(System!AQ11=1,M631,O631)</f>
        <v>0</v>
      </c>
      <c r="V674" s="1073"/>
      <c r="W674" s="1073">
        <f t="shared" si="267"/>
        <v>0</v>
      </c>
      <c r="X674" s="1073">
        <f t="shared" si="268"/>
        <v>0</v>
      </c>
      <c r="Y674" s="1074">
        <f t="shared" si="269"/>
        <v>0</v>
      </c>
    </row>
    <row r="675" spans="1:25" x14ac:dyDescent="0.25">
      <c r="A675" s="827">
        <v>9</v>
      </c>
      <c r="B675" s="1072">
        <f t="shared" si="262"/>
        <v>0</v>
      </c>
      <c r="C675" s="1073">
        <f t="shared" si="263"/>
        <v>0</v>
      </c>
      <c r="D675" s="1073"/>
      <c r="E675" s="1073">
        <f t="shared" si="256"/>
        <v>0</v>
      </c>
      <c r="F675" s="1073">
        <f>IF(System!AQ12=1,J632-E632*$Z$629,J632+E632*$Z$628*0.5)</f>
        <v>0</v>
      </c>
      <c r="G675" s="1073">
        <f>IF(System!AQ12=1,F675,J632-E632*$Z$628*0.5)</f>
        <v>0</v>
      </c>
      <c r="H675" s="1073">
        <f t="shared" si="264"/>
        <v>0</v>
      </c>
      <c r="I675" s="1073">
        <f>IF(System!AQ12=1,L632,N632)</f>
        <v>0</v>
      </c>
      <c r="J675" s="1073"/>
      <c r="K675" s="1073">
        <f t="shared" si="257"/>
        <v>0</v>
      </c>
      <c r="L675" s="1073">
        <f t="shared" si="258"/>
        <v>0</v>
      </c>
      <c r="M675" s="1074">
        <f t="shared" si="259"/>
        <v>0</v>
      </c>
      <c r="N675" s="1072">
        <f t="shared" si="260"/>
        <v>0</v>
      </c>
      <c r="O675" s="1073">
        <f t="shared" si="261"/>
        <v>0</v>
      </c>
      <c r="P675" s="1073"/>
      <c r="Q675" s="1073">
        <f t="shared" si="265"/>
        <v>0</v>
      </c>
      <c r="R675" s="1073">
        <f>IF(System!AQ12=1,K632+E632*$Z$628*0.5,K632-E632*$Z$629)</f>
        <v>0</v>
      </c>
      <c r="S675" s="1073">
        <f>IF(System!AQ12=1,K632-E632*$Z$628*0.5,R675)</f>
        <v>0</v>
      </c>
      <c r="T675" s="1073">
        <f t="shared" si="266"/>
        <v>0</v>
      </c>
      <c r="U675" s="1073">
        <f>IF(System!AQ12=1,M632,O632)</f>
        <v>0</v>
      </c>
      <c r="V675" s="1073"/>
      <c r="W675" s="1073">
        <f t="shared" si="267"/>
        <v>0</v>
      </c>
      <c r="X675" s="1073">
        <f t="shared" si="268"/>
        <v>0</v>
      </c>
      <c r="Y675" s="1074">
        <f t="shared" si="269"/>
        <v>0</v>
      </c>
    </row>
    <row r="676" spans="1:25" x14ac:dyDescent="0.25">
      <c r="A676" s="827">
        <v>10</v>
      </c>
      <c r="B676" s="1072">
        <f t="shared" si="262"/>
        <v>0</v>
      </c>
      <c r="C676" s="1073">
        <f t="shared" si="263"/>
        <v>0</v>
      </c>
      <c r="D676" s="1073"/>
      <c r="E676" s="1073">
        <f t="shared" si="256"/>
        <v>0</v>
      </c>
      <c r="F676" s="1073">
        <f>IF(System!AQ13=1,J633-E633*$Z$629,J633+E633*$Z$628*0.5)</f>
        <v>0</v>
      </c>
      <c r="G676" s="1073">
        <f>IF(System!AQ13=1,F676,J633-E633*$Z$628*0.5)</f>
        <v>0</v>
      </c>
      <c r="H676" s="1073">
        <f t="shared" si="264"/>
        <v>0</v>
      </c>
      <c r="I676" s="1073">
        <f>IF(System!AQ13=1,L633,N633)</f>
        <v>0</v>
      </c>
      <c r="J676" s="1073"/>
      <c r="K676" s="1073">
        <f t="shared" si="257"/>
        <v>0</v>
      </c>
      <c r="L676" s="1073">
        <f t="shared" si="258"/>
        <v>0</v>
      </c>
      <c r="M676" s="1074">
        <f t="shared" si="259"/>
        <v>0</v>
      </c>
      <c r="N676" s="1072">
        <f t="shared" si="260"/>
        <v>0</v>
      </c>
      <c r="O676" s="1073">
        <f t="shared" si="261"/>
        <v>0</v>
      </c>
      <c r="P676" s="1073"/>
      <c r="Q676" s="1073">
        <f t="shared" si="265"/>
        <v>0</v>
      </c>
      <c r="R676" s="1073">
        <f>IF(System!AQ13=1,K633+E633*$Z$628*0.5,K633-E633*$Z$629)</f>
        <v>0</v>
      </c>
      <c r="S676" s="1073">
        <f>IF(System!AQ13=1,K633-E633*$Z$628*0.5,R676)</f>
        <v>0</v>
      </c>
      <c r="T676" s="1073">
        <f t="shared" si="266"/>
        <v>0</v>
      </c>
      <c r="U676" s="1073">
        <f>IF(System!AQ13=1,M633,O633)</f>
        <v>0</v>
      </c>
      <c r="V676" s="1073"/>
      <c r="W676" s="1073">
        <f t="shared" si="267"/>
        <v>0</v>
      </c>
      <c r="X676" s="1073">
        <f t="shared" si="268"/>
        <v>0</v>
      </c>
      <c r="Y676" s="1074">
        <f t="shared" si="269"/>
        <v>0</v>
      </c>
    </row>
    <row r="677" spans="1:25" x14ac:dyDescent="0.25">
      <c r="A677" s="827">
        <v>11</v>
      </c>
      <c r="B677" s="1072">
        <f t="shared" si="262"/>
        <v>0</v>
      </c>
      <c r="C677" s="1073">
        <f t="shared" si="263"/>
        <v>0</v>
      </c>
      <c r="D677" s="1073"/>
      <c r="E677" s="1073">
        <f t="shared" si="256"/>
        <v>0</v>
      </c>
      <c r="F677" s="1073">
        <f>IF(System!AQ14=1,J634-E634*$Z$629,J634+E634*$Z$628*0.5)</f>
        <v>0</v>
      </c>
      <c r="G677" s="1073">
        <f>IF(System!AQ14=1,F677,J634-E634*$Z$628*0.5)</f>
        <v>0</v>
      </c>
      <c r="H677" s="1073">
        <f t="shared" si="264"/>
        <v>0</v>
      </c>
      <c r="I677" s="1073">
        <f>IF(System!AQ14=1,L634,N634)</f>
        <v>0</v>
      </c>
      <c r="J677" s="1073"/>
      <c r="K677" s="1073">
        <f t="shared" si="257"/>
        <v>0</v>
      </c>
      <c r="L677" s="1073">
        <f t="shared" si="258"/>
        <v>0</v>
      </c>
      <c r="M677" s="1074">
        <f t="shared" si="259"/>
        <v>0</v>
      </c>
      <c r="N677" s="1072">
        <f t="shared" si="260"/>
        <v>0</v>
      </c>
      <c r="O677" s="1073">
        <f t="shared" si="261"/>
        <v>0</v>
      </c>
      <c r="P677" s="1073"/>
      <c r="Q677" s="1073">
        <f t="shared" si="265"/>
        <v>0</v>
      </c>
      <c r="R677" s="1073">
        <f>IF(System!AQ14=1,K634+E634*$Z$628*0.5,K634-E634*$Z$629)</f>
        <v>0</v>
      </c>
      <c r="S677" s="1073">
        <f>IF(System!AQ14=1,K634-E634*$Z$628*0.5,R677)</f>
        <v>0</v>
      </c>
      <c r="T677" s="1073">
        <f t="shared" si="266"/>
        <v>0</v>
      </c>
      <c r="U677" s="1073">
        <f>IF(System!AQ14=1,M634,O634)</f>
        <v>0</v>
      </c>
      <c r="V677" s="1073"/>
      <c r="W677" s="1073">
        <f t="shared" si="267"/>
        <v>0</v>
      </c>
      <c r="X677" s="1073">
        <f t="shared" si="268"/>
        <v>0</v>
      </c>
      <c r="Y677" s="1074">
        <f t="shared" si="269"/>
        <v>0</v>
      </c>
    </row>
    <row r="678" spans="1:25" x14ac:dyDescent="0.25">
      <c r="A678" s="827">
        <v>12</v>
      </c>
      <c r="B678" s="1072">
        <f t="shared" si="262"/>
        <v>0</v>
      </c>
      <c r="C678" s="1073">
        <f t="shared" si="263"/>
        <v>0</v>
      </c>
      <c r="D678" s="1073"/>
      <c r="E678" s="1073">
        <f t="shared" si="256"/>
        <v>0</v>
      </c>
      <c r="F678" s="1073">
        <f>IF(System!AQ15=1,J635-E635*$Z$629,J635+E635*$Z$628*0.5)</f>
        <v>0</v>
      </c>
      <c r="G678" s="1073">
        <f>IF(System!AQ15=1,F678,J635-E635*$Z$628*0.5)</f>
        <v>0</v>
      </c>
      <c r="H678" s="1073">
        <f t="shared" si="264"/>
        <v>0</v>
      </c>
      <c r="I678" s="1073">
        <f>IF(System!AQ15=1,L635,N635)</f>
        <v>0</v>
      </c>
      <c r="J678" s="1073"/>
      <c r="K678" s="1073">
        <f t="shared" si="257"/>
        <v>0</v>
      </c>
      <c r="L678" s="1073">
        <f t="shared" si="258"/>
        <v>0</v>
      </c>
      <c r="M678" s="1074">
        <f t="shared" si="259"/>
        <v>0</v>
      </c>
      <c r="N678" s="1072">
        <f t="shared" si="260"/>
        <v>0</v>
      </c>
      <c r="O678" s="1073">
        <f t="shared" si="261"/>
        <v>0</v>
      </c>
      <c r="P678" s="1073"/>
      <c r="Q678" s="1073">
        <f t="shared" si="265"/>
        <v>0</v>
      </c>
      <c r="R678" s="1073">
        <f>IF(System!AQ15=1,K635+E635*$Z$628*0.5,K635-E635*$Z$629)</f>
        <v>0</v>
      </c>
      <c r="S678" s="1073">
        <f>IF(System!AQ15=1,K635-E635*$Z$628*0.5,R678)</f>
        <v>0</v>
      </c>
      <c r="T678" s="1073">
        <f t="shared" si="266"/>
        <v>0</v>
      </c>
      <c r="U678" s="1073">
        <f>IF(System!AQ15=1,M635,O635)</f>
        <v>0</v>
      </c>
      <c r="V678" s="1073"/>
      <c r="W678" s="1073">
        <f t="shared" si="267"/>
        <v>0</v>
      </c>
      <c r="X678" s="1073">
        <f t="shared" si="268"/>
        <v>0</v>
      </c>
      <c r="Y678" s="1074">
        <f t="shared" si="269"/>
        <v>0</v>
      </c>
    </row>
    <row r="679" spans="1:25" x14ac:dyDescent="0.25">
      <c r="A679" s="827">
        <v>13</v>
      </c>
      <c r="B679" s="1072">
        <f t="shared" si="262"/>
        <v>0</v>
      </c>
      <c r="C679" s="1073">
        <f t="shared" si="263"/>
        <v>0</v>
      </c>
      <c r="D679" s="1073"/>
      <c r="E679" s="1073">
        <f t="shared" si="256"/>
        <v>0</v>
      </c>
      <c r="F679" s="1073">
        <f>IF(System!AQ16=1,J636-E636*$Z$629,J636+E636*$Z$628*0.5)</f>
        <v>0</v>
      </c>
      <c r="G679" s="1073">
        <f>IF(System!AQ16=1,F679,J636-E636*$Z$628*0.5)</f>
        <v>0</v>
      </c>
      <c r="H679" s="1073">
        <f t="shared" si="264"/>
        <v>0</v>
      </c>
      <c r="I679" s="1073">
        <f>IF(System!AQ16=1,L636,N636)</f>
        <v>0</v>
      </c>
      <c r="J679" s="1073"/>
      <c r="K679" s="1073">
        <f t="shared" si="257"/>
        <v>0</v>
      </c>
      <c r="L679" s="1073">
        <f t="shared" si="258"/>
        <v>0</v>
      </c>
      <c r="M679" s="1074">
        <f t="shared" si="259"/>
        <v>0</v>
      </c>
      <c r="N679" s="1072">
        <f t="shared" si="260"/>
        <v>0</v>
      </c>
      <c r="O679" s="1073">
        <f t="shared" si="261"/>
        <v>0</v>
      </c>
      <c r="P679" s="1073"/>
      <c r="Q679" s="1073">
        <f t="shared" si="265"/>
        <v>0</v>
      </c>
      <c r="R679" s="1073">
        <f>IF(System!AQ16=1,K636+E636*$Z$628*0.5,K636-E636*$Z$629)</f>
        <v>0</v>
      </c>
      <c r="S679" s="1073">
        <f>IF(System!AQ16=1,K636-E636*$Z$628*0.5,R679)</f>
        <v>0</v>
      </c>
      <c r="T679" s="1073">
        <f t="shared" si="266"/>
        <v>0</v>
      </c>
      <c r="U679" s="1073">
        <f>IF(System!AQ16=1,M636,O636)</f>
        <v>0</v>
      </c>
      <c r="V679" s="1073"/>
      <c r="W679" s="1073">
        <f t="shared" si="267"/>
        <v>0</v>
      </c>
      <c r="X679" s="1073">
        <f t="shared" si="268"/>
        <v>0</v>
      </c>
      <c r="Y679" s="1074">
        <f t="shared" si="269"/>
        <v>0</v>
      </c>
    </row>
    <row r="680" spans="1:25" x14ac:dyDescent="0.25">
      <c r="A680" s="827">
        <v>14</v>
      </c>
      <c r="B680" s="1072">
        <f t="shared" si="262"/>
        <v>0</v>
      </c>
      <c r="C680" s="1073">
        <f t="shared" si="263"/>
        <v>0</v>
      </c>
      <c r="D680" s="1073"/>
      <c r="E680" s="1073">
        <f t="shared" si="256"/>
        <v>0</v>
      </c>
      <c r="F680" s="1073">
        <f>IF(System!AQ17=1,J637-E637*$Z$629,J637+E637*$Z$628*0.5)</f>
        <v>0</v>
      </c>
      <c r="G680" s="1073">
        <f>IF(System!AQ17=1,F680,J637-E637*$Z$628*0.5)</f>
        <v>0</v>
      </c>
      <c r="H680" s="1073">
        <f t="shared" si="264"/>
        <v>0</v>
      </c>
      <c r="I680" s="1073">
        <f>IF(System!AQ17=1,L637,N637)</f>
        <v>0</v>
      </c>
      <c r="J680" s="1073"/>
      <c r="K680" s="1073">
        <f t="shared" si="257"/>
        <v>0</v>
      </c>
      <c r="L680" s="1073">
        <f t="shared" si="258"/>
        <v>0</v>
      </c>
      <c r="M680" s="1074">
        <f t="shared" si="259"/>
        <v>0</v>
      </c>
      <c r="N680" s="1072">
        <f t="shared" si="260"/>
        <v>0</v>
      </c>
      <c r="O680" s="1073">
        <f t="shared" si="261"/>
        <v>0</v>
      </c>
      <c r="P680" s="1073"/>
      <c r="Q680" s="1073">
        <f t="shared" si="265"/>
        <v>0</v>
      </c>
      <c r="R680" s="1073">
        <f>IF(System!AQ17=1,K637+E637*$Z$628*0.5,K637-E637*$Z$629)</f>
        <v>0</v>
      </c>
      <c r="S680" s="1073">
        <f>IF(System!AQ17=1,K637-E637*$Z$628*0.5,R680)</f>
        <v>0</v>
      </c>
      <c r="T680" s="1073">
        <f t="shared" si="266"/>
        <v>0</v>
      </c>
      <c r="U680" s="1073">
        <f>IF(System!AQ17=1,M637,O637)</f>
        <v>0</v>
      </c>
      <c r="V680" s="1073"/>
      <c r="W680" s="1073">
        <f t="shared" si="267"/>
        <v>0</v>
      </c>
      <c r="X680" s="1073">
        <f t="shared" si="268"/>
        <v>0</v>
      </c>
      <c r="Y680" s="1074">
        <f t="shared" si="269"/>
        <v>0</v>
      </c>
    </row>
    <row r="681" spans="1:25" x14ac:dyDescent="0.25">
      <c r="A681" s="827">
        <v>15</v>
      </c>
      <c r="B681" s="1072">
        <f t="shared" si="262"/>
        <v>0</v>
      </c>
      <c r="C681" s="1073">
        <f t="shared" si="263"/>
        <v>0</v>
      </c>
      <c r="D681" s="1073"/>
      <c r="E681" s="1073">
        <f t="shared" si="256"/>
        <v>0</v>
      </c>
      <c r="F681" s="1073">
        <f>IF(System!AQ18=1,J638-E638*$Z$629,J638+E638*$Z$628*0.5)</f>
        <v>0</v>
      </c>
      <c r="G681" s="1073">
        <f>IF(System!AQ18=1,F681,J638-E638*$Z$628*0.5)</f>
        <v>0</v>
      </c>
      <c r="H681" s="1073">
        <f t="shared" si="264"/>
        <v>0</v>
      </c>
      <c r="I681" s="1073">
        <f>IF(System!AQ18=1,L638,N638)</f>
        <v>0</v>
      </c>
      <c r="J681" s="1073"/>
      <c r="K681" s="1073">
        <f t="shared" si="257"/>
        <v>0</v>
      </c>
      <c r="L681" s="1073">
        <f t="shared" si="258"/>
        <v>0</v>
      </c>
      <c r="M681" s="1074">
        <f t="shared" si="259"/>
        <v>0</v>
      </c>
      <c r="N681" s="1072">
        <f t="shared" si="260"/>
        <v>0</v>
      </c>
      <c r="O681" s="1073">
        <f t="shared" si="261"/>
        <v>0</v>
      </c>
      <c r="P681" s="1073"/>
      <c r="Q681" s="1073">
        <f t="shared" si="265"/>
        <v>0</v>
      </c>
      <c r="R681" s="1073">
        <f>IF(System!AQ18=1,K638+E638*$Z$628*0.5,K638-E638*$Z$629)</f>
        <v>0</v>
      </c>
      <c r="S681" s="1073">
        <f>IF(System!AQ18=1,K638-E638*$Z$628*0.5,R681)</f>
        <v>0</v>
      </c>
      <c r="T681" s="1073">
        <f t="shared" si="266"/>
        <v>0</v>
      </c>
      <c r="U681" s="1073">
        <f>IF(System!AQ18=1,M638,O638)</f>
        <v>0</v>
      </c>
      <c r="V681" s="1073"/>
      <c r="W681" s="1073">
        <f t="shared" si="267"/>
        <v>0</v>
      </c>
      <c r="X681" s="1073">
        <f t="shared" si="268"/>
        <v>0</v>
      </c>
      <c r="Y681" s="1074">
        <f t="shared" si="269"/>
        <v>0</v>
      </c>
    </row>
    <row r="682" spans="1:25" x14ac:dyDescent="0.25">
      <c r="A682" s="827">
        <v>16</v>
      </c>
      <c r="B682" s="1072">
        <f t="shared" si="262"/>
        <v>0</v>
      </c>
      <c r="C682" s="1073">
        <f t="shared" si="263"/>
        <v>0</v>
      </c>
      <c r="D682" s="1073"/>
      <c r="E682" s="1073">
        <f t="shared" si="256"/>
        <v>0</v>
      </c>
      <c r="F682" s="1073">
        <f>IF(System!AQ19=1,J639-E639*$Z$629,J639+E639*$Z$628*0.5)</f>
        <v>0</v>
      </c>
      <c r="G682" s="1073">
        <f>IF(System!AQ19=1,F682,J639-E639*$Z$628*0.5)</f>
        <v>0</v>
      </c>
      <c r="H682" s="1073">
        <f t="shared" si="264"/>
        <v>0</v>
      </c>
      <c r="I682" s="1073">
        <f>IF(System!AQ19=1,L639,N639)</f>
        <v>0</v>
      </c>
      <c r="J682" s="1073"/>
      <c r="K682" s="1073">
        <f t="shared" si="257"/>
        <v>0</v>
      </c>
      <c r="L682" s="1073">
        <f t="shared" si="258"/>
        <v>0</v>
      </c>
      <c r="M682" s="1074">
        <f t="shared" si="259"/>
        <v>0</v>
      </c>
      <c r="N682" s="1072">
        <f t="shared" si="260"/>
        <v>0</v>
      </c>
      <c r="O682" s="1073">
        <f t="shared" si="261"/>
        <v>0</v>
      </c>
      <c r="P682" s="1073"/>
      <c r="Q682" s="1073">
        <f t="shared" si="265"/>
        <v>0</v>
      </c>
      <c r="R682" s="1073">
        <f>IF(System!AQ19=1,K639+E639*$Z$628*0.5,K639-E639*$Z$629)</f>
        <v>0</v>
      </c>
      <c r="S682" s="1073">
        <f>IF(System!AQ19=1,K639-E639*$Z$628*0.5,R682)</f>
        <v>0</v>
      </c>
      <c r="T682" s="1073">
        <f t="shared" si="266"/>
        <v>0</v>
      </c>
      <c r="U682" s="1073">
        <f>IF(System!AQ19=1,M639,O639)</f>
        <v>0</v>
      </c>
      <c r="V682" s="1073"/>
      <c r="W682" s="1073">
        <f t="shared" si="267"/>
        <v>0</v>
      </c>
      <c r="X682" s="1073">
        <f t="shared" si="268"/>
        <v>0</v>
      </c>
      <c r="Y682" s="1074">
        <f t="shared" si="269"/>
        <v>0</v>
      </c>
    </row>
    <row r="683" spans="1:25" x14ac:dyDescent="0.25">
      <c r="A683" s="827">
        <v>17</v>
      </c>
      <c r="B683" s="1072">
        <f t="shared" si="262"/>
        <v>0</v>
      </c>
      <c r="C683" s="1073">
        <f t="shared" si="263"/>
        <v>0</v>
      </c>
      <c r="D683" s="1073"/>
      <c r="E683" s="1073">
        <f t="shared" si="256"/>
        <v>0</v>
      </c>
      <c r="F683" s="1073">
        <f>IF(System!AQ20=1,J640-E640*$Z$629,J640+E640*$Z$628*0.5)</f>
        <v>0</v>
      </c>
      <c r="G683" s="1073">
        <f>IF(System!AQ20=1,F683,J640-E640*$Z$628*0.5)</f>
        <v>0</v>
      </c>
      <c r="H683" s="1073">
        <f t="shared" si="264"/>
        <v>0</v>
      </c>
      <c r="I683" s="1073">
        <f>IF(System!AQ20=1,L640,N640)</f>
        <v>0</v>
      </c>
      <c r="J683" s="1073"/>
      <c r="K683" s="1073">
        <f t="shared" si="257"/>
        <v>0</v>
      </c>
      <c r="L683" s="1073">
        <f t="shared" si="258"/>
        <v>0</v>
      </c>
      <c r="M683" s="1074">
        <f t="shared" si="259"/>
        <v>0</v>
      </c>
      <c r="N683" s="1072">
        <f t="shared" si="260"/>
        <v>0</v>
      </c>
      <c r="O683" s="1073">
        <f t="shared" si="261"/>
        <v>0</v>
      </c>
      <c r="P683" s="1073"/>
      <c r="Q683" s="1073">
        <f t="shared" si="265"/>
        <v>0</v>
      </c>
      <c r="R683" s="1073">
        <f>IF(System!AQ20=1,K640+E640*$Z$628*0.5,K640-E640*$Z$629)</f>
        <v>0</v>
      </c>
      <c r="S683" s="1073">
        <f>IF(System!AQ20=1,K640-E640*$Z$628*0.5,R683)</f>
        <v>0</v>
      </c>
      <c r="T683" s="1073">
        <f t="shared" si="266"/>
        <v>0</v>
      </c>
      <c r="U683" s="1073">
        <f>IF(System!AQ20=1,M640,O640)</f>
        <v>0</v>
      </c>
      <c r="V683" s="1073"/>
      <c r="W683" s="1073">
        <f t="shared" si="267"/>
        <v>0</v>
      </c>
      <c r="X683" s="1073">
        <f t="shared" si="268"/>
        <v>0</v>
      </c>
      <c r="Y683" s="1074">
        <f t="shared" si="269"/>
        <v>0</v>
      </c>
    </row>
    <row r="684" spans="1:25" x14ac:dyDescent="0.25">
      <c r="A684" s="827">
        <v>18</v>
      </c>
      <c r="B684" s="1072">
        <f t="shared" si="262"/>
        <v>0</v>
      </c>
      <c r="C684" s="1073">
        <f t="shared" si="263"/>
        <v>0</v>
      </c>
      <c r="D684" s="1073"/>
      <c r="E684" s="1073">
        <f t="shared" si="256"/>
        <v>0</v>
      </c>
      <c r="F684" s="1073">
        <f>IF(System!AQ21=1,J641-E641*$Z$629,J641+E641*$Z$628*0.5)</f>
        <v>0</v>
      </c>
      <c r="G684" s="1073">
        <f>IF(System!AQ21=1,F684,J641-E641*$Z$628*0.5)</f>
        <v>0</v>
      </c>
      <c r="H684" s="1073">
        <f t="shared" si="264"/>
        <v>0</v>
      </c>
      <c r="I684" s="1073">
        <f>IF(System!AQ21=1,L641,N641)</f>
        <v>0</v>
      </c>
      <c r="J684" s="1073"/>
      <c r="K684" s="1073">
        <f t="shared" si="257"/>
        <v>0</v>
      </c>
      <c r="L684" s="1073">
        <f t="shared" si="258"/>
        <v>0</v>
      </c>
      <c r="M684" s="1074">
        <f t="shared" si="259"/>
        <v>0</v>
      </c>
      <c r="N684" s="1072">
        <f t="shared" si="260"/>
        <v>0</v>
      </c>
      <c r="O684" s="1073">
        <f t="shared" si="261"/>
        <v>0</v>
      </c>
      <c r="P684" s="1073"/>
      <c r="Q684" s="1073">
        <f t="shared" si="265"/>
        <v>0</v>
      </c>
      <c r="R684" s="1073">
        <f>IF(System!AQ21=1,K641+E641*$Z$628*0.5,K641-E641*$Z$629)</f>
        <v>0</v>
      </c>
      <c r="S684" s="1073">
        <f>IF(System!AQ21=1,K641-E641*$Z$628*0.5,R684)</f>
        <v>0</v>
      </c>
      <c r="T684" s="1073">
        <f t="shared" si="266"/>
        <v>0</v>
      </c>
      <c r="U684" s="1073">
        <f>IF(System!AQ21=1,M641,O641)</f>
        <v>0</v>
      </c>
      <c r="V684" s="1073"/>
      <c r="W684" s="1073">
        <f t="shared" si="267"/>
        <v>0</v>
      </c>
      <c r="X684" s="1073">
        <f t="shared" si="268"/>
        <v>0</v>
      </c>
      <c r="Y684" s="1074">
        <f t="shared" si="269"/>
        <v>0</v>
      </c>
    </row>
    <row r="685" spans="1:25" x14ac:dyDescent="0.25">
      <c r="A685" s="827">
        <v>19</v>
      </c>
      <c r="B685" s="1072">
        <f t="shared" si="262"/>
        <v>0</v>
      </c>
      <c r="C685" s="1073">
        <f t="shared" si="263"/>
        <v>0</v>
      </c>
      <c r="D685" s="1073"/>
      <c r="E685" s="1073">
        <f t="shared" si="256"/>
        <v>0</v>
      </c>
      <c r="F685" s="1073">
        <f>IF(System!AQ22=1,J642-E642*$Z$629,J642+E642*$Z$628*0.5)</f>
        <v>0</v>
      </c>
      <c r="G685" s="1073">
        <f>IF(System!AQ22=1,F685,J642-E642*$Z$628*0.5)</f>
        <v>0</v>
      </c>
      <c r="H685" s="1073">
        <f t="shared" si="264"/>
        <v>0</v>
      </c>
      <c r="I685" s="1073">
        <f>IF(System!AQ22=1,L642,N642)</f>
        <v>0</v>
      </c>
      <c r="J685" s="1073"/>
      <c r="K685" s="1073">
        <f t="shared" si="257"/>
        <v>0</v>
      </c>
      <c r="L685" s="1073">
        <f t="shared" si="258"/>
        <v>0</v>
      </c>
      <c r="M685" s="1074">
        <f t="shared" si="259"/>
        <v>0</v>
      </c>
      <c r="N685" s="1072">
        <f t="shared" si="260"/>
        <v>0</v>
      </c>
      <c r="O685" s="1073">
        <f t="shared" si="261"/>
        <v>0</v>
      </c>
      <c r="P685" s="1073"/>
      <c r="Q685" s="1073">
        <f t="shared" si="265"/>
        <v>0</v>
      </c>
      <c r="R685" s="1073">
        <f>IF(System!AQ22=1,K642+E642*$Z$628*0.5,K642-E642*$Z$629)</f>
        <v>0</v>
      </c>
      <c r="S685" s="1073">
        <f>IF(System!AQ22=1,K642-E642*$Z$628*0.5,R685)</f>
        <v>0</v>
      </c>
      <c r="T685" s="1073">
        <f t="shared" si="266"/>
        <v>0</v>
      </c>
      <c r="U685" s="1073">
        <f>IF(System!AQ22=1,M642,O642)</f>
        <v>0</v>
      </c>
      <c r="V685" s="1073"/>
      <c r="W685" s="1073">
        <f t="shared" si="267"/>
        <v>0</v>
      </c>
      <c r="X685" s="1073">
        <f t="shared" si="268"/>
        <v>0</v>
      </c>
      <c r="Y685" s="1074">
        <f t="shared" si="269"/>
        <v>0</v>
      </c>
    </row>
    <row r="686" spans="1:25" x14ac:dyDescent="0.25">
      <c r="A686" s="827">
        <v>20</v>
      </c>
      <c r="B686" s="1072">
        <f t="shared" si="262"/>
        <v>0</v>
      </c>
      <c r="C686" s="1073">
        <f t="shared" si="263"/>
        <v>0</v>
      </c>
      <c r="D686" s="1073"/>
      <c r="E686" s="1073">
        <f t="shared" si="256"/>
        <v>0</v>
      </c>
      <c r="F686" s="1073">
        <f>IF(System!AQ23=1,J643-E643*$Z$629,J643+E643*$Z$628*0.5)</f>
        <v>0</v>
      </c>
      <c r="G686" s="1073">
        <f>IF(System!AQ23=1,F686,J643-E643*$Z$628*0.5)</f>
        <v>0</v>
      </c>
      <c r="H686" s="1073">
        <f t="shared" si="264"/>
        <v>0</v>
      </c>
      <c r="I686" s="1073">
        <f>IF(System!AQ23=1,L643,N643)</f>
        <v>0</v>
      </c>
      <c r="J686" s="1073"/>
      <c r="K686" s="1073">
        <f t="shared" si="257"/>
        <v>0</v>
      </c>
      <c r="L686" s="1073">
        <f t="shared" si="258"/>
        <v>0</v>
      </c>
      <c r="M686" s="1074">
        <f t="shared" si="259"/>
        <v>0</v>
      </c>
      <c r="N686" s="1072">
        <f t="shared" si="260"/>
        <v>0</v>
      </c>
      <c r="O686" s="1073">
        <f t="shared" si="261"/>
        <v>0</v>
      </c>
      <c r="P686" s="1073"/>
      <c r="Q686" s="1073">
        <f t="shared" si="265"/>
        <v>0</v>
      </c>
      <c r="R686" s="1073">
        <f>IF(System!AQ23=1,K643+E643*$Z$628*0.5,K643-E643*$Z$629)</f>
        <v>0</v>
      </c>
      <c r="S686" s="1073">
        <f>IF(System!AQ23=1,K643-E643*$Z$628*0.5,R686)</f>
        <v>0</v>
      </c>
      <c r="T686" s="1073">
        <f t="shared" si="266"/>
        <v>0</v>
      </c>
      <c r="U686" s="1073">
        <f>IF(System!AQ23=1,M643,O643)</f>
        <v>0</v>
      </c>
      <c r="V686" s="1073"/>
      <c r="W686" s="1073">
        <f t="shared" si="267"/>
        <v>0</v>
      </c>
      <c r="X686" s="1073">
        <f t="shared" si="268"/>
        <v>0</v>
      </c>
      <c r="Y686" s="1074">
        <f t="shared" si="269"/>
        <v>0</v>
      </c>
    </row>
    <row r="687" spans="1:25" x14ac:dyDescent="0.25">
      <c r="A687" s="827">
        <v>21</v>
      </c>
      <c r="B687" s="1072">
        <f t="shared" si="262"/>
        <v>0</v>
      </c>
      <c r="C687" s="1073">
        <f t="shared" si="263"/>
        <v>0</v>
      </c>
      <c r="D687" s="1073"/>
      <c r="E687" s="1073">
        <f t="shared" si="256"/>
        <v>0</v>
      </c>
      <c r="F687" s="1073">
        <f>IF(System!AQ24=1,J644-E644*$Z$629,J644+E644*$Z$628*0.5)</f>
        <v>0</v>
      </c>
      <c r="G687" s="1073">
        <f>IF(System!AQ24=1,F687,J644-E644*$Z$628*0.5)</f>
        <v>0</v>
      </c>
      <c r="H687" s="1073">
        <f t="shared" si="264"/>
        <v>0</v>
      </c>
      <c r="I687" s="1073">
        <f>IF(System!AQ24=1,L644,N644)</f>
        <v>0</v>
      </c>
      <c r="J687" s="1073"/>
      <c r="K687" s="1073">
        <f t="shared" si="257"/>
        <v>0</v>
      </c>
      <c r="L687" s="1073">
        <f t="shared" si="258"/>
        <v>0</v>
      </c>
      <c r="M687" s="1074">
        <f t="shared" si="259"/>
        <v>0</v>
      </c>
      <c r="N687" s="1072">
        <f t="shared" si="260"/>
        <v>0</v>
      </c>
      <c r="O687" s="1073">
        <f t="shared" si="261"/>
        <v>0</v>
      </c>
      <c r="P687" s="1073"/>
      <c r="Q687" s="1073">
        <f t="shared" si="265"/>
        <v>0</v>
      </c>
      <c r="R687" s="1073">
        <f>IF(System!AQ24=1,K644+E644*$Z$628*0.5,K644-E644*$Z$629)</f>
        <v>0</v>
      </c>
      <c r="S687" s="1073">
        <f>IF(System!AQ24=1,K644-E644*$Z$628*0.5,R687)</f>
        <v>0</v>
      </c>
      <c r="T687" s="1073">
        <f t="shared" si="266"/>
        <v>0</v>
      </c>
      <c r="U687" s="1073">
        <f>IF(System!AQ24=1,M644,O644)</f>
        <v>0</v>
      </c>
      <c r="V687" s="1073"/>
      <c r="W687" s="1073">
        <f t="shared" si="267"/>
        <v>0</v>
      </c>
      <c r="X687" s="1073">
        <f t="shared" si="268"/>
        <v>0</v>
      </c>
      <c r="Y687" s="1074">
        <f t="shared" si="269"/>
        <v>0</v>
      </c>
    </row>
    <row r="688" spans="1:25" x14ac:dyDescent="0.25">
      <c r="A688" s="827">
        <v>22</v>
      </c>
      <c r="B688" s="1072">
        <f t="shared" si="262"/>
        <v>0</v>
      </c>
      <c r="C688" s="1073">
        <f t="shared" si="263"/>
        <v>0</v>
      </c>
      <c r="D688" s="1073"/>
      <c r="E688" s="1073">
        <f t="shared" si="256"/>
        <v>0</v>
      </c>
      <c r="F688" s="1073">
        <f>IF(System!AQ25=1,J645-E645*$Z$629,J645+E645*$Z$628*0.5)</f>
        <v>0</v>
      </c>
      <c r="G688" s="1073">
        <f>IF(System!AQ25=1,F688,J645-E645*$Z$628*0.5)</f>
        <v>0</v>
      </c>
      <c r="H688" s="1073">
        <f t="shared" si="264"/>
        <v>0</v>
      </c>
      <c r="I688" s="1073">
        <f>IF(System!AQ25=1,L645,N645)</f>
        <v>0</v>
      </c>
      <c r="J688" s="1073"/>
      <c r="K688" s="1073">
        <f t="shared" si="257"/>
        <v>0</v>
      </c>
      <c r="L688" s="1073">
        <f t="shared" si="258"/>
        <v>0</v>
      </c>
      <c r="M688" s="1074">
        <f t="shared" si="259"/>
        <v>0</v>
      </c>
      <c r="N688" s="1072">
        <f t="shared" si="260"/>
        <v>0</v>
      </c>
      <c r="O688" s="1073">
        <f t="shared" si="261"/>
        <v>0</v>
      </c>
      <c r="P688" s="1073"/>
      <c r="Q688" s="1073">
        <f t="shared" si="265"/>
        <v>0</v>
      </c>
      <c r="R688" s="1073">
        <f>IF(System!AQ25=1,K645+E645*$Z$628*0.5,K645-E645*$Z$629)</f>
        <v>0</v>
      </c>
      <c r="S688" s="1073">
        <f>IF(System!AQ25=1,K645-E645*$Z$628*0.5,R688)</f>
        <v>0</v>
      </c>
      <c r="T688" s="1073">
        <f t="shared" si="266"/>
        <v>0</v>
      </c>
      <c r="U688" s="1073">
        <f>IF(System!AQ25=1,M645,O645)</f>
        <v>0</v>
      </c>
      <c r="V688" s="1073"/>
      <c r="W688" s="1073">
        <f t="shared" si="267"/>
        <v>0</v>
      </c>
      <c r="X688" s="1073">
        <f t="shared" si="268"/>
        <v>0</v>
      </c>
      <c r="Y688" s="1074">
        <f t="shared" si="269"/>
        <v>0</v>
      </c>
    </row>
    <row r="689" spans="1:25" x14ac:dyDescent="0.25">
      <c r="A689" s="827">
        <v>23</v>
      </c>
      <c r="B689" s="1072">
        <f t="shared" si="262"/>
        <v>0</v>
      </c>
      <c r="C689" s="1073">
        <f t="shared" si="263"/>
        <v>0</v>
      </c>
      <c r="D689" s="1073"/>
      <c r="E689" s="1073">
        <f t="shared" si="256"/>
        <v>0</v>
      </c>
      <c r="F689" s="1073">
        <f>IF(System!AQ26=1,J646-E646*$Z$629,J646+E646*$Z$628*0.5)</f>
        <v>0</v>
      </c>
      <c r="G689" s="1073">
        <f>IF(System!AQ26=1,F689,J646-E646*$Z$628*0.5)</f>
        <v>0</v>
      </c>
      <c r="H689" s="1073">
        <f t="shared" si="264"/>
        <v>0</v>
      </c>
      <c r="I689" s="1073">
        <f>IF(System!AQ26=1,L646,N646)</f>
        <v>0</v>
      </c>
      <c r="J689" s="1073"/>
      <c r="K689" s="1073">
        <f t="shared" si="257"/>
        <v>0</v>
      </c>
      <c r="L689" s="1073">
        <f t="shared" si="258"/>
        <v>0</v>
      </c>
      <c r="M689" s="1074">
        <f t="shared" si="259"/>
        <v>0</v>
      </c>
      <c r="N689" s="1072">
        <f t="shared" si="260"/>
        <v>0</v>
      </c>
      <c r="O689" s="1073">
        <f t="shared" si="261"/>
        <v>0</v>
      </c>
      <c r="P689" s="1073"/>
      <c r="Q689" s="1073">
        <f t="shared" si="265"/>
        <v>0</v>
      </c>
      <c r="R689" s="1073">
        <f>IF(System!AQ26=1,K646+E646*$Z$628*0.5,K646-E646*$Z$629)</f>
        <v>0</v>
      </c>
      <c r="S689" s="1073">
        <f>IF(System!AQ26=1,K646-E646*$Z$628*0.5,R689)</f>
        <v>0</v>
      </c>
      <c r="T689" s="1073">
        <f t="shared" si="266"/>
        <v>0</v>
      </c>
      <c r="U689" s="1073">
        <f>IF(System!AQ26=1,M646,O646)</f>
        <v>0</v>
      </c>
      <c r="V689" s="1073"/>
      <c r="W689" s="1073">
        <f t="shared" si="267"/>
        <v>0</v>
      </c>
      <c r="X689" s="1073">
        <f t="shared" si="268"/>
        <v>0</v>
      </c>
      <c r="Y689" s="1074">
        <f t="shared" si="269"/>
        <v>0</v>
      </c>
    </row>
    <row r="690" spans="1:25" x14ac:dyDescent="0.25">
      <c r="A690" s="827">
        <v>24</v>
      </c>
      <c r="B690" s="1072">
        <f t="shared" si="262"/>
        <v>0</v>
      </c>
      <c r="C690" s="1073">
        <f t="shared" si="263"/>
        <v>0</v>
      </c>
      <c r="D690" s="1073"/>
      <c r="E690" s="1073">
        <f t="shared" si="256"/>
        <v>0</v>
      </c>
      <c r="F690" s="1073">
        <f>IF(System!AQ27=1,J647-E647*$Z$629,J647+E647*$Z$628*0.5)</f>
        <v>0</v>
      </c>
      <c r="G690" s="1073">
        <f>IF(System!AQ27=1,F690,J647-E647*$Z$628*0.5)</f>
        <v>0</v>
      </c>
      <c r="H690" s="1073">
        <f t="shared" si="264"/>
        <v>0</v>
      </c>
      <c r="I690" s="1073">
        <f>IF(System!AQ27=1,L647,N647)</f>
        <v>0</v>
      </c>
      <c r="J690" s="1073"/>
      <c r="K690" s="1073">
        <f t="shared" si="257"/>
        <v>0</v>
      </c>
      <c r="L690" s="1073">
        <f t="shared" si="258"/>
        <v>0</v>
      </c>
      <c r="M690" s="1074">
        <f t="shared" si="259"/>
        <v>0</v>
      </c>
      <c r="N690" s="1072">
        <f t="shared" si="260"/>
        <v>0</v>
      </c>
      <c r="O690" s="1073">
        <f t="shared" si="261"/>
        <v>0</v>
      </c>
      <c r="P690" s="1073"/>
      <c r="Q690" s="1073">
        <f t="shared" si="265"/>
        <v>0</v>
      </c>
      <c r="R690" s="1073">
        <f>IF(System!AQ27=1,K647+E647*$Z$628*0.5,K647-E647*$Z$629)</f>
        <v>0</v>
      </c>
      <c r="S690" s="1073">
        <f>IF(System!AQ27=1,K647-E647*$Z$628*0.5,R690)</f>
        <v>0</v>
      </c>
      <c r="T690" s="1073">
        <f t="shared" si="266"/>
        <v>0</v>
      </c>
      <c r="U690" s="1073">
        <f>IF(System!AQ27=1,M647,O647)</f>
        <v>0</v>
      </c>
      <c r="V690" s="1073"/>
      <c r="W690" s="1073">
        <f t="shared" si="267"/>
        <v>0</v>
      </c>
      <c r="X690" s="1073">
        <f t="shared" si="268"/>
        <v>0</v>
      </c>
      <c r="Y690" s="1074">
        <f t="shared" si="269"/>
        <v>0</v>
      </c>
    </row>
    <row r="691" spans="1:25" x14ac:dyDescent="0.25">
      <c r="A691" s="827">
        <v>25</v>
      </c>
      <c r="B691" s="1072">
        <f t="shared" si="262"/>
        <v>0</v>
      </c>
      <c r="C691" s="1073">
        <f t="shared" si="263"/>
        <v>0</v>
      </c>
      <c r="D691" s="1073"/>
      <c r="E691" s="1073">
        <f t="shared" si="256"/>
        <v>0</v>
      </c>
      <c r="F691" s="1073">
        <f>IF(System!AQ28=1,J648-E648*$Z$629,J648+E648*$Z$628*0.5)</f>
        <v>0</v>
      </c>
      <c r="G691" s="1073">
        <f>IF(System!AQ28=1,F691,J648-E648*$Z$628*0.5)</f>
        <v>0</v>
      </c>
      <c r="H691" s="1073">
        <f t="shared" si="264"/>
        <v>0</v>
      </c>
      <c r="I691" s="1073">
        <f>IF(System!AQ28=1,L648,N648)</f>
        <v>0</v>
      </c>
      <c r="J691" s="1073"/>
      <c r="K691" s="1073">
        <f t="shared" si="257"/>
        <v>0</v>
      </c>
      <c r="L691" s="1073">
        <f t="shared" si="258"/>
        <v>0</v>
      </c>
      <c r="M691" s="1074">
        <f t="shared" si="259"/>
        <v>0</v>
      </c>
      <c r="N691" s="1072">
        <f t="shared" si="260"/>
        <v>0</v>
      </c>
      <c r="O691" s="1073">
        <f t="shared" si="261"/>
        <v>0</v>
      </c>
      <c r="P691" s="1073"/>
      <c r="Q691" s="1073">
        <f t="shared" si="265"/>
        <v>0</v>
      </c>
      <c r="R691" s="1073">
        <f>IF(System!AQ28=1,K648+E648*$Z$628*0.5,K648-E648*$Z$629)</f>
        <v>0</v>
      </c>
      <c r="S691" s="1073">
        <f>IF(System!AQ28=1,K648-E648*$Z$628*0.5,R691)</f>
        <v>0</v>
      </c>
      <c r="T691" s="1073">
        <f t="shared" si="266"/>
        <v>0</v>
      </c>
      <c r="U691" s="1073">
        <f>IF(System!AQ28=1,M648,O648)</f>
        <v>0</v>
      </c>
      <c r="V691" s="1073"/>
      <c r="W691" s="1073">
        <f t="shared" si="267"/>
        <v>0</v>
      </c>
      <c r="X691" s="1073">
        <f t="shared" si="268"/>
        <v>0</v>
      </c>
      <c r="Y691" s="1074">
        <f t="shared" si="269"/>
        <v>0</v>
      </c>
    </row>
    <row r="692" spans="1:25" x14ac:dyDescent="0.25">
      <c r="A692" s="827">
        <v>26</v>
      </c>
      <c r="B692" s="1072">
        <f t="shared" si="262"/>
        <v>0</v>
      </c>
      <c r="C692" s="1073">
        <f t="shared" si="263"/>
        <v>0</v>
      </c>
      <c r="D692" s="1073"/>
      <c r="E692" s="1073">
        <f t="shared" si="256"/>
        <v>0</v>
      </c>
      <c r="F692" s="1073">
        <f>IF(System!AQ29=1,J649-E649*$Z$629,J649+E649*$Z$628*0.5)</f>
        <v>0</v>
      </c>
      <c r="G692" s="1073">
        <f>IF(System!AQ29=1,F692,J649-E649*$Z$628*0.5)</f>
        <v>0</v>
      </c>
      <c r="H692" s="1073">
        <f t="shared" si="264"/>
        <v>0</v>
      </c>
      <c r="I692" s="1073">
        <f>IF(System!AQ29=1,L649,N649)</f>
        <v>0</v>
      </c>
      <c r="J692" s="1073"/>
      <c r="K692" s="1073">
        <f t="shared" si="257"/>
        <v>0</v>
      </c>
      <c r="L692" s="1073">
        <f t="shared" si="258"/>
        <v>0</v>
      </c>
      <c r="M692" s="1074">
        <f t="shared" si="259"/>
        <v>0</v>
      </c>
      <c r="N692" s="1072">
        <f t="shared" si="260"/>
        <v>0</v>
      </c>
      <c r="O692" s="1073">
        <f t="shared" si="261"/>
        <v>0</v>
      </c>
      <c r="P692" s="1073"/>
      <c r="Q692" s="1073">
        <f t="shared" si="265"/>
        <v>0</v>
      </c>
      <c r="R692" s="1073">
        <f>IF(System!AQ29=1,K649+E649*$Z$628*0.5,K649-E649*$Z$629)</f>
        <v>0</v>
      </c>
      <c r="S692" s="1073">
        <f>IF(System!AQ29=1,K649-E649*$Z$628*0.5,R692)</f>
        <v>0</v>
      </c>
      <c r="T692" s="1073">
        <f t="shared" si="266"/>
        <v>0</v>
      </c>
      <c r="U692" s="1073">
        <f>IF(System!AQ29=1,M649,O649)</f>
        <v>0</v>
      </c>
      <c r="V692" s="1073"/>
      <c r="W692" s="1073">
        <f t="shared" si="267"/>
        <v>0</v>
      </c>
      <c r="X692" s="1073">
        <f t="shared" si="268"/>
        <v>0</v>
      </c>
      <c r="Y692" s="1074">
        <f t="shared" si="269"/>
        <v>0</v>
      </c>
    </row>
    <row r="693" spans="1:25" x14ac:dyDescent="0.25">
      <c r="A693" s="827">
        <v>27</v>
      </c>
      <c r="B693" s="1072">
        <f t="shared" si="262"/>
        <v>0</v>
      </c>
      <c r="C693" s="1073">
        <f t="shared" si="263"/>
        <v>0</v>
      </c>
      <c r="D693" s="1073"/>
      <c r="E693" s="1073">
        <f t="shared" si="256"/>
        <v>0</v>
      </c>
      <c r="F693" s="1073">
        <f>IF(System!AQ30=1,J650-E650*$Z$629,J650+E650*$Z$628*0.5)</f>
        <v>0</v>
      </c>
      <c r="G693" s="1073">
        <f>IF(System!AQ30=1,F693,J650-E650*$Z$628*0.5)</f>
        <v>0</v>
      </c>
      <c r="H693" s="1073">
        <f t="shared" si="264"/>
        <v>0</v>
      </c>
      <c r="I693" s="1073">
        <f>IF(System!AQ30=1,L650,N650)</f>
        <v>0</v>
      </c>
      <c r="J693" s="1073"/>
      <c r="K693" s="1073">
        <f t="shared" si="257"/>
        <v>0</v>
      </c>
      <c r="L693" s="1073">
        <f t="shared" si="258"/>
        <v>0</v>
      </c>
      <c r="M693" s="1074">
        <f t="shared" si="259"/>
        <v>0</v>
      </c>
      <c r="N693" s="1072">
        <f t="shared" si="260"/>
        <v>0</v>
      </c>
      <c r="O693" s="1073">
        <f t="shared" si="261"/>
        <v>0</v>
      </c>
      <c r="P693" s="1073"/>
      <c r="Q693" s="1073">
        <f t="shared" si="265"/>
        <v>0</v>
      </c>
      <c r="R693" s="1073">
        <f>IF(System!AQ30=1,K650+E650*$Z$628*0.5,K650-E650*$Z$629)</f>
        <v>0</v>
      </c>
      <c r="S693" s="1073">
        <f>IF(System!AQ30=1,K650-E650*$Z$628*0.5,R693)</f>
        <v>0</v>
      </c>
      <c r="T693" s="1073">
        <f t="shared" si="266"/>
        <v>0</v>
      </c>
      <c r="U693" s="1073">
        <f>IF(System!AQ30=1,M650,O650)</f>
        <v>0</v>
      </c>
      <c r="V693" s="1073"/>
      <c r="W693" s="1073">
        <f t="shared" si="267"/>
        <v>0</v>
      </c>
      <c r="X693" s="1073">
        <f t="shared" si="268"/>
        <v>0</v>
      </c>
      <c r="Y693" s="1074">
        <f t="shared" si="269"/>
        <v>0</v>
      </c>
    </row>
    <row r="694" spans="1:25" x14ac:dyDescent="0.25">
      <c r="A694" s="827">
        <v>28</v>
      </c>
      <c r="B694" s="1072">
        <f t="shared" si="262"/>
        <v>0</v>
      </c>
      <c r="C694" s="1073">
        <f t="shared" si="263"/>
        <v>0</v>
      </c>
      <c r="D694" s="1073"/>
      <c r="E694" s="1073">
        <f t="shared" si="256"/>
        <v>0</v>
      </c>
      <c r="F694" s="1073">
        <f>IF(System!AQ31=1,J651-E651*$Z$629,J651+E651*$Z$628*0.5)</f>
        <v>0</v>
      </c>
      <c r="G694" s="1073">
        <f>IF(System!AQ31=1,F694,J651-E651*$Z$628*0.5)</f>
        <v>0</v>
      </c>
      <c r="H694" s="1073">
        <f t="shared" si="264"/>
        <v>0</v>
      </c>
      <c r="I694" s="1073">
        <f>IF(System!AQ31=1,L651,N651)</f>
        <v>0</v>
      </c>
      <c r="J694" s="1073"/>
      <c r="K694" s="1073">
        <f t="shared" si="257"/>
        <v>0</v>
      </c>
      <c r="L694" s="1073">
        <f t="shared" si="258"/>
        <v>0</v>
      </c>
      <c r="M694" s="1074">
        <f t="shared" si="259"/>
        <v>0</v>
      </c>
      <c r="N694" s="1072">
        <f t="shared" si="260"/>
        <v>0</v>
      </c>
      <c r="O694" s="1073">
        <f t="shared" si="261"/>
        <v>0</v>
      </c>
      <c r="P694" s="1073"/>
      <c r="Q694" s="1073">
        <f t="shared" si="265"/>
        <v>0</v>
      </c>
      <c r="R694" s="1073">
        <f>IF(System!AQ31=1,K651+E651*$Z$628*0.5,K651-E651*$Z$629)</f>
        <v>0</v>
      </c>
      <c r="S694" s="1073">
        <f>IF(System!AQ31=1,K651-E651*$Z$628*0.5,R694)</f>
        <v>0</v>
      </c>
      <c r="T694" s="1073">
        <f t="shared" si="266"/>
        <v>0</v>
      </c>
      <c r="U694" s="1073">
        <f>IF(System!AQ31=1,M651,O651)</f>
        <v>0</v>
      </c>
      <c r="V694" s="1073"/>
      <c r="W694" s="1073">
        <f t="shared" si="267"/>
        <v>0</v>
      </c>
      <c r="X694" s="1073">
        <f t="shared" si="268"/>
        <v>0</v>
      </c>
      <c r="Y694" s="1074">
        <f t="shared" si="269"/>
        <v>0</v>
      </c>
    </row>
    <row r="695" spans="1:25" x14ac:dyDescent="0.25">
      <c r="A695" s="827">
        <v>29</v>
      </c>
      <c r="B695" s="1072">
        <f t="shared" si="262"/>
        <v>0</v>
      </c>
      <c r="C695" s="1073">
        <f t="shared" si="263"/>
        <v>0</v>
      </c>
      <c r="D695" s="1073"/>
      <c r="E695" s="1073">
        <f t="shared" si="256"/>
        <v>0</v>
      </c>
      <c r="F695" s="1073">
        <f>IF(System!AQ32=1,J652-E652*$Z$629,J652+E652*$Z$628*0.5)</f>
        <v>0</v>
      </c>
      <c r="G695" s="1073">
        <f>IF(System!AQ32=1,F695,J652-E652*$Z$628*0.5)</f>
        <v>0</v>
      </c>
      <c r="H695" s="1073">
        <f t="shared" si="264"/>
        <v>0</v>
      </c>
      <c r="I695" s="1073">
        <f>IF(System!AQ32=1,L652,N652)</f>
        <v>0</v>
      </c>
      <c r="J695" s="1073"/>
      <c r="K695" s="1073">
        <f t="shared" si="257"/>
        <v>0</v>
      </c>
      <c r="L695" s="1073">
        <f t="shared" si="258"/>
        <v>0</v>
      </c>
      <c r="M695" s="1074">
        <f t="shared" si="259"/>
        <v>0</v>
      </c>
      <c r="N695" s="1072">
        <f t="shared" si="260"/>
        <v>0</v>
      </c>
      <c r="O695" s="1073">
        <f t="shared" si="261"/>
        <v>0</v>
      </c>
      <c r="P695" s="1073"/>
      <c r="Q695" s="1073">
        <f t="shared" si="265"/>
        <v>0</v>
      </c>
      <c r="R695" s="1073">
        <f>IF(System!AQ32=1,K652+E652*$Z$628*0.5,K652-E652*$Z$629)</f>
        <v>0</v>
      </c>
      <c r="S695" s="1073">
        <f>IF(System!AQ32=1,K652-E652*$Z$628*0.5,R695)</f>
        <v>0</v>
      </c>
      <c r="T695" s="1073">
        <f t="shared" si="266"/>
        <v>0</v>
      </c>
      <c r="U695" s="1073">
        <f>IF(System!AQ32=1,M652,O652)</f>
        <v>0</v>
      </c>
      <c r="V695" s="1073"/>
      <c r="W695" s="1073">
        <f t="shared" si="267"/>
        <v>0</v>
      </c>
      <c r="X695" s="1073">
        <f t="shared" si="268"/>
        <v>0</v>
      </c>
      <c r="Y695" s="1074">
        <f t="shared" si="269"/>
        <v>0</v>
      </c>
    </row>
    <row r="696" spans="1:25" x14ac:dyDescent="0.25">
      <c r="A696" s="827">
        <v>30</v>
      </c>
      <c r="B696" s="1072">
        <f t="shared" si="262"/>
        <v>0</v>
      </c>
      <c r="C696" s="1073">
        <f t="shared" si="263"/>
        <v>0</v>
      </c>
      <c r="D696" s="1073"/>
      <c r="E696" s="1073">
        <f t="shared" si="256"/>
        <v>0</v>
      </c>
      <c r="F696" s="1073">
        <f>IF(System!AQ33=1,J653-E653*$Z$629,J653+E653*$Z$628*0.5)</f>
        <v>0</v>
      </c>
      <c r="G696" s="1073">
        <f>IF(System!AQ33=1,F696,J653-E653*$Z$628*0.5)</f>
        <v>0</v>
      </c>
      <c r="H696" s="1073">
        <f t="shared" si="264"/>
        <v>0</v>
      </c>
      <c r="I696" s="1073">
        <f>IF(System!AQ33=1,L653,N653)</f>
        <v>0</v>
      </c>
      <c r="J696" s="1073"/>
      <c r="K696" s="1073">
        <f t="shared" si="257"/>
        <v>0</v>
      </c>
      <c r="L696" s="1073">
        <f t="shared" si="258"/>
        <v>0</v>
      </c>
      <c r="M696" s="1074">
        <f t="shared" si="259"/>
        <v>0</v>
      </c>
      <c r="N696" s="1072">
        <f t="shared" si="260"/>
        <v>0</v>
      </c>
      <c r="O696" s="1073">
        <f t="shared" si="261"/>
        <v>0</v>
      </c>
      <c r="P696" s="1073"/>
      <c r="Q696" s="1073">
        <f t="shared" si="265"/>
        <v>0</v>
      </c>
      <c r="R696" s="1073">
        <f>IF(System!AQ33=1,K653+E653*$Z$628*0.5,K653-E653*$Z$629)</f>
        <v>0</v>
      </c>
      <c r="S696" s="1073">
        <f>IF(System!AQ33=1,K653-E653*$Z$628*0.5,R696)</f>
        <v>0</v>
      </c>
      <c r="T696" s="1073">
        <f t="shared" si="266"/>
        <v>0</v>
      </c>
      <c r="U696" s="1073">
        <f>IF(System!AQ33=1,M653,O653)</f>
        <v>0</v>
      </c>
      <c r="V696" s="1073"/>
      <c r="W696" s="1073">
        <f t="shared" si="267"/>
        <v>0</v>
      </c>
      <c r="X696" s="1073">
        <f t="shared" si="268"/>
        <v>0</v>
      </c>
      <c r="Y696" s="1074">
        <f t="shared" si="269"/>
        <v>0</v>
      </c>
    </row>
    <row r="697" spans="1:25" x14ac:dyDescent="0.25">
      <c r="A697" s="827">
        <v>31</v>
      </c>
      <c r="B697" s="1072">
        <f t="shared" si="262"/>
        <v>0</v>
      </c>
      <c r="C697" s="1073">
        <f t="shared" si="263"/>
        <v>0</v>
      </c>
      <c r="D697" s="1073"/>
      <c r="E697" s="1073">
        <f t="shared" si="256"/>
        <v>0</v>
      </c>
      <c r="F697" s="1073">
        <f>IF(System!AQ34=1,J654-E654*$Z$629,J654+E654*$Z$628*0.5)</f>
        <v>0</v>
      </c>
      <c r="G697" s="1073">
        <f>IF(System!AQ34=1,F697,J654-E654*$Z$628*0.5)</f>
        <v>0</v>
      </c>
      <c r="H697" s="1073">
        <f t="shared" si="264"/>
        <v>0</v>
      </c>
      <c r="I697" s="1073">
        <f>IF(System!AQ34=1,L654,N654)</f>
        <v>0</v>
      </c>
      <c r="J697" s="1073"/>
      <c r="K697" s="1073">
        <f t="shared" si="257"/>
        <v>0</v>
      </c>
      <c r="L697" s="1073">
        <f t="shared" si="258"/>
        <v>0</v>
      </c>
      <c r="M697" s="1074">
        <f t="shared" si="259"/>
        <v>0</v>
      </c>
      <c r="N697" s="1072">
        <f t="shared" si="260"/>
        <v>0</v>
      </c>
      <c r="O697" s="1073">
        <f t="shared" si="261"/>
        <v>0</v>
      </c>
      <c r="P697" s="1073"/>
      <c r="Q697" s="1073">
        <f t="shared" si="265"/>
        <v>0</v>
      </c>
      <c r="R697" s="1073">
        <f>IF(System!AQ34=1,K654+E654*$Z$628*0.5,K654-E654*$Z$629)</f>
        <v>0</v>
      </c>
      <c r="S697" s="1073">
        <f>IF(System!AQ34=1,K654-E654*$Z$628*0.5,R697)</f>
        <v>0</v>
      </c>
      <c r="T697" s="1073">
        <f t="shared" si="266"/>
        <v>0</v>
      </c>
      <c r="U697" s="1073">
        <f>IF(System!AQ34=1,M654,O654)</f>
        <v>0</v>
      </c>
      <c r="V697" s="1073"/>
      <c r="W697" s="1073">
        <f t="shared" si="267"/>
        <v>0</v>
      </c>
      <c r="X697" s="1073">
        <f t="shared" si="268"/>
        <v>0</v>
      </c>
      <c r="Y697" s="1074">
        <f t="shared" si="269"/>
        <v>0</v>
      </c>
    </row>
    <row r="698" spans="1:25" x14ac:dyDescent="0.25">
      <c r="A698" s="827">
        <v>32</v>
      </c>
      <c r="B698" s="1072">
        <f t="shared" si="262"/>
        <v>0</v>
      </c>
      <c r="C698" s="1073">
        <f t="shared" si="263"/>
        <v>0</v>
      </c>
      <c r="D698" s="1073"/>
      <c r="E698" s="1073">
        <f t="shared" si="256"/>
        <v>0</v>
      </c>
      <c r="F698" s="1073">
        <f>IF(System!AQ35=1,J655-E655*$Z$629,J655+E655*$Z$628*0.5)</f>
        <v>0</v>
      </c>
      <c r="G698" s="1073">
        <f>IF(System!AQ35=1,F698,J655-E655*$Z$628*0.5)</f>
        <v>0</v>
      </c>
      <c r="H698" s="1073">
        <f t="shared" si="264"/>
        <v>0</v>
      </c>
      <c r="I698" s="1073">
        <f>IF(System!AQ35=1,L655,N655)</f>
        <v>0</v>
      </c>
      <c r="J698" s="1073"/>
      <c r="K698" s="1073">
        <f t="shared" si="257"/>
        <v>0</v>
      </c>
      <c r="L698" s="1073">
        <f t="shared" si="258"/>
        <v>0</v>
      </c>
      <c r="M698" s="1074">
        <f t="shared" si="259"/>
        <v>0</v>
      </c>
      <c r="N698" s="1072">
        <f t="shared" si="260"/>
        <v>0</v>
      </c>
      <c r="O698" s="1073">
        <f t="shared" si="261"/>
        <v>0</v>
      </c>
      <c r="P698" s="1073"/>
      <c r="Q698" s="1073">
        <f t="shared" si="265"/>
        <v>0</v>
      </c>
      <c r="R698" s="1073">
        <f>IF(System!AQ35=1,K655+E655*$Z$628*0.5,K655-E655*$Z$629)</f>
        <v>0</v>
      </c>
      <c r="S698" s="1073">
        <f>IF(System!AQ35=1,K655-E655*$Z$628*0.5,R698)</f>
        <v>0</v>
      </c>
      <c r="T698" s="1073">
        <f t="shared" si="266"/>
        <v>0</v>
      </c>
      <c r="U698" s="1073">
        <f>IF(System!AQ35=1,M655,O655)</f>
        <v>0</v>
      </c>
      <c r="V698" s="1073"/>
      <c r="W698" s="1073">
        <f t="shared" si="267"/>
        <v>0</v>
      </c>
      <c r="X698" s="1073">
        <f t="shared" si="268"/>
        <v>0</v>
      </c>
      <c r="Y698" s="1074">
        <f t="shared" si="269"/>
        <v>0</v>
      </c>
    </row>
    <row r="699" spans="1:25" x14ac:dyDescent="0.25">
      <c r="A699" s="827">
        <v>33</v>
      </c>
      <c r="B699" s="1072">
        <f t="shared" si="262"/>
        <v>0</v>
      </c>
      <c r="C699" s="1073">
        <f t="shared" si="263"/>
        <v>0</v>
      </c>
      <c r="D699" s="1073"/>
      <c r="E699" s="1073">
        <f t="shared" si="256"/>
        <v>0</v>
      </c>
      <c r="F699" s="1073">
        <f>IF(System!AQ36=1,J656-E656*$Z$629,J656+E656*$Z$628*0.5)</f>
        <v>0</v>
      </c>
      <c r="G699" s="1073">
        <f>IF(System!AQ36=1,F699,J656-E656*$Z$628*0.5)</f>
        <v>0</v>
      </c>
      <c r="H699" s="1073">
        <f t="shared" si="264"/>
        <v>0</v>
      </c>
      <c r="I699" s="1073">
        <f>IF(System!AQ36=1,L656,N656)</f>
        <v>0</v>
      </c>
      <c r="J699" s="1073"/>
      <c r="K699" s="1073">
        <f t="shared" si="257"/>
        <v>0</v>
      </c>
      <c r="L699" s="1073">
        <f t="shared" si="258"/>
        <v>0</v>
      </c>
      <c r="M699" s="1074">
        <f t="shared" si="259"/>
        <v>0</v>
      </c>
      <c r="N699" s="1072">
        <f t="shared" si="260"/>
        <v>0</v>
      </c>
      <c r="O699" s="1073">
        <f t="shared" si="261"/>
        <v>0</v>
      </c>
      <c r="P699" s="1073"/>
      <c r="Q699" s="1073">
        <f t="shared" si="265"/>
        <v>0</v>
      </c>
      <c r="R699" s="1073">
        <f>IF(System!AQ36=1,K656+E656*$Z$628*0.5,K656-E656*$Z$629)</f>
        <v>0</v>
      </c>
      <c r="S699" s="1073">
        <f>IF(System!AQ36=1,K656-E656*$Z$628*0.5,R699)</f>
        <v>0</v>
      </c>
      <c r="T699" s="1073">
        <f t="shared" si="266"/>
        <v>0</v>
      </c>
      <c r="U699" s="1073">
        <f>IF(System!AQ36=1,M656,O656)</f>
        <v>0</v>
      </c>
      <c r="V699" s="1073"/>
      <c r="W699" s="1073">
        <f t="shared" si="267"/>
        <v>0</v>
      </c>
      <c r="X699" s="1073">
        <f t="shared" si="268"/>
        <v>0</v>
      </c>
      <c r="Y699" s="1074">
        <f t="shared" si="269"/>
        <v>0</v>
      </c>
    </row>
    <row r="700" spans="1:25" x14ac:dyDescent="0.25">
      <c r="A700" s="827">
        <v>34</v>
      </c>
      <c r="B700" s="1072">
        <f t="shared" si="262"/>
        <v>0</v>
      </c>
      <c r="C700" s="1073">
        <f t="shared" si="263"/>
        <v>0</v>
      </c>
      <c r="D700" s="1073"/>
      <c r="E700" s="1073">
        <f t="shared" si="256"/>
        <v>0</v>
      </c>
      <c r="F700" s="1073">
        <f>IF(System!AQ37=1,J657-E657*$Z$629,J657+E657*$Z$628*0.5)</f>
        <v>0</v>
      </c>
      <c r="G700" s="1073">
        <f>IF(System!AQ37=1,F700,J657-E657*$Z$628*0.5)</f>
        <v>0</v>
      </c>
      <c r="H700" s="1073">
        <f t="shared" si="264"/>
        <v>0</v>
      </c>
      <c r="I700" s="1073">
        <f>IF(System!AQ37=1,L657,N657)</f>
        <v>0</v>
      </c>
      <c r="J700" s="1073"/>
      <c r="K700" s="1073">
        <f t="shared" si="257"/>
        <v>0</v>
      </c>
      <c r="L700" s="1073">
        <f t="shared" si="258"/>
        <v>0</v>
      </c>
      <c r="M700" s="1074">
        <f t="shared" si="259"/>
        <v>0</v>
      </c>
      <c r="N700" s="1072">
        <f t="shared" si="260"/>
        <v>0</v>
      </c>
      <c r="O700" s="1073">
        <f t="shared" si="261"/>
        <v>0</v>
      </c>
      <c r="P700" s="1073"/>
      <c r="Q700" s="1073">
        <f t="shared" si="265"/>
        <v>0</v>
      </c>
      <c r="R700" s="1073">
        <f>IF(System!AQ37=1,K657+E657*$Z$628*0.5,K657-E657*$Z$629)</f>
        <v>0</v>
      </c>
      <c r="S700" s="1073">
        <f>IF(System!AQ37=1,K657-E657*$Z$628*0.5,R700)</f>
        <v>0</v>
      </c>
      <c r="T700" s="1073">
        <f t="shared" si="266"/>
        <v>0</v>
      </c>
      <c r="U700" s="1073">
        <f>IF(System!AQ37=1,M657,O657)</f>
        <v>0</v>
      </c>
      <c r="V700" s="1073"/>
      <c r="W700" s="1073">
        <f t="shared" si="267"/>
        <v>0</v>
      </c>
      <c r="X700" s="1073">
        <f t="shared" si="268"/>
        <v>0</v>
      </c>
      <c r="Y700" s="1074">
        <f t="shared" si="269"/>
        <v>0</v>
      </c>
    </row>
    <row r="701" spans="1:25" x14ac:dyDescent="0.25">
      <c r="A701" s="827">
        <v>35</v>
      </c>
      <c r="B701" s="1072">
        <f t="shared" si="262"/>
        <v>0</v>
      </c>
      <c r="C701" s="1073">
        <f t="shared" si="263"/>
        <v>0</v>
      </c>
      <c r="D701" s="1073"/>
      <c r="E701" s="1073">
        <f t="shared" si="256"/>
        <v>0</v>
      </c>
      <c r="F701" s="1073">
        <f>IF(System!AQ38=1,J658-E658*$Z$629,J658+E658*$Z$628*0.5)</f>
        <v>0</v>
      </c>
      <c r="G701" s="1073">
        <f>IF(System!AQ38=1,F701,J658-E658*$Z$628*0.5)</f>
        <v>0</v>
      </c>
      <c r="H701" s="1073">
        <f t="shared" si="264"/>
        <v>0</v>
      </c>
      <c r="I701" s="1073">
        <f>IF(System!AQ38=1,L658,N658)</f>
        <v>0</v>
      </c>
      <c r="J701" s="1073"/>
      <c r="K701" s="1073">
        <f t="shared" si="257"/>
        <v>0</v>
      </c>
      <c r="L701" s="1073">
        <f t="shared" si="258"/>
        <v>0</v>
      </c>
      <c r="M701" s="1074">
        <f t="shared" si="259"/>
        <v>0</v>
      </c>
      <c r="N701" s="1072">
        <f t="shared" si="260"/>
        <v>0</v>
      </c>
      <c r="O701" s="1073">
        <f t="shared" si="261"/>
        <v>0</v>
      </c>
      <c r="P701" s="1073"/>
      <c r="Q701" s="1073">
        <f t="shared" si="265"/>
        <v>0</v>
      </c>
      <c r="R701" s="1073">
        <f>IF(System!AQ38=1,K658+E658*$Z$628*0.5,K658-E658*$Z$629)</f>
        <v>0</v>
      </c>
      <c r="S701" s="1073">
        <f>IF(System!AQ38=1,K658-E658*$Z$628*0.5,R701)</f>
        <v>0</v>
      </c>
      <c r="T701" s="1073">
        <f t="shared" si="266"/>
        <v>0</v>
      </c>
      <c r="U701" s="1073">
        <f>IF(System!AQ38=1,M658,O658)</f>
        <v>0</v>
      </c>
      <c r="V701" s="1073"/>
      <c r="W701" s="1073">
        <f t="shared" si="267"/>
        <v>0</v>
      </c>
      <c r="X701" s="1073">
        <f t="shared" si="268"/>
        <v>0</v>
      </c>
      <c r="Y701" s="1074">
        <f t="shared" si="269"/>
        <v>0</v>
      </c>
    </row>
    <row r="702" spans="1:25" x14ac:dyDescent="0.25">
      <c r="A702" s="827">
        <v>36</v>
      </c>
      <c r="B702" s="1072">
        <f t="shared" si="262"/>
        <v>0</v>
      </c>
      <c r="C702" s="1073">
        <f t="shared" si="263"/>
        <v>0</v>
      </c>
      <c r="D702" s="1073"/>
      <c r="E702" s="1073">
        <f t="shared" si="256"/>
        <v>0</v>
      </c>
      <c r="F702" s="1073">
        <f>IF(System!AQ39=1,J659-E659*$Z$629,J659+E659*$Z$628*0.5)</f>
        <v>0</v>
      </c>
      <c r="G702" s="1073">
        <f>IF(System!AQ39=1,F702,J659-E659*$Z$628*0.5)</f>
        <v>0</v>
      </c>
      <c r="H702" s="1073">
        <f t="shared" si="264"/>
        <v>0</v>
      </c>
      <c r="I702" s="1073">
        <f>IF(System!AQ39=1,L659,N659)</f>
        <v>0</v>
      </c>
      <c r="J702" s="1073"/>
      <c r="K702" s="1073">
        <f t="shared" si="257"/>
        <v>0</v>
      </c>
      <c r="L702" s="1073">
        <f t="shared" si="258"/>
        <v>0</v>
      </c>
      <c r="M702" s="1074">
        <f t="shared" si="259"/>
        <v>0</v>
      </c>
      <c r="N702" s="1072">
        <f t="shared" si="260"/>
        <v>0</v>
      </c>
      <c r="O702" s="1073">
        <f t="shared" si="261"/>
        <v>0</v>
      </c>
      <c r="P702" s="1073"/>
      <c r="Q702" s="1073">
        <f t="shared" si="265"/>
        <v>0</v>
      </c>
      <c r="R702" s="1073">
        <f>IF(System!AQ39=1,K659+E659*$Z$628*0.5,K659-E659*$Z$629)</f>
        <v>0</v>
      </c>
      <c r="S702" s="1073">
        <f>IF(System!AQ39=1,K659-E659*$Z$628*0.5,R702)</f>
        <v>0</v>
      </c>
      <c r="T702" s="1073">
        <f t="shared" si="266"/>
        <v>0</v>
      </c>
      <c r="U702" s="1073">
        <f>IF(System!AQ39=1,M659,O659)</f>
        <v>0</v>
      </c>
      <c r="V702" s="1073"/>
      <c r="W702" s="1073">
        <f t="shared" si="267"/>
        <v>0</v>
      </c>
      <c r="X702" s="1073">
        <f t="shared" si="268"/>
        <v>0</v>
      </c>
      <c r="Y702" s="1074">
        <f t="shared" si="269"/>
        <v>0</v>
      </c>
    </row>
    <row r="703" spans="1:25" x14ac:dyDescent="0.25">
      <c r="A703" s="827">
        <v>37</v>
      </c>
      <c r="B703" s="1072">
        <f t="shared" si="262"/>
        <v>0</v>
      </c>
      <c r="C703" s="1073">
        <f t="shared" si="263"/>
        <v>0</v>
      </c>
      <c r="D703" s="1073"/>
      <c r="E703" s="1073">
        <f t="shared" si="256"/>
        <v>0</v>
      </c>
      <c r="F703" s="1073">
        <f>IF(System!AQ40=1,J660-E660*$Z$629,J660+E660*$Z$628*0.5)</f>
        <v>0</v>
      </c>
      <c r="G703" s="1073">
        <f>IF(System!AQ40=1,F703,J660-E660*$Z$628*0.5)</f>
        <v>0</v>
      </c>
      <c r="H703" s="1073">
        <f t="shared" si="264"/>
        <v>0</v>
      </c>
      <c r="I703" s="1073">
        <f>IF(System!AQ40=1,L660,N660)</f>
        <v>0</v>
      </c>
      <c r="J703" s="1073"/>
      <c r="K703" s="1073">
        <f t="shared" si="257"/>
        <v>0</v>
      </c>
      <c r="L703" s="1073">
        <f t="shared" si="258"/>
        <v>0</v>
      </c>
      <c r="M703" s="1074">
        <f t="shared" si="259"/>
        <v>0</v>
      </c>
      <c r="N703" s="1072">
        <f t="shared" si="260"/>
        <v>0</v>
      </c>
      <c r="O703" s="1073">
        <f t="shared" si="261"/>
        <v>0</v>
      </c>
      <c r="P703" s="1073"/>
      <c r="Q703" s="1073">
        <f t="shared" si="265"/>
        <v>0</v>
      </c>
      <c r="R703" s="1073">
        <f>IF(System!AQ40=1,K660+E660*$Z$628*0.5,K660-E660*$Z$629)</f>
        <v>0</v>
      </c>
      <c r="S703" s="1073">
        <f>IF(System!AQ40=1,K660-E660*$Z$628*0.5,R703)</f>
        <v>0</v>
      </c>
      <c r="T703" s="1073">
        <f t="shared" si="266"/>
        <v>0</v>
      </c>
      <c r="U703" s="1073">
        <f>IF(System!AQ40=1,M660,O660)</f>
        <v>0</v>
      </c>
      <c r="V703" s="1073"/>
      <c r="W703" s="1073">
        <f t="shared" si="267"/>
        <v>0</v>
      </c>
      <c r="X703" s="1073">
        <f t="shared" si="268"/>
        <v>0</v>
      </c>
      <c r="Y703" s="1074">
        <f t="shared" si="269"/>
        <v>0</v>
      </c>
    </row>
    <row r="704" spans="1:25" x14ac:dyDescent="0.25">
      <c r="A704" s="827">
        <v>38</v>
      </c>
      <c r="B704" s="1072">
        <f t="shared" si="262"/>
        <v>0</v>
      </c>
      <c r="C704" s="1073">
        <f t="shared" si="263"/>
        <v>0</v>
      </c>
      <c r="D704" s="1073"/>
      <c r="E704" s="1073">
        <f t="shared" si="256"/>
        <v>0</v>
      </c>
      <c r="F704" s="1073">
        <f>IF(System!AQ41=1,J661-E661*$Z$629,J661+E661*$Z$628*0.5)</f>
        <v>0</v>
      </c>
      <c r="G704" s="1073">
        <f>IF(System!AQ41=1,F704,J661-E661*$Z$628*0.5)</f>
        <v>0</v>
      </c>
      <c r="H704" s="1073">
        <f t="shared" si="264"/>
        <v>0</v>
      </c>
      <c r="I704" s="1073">
        <f>IF(System!AQ41=1,L661,N661)</f>
        <v>0</v>
      </c>
      <c r="J704" s="1073"/>
      <c r="K704" s="1073">
        <f t="shared" si="257"/>
        <v>0</v>
      </c>
      <c r="L704" s="1073">
        <f t="shared" si="258"/>
        <v>0</v>
      </c>
      <c r="M704" s="1074">
        <f t="shared" si="259"/>
        <v>0</v>
      </c>
      <c r="N704" s="1072">
        <f t="shared" si="260"/>
        <v>0</v>
      </c>
      <c r="O704" s="1073">
        <f t="shared" si="261"/>
        <v>0</v>
      </c>
      <c r="P704" s="1073"/>
      <c r="Q704" s="1073">
        <f t="shared" si="265"/>
        <v>0</v>
      </c>
      <c r="R704" s="1073">
        <f>IF(System!AQ41=1,K661+E661*$Z$628*0.5,K661-E661*$Z$629)</f>
        <v>0</v>
      </c>
      <c r="S704" s="1073">
        <f>IF(System!AQ41=1,K661-E661*$Z$628*0.5,R704)</f>
        <v>0</v>
      </c>
      <c r="T704" s="1073">
        <f t="shared" si="266"/>
        <v>0</v>
      </c>
      <c r="U704" s="1073">
        <f>IF(System!AQ41=1,M661,O661)</f>
        <v>0</v>
      </c>
      <c r="V704" s="1073"/>
      <c r="W704" s="1073">
        <f t="shared" si="267"/>
        <v>0</v>
      </c>
      <c r="X704" s="1073">
        <f t="shared" si="268"/>
        <v>0</v>
      </c>
      <c r="Y704" s="1074">
        <f t="shared" si="269"/>
        <v>0</v>
      </c>
    </row>
    <row r="705" spans="1:25" x14ac:dyDescent="0.25">
      <c r="A705" s="827">
        <v>39</v>
      </c>
      <c r="B705" s="1072">
        <f t="shared" si="262"/>
        <v>0</v>
      </c>
      <c r="C705" s="1073">
        <f t="shared" si="263"/>
        <v>0</v>
      </c>
      <c r="D705" s="1073"/>
      <c r="E705" s="1073">
        <f t="shared" si="256"/>
        <v>0</v>
      </c>
      <c r="F705" s="1073">
        <f>IF(System!AQ42=1,J662-E662*$Z$629,J662+E662*$Z$628*0.5)</f>
        <v>0</v>
      </c>
      <c r="G705" s="1073">
        <f>IF(System!AQ42=1,F705,J662-E662*$Z$628*0.5)</f>
        <v>0</v>
      </c>
      <c r="H705" s="1073">
        <f t="shared" si="264"/>
        <v>0</v>
      </c>
      <c r="I705" s="1073">
        <f>IF(System!AQ42=1,L662,N662)</f>
        <v>0</v>
      </c>
      <c r="J705" s="1073"/>
      <c r="K705" s="1073">
        <f t="shared" si="257"/>
        <v>0</v>
      </c>
      <c r="L705" s="1073">
        <f t="shared" si="258"/>
        <v>0</v>
      </c>
      <c r="M705" s="1074">
        <f t="shared" si="259"/>
        <v>0</v>
      </c>
      <c r="N705" s="1072">
        <f t="shared" si="260"/>
        <v>0</v>
      </c>
      <c r="O705" s="1073">
        <f t="shared" si="261"/>
        <v>0</v>
      </c>
      <c r="P705" s="1073"/>
      <c r="Q705" s="1073">
        <f t="shared" si="265"/>
        <v>0</v>
      </c>
      <c r="R705" s="1073">
        <f>IF(System!AQ42=1,K662+E662*$Z$628*0.5,K662-E662*$Z$629)</f>
        <v>0</v>
      </c>
      <c r="S705" s="1073">
        <f>IF(System!AQ42=1,K662-E662*$Z$628*0.5,R705)</f>
        <v>0</v>
      </c>
      <c r="T705" s="1073">
        <f t="shared" si="266"/>
        <v>0</v>
      </c>
      <c r="U705" s="1073">
        <f>IF(System!AQ42=1,M662,O662)</f>
        <v>0</v>
      </c>
      <c r="V705" s="1073"/>
      <c r="W705" s="1073">
        <f t="shared" si="267"/>
        <v>0</v>
      </c>
      <c r="X705" s="1073">
        <f t="shared" si="268"/>
        <v>0</v>
      </c>
      <c r="Y705" s="1074">
        <f t="shared" si="269"/>
        <v>0</v>
      </c>
    </row>
    <row r="706" spans="1:25" ht="13.8" thickBot="1" x14ac:dyDescent="0.3">
      <c r="A706" s="838">
        <v>40</v>
      </c>
      <c r="B706" s="1090">
        <f t="shared" si="262"/>
        <v>0</v>
      </c>
      <c r="C706" s="1091">
        <f t="shared" si="263"/>
        <v>0</v>
      </c>
      <c r="D706" s="1091"/>
      <c r="E706" s="1091">
        <f t="shared" si="256"/>
        <v>0</v>
      </c>
      <c r="F706" s="1091">
        <f>IF(System!AQ43=1,J663-E663*$Z$629,J663+E663*$Z$628*0.5)</f>
        <v>0</v>
      </c>
      <c r="G706" s="1091">
        <f>IF(System!AQ43=1,F706,J663-E663*$Z$628*0.5)</f>
        <v>0</v>
      </c>
      <c r="H706" s="1091">
        <f t="shared" si="264"/>
        <v>0</v>
      </c>
      <c r="I706" s="1091">
        <f>IF(System!AQ43=1,L663,N663)</f>
        <v>0</v>
      </c>
      <c r="J706" s="1091"/>
      <c r="K706" s="1091">
        <f t="shared" si="257"/>
        <v>0</v>
      </c>
      <c r="L706" s="1091">
        <f t="shared" si="258"/>
        <v>0</v>
      </c>
      <c r="M706" s="1092">
        <f t="shared" si="259"/>
        <v>0</v>
      </c>
      <c r="N706" s="1090">
        <f t="shared" si="260"/>
        <v>0</v>
      </c>
      <c r="O706" s="1091">
        <f t="shared" si="261"/>
        <v>0</v>
      </c>
      <c r="P706" s="1091"/>
      <c r="Q706" s="1091">
        <f t="shared" si="265"/>
        <v>0</v>
      </c>
      <c r="R706" s="1091">
        <f>IF(System!AQ43=1,K663+E663*$Z$628*0.5,K663-E663*$Z$629)</f>
        <v>0</v>
      </c>
      <c r="S706" s="1091">
        <f>IF(System!AQ43=1,K663-E663*$Z$628*0.5,R706)</f>
        <v>0</v>
      </c>
      <c r="T706" s="1091">
        <f t="shared" si="266"/>
        <v>0</v>
      </c>
      <c r="U706" s="1091">
        <f>IF(System!AQ43=1,M663,O663)</f>
        <v>0</v>
      </c>
      <c r="V706" s="1091"/>
      <c r="W706" s="1091">
        <f t="shared" si="267"/>
        <v>0</v>
      </c>
      <c r="X706" s="1091">
        <f t="shared" si="268"/>
        <v>0</v>
      </c>
      <c r="Y706" s="1092">
        <f t="shared" si="269"/>
        <v>0</v>
      </c>
    </row>
  </sheetData>
  <mergeCells count="45">
    <mergeCell ref="B3:D3"/>
    <mergeCell ref="AD95:AE95"/>
    <mergeCell ref="B268:D268"/>
    <mergeCell ref="H268:J268"/>
    <mergeCell ref="AR268:AT268"/>
    <mergeCell ref="AG268:AI268"/>
    <mergeCell ref="B314:C314"/>
    <mergeCell ref="B358:D358"/>
    <mergeCell ref="B446:C446"/>
    <mergeCell ref="B534:C534"/>
    <mergeCell ref="F534:K534"/>
    <mergeCell ref="AJ534:AK534"/>
    <mergeCell ref="AL534:AM534"/>
    <mergeCell ref="B577:F577"/>
    <mergeCell ref="H577:L577"/>
    <mergeCell ref="N577:R577"/>
    <mergeCell ref="T577:X577"/>
    <mergeCell ref="Z577:AD577"/>
    <mergeCell ref="L534:Q534"/>
    <mergeCell ref="R534:W534"/>
    <mergeCell ref="X534:AC534"/>
    <mergeCell ref="AD534:AE534"/>
    <mergeCell ref="AF534:AG534"/>
    <mergeCell ref="AH534:AI534"/>
    <mergeCell ref="AO535:AP535"/>
    <mergeCell ref="AE577:AI577"/>
    <mergeCell ref="AK577:AO577"/>
    <mergeCell ref="AQ577:AU577"/>
    <mergeCell ref="AW577:BA577"/>
    <mergeCell ref="BC577:BG577"/>
    <mergeCell ref="N622:O622"/>
    <mergeCell ref="P622:U622"/>
    <mergeCell ref="X627:X629"/>
    <mergeCell ref="X630:X633"/>
    <mergeCell ref="W665:Y665"/>
    <mergeCell ref="B622:D622"/>
    <mergeCell ref="F622:G622"/>
    <mergeCell ref="H622:I622"/>
    <mergeCell ref="J622:K622"/>
    <mergeCell ref="L622:M622"/>
    <mergeCell ref="B665:C665"/>
    <mergeCell ref="E665:I665"/>
    <mergeCell ref="K665:M665"/>
    <mergeCell ref="N665:O665"/>
    <mergeCell ref="Q665:U665"/>
  </mergeCells>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7"/>
  <dimension ref="A1:CG47"/>
  <sheetViews>
    <sheetView topLeftCell="BG1" zoomScale="80" zoomScaleNormal="80" workbookViewId="0">
      <selection activeCell="CB3" sqref="CB3"/>
    </sheetView>
  </sheetViews>
  <sheetFormatPr defaultColWidth="11.44140625" defaultRowHeight="13.2" x14ac:dyDescent="0.25"/>
  <cols>
    <col min="1" max="1" width="6.5546875" style="41" customWidth="1"/>
    <col min="2" max="12" width="11.44140625" style="41"/>
    <col min="13" max="13" width="4.5546875" style="41" customWidth="1"/>
    <col min="14" max="14" width="7" style="41" customWidth="1"/>
    <col min="15" max="17" width="11.44140625" style="41" customWidth="1"/>
    <col min="18" max="25" width="11.44140625" style="41"/>
    <col min="26" max="26" width="3.44140625" style="1" customWidth="1"/>
    <col min="27" max="33" width="11.44140625" style="41"/>
    <col min="34" max="37" width="11.5546875" style="41" bestFit="1" customWidth="1"/>
    <col min="38" max="38" width="14.44140625" style="41" bestFit="1" customWidth="1"/>
    <col min="39" max="39" width="4.44140625" style="41" customWidth="1"/>
    <col min="40" max="50" width="11.5546875" style="41" bestFit="1" customWidth="1"/>
    <col min="51" max="51" width="14.44140625" style="41" bestFit="1" customWidth="1"/>
    <col min="52" max="52" width="3.5546875" style="1" customWidth="1"/>
    <col min="53" max="53" width="4" style="41" bestFit="1" customWidth="1"/>
    <col min="54" max="58" width="11.5546875" style="41" bestFit="1" customWidth="1"/>
    <col min="59" max="64" width="11.44140625" style="41"/>
    <col min="65" max="65" width="4.44140625" style="41" customWidth="1"/>
    <col min="66" max="66" width="4" style="41" bestFit="1" customWidth="1"/>
    <col min="67" max="76" width="11.44140625" style="41"/>
    <col min="77" max="77" width="14.44140625" style="41" customWidth="1"/>
    <col min="78" max="78" width="5.5546875" style="41" customWidth="1"/>
    <col min="79" max="80" width="11.44140625" style="41"/>
    <col min="81" max="81" width="13.5546875" style="41" customWidth="1"/>
    <col min="82" max="82" width="2" style="41" customWidth="1"/>
    <col min="83" max="16384" width="11.44140625" style="41"/>
  </cols>
  <sheetData>
    <row r="1" spans="1:85" ht="24" customHeight="1" thickBot="1" x14ac:dyDescent="0.35">
      <c r="C1" s="625" t="s">
        <v>458</v>
      </c>
      <c r="D1" s="625"/>
      <c r="AA1" s="41" t="s">
        <v>459</v>
      </c>
      <c r="AC1" s="41" t="s">
        <v>460</v>
      </c>
      <c r="AD1" s="41">
        <f>MAX(AF1,AI1)</f>
        <v>7.9953049357429524</v>
      </c>
      <c r="AE1" s="721" t="s">
        <v>461</v>
      </c>
      <c r="AF1" s="721">
        <f>MAX(MAX(AB4:AL23),ABS(MIN(AB4:AL23)))</f>
        <v>7.9953049357429524</v>
      </c>
      <c r="AH1" s="721" t="s">
        <v>462</v>
      </c>
      <c r="AI1" s="721">
        <f>MAX(MAX(AO4:AY23),ABS(MIN(AO4:AY23)))</f>
        <v>5.5508222580066553</v>
      </c>
      <c r="BB1" s="41" t="s">
        <v>463</v>
      </c>
      <c r="BE1" s="670" t="s">
        <v>464</v>
      </c>
      <c r="BF1" s="671">
        <f>Knoten!AG19</f>
        <v>4.2451320831080164</v>
      </c>
      <c r="BH1" s="670" t="s">
        <v>178</v>
      </c>
      <c r="BI1" s="671">
        <f>(MAX(BB4:BL43)+MIN(BB4:BL43))/2</f>
        <v>7.1054273576010019E-15</v>
      </c>
      <c r="BJ1" s="1100" t="s">
        <v>465</v>
      </c>
      <c r="BK1" s="671">
        <f>(MAX(BB4:BL43)-MIN(BB4:BL43))/2</f>
        <v>100</v>
      </c>
      <c r="BQ1" s="670" t="s">
        <v>222</v>
      </c>
      <c r="BR1" s="671">
        <f>(MAX(BO4:BY43)+MIN(BO4:BY43))/2</f>
        <v>7.1054273576010019E-15</v>
      </c>
      <c r="BS1" s="670" t="s">
        <v>466</v>
      </c>
      <c r="BT1" s="671">
        <f>(MAX(BO4:BY43)-MIN(BO4:BY43))/2</f>
        <v>100</v>
      </c>
      <c r="BU1" s="1100" t="s">
        <v>196</v>
      </c>
      <c r="BV1" s="671">
        <f>SQRT(BK1^2+BT1^2)</f>
        <v>141.42135623730951</v>
      </c>
      <c r="BZ1" s="148"/>
      <c r="CC1" s="1394" t="s">
        <v>467</v>
      </c>
      <c r="CD1" s="1395"/>
      <c r="CE1" s="1396"/>
    </row>
    <row r="2" spans="1:85" ht="18.75" customHeight="1" thickBot="1" x14ac:dyDescent="0.3">
      <c r="D2" s="239"/>
      <c r="O2" s="41" t="s">
        <v>468</v>
      </c>
      <c r="BB2" s="41">
        <f>COLUMN(BB5)</f>
        <v>54</v>
      </c>
      <c r="BC2" s="41" t="s">
        <v>469</v>
      </c>
      <c r="BO2" s="41">
        <f>COLUMN(BO5)</f>
        <v>67</v>
      </c>
      <c r="BP2" s="41" t="s">
        <v>469</v>
      </c>
      <c r="BZ2" s="148"/>
      <c r="CA2" s="1397" t="s">
        <v>53</v>
      </c>
      <c r="CB2" s="1395"/>
      <c r="CC2" s="1396"/>
      <c r="CD2" s="1101"/>
      <c r="CE2" s="1397" t="s">
        <v>470</v>
      </c>
      <c r="CF2" s="1395"/>
      <c r="CG2" s="1396"/>
    </row>
    <row r="3" spans="1:85" ht="13.8" thickBot="1" x14ac:dyDescent="0.3">
      <c r="A3" s="1102" t="s">
        <v>16</v>
      </c>
      <c r="B3" s="1103">
        <v>0</v>
      </c>
      <c r="C3" s="1104">
        <v>0.1</v>
      </c>
      <c r="D3" s="1103">
        <v>0.2</v>
      </c>
      <c r="E3" s="1104">
        <v>0.3</v>
      </c>
      <c r="F3" s="1103">
        <v>0.4</v>
      </c>
      <c r="G3" s="1104">
        <v>0.5</v>
      </c>
      <c r="H3" s="1103">
        <v>0.6</v>
      </c>
      <c r="I3" s="1104">
        <v>0.7</v>
      </c>
      <c r="J3" s="1103">
        <v>0.8</v>
      </c>
      <c r="K3" s="1104">
        <v>0.9</v>
      </c>
      <c r="L3" s="1103">
        <v>1</v>
      </c>
      <c r="N3" s="1102" t="s">
        <v>228</v>
      </c>
      <c r="O3" s="1103">
        <v>0</v>
      </c>
      <c r="P3" s="1104">
        <v>0.1</v>
      </c>
      <c r="Q3" s="1103">
        <v>0.2</v>
      </c>
      <c r="R3" s="1104">
        <v>0.3</v>
      </c>
      <c r="S3" s="1103">
        <v>0.4</v>
      </c>
      <c r="T3" s="1104">
        <v>0.5</v>
      </c>
      <c r="U3" s="1103">
        <v>0.6</v>
      </c>
      <c r="V3" s="1104">
        <v>0.7</v>
      </c>
      <c r="W3" s="1103">
        <v>0.8</v>
      </c>
      <c r="X3" s="1104">
        <v>0.9</v>
      </c>
      <c r="Y3" s="1103">
        <v>1</v>
      </c>
      <c r="AA3" s="1105" t="s">
        <v>16</v>
      </c>
      <c r="AB3" s="1106">
        <v>0</v>
      </c>
      <c r="AC3" s="670">
        <v>0.1</v>
      </c>
      <c r="AD3" s="1107">
        <v>0.2</v>
      </c>
      <c r="AE3" s="670">
        <v>0.3</v>
      </c>
      <c r="AF3" s="1107">
        <v>0.4</v>
      </c>
      <c r="AG3" s="670">
        <v>0.5</v>
      </c>
      <c r="AH3" s="1107">
        <v>0.6</v>
      </c>
      <c r="AI3" s="670">
        <v>0.7</v>
      </c>
      <c r="AJ3" s="1107">
        <v>0.8</v>
      </c>
      <c r="AK3" s="670">
        <v>0.9</v>
      </c>
      <c r="AL3" s="1107">
        <v>1</v>
      </c>
      <c r="AN3" s="1105" t="s">
        <v>228</v>
      </c>
      <c r="AO3" s="1108"/>
      <c r="AP3" s="1109"/>
      <c r="AQ3" s="1109"/>
      <c r="AR3" s="1109"/>
      <c r="AS3" s="1109"/>
      <c r="AT3" s="1109"/>
      <c r="AU3" s="1109"/>
      <c r="AV3" s="1109"/>
      <c r="AW3" s="1109"/>
      <c r="AX3" s="1109"/>
      <c r="AY3" s="1110"/>
      <c r="BA3" s="1105" t="s">
        <v>16</v>
      </c>
      <c r="BB3" s="1108">
        <v>0</v>
      </c>
      <c r="BC3" s="1109">
        <v>0.1</v>
      </c>
      <c r="BD3" s="1109">
        <v>0.2</v>
      </c>
      <c r="BE3" s="1109">
        <v>0.3</v>
      </c>
      <c r="BF3" s="1109">
        <v>0.4</v>
      </c>
      <c r="BG3" s="1109">
        <v>0.5</v>
      </c>
      <c r="BH3" s="1109">
        <v>0.6</v>
      </c>
      <c r="BI3" s="1109">
        <v>0.7</v>
      </c>
      <c r="BJ3" s="1109">
        <v>0.8</v>
      </c>
      <c r="BK3" s="1109">
        <v>0.9</v>
      </c>
      <c r="BL3" s="1110">
        <v>1</v>
      </c>
      <c r="BN3" s="1105" t="s">
        <v>228</v>
      </c>
      <c r="BO3" s="1108">
        <v>0</v>
      </c>
      <c r="BP3" s="1109">
        <v>0.1</v>
      </c>
      <c r="BQ3" s="1109">
        <v>0.2</v>
      </c>
      <c r="BR3" s="1109">
        <v>0.3</v>
      </c>
      <c r="BS3" s="1109">
        <v>0.4</v>
      </c>
      <c r="BT3" s="1109">
        <v>0.5</v>
      </c>
      <c r="BU3" s="1109">
        <v>0.6</v>
      </c>
      <c r="BV3" s="1109">
        <v>0.7</v>
      </c>
      <c r="BW3" s="1109">
        <v>0.8</v>
      </c>
      <c r="BX3" s="1109">
        <v>0.9</v>
      </c>
      <c r="BY3" s="1110">
        <v>1</v>
      </c>
      <c r="BZ3" s="1111"/>
      <c r="CA3" s="1112" t="s">
        <v>178</v>
      </c>
      <c r="CB3" s="1113">
        <v>0</v>
      </c>
      <c r="CC3" s="1114">
        <f>(MAX(Knoten!$C$3:$C$42)-MIN(Knoten!$C$3:$C$42))/2</f>
        <v>100</v>
      </c>
      <c r="CD3" s="1115"/>
      <c r="CE3" s="1112" t="s">
        <v>178</v>
      </c>
      <c r="CF3" s="1113">
        <f>PlotData!$BI$1</f>
        <v>7.1054273576010019E-15</v>
      </c>
      <c r="CG3" s="1114"/>
    </row>
    <row r="4" spans="1:85" x14ac:dyDescent="0.25">
      <c r="A4" s="1116">
        <v>1</v>
      </c>
      <c r="B4" s="745">
        <v>20</v>
      </c>
      <c r="C4" s="1117">
        <v>28</v>
      </c>
      <c r="D4" s="1117">
        <v>36</v>
      </c>
      <c r="E4" s="1117">
        <v>44</v>
      </c>
      <c r="F4" s="1117">
        <v>52</v>
      </c>
      <c r="G4" s="1117">
        <v>60</v>
      </c>
      <c r="H4" s="1117">
        <v>68</v>
      </c>
      <c r="I4" s="1117">
        <v>76</v>
      </c>
      <c r="J4" s="1117">
        <v>84</v>
      </c>
      <c r="K4" s="1117">
        <v>92</v>
      </c>
      <c r="L4" s="632">
        <v>100</v>
      </c>
      <c r="N4" s="1116">
        <v>1</v>
      </c>
      <c r="O4" s="745">
        <v>-40</v>
      </c>
      <c r="P4" s="1117">
        <v>-34</v>
      </c>
      <c r="Q4" s="1117">
        <v>-28</v>
      </c>
      <c r="R4" s="1117">
        <v>-22</v>
      </c>
      <c r="S4" s="1117">
        <v>-16</v>
      </c>
      <c r="T4" s="1117">
        <v>-10</v>
      </c>
      <c r="U4" s="1117">
        <v>-4</v>
      </c>
      <c r="V4" s="1117">
        <v>2</v>
      </c>
      <c r="W4" s="1117">
        <v>8</v>
      </c>
      <c r="X4" s="1117">
        <v>14</v>
      </c>
      <c r="Y4" s="632">
        <v>20</v>
      </c>
      <c r="AA4" s="1118">
        <v>1</v>
      </c>
      <c r="AB4" s="745">
        <v>0.85431463342070157</v>
      </c>
      <c r="AC4" s="1117">
        <v>2.2902608826513089</v>
      </c>
      <c r="AD4" s="1117">
        <v>3.2457720647537025</v>
      </c>
      <c r="AE4" s="1117">
        <v>3.7742298538532397</v>
      </c>
      <c r="AF4" s="1117">
        <v>3.9290159240752756</v>
      </c>
      <c r="AG4" s="1117">
        <v>3.7635119495451703</v>
      </c>
      <c r="AH4" s="1117">
        <v>3.3310996043882795</v>
      </c>
      <c r="AI4" s="1117">
        <v>2.6851605627299593</v>
      </c>
      <c r="AJ4" s="1117">
        <v>1.8790764986955686</v>
      </c>
      <c r="AK4" s="1117">
        <v>0.96622908641046334</v>
      </c>
      <c r="AL4" s="632">
        <v>1.0826073727465937E-15</v>
      </c>
      <c r="AN4" s="1118">
        <v>1</v>
      </c>
      <c r="AO4" s="745">
        <v>-1.43822407811824</v>
      </c>
      <c r="AP4" s="1117">
        <v>-3.3229052870699864</v>
      </c>
      <c r="AQ4" s="1117">
        <v>-4.5670064065174474</v>
      </c>
      <c r="AR4" s="1117">
        <v>-5.2417030019611</v>
      </c>
      <c r="AS4" s="1117">
        <v>-5.418170638901417</v>
      </c>
      <c r="AT4" s="1117">
        <v>-5.16758488283888</v>
      </c>
      <c r="AU4" s="1117">
        <v>-4.5611212992739611</v>
      </c>
      <c r="AV4" s="1117">
        <v>-3.6699554537071375</v>
      </c>
      <c r="AW4" s="1117">
        <v>-2.5652629116388859</v>
      </c>
      <c r="AX4" s="1117">
        <v>-1.3182192385696816</v>
      </c>
      <c r="AY4" s="632">
        <v>-1.476687475432126E-15</v>
      </c>
      <c r="BA4" s="1119">
        <v>1</v>
      </c>
      <c r="BB4" s="745">
        <f>IF(ISNUMBER(System!$C4),PlotData!B4+ $BF$1*AB4,$CB$3)</f>
        <v>23.626678459402886</v>
      </c>
      <c r="BC4" s="1117">
        <f>IF(ISNUMBER(System!$C4),PlotData!C4+ $BF$1*AC4,$CB$3)</f>
        <v>37.722459951630356</v>
      </c>
      <c r="BD4" s="1117">
        <f>IF(ISNUMBER(System!$C4),PlotData!D4+ $BF$1*AD4,$CB$3)</f>
        <v>49.778731126541693</v>
      </c>
      <c r="BE4" s="1117">
        <f>IF(ISNUMBER(System!$C4),PlotData!E4+ $BF$1*AE4,$CB$3)</f>
        <v>60.022104241616468</v>
      </c>
      <c r="BF4" s="1117">
        <f>IF(ISNUMBER(System!$C4),PlotData!F4+ $BF$1*AF4,$CB$3)</f>
        <v>68.679191554334238</v>
      </c>
      <c r="BG4" s="1117">
        <f>IF(ISNUMBER(System!$C4),PlotData!G4+ $BF$1*AG4,$CB$3)</f>
        <v>75.976605322174606</v>
      </c>
      <c r="BH4" s="1117">
        <f>IF(ISNUMBER(System!$C4),PlotData!H4+ $BF$1*AH4,$CB$3)</f>
        <v>82.140957802617109</v>
      </c>
      <c r="BI4" s="1117">
        <f>IF(ISNUMBER(System!$C4),PlotData!I4+ $BF$1*AI4,$CB$3)</f>
        <v>87.39886125314132</v>
      </c>
      <c r="BJ4" s="1117">
        <f>IF(ISNUMBER(System!$C4),PlotData!J4+ $BF$1*AJ4,$CB$3)</f>
        <v>91.97692793122684</v>
      </c>
      <c r="BK4" s="1117">
        <f>IF(ISNUMBER(System!$C4),PlotData!K4+ $BF$1*AK4,$CB$3)</f>
        <v>96.101770094353199</v>
      </c>
      <c r="BL4" s="632">
        <f>IF(ISNUMBER(System!$C4),PlotData!L4+ $BF$1*AL4,$CB$3)</f>
        <v>100</v>
      </c>
      <c r="BN4" s="1119">
        <v>1</v>
      </c>
      <c r="BO4" s="745">
        <f>IF(ISNUMBER(System!$C4),O4+ $BF$1*AO4,$CB$4)</f>
        <v>-46.105451176718191</v>
      </c>
      <c r="BP4" s="1117">
        <f>IF(ISNUMBER(System!$C4),P4+ $BF$1*AP4,$CB$4)</f>
        <v>-48.106171843270054</v>
      </c>
      <c r="BQ4" s="1117">
        <f>IF(ISNUMBER(System!$C4),Q4+ $BF$1*AQ4,$CB$4)</f>
        <v>-47.38754542006707</v>
      </c>
      <c r="BR4" s="1117">
        <f>IF(ISNUMBER(System!$C4),R4+ $BF$1*AR4,$CB$4)</f>
        <v>-44.251721583748669</v>
      </c>
      <c r="BS4" s="1117">
        <f>IF(ISNUMBER(System!$C4),S4+ $BF$1*AS4,$CB$4)</f>
        <v>-39.000850010954267</v>
      </c>
      <c r="BT4" s="1117">
        <f>IF(ISNUMBER(System!$C4),T4+ $BF$1*AT4,$CB$4)</f>
        <v>-31.937080378323309</v>
      </c>
      <c r="BU4" s="1117">
        <f>IF(ISNUMBER(System!$C4),U4+ $BF$1*AU4,$CB$4)</f>
        <v>-23.362562362495211</v>
      </c>
      <c r="BV4" s="1117">
        <f>IF(ISNUMBER(System!$C4),V4+ $BF$1*AV4,$CB$4)</f>
        <v>-13.579445640109405</v>
      </c>
      <c r="BW4" s="1117">
        <f>IF(ISNUMBER(System!$C4),W4+ $BF$1*AW4,$CB$4)</f>
        <v>-2.8898798878053196</v>
      </c>
      <c r="BX4" s="1117">
        <f>IF(ISNUMBER(System!$C4),X4+ $BF$1*AX4,$CB$4)</f>
        <v>8.403985217777624</v>
      </c>
      <c r="BY4" s="632">
        <f>IF(ISNUMBER(System!$C4),Y4+ $BF$1*AY4,$CB$4)</f>
        <v>19.999999999999993</v>
      </c>
      <c r="BZ4" s="148"/>
      <c r="CA4" s="1120" t="s">
        <v>179</v>
      </c>
      <c r="CB4" s="1121">
        <v>0</v>
      </c>
      <c r="CC4" s="1122">
        <f>(MAX(Knoten!$D$3:$D$42)-MIN(Knoten!$D$3:$D$42))/2</f>
        <v>100</v>
      </c>
      <c r="CD4" s="1115"/>
      <c r="CE4" s="1120" t="s">
        <v>179</v>
      </c>
      <c r="CF4" s="1121">
        <f>PlotData!$BR$1</f>
        <v>7.1054273576010019E-15</v>
      </c>
      <c r="CG4" s="1122"/>
    </row>
    <row r="5" spans="1:85" x14ac:dyDescent="0.25">
      <c r="A5" s="1123">
        <v>2</v>
      </c>
      <c r="B5" s="668">
        <v>20</v>
      </c>
      <c r="C5" s="721">
        <v>20</v>
      </c>
      <c r="D5" s="721">
        <v>20</v>
      </c>
      <c r="E5" s="721">
        <v>20</v>
      </c>
      <c r="F5" s="721">
        <v>20</v>
      </c>
      <c r="G5" s="721">
        <v>20</v>
      </c>
      <c r="H5" s="721">
        <v>20</v>
      </c>
      <c r="I5" s="721">
        <v>20</v>
      </c>
      <c r="J5" s="721">
        <v>20</v>
      </c>
      <c r="K5" s="721">
        <v>20</v>
      </c>
      <c r="L5" s="639">
        <v>20</v>
      </c>
      <c r="N5" s="1123">
        <v>2</v>
      </c>
      <c r="O5" s="668">
        <v>-40</v>
      </c>
      <c r="P5" s="721">
        <v>-34</v>
      </c>
      <c r="Q5" s="721">
        <v>-28</v>
      </c>
      <c r="R5" s="721">
        <v>-22</v>
      </c>
      <c r="S5" s="721">
        <v>-16</v>
      </c>
      <c r="T5" s="721">
        <v>-10</v>
      </c>
      <c r="U5" s="721">
        <v>-4</v>
      </c>
      <c r="V5" s="721">
        <v>2</v>
      </c>
      <c r="W5" s="721">
        <v>8</v>
      </c>
      <c r="X5" s="721">
        <v>14</v>
      </c>
      <c r="Y5" s="639">
        <v>20</v>
      </c>
      <c r="AA5" s="1124">
        <v>2</v>
      </c>
      <c r="AB5" s="668">
        <v>0.85431463342070157</v>
      </c>
      <c r="AC5" s="721">
        <v>2.2779842632261174</v>
      </c>
      <c r="AD5" s="721">
        <v>3.2250956530902215</v>
      </c>
      <c r="AE5" s="721">
        <v>3.7485997185620494</v>
      </c>
      <c r="AF5" s="721">
        <v>3.9014473751906342</v>
      </c>
      <c r="AG5" s="721">
        <v>3.7365895385250125</v>
      </c>
      <c r="AH5" s="721">
        <v>3.3069771241142178</v>
      </c>
      <c r="AI5" s="721">
        <v>2.6655610475072846</v>
      </c>
      <c r="AJ5" s="721">
        <v>1.8652922242532479</v>
      </c>
      <c r="AK5" s="721">
        <v>0.95912156990114195</v>
      </c>
      <c r="AL5" s="639">
        <v>1.0746367379217933E-15</v>
      </c>
      <c r="AN5" s="1124">
        <v>2</v>
      </c>
      <c r="AO5" s="668">
        <v>-1.43822407811824</v>
      </c>
      <c r="AP5" s="721">
        <v>-1.2944016703064161</v>
      </c>
      <c r="AQ5" s="721">
        <v>-1.1505792624945921</v>
      </c>
      <c r="AR5" s="721">
        <v>-1.0067568546827679</v>
      </c>
      <c r="AS5" s="721">
        <v>-0.86293444687094401</v>
      </c>
      <c r="AT5" s="721">
        <v>-0.71911203905912002</v>
      </c>
      <c r="AU5" s="721">
        <v>-0.57528963124729604</v>
      </c>
      <c r="AV5" s="721">
        <v>-0.43146722343547206</v>
      </c>
      <c r="AW5" s="721">
        <v>-0.28764481562364813</v>
      </c>
      <c r="AX5" s="721">
        <v>-0.14382240781182412</v>
      </c>
      <c r="AY5" s="639">
        <v>-1.5967494860971599E-16</v>
      </c>
      <c r="BA5" s="1125">
        <v>2</v>
      </c>
      <c r="BB5" s="668">
        <f>IF(ISNUMBER(System!$C5),PlotData!B5+ $BF$1*AB5,$CB$3)</f>
        <v>23.626678459402886</v>
      </c>
      <c r="BC5" s="721">
        <f>IF(ISNUMBER(System!$C5),PlotData!C5+ $BF$1*AC5,$CB$3)</f>
        <v>29.670344080636369</v>
      </c>
      <c r="BD5" s="721">
        <f>IF(ISNUMBER(System!$C5),PlotData!D5+ $BF$1*AD5,$CB$3)</f>
        <v>33.690957028025501</v>
      </c>
      <c r="BE5" s="721">
        <f>IF(ISNUMBER(System!$C5),PlotData!E5+ $BF$1*AE5,$CB$3)</f>
        <v>35.913300931997441</v>
      </c>
      <c r="BF5" s="721">
        <f>IF(ISNUMBER(System!$C5),PlotData!F5+ $BF$1*AF5,$CB$3)</f>
        <v>36.56215942297932</v>
      </c>
      <c r="BG5" s="721">
        <f>IF(ISNUMBER(System!$C5),PlotData!G5+ $BF$1*AG5,$CB$3)</f>
        <v>35.862316131398309</v>
      </c>
      <c r="BH5" s="721">
        <f>IF(ISNUMBER(System!$C5),PlotData!H5+ $BF$1*AH5,$CB$3)</f>
        <v>34.038554687681547</v>
      </c>
      <c r="BI5" s="721">
        <f>IF(ISNUMBER(System!$C5),PlotData!I5+ $BF$1*AI5,$CB$3)</f>
        <v>31.315658722256185</v>
      </c>
      <c r="BJ5" s="721">
        <f>IF(ISNUMBER(System!$C5),PlotData!J5+ $BF$1*AJ5,$CB$3)</f>
        <v>27.918411865549373</v>
      </c>
      <c r="BK5" s="721">
        <f>IF(ISNUMBER(System!$C5),PlotData!K5+ $BF$1*AK5,$CB$3)</f>
        <v>24.071597747988264</v>
      </c>
      <c r="BL5" s="639">
        <f>IF(ISNUMBER(System!$C5),PlotData!L5+ $BF$1*AL5,$CB$3)</f>
        <v>20.000000000000004</v>
      </c>
      <c r="BN5" s="1125">
        <v>2</v>
      </c>
      <c r="BO5" s="668">
        <f>IF(ISNUMBER(System!$C5),O5+ $BF$1*AO5,$CB$4)</f>
        <v>-46.105451176718191</v>
      </c>
      <c r="BP5" s="721">
        <f>IF(ISNUMBER(System!$C5),P5+ $BF$1*AP5,$CB$4)</f>
        <v>-39.494906059046372</v>
      </c>
      <c r="BQ5" s="721">
        <f>IF(ISNUMBER(System!$C5),Q5+ $BF$1*AQ5,$CB$4)</f>
        <v>-32.884360941374553</v>
      </c>
      <c r="BR5" s="721">
        <f>IF(ISNUMBER(System!$C5),R5+ $BF$1*AR5,$CB$4)</f>
        <v>-26.273815823702733</v>
      </c>
      <c r="BS5" s="721">
        <f>IF(ISNUMBER(System!$C5),S5+ $BF$1*AS5,$CB$4)</f>
        <v>-19.663270706030914</v>
      </c>
      <c r="BT5" s="721">
        <f>IF(ISNUMBER(System!$C5),T5+ $BF$1*AT5,$CB$4)</f>
        <v>-13.052725588359095</v>
      </c>
      <c r="BU5" s="721">
        <f>IF(ISNUMBER(System!$C5),U5+ $BF$1*AU5,$CB$4)</f>
        <v>-6.4421804706872763</v>
      </c>
      <c r="BV5" s="721">
        <f>IF(ISNUMBER(System!$C5),V5+ $BF$1*AV5,$CB$4)</f>
        <v>0.16836464698454257</v>
      </c>
      <c r="BW5" s="721">
        <f>IF(ISNUMBER(System!$C5),W5+ $BF$1*AW5,$CB$4)</f>
        <v>6.7789097646563619</v>
      </c>
      <c r="BX5" s="721">
        <f>IF(ISNUMBER(System!$C5),X5+ $BF$1*AX5,$CB$4)</f>
        <v>13.389454882328181</v>
      </c>
      <c r="BY5" s="639">
        <f>IF(ISNUMBER(System!$C5),Y5+ $BF$1*AY5,$CB$4)</f>
        <v>20</v>
      </c>
      <c r="CA5" s="1120" t="s">
        <v>196</v>
      </c>
      <c r="CB5" s="1121">
        <f>SQRT(CC3^2+CC4^2)*CB6</f>
        <v>169.70562748477141</v>
      </c>
      <c r="CC5" s="1126"/>
      <c r="CD5" s="1115"/>
      <c r="CE5" s="1120" t="s">
        <v>196</v>
      </c>
      <c r="CF5" s="1121">
        <f>CF6 * PlotData!$BV$1</f>
        <v>169.70562748477141</v>
      </c>
      <c r="CG5" s="1122"/>
    </row>
    <row r="6" spans="1:85" x14ac:dyDescent="0.25">
      <c r="A6" s="1123">
        <v>3</v>
      </c>
      <c r="B6" s="668">
        <v>20</v>
      </c>
      <c r="C6" s="721">
        <v>24</v>
      </c>
      <c r="D6" s="721">
        <v>28</v>
      </c>
      <c r="E6" s="721">
        <v>32</v>
      </c>
      <c r="F6" s="721">
        <v>36</v>
      </c>
      <c r="G6" s="721">
        <v>40</v>
      </c>
      <c r="H6" s="721">
        <v>44</v>
      </c>
      <c r="I6" s="721">
        <v>48</v>
      </c>
      <c r="J6" s="721">
        <v>52</v>
      </c>
      <c r="K6" s="721">
        <v>56</v>
      </c>
      <c r="L6" s="639">
        <v>60</v>
      </c>
      <c r="N6" s="1123">
        <v>3</v>
      </c>
      <c r="O6" s="668">
        <v>-40</v>
      </c>
      <c r="P6" s="721">
        <v>-46</v>
      </c>
      <c r="Q6" s="721">
        <v>-52</v>
      </c>
      <c r="R6" s="721">
        <v>-58</v>
      </c>
      <c r="S6" s="721">
        <v>-64</v>
      </c>
      <c r="T6" s="721">
        <v>-70</v>
      </c>
      <c r="U6" s="721">
        <v>-76</v>
      </c>
      <c r="V6" s="721">
        <v>-82</v>
      </c>
      <c r="W6" s="721">
        <v>-88</v>
      </c>
      <c r="X6" s="721">
        <v>-94</v>
      </c>
      <c r="Y6" s="639">
        <v>-100</v>
      </c>
      <c r="AA6" s="1124">
        <v>3</v>
      </c>
      <c r="AB6" s="668">
        <v>0.85431463342070169</v>
      </c>
      <c r="AC6" s="721">
        <v>-0.67335970203887896</v>
      </c>
      <c r="AD6" s="721">
        <v>-1.7455889199876662</v>
      </c>
      <c r="AE6" s="721">
        <v>-2.4129780334824171</v>
      </c>
      <c r="AF6" s="721">
        <v>-2.7261320555798818</v>
      </c>
      <c r="AG6" s="721">
        <v>-2.7356559993368212</v>
      </c>
      <c r="AH6" s="721">
        <v>-2.4921548778099849</v>
      </c>
      <c r="AI6" s="721">
        <v>-2.0462337040561307</v>
      </c>
      <c r="AJ6" s="721">
        <v>-1.4484974911320119</v>
      </c>
      <c r="AK6" s="721">
        <v>-0.74955125209438378</v>
      </c>
      <c r="AL6" s="639">
        <v>-8.415328666546436E-16</v>
      </c>
      <c r="AN6" s="1124">
        <v>3</v>
      </c>
      <c r="AO6" s="668">
        <v>-1.4382240781182403</v>
      </c>
      <c r="AP6" s="721">
        <v>-2.2558969183847566</v>
      </c>
      <c r="AQ6" s="721">
        <v>-2.7699396803107441</v>
      </c>
      <c r="AR6" s="721">
        <v>-3.0140890392673736</v>
      </c>
      <c r="AS6" s="721">
        <v>-3.0220816706258127</v>
      </c>
      <c r="AT6" s="721">
        <v>-2.8276542497572348</v>
      </c>
      <c r="AU6" s="721">
        <v>-2.4645434520328067</v>
      </c>
      <c r="AV6" s="721">
        <v>-1.9664859528236998</v>
      </c>
      <c r="AW6" s="721">
        <v>-1.367218427501083</v>
      </c>
      <c r="AX6" s="721">
        <v>-0.70047755143612689</v>
      </c>
      <c r="AY6" s="639">
        <v>-7.8392884479933598E-16</v>
      </c>
      <c r="BA6" s="1125">
        <v>3</v>
      </c>
      <c r="BB6" s="668">
        <f>IF(ISNUMBER(System!$C6),PlotData!B6+ $BF$1*AB6,$CB$3)</f>
        <v>23.626678459402886</v>
      </c>
      <c r="BC6" s="721">
        <f>IF(ISNUMBER(System!$C6),PlotData!C6+ $BF$1*AC6,$CB$3)</f>
        <v>21.141499125402699</v>
      </c>
      <c r="BD6" s="721">
        <f>IF(ISNUMBER(System!$C6),PlotData!D6+ $BF$1*AD6,$CB$3)</f>
        <v>20.589744471842486</v>
      </c>
      <c r="BE6" s="721">
        <f>IF(ISNUMBER(System!$C6),PlotData!E6+ $BF$1*AE6,$CB$3)</f>
        <v>21.756589534228901</v>
      </c>
      <c r="BF6" s="721">
        <f>IF(ISNUMBER(System!$C6),PlotData!F6+ $BF$1*AF6,$CB$3)</f>
        <v>24.427209348068637</v>
      </c>
      <c r="BG6" s="721">
        <f>IF(ISNUMBER(System!$C6),PlotData!G6+ $BF$1*AG6,$CB$3)</f>
        <v>28.38677894886834</v>
      </c>
      <c r="BH6" s="721">
        <f>IF(ISNUMBER(System!$C6),PlotData!H6+ $BF$1*AH6,$CB$3)</f>
        <v>33.420473372134694</v>
      </c>
      <c r="BI6" s="721">
        <f>IF(ISNUMBER(System!$C6),PlotData!I6+ $BF$1*AI6,$CB$3)</f>
        <v>39.313467653374367</v>
      </c>
      <c r="BJ6" s="721">
        <f>IF(ISNUMBER(System!$C6),PlotData!J6+ $BF$1*AJ6,$CB$3)</f>
        <v>45.850936828094028</v>
      </c>
      <c r="BK6" s="721">
        <f>IF(ISNUMBER(System!$C6),PlotData!K6+ $BF$1*AK6,$CB$3)</f>
        <v>52.818055931800345</v>
      </c>
      <c r="BL6" s="639">
        <f>IF(ISNUMBER(System!$C6),PlotData!L6+ $BF$1*AL6,$CB$3)</f>
        <v>59.999999999999993</v>
      </c>
      <c r="BN6" s="1125">
        <v>3</v>
      </c>
      <c r="BO6" s="668">
        <f>IF(ISNUMBER(System!$C6),O6+ $BF$1*AO6,$CB$4)</f>
        <v>-46.105451176718191</v>
      </c>
      <c r="BP6" s="721">
        <f>IF(ISNUMBER(System!$C6),P6+ $BF$1*AP6,$CB$4)</f>
        <v>-55.576580384419636</v>
      </c>
      <c r="BQ6" s="721">
        <f>IF(ISNUMBER(System!$C6),Q6+ $BF$1*AQ6,$CB$4)</f>
        <v>-63.758759805161105</v>
      </c>
      <c r="BR6" s="721">
        <f>IF(ISNUMBER(System!$C6),R6+ $BF$1*AR6,$CB$4)</f>
        <v>-70.795206081938147</v>
      </c>
      <c r="BS6" s="721">
        <f>IF(ISNUMBER(System!$C6),S6+ $BF$1*AS6,$CB$4)</f>
        <v>-76.829135857746309</v>
      </c>
      <c r="BT6" s="721">
        <f>IF(ISNUMBER(System!$C6),T6+ $BF$1*AT6,$CB$4)</f>
        <v>-82.003765775581172</v>
      </c>
      <c r="BU6" s="721">
        <f>IF(ISNUMBER(System!$C6),U6+ $BF$1*AU6,$CB$4)</f>
        <v>-86.46231247843825</v>
      </c>
      <c r="BV6" s="721">
        <f>IF(ISNUMBER(System!$C6),V6+ $BF$1*AV6,$CB$4)</f>
        <v>-90.347992609313124</v>
      </c>
      <c r="BW6" s="721">
        <f>IF(ISNUMBER(System!$C6),W6+ $BF$1*AW6,$CB$4)</f>
        <v>-93.804022811201335</v>
      </c>
      <c r="BX6" s="721">
        <f>IF(ISNUMBER(System!$C6),X6+ $BF$1*AX6,$CB$4)</f>
        <v>-96.973619727098452</v>
      </c>
      <c r="BY6" s="639">
        <f>IF(ISNUMBER(System!$C6),Y6+ $BF$1*AY6,$CB$4)</f>
        <v>-100</v>
      </c>
      <c r="CA6" s="1120" t="s">
        <v>269</v>
      </c>
      <c r="CB6" s="1121">
        <v>1.2</v>
      </c>
      <c r="CC6" s="1122"/>
      <c r="CD6" s="1115"/>
      <c r="CE6" s="1120" t="s">
        <v>269</v>
      </c>
      <c r="CF6" s="1121">
        <v>1.2</v>
      </c>
      <c r="CG6" s="1122"/>
    </row>
    <row r="7" spans="1:85" x14ac:dyDescent="0.25">
      <c r="A7" s="1123">
        <v>4</v>
      </c>
      <c r="B7" s="668">
        <v>20</v>
      </c>
      <c r="C7" s="721">
        <v>13</v>
      </c>
      <c r="D7" s="721">
        <v>6</v>
      </c>
      <c r="E7" s="721">
        <v>-1</v>
      </c>
      <c r="F7" s="721">
        <v>-8</v>
      </c>
      <c r="G7" s="721">
        <v>-15</v>
      </c>
      <c r="H7" s="721">
        <v>-22</v>
      </c>
      <c r="I7" s="721">
        <v>-29</v>
      </c>
      <c r="J7" s="721">
        <v>-36</v>
      </c>
      <c r="K7" s="721">
        <v>-43</v>
      </c>
      <c r="L7" s="639">
        <v>-50</v>
      </c>
      <c r="N7" s="1123">
        <v>4</v>
      </c>
      <c r="O7" s="668">
        <v>-40</v>
      </c>
      <c r="P7" s="721">
        <v>-43</v>
      </c>
      <c r="Q7" s="721">
        <v>-46</v>
      </c>
      <c r="R7" s="721">
        <v>-49</v>
      </c>
      <c r="S7" s="721">
        <v>-52</v>
      </c>
      <c r="T7" s="721">
        <v>-55</v>
      </c>
      <c r="U7" s="721">
        <v>-58</v>
      </c>
      <c r="V7" s="721">
        <v>-61</v>
      </c>
      <c r="W7" s="721">
        <v>-64</v>
      </c>
      <c r="X7" s="721">
        <v>-67</v>
      </c>
      <c r="Y7" s="639">
        <v>-70</v>
      </c>
      <c r="AA7" s="1124">
        <v>4</v>
      </c>
      <c r="AB7" s="668">
        <v>0.85431463342070146</v>
      </c>
      <c r="AC7" s="721">
        <v>0.10671192654359798</v>
      </c>
      <c r="AD7" s="721">
        <v>-0.43178407184875806</v>
      </c>
      <c r="AE7" s="721">
        <v>-0.7844074404768947</v>
      </c>
      <c r="AF7" s="721">
        <v>-0.97439225806133789</v>
      </c>
      <c r="AG7" s="721">
        <v>-1.0249726033226172</v>
      </c>
      <c r="AH7" s="721">
        <v>-0.95938255498125835</v>
      </c>
      <c r="AI7" s="721">
        <v>-0.80085619175779021</v>
      </c>
      <c r="AJ7" s="721">
        <v>-0.5726275923727393</v>
      </c>
      <c r="AK7" s="721">
        <v>-0.29793083554663358</v>
      </c>
      <c r="AL7" s="639">
        <v>-3.350688415615972E-16</v>
      </c>
      <c r="AN7" s="1124">
        <v>4</v>
      </c>
      <c r="AO7" s="668">
        <v>-1.4382240781182396</v>
      </c>
      <c r="AP7" s="721">
        <v>0.25066456460866199</v>
      </c>
      <c r="AQ7" s="721">
        <v>1.4516375542044864</v>
      </c>
      <c r="AR7" s="721">
        <v>2.2189077410171323</v>
      </c>
      <c r="AS7" s="721">
        <v>2.6066879753944932</v>
      </c>
      <c r="AT7" s="721">
        <v>2.6691911076844717</v>
      </c>
      <c r="AU7" s="721">
        <v>2.4606299882349618</v>
      </c>
      <c r="AV7" s="721">
        <v>2.035217467393863</v>
      </c>
      <c r="AW7" s="721">
        <v>1.4471663955090712</v>
      </c>
      <c r="AX7" s="721">
        <v>0.75068962292848473</v>
      </c>
      <c r="AY7" s="639">
        <v>8.4346429617017893E-16</v>
      </c>
      <c r="BA7" s="1125">
        <v>4</v>
      </c>
      <c r="BB7" s="668">
        <f>IF(ISNUMBER(System!$C7),PlotData!B7+ $BF$1*AB7,$CB$3)</f>
        <v>23.626678459402882</v>
      </c>
      <c r="BC7" s="721">
        <f>IF(ISNUMBER(System!$C7),PlotData!C7+ $BF$1*AC7,$CB$3)</f>
        <v>13.453006223020493</v>
      </c>
      <c r="BD7" s="721">
        <f>IF(ISNUMBER(System!$C7),PlotData!D7+ $BF$1*AD7,$CB$3)</f>
        <v>4.1670195836198207</v>
      </c>
      <c r="BE7" s="721">
        <f>IF(ISNUMBER(System!$C7),PlotData!E7+ $BF$1*AE7,$CB$3)</f>
        <v>-4.3299131917971074</v>
      </c>
      <c r="BF7" s="721">
        <f>IF(ISNUMBER(System!$C7),PlotData!F7+ $BF$1*AF7,$CB$3)</f>
        <v>-12.13642383622825</v>
      </c>
      <c r="BG7" s="721">
        <f>IF(ISNUMBER(System!$C7),PlotData!G7+ $BF$1*AG7,$CB$3)</f>
        <v>-19.351144082671588</v>
      </c>
      <c r="BH7" s="721">
        <f>IF(ISNUMBER(System!$C7),PlotData!H7+ $BF$1*AH7,$CB$3)</f>
        <v>-26.072705664125081</v>
      </c>
      <c r="BI7" s="721">
        <f>IF(ISNUMBER(System!$C7),PlotData!I7+ $BF$1*AI7,$CB$3)</f>
        <v>-32.399740313586705</v>
      </c>
      <c r="BJ7" s="721">
        <f>IF(ISNUMBER(System!$C7),PlotData!J7+ $BF$1*AJ7,$CB$3)</f>
        <v>-38.430879764054417</v>
      </c>
      <c r="BK7" s="721">
        <f>IF(ISNUMBER(System!$C7),PlotData!K7+ $BF$1*AK7,$CB$3)</f>
        <v>-44.264755748526191</v>
      </c>
      <c r="BL7" s="639">
        <f>IF(ISNUMBER(System!$C7),PlotData!L7+ $BF$1*AL7,$CB$3)</f>
        <v>-50</v>
      </c>
      <c r="BN7" s="1125">
        <v>4</v>
      </c>
      <c r="BO7" s="668">
        <f>IF(ISNUMBER(System!$C7),O7+ $BF$1*AO7,$CB$4)</f>
        <v>-46.105451176718191</v>
      </c>
      <c r="BP7" s="721">
        <f>IF(ISNUMBER(System!$C7),P7+ $BF$1*AP7,$CB$4)</f>
        <v>-41.935895814681466</v>
      </c>
      <c r="BQ7" s="721">
        <f>IF(ISNUMBER(System!$C7),Q7+ $BF$1*AQ7,$CB$4)</f>
        <v>-39.837606845602082</v>
      </c>
      <c r="BR7" s="721">
        <f>IF(ISNUMBER(System!$C7),R7+ $BF$1*AR7,$CB$4)</f>
        <v>-39.580443559151441</v>
      </c>
      <c r="BS7" s="721">
        <f>IF(ISNUMBER(System!$C7),S7+ $BF$1*AS7,$CB$4)</f>
        <v>-40.934265245000958</v>
      </c>
      <c r="BT7" s="721">
        <f>IF(ISNUMBER(System!$C7),T7+ $BF$1*AT7,$CB$4)</f>
        <v>-43.668931192822029</v>
      </c>
      <c r="BU7" s="721">
        <f>IF(ISNUMBER(System!$C7),U7+ $BF$1*AU7,$CB$4)</f>
        <v>-47.554300692286063</v>
      </c>
      <c r="BV7" s="721">
        <f>IF(ISNUMBER(System!$C7),V7+ $BF$1*AV7,$CB$4)</f>
        <v>-52.360233033064468</v>
      </c>
      <c r="BW7" s="721">
        <f>IF(ISNUMBER(System!$C7),W7+ $BF$1*AW7,$CB$4)</f>
        <v>-57.85658750482866</v>
      </c>
      <c r="BX7" s="721">
        <f>IF(ISNUMBER(System!$C7),X7+ $BF$1*AX7,$CB$4)</f>
        <v>-63.813223397250027</v>
      </c>
      <c r="BY7" s="639">
        <f>IF(ISNUMBER(System!$C7),Y7+ $BF$1*AY7,$CB$4)</f>
        <v>-70</v>
      </c>
      <c r="CA7" s="1120" t="s">
        <v>471</v>
      </c>
      <c r="CB7" s="1121">
        <f>CB3-CB5</f>
        <v>-169.70562748477141</v>
      </c>
      <c r="CC7" s="1122">
        <f>(CB4+CB5)*1</f>
        <v>169.70562748477141</v>
      </c>
      <c r="CD7" s="1115"/>
      <c r="CE7" s="1120" t="s">
        <v>471</v>
      </c>
      <c r="CF7" s="1121">
        <f>CF3-CF5</f>
        <v>-169.70562748477141</v>
      </c>
      <c r="CG7" s="1122">
        <f>CF4+CF5</f>
        <v>169.70562748477141</v>
      </c>
    </row>
    <row r="8" spans="1:85" x14ac:dyDescent="0.25">
      <c r="A8" s="1123">
        <v>5</v>
      </c>
      <c r="B8" s="668">
        <v>20</v>
      </c>
      <c r="C8" s="721">
        <v>8</v>
      </c>
      <c r="D8" s="721">
        <v>-4</v>
      </c>
      <c r="E8" s="721">
        <v>-16</v>
      </c>
      <c r="F8" s="721">
        <v>-28</v>
      </c>
      <c r="G8" s="721">
        <v>-40</v>
      </c>
      <c r="H8" s="721">
        <v>-52</v>
      </c>
      <c r="I8" s="721">
        <v>-64</v>
      </c>
      <c r="J8" s="721">
        <v>-76</v>
      </c>
      <c r="K8" s="721">
        <v>-88</v>
      </c>
      <c r="L8" s="639">
        <v>-100</v>
      </c>
      <c r="N8" s="1123">
        <v>5</v>
      </c>
      <c r="O8" s="668">
        <v>-40</v>
      </c>
      <c r="P8" s="721">
        <v>-26</v>
      </c>
      <c r="Q8" s="721">
        <v>-12</v>
      </c>
      <c r="R8" s="721">
        <v>2</v>
      </c>
      <c r="S8" s="721">
        <v>16</v>
      </c>
      <c r="T8" s="721">
        <v>30</v>
      </c>
      <c r="U8" s="721">
        <v>44</v>
      </c>
      <c r="V8" s="721">
        <v>58</v>
      </c>
      <c r="W8" s="721">
        <v>72</v>
      </c>
      <c r="X8" s="721">
        <v>86</v>
      </c>
      <c r="Y8" s="639">
        <v>100</v>
      </c>
      <c r="AA8" s="1124">
        <v>5</v>
      </c>
      <c r="AB8" s="668">
        <v>0.85431463342070146</v>
      </c>
      <c r="AC8" s="721">
        <v>4.101030208159572</v>
      </c>
      <c r="AD8" s="721">
        <v>6.2954888235044617</v>
      </c>
      <c r="AE8" s="721">
        <v>7.554607919388034</v>
      </c>
      <c r="AF8" s="721">
        <v>7.9953049357429524</v>
      </c>
      <c r="AG8" s="721">
        <v>7.7344973125018868</v>
      </c>
      <c r="AH8" s="721">
        <v>6.889102489597497</v>
      </c>
      <c r="AI8" s="721">
        <v>5.5760379069624495</v>
      </c>
      <c r="AJ8" s="721">
        <v>3.9122210045294086</v>
      </c>
      <c r="AK8" s="721">
        <v>2.0145692222310374</v>
      </c>
      <c r="AL8" s="639">
        <v>2.2582552075210017E-15</v>
      </c>
      <c r="AN8" s="1124">
        <v>5</v>
      </c>
      <c r="AO8" s="668">
        <v>-1.4382240781182398</v>
      </c>
      <c r="AP8" s="721">
        <v>1.5617243623343906</v>
      </c>
      <c r="AQ8" s="721">
        <v>3.659738266163608</v>
      </c>
      <c r="AR8" s="721">
        <v>4.9560325818831261</v>
      </c>
      <c r="AS8" s="721">
        <v>5.5508222580066553</v>
      </c>
      <c r="AT8" s="721">
        <v>5.5443222430479109</v>
      </c>
      <c r="AU8" s="721">
        <v>5.0367474855206043</v>
      </c>
      <c r="AV8" s="721">
        <v>4.1283129339384468</v>
      </c>
      <c r="AW8" s="721">
        <v>2.9192335368151534</v>
      </c>
      <c r="AX8" s="721">
        <v>1.5097242426644335</v>
      </c>
      <c r="AY8" s="639">
        <v>1.6946741055827545E-15</v>
      </c>
      <c r="BA8" s="1125">
        <v>5</v>
      </c>
      <c r="BB8" s="668">
        <f>IF(ISNUMBER(System!$C8),PlotData!B8+ $BF$1*AB8,$CB$3)</f>
        <v>23.626678459402882</v>
      </c>
      <c r="BC8" s="721">
        <f>IF(ISNUMBER(System!$C8),PlotData!C8+ $BF$1*AC8,$CB$3)</f>
        <v>25.409414910453346</v>
      </c>
      <c r="BD8" s="721">
        <f>IF(ISNUMBER(System!$C8),PlotData!D8+ $BF$1*AD8,$CB$3)</f>
        <v>22.725181583506732</v>
      </c>
      <c r="BE8" s="721">
        <f>IF(ISNUMBER(System!$C8),PlotData!E8+ $BF$1*AE8,$CB$3)</f>
        <v>16.07030845389604</v>
      </c>
      <c r="BF8" s="721">
        <f>IF(ISNUMBER(System!$C8),PlotData!F8+ $BF$1*AF8,$CB$3)</f>
        <v>5.9411254969542853</v>
      </c>
      <c r="BG8" s="721">
        <f>IF(ISNUMBER(System!$C8),PlotData!G8+ $BF$1*AG8,$CB$3)</f>
        <v>-7.1660373119855123</v>
      </c>
      <c r="BH8" s="721">
        <f>IF(ISNUMBER(System!$C8),PlotData!H8+ $BF$1*AH8,$CB$3)</f>
        <v>-22.754849997590355</v>
      </c>
      <c r="BI8" s="721">
        <f>IF(ISNUMBER(System!$C8),PlotData!I8+ $BF$1*AI8,$CB$3)</f>
        <v>-40.328982584527232</v>
      </c>
      <c r="BJ8" s="721">
        <f>IF(ISNUMBER(System!$C8),PlotData!J8+ $BF$1*AJ8,$CB$3)</f>
        <v>-59.392105097463137</v>
      </c>
      <c r="BK8" s="721">
        <f>IF(ISNUMBER(System!$C8),PlotData!K8+ $BF$1*AK8,$CB$3)</f>
        <v>-79.447887561065059</v>
      </c>
      <c r="BL8" s="639">
        <f>IF(ISNUMBER(System!$C8),PlotData!L8+ $BF$1*AL8,$CB$3)</f>
        <v>-99.999999999999986</v>
      </c>
      <c r="BN8" s="1125">
        <v>5</v>
      </c>
      <c r="BO8" s="668">
        <f>IF(ISNUMBER(System!$C8),O8+ $BF$1*AO8,$CB$4)</f>
        <v>-46.105451176718191</v>
      </c>
      <c r="BP8" s="721">
        <f>IF(ISNUMBER(System!$C8),P8+ $BF$1*AP8,$CB$4)</f>
        <v>-19.370273804482871</v>
      </c>
      <c r="BQ8" s="721">
        <f>IF(ISNUMBER(System!$C8),Q8+ $BF$1*AQ8,$CB$4)</f>
        <v>3.5360723294692367</v>
      </c>
      <c r="BR8" s="721">
        <f>IF(ISNUMBER(System!$C8),R8+ $BF$1*AR8,$CB$4)</f>
        <v>23.039012918280715</v>
      </c>
      <c r="BS8" s="721">
        <f>IF(ISNUMBER(System!$C8),S8+ $BF$1*AS8,$CB$4)</f>
        <v>39.563973655094131</v>
      </c>
      <c r="BT8" s="721">
        <f>IF(ISNUMBER(System!$C8),T8+ $BF$1*AT8,$CB$4)</f>
        <v>53.536380233052085</v>
      </c>
      <c r="BU8" s="721">
        <f>IF(ISNUMBER(System!$C8),U8+ $BF$1*AU8,$CB$4)</f>
        <v>65.381658345297154</v>
      </c>
      <c r="BV8" s="721">
        <f>IF(ISNUMBER(System!$C8),V8+ $BF$1*AV8,$CB$4)</f>
        <v>75.52523368497188</v>
      </c>
      <c r="BW8" s="721">
        <f>IF(ISNUMBER(System!$C8),W8+ $BF$1*AW8,$CB$4)</f>
        <v>84.392531945218892</v>
      </c>
      <c r="BX8" s="721">
        <f>IF(ISNUMBER(System!$C8),X8+ $BF$1*AX8,$CB$4)</f>
        <v>92.408978819180732</v>
      </c>
      <c r="BY8" s="639">
        <f>IF(ISNUMBER(System!$C8),Y8+ $BF$1*AY8,$CB$4)</f>
        <v>100.00000000000001</v>
      </c>
      <c r="CA8" s="1120" t="s">
        <v>472</v>
      </c>
      <c r="CB8" s="1121">
        <f>CB3+CB5</f>
        <v>169.70562748477141</v>
      </c>
      <c r="CC8" s="1122">
        <f>(CB4+CB5)*1</f>
        <v>169.70562748477141</v>
      </c>
      <c r="CD8" s="1115"/>
      <c r="CE8" s="1120" t="s">
        <v>472</v>
      </c>
      <c r="CF8" s="1121">
        <f>CF3+CF5</f>
        <v>169.70562748477141</v>
      </c>
      <c r="CG8" s="1122">
        <f>CF4+CF5</f>
        <v>169.70562748477141</v>
      </c>
    </row>
    <row r="9" spans="1:85" x14ac:dyDescent="0.25">
      <c r="A9" s="1123">
        <v>6</v>
      </c>
      <c r="B9" s="668"/>
      <c r="C9" s="721"/>
      <c r="D9" s="721"/>
      <c r="E9" s="721"/>
      <c r="F9" s="721"/>
      <c r="G9" s="721"/>
      <c r="H9" s="721"/>
      <c r="I9" s="721"/>
      <c r="J9" s="721"/>
      <c r="K9" s="721"/>
      <c r="L9" s="639"/>
      <c r="N9" s="1123">
        <v>6</v>
      </c>
      <c r="O9" s="668"/>
      <c r="P9" s="721"/>
      <c r="Q9" s="721"/>
      <c r="R9" s="721"/>
      <c r="S9" s="721"/>
      <c r="T9" s="721"/>
      <c r="U9" s="721"/>
      <c r="V9" s="721"/>
      <c r="W9" s="721"/>
      <c r="X9" s="721"/>
      <c r="Y9" s="639"/>
      <c r="AA9" s="1124">
        <v>6</v>
      </c>
      <c r="AB9" s="668"/>
      <c r="AC9" s="721"/>
      <c r="AD9" s="721"/>
      <c r="AE9" s="721"/>
      <c r="AF9" s="721"/>
      <c r="AG9" s="721"/>
      <c r="AH9" s="721"/>
      <c r="AI9" s="721"/>
      <c r="AJ9" s="721"/>
      <c r="AK9" s="721"/>
      <c r="AL9" s="639"/>
      <c r="AN9" s="1124">
        <v>6</v>
      </c>
      <c r="AO9" s="668"/>
      <c r="AP9" s="721"/>
      <c r="AQ9" s="721"/>
      <c r="AR9" s="721"/>
      <c r="AS9" s="721"/>
      <c r="AT9" s="721"/>
      <c r="AU9" s="721"/>
      <c r="AV9" s="721"/>
      <c r="AW9" s="721"/>
      <c r="AX9" s="721"/>
      <c r="AY9" s="639"/>
      <c r="BA9" s="1125">
        <v>6</v>
      </c>
      <c r="BB9" s="668">
        <f>IF(ISNUMBER(System!$C9),PlotData!B9+ $BF$1*AB9,$CB$3)</f>
        <v>0</v>
      </c>
      <c r="BC9" s="721">
        <f>IF(ISNUMBER(System!$C9),PlotData!C9+ $BF$1*AC9,$CB$3)</f>
        <v>0</v>
      </c>
      <c r="BD9" s="721">
        <f>IF(ISNUMBER(System!$C9),PlotData!D9+ $BF$1*AD9,$CB$3)</f>
        <v>0</v>
      </c>
      <c r="BE9" s="721">
        <f>IF(ISNUMBER(System!$C9),PlotData!E9+ $BF$1*AE9,$CB$3)</f>
        <v>0</v>
      </c>
      <c r="BF9" s="721">
        <f>IF(ISNUMBER(System!$C9),PlotData!F9+ $BF$1*AF9,$CB$3)</f>
        <v>0</v>
      </c>
      <c r="BG9" s="721">
        <f>IF(ISNUMBER(System!$C9),PlotData!G9+ $BF$1*AG9,$CB$3)</f>
        <v>0</v>
      </c>
      <c r="BH9" s="721">
        <f>IF(ISNUMBER(System!$C9),PlotData!H9+ $BF$1*AH9,$CB$3)</f>
        <v>0</v>
      </c>
      <c r="BI9" s="721">
        <f>IF(ISNUMBER(System!$C9),PlotData!I9+ $BF$1*AI9,$CB$3)</f>
        <v>0</v>
      </c>
      <c r="BJ9" s="721">
        <f>IF(ISNUMBER(System!$C9),PlotData!J9+ $BF$1*AJ9,$CB$3)</f>
        <v>0</v>
      </c>
      <c r="BK9" s="721">
        <f>IF(ISNUMBER(System!$C9),PlotData!K9+ $BF$1*AK9,$CB$3)</f>
        <v>0</v>
      </c>
      <c r="BL9" s="639">
        <f>IF(ISNUMBER(System!$C9),PlotData!L9+ $BF$1*AL9,$CB$3)</f>
        <v>0</v>
      </c>
      <c r="BN9" s="1125">
        <v>6</v>
      </c>
      <c r="BO9" s="668">
        <f>IF(ISNUMBER(System!$C9),O9+ $BF$1*AO9,$CB$4)</f>
        <v>0</v>
      </c>
      <c r="BP9" s="721">
        <f>IF(ISNUMBER(System!$C9),P9+ $BF$1*AP9,$CB$4)</f>
        <v>0</v>
      </c>
      <c r="BQ9" s="721">
        <f>IF(ISNUMBER(System!$C9),Q9+ $BF$1*AQ9,$CB$4)</f>
        <v>0</v>
      </c>
      <c r="BR9" s="721">
        <f>IF(ISNUMBER(System!$C9),R9+ $BF$1*AR9,$CB$4)</f>
        <v>0</v>
      </c>
      <c r="BS9" s="721">
        <f>IF(ISNUMBER(System!$C9),S9+ $BF$1*AS9,$CB$4)</f>
        <v>0</v>
      </c>
      <c r="BT9" s="721">
        <f>IF(ISNUMBER(System!$C9),T9+ $BF$1*AT9,$CB$4)</f>
        <v>0</v>
      </c>
      <c r="BU9" s="721">
        <f>IF(ISNUMBER(System!$C9),U9+ $BF$1*AU9,$CB$4)</f>
        <v>0</v>
      </c>
      <c r="BV9" s="721">
        <f>IF(ISNUMBER(System!$C9),V9+ $BF$1*AV9,$CB$4)</f>
        <v>0</v>
      </c>
      <c r="BW9" s="721">
        <f>IF(ISNUMBER(System!$C9),W9+ $BF$1*AW9,$CB$4)</f>
        <v>0</v>
      </c>
      <c r="BX9" s="721">
        <f>IF(ISNUMBER(System!$C9),X9+ $BF$1*AX9,$CB$4)</f>
        <v>0</v>
      </c>
      <c r="BY9" s="639">
        <f>IF(ISNUMBER(System!$C9),Y9+ $BF$1*AY9,$CB$4)</f>
        <v>0</v>
      </c>
      <c r="CA9" s="1120" t="s">
        <v>473</v>
      </c>
      <c r="CB9" s="1121">
        <f>CB3+CB5</f>
        <v>169.70562748477141</v>
      </c>
      <c r="CC9" s="1122">
        <f>(CB4-CB5)*1</f>
        <v>-169.70562748477141</v>
      </c>
      <c r="CD9" s="1115"/>
      <c r="CE9" s="1120" t="s">
        <v>473</v>
      </c>
      <c r="CF9" s="1121">
        <f>CF3+CF5</f>
        <v>169.70562748477141</v>
      </c>
      <c r="CG9" s="1122">
        <f>CF4-CF5</f>
        <v>-169.70562748477141</v>
      </c>
    </row>
    <row r="10" spans="1:85" ht="13.8" thickBot="1" x14ac:dyDescent="0.3">
      <c r="A10" s="1123">
        <v>7</v>
      </c>
      <c r="B10" s="668"/>
      <c r="C10" s="721"/>
      <c r="D10" s="721"/>
      <c r="E10" s="721"/>
      <c r="F10" s="721"/>
      <c r="G10" s="721"/>
      <c r="H10" s="721"/>
      <c r="I10" s="721"/>
      <c r="J10" s="721"/>
      <c r="K10" s="721"/>
      <c r="L10" s="639"/>
      <c r="N10" s="1123">
        <v>7</v>
      </c>
      <c r="O10" s="668"/>
      <c r="P10" s="721"/>
      <c r="Q10" s="721"/>
      <c r="R10" s="721"/>
      <c r="S10" s="721"/>
      <c r="T10" s="721"/>
      <c r="U10" s="721"/>
      <c r="V10" s="721"/>
      <c r="W10" s="721"/>
      <c r="X10" s="721"/>
      <c r="Y10" s="639"/>
      <c r="AA10" s="1124">
        <v>7</v>
      </c>
      <c r="AB10" s="668"/>
      <c r="AC10" s="721"/>
      <c r="AD10" s="721"/>
      <c r="AE10" s="721"/>
      <c r="AF10" s="721"/>
      <c r="AG10" s="721"/>
      <c r="AH10" s="721"/>
      <c r="AI10" s="721"/>
      <c r="AJ10" s="721"/>
      <c r="AK10" s="721"/>
      <c r="AL10" s="639"/>
      <c r="AN10" s="1124">
        <v>7</v>
      </c>
      <c r="AO10" s="668"/>
      <c r="AP10" s="721"/>
      <c r="AQ10" s="721"/>
      <c r="AR10" s="721"/>
      <c r="AS10" s="721"/>
      <c r="AT10" s="721"/>
      <c r="AU10" s="721"/>
      <c r="AV10" s="721"/>
      <c r="AW10" s="721"/>
      <c r="AX10" s="721"/>
      <c r="AY10" s="639"/>
      <c r="BA10" s="1125">
        <v>7</v>
      </c>
      <c r="BB10" s="668">
        <f>IF(ISNUMBER(System!$C10),PlotData!B10+ $BF$1*AB10,$CB$3)</f>
        <v>0</v>
      </c>
      <c r="BC10" s="721">
        <f>IF(ISNUMBER(System!$C10),PlotData!C10+ $BF$1*AC10,$CB$3)</f>
        <v>0</v>
      </c>
      <c r="BD10" s="721">
        <f>IF(ISNUMBER(System!$C10),PlotData!D10+ $BF$1*AD10,$CB$3)</f>
        <v>0</v>
      </c>
      <c r="BE10" s="721">
        <f>IF(ISNUMBER(System!$C10),PlotData!E10+ $BF$1*AE10,$CB$3)</f>
        <v>0</v>
      </c>
      <c r="BF10" s="721">
        <f>IF(ISNUMBER(System!$C10),PlotData!F10+ $BF$1*AF10,$CB$3)</f>
        <v>0</v>
      </c>
      <c r="BG10" s="721">
        <f>IF(ISNUMBER(System!$C10),PlotData!G10+ $BF$1*AG10,$CB$3)</f>
        <v>0</v>
      </c>
      <c r="BH10" s="721">
        <f>IF(ISNUMBER(System!$C10),PlotData!H10+ $BF$1*AH10,$CB$3)</f>
        <v>0</v>
      </c>
      <c r="BI10" s="721">
        <f>IF(ISNUMBER(System!$C10),PlotData!I10+ $BF$1*AI10,$CB$3)</f>
        <v>0</v>
      </c>
      <c r="BJ10" s="721">
        <f>IF(ISNUMBER(System!$C10),PlotData!J10+ $BF$1*AJ10,$CB$3)</f>
        <v>0</v>
      </c>
      <c r="BK10" s="721">
        <f>IF(ISNUMBER(System!$C10),PlotData!K10+ $BF$1*AK10,$CB$3)</f>
        <v>0</v>
      </c>
      <c r="BL10" s="639">
        <f>IF(ISNUMBER(System!$C10),PlotData!L10+ $BF$1*AL10,$CB$3)</f>
        <v>0</v>
      </c>
      <c r="BN10" s="1125">
        <v>7</v>
      </c>
      <c r="BO10" s="668">
        <f>IF(ISNUMBER(System!$C10),O10+ $BF$1*AO10,$CB$4)</f>
        <v>0</v>
      </c>
      <c r="BP10" s="721">
        <f>IF(ISNUMBER(System!$C10),P10+ $BF$1*AP10,$CB$4)</f>
        <v>0</v>
      </c>
      <c r="BQ10" s="721">
        <f>IF(ISNUMBER(System!$C10),Q10+ $BF$1*AQ10,$CB$4)</f>
        <v>0</v>
      </c>
      <c r="BR10" s="721">
        <f>IF(ISNUMBER(System!$C10),R10+ $BF$1*AR10,$CB$4)</f>
        <v>0</v>
      </c>
      <c r="BS10" s="721">
        <f>IF(ISNUMBER(System!$C10),S10+ $BF$1*AS10,$CB$4)</f>
        <v>0</v>
      </c>
      <c r="BT10" s="721">
        <f>IF(ISNUMBER(System!$C10),T10+ $BF$1*AT10,$CB$4)</f>
        <v>0</v>
      </c>
      <c r="BU10" s="721">
        <f>IF(ISNUMBER(System!$C10),U10+ $BF$1*AU10,$CB$4)</f>
        <v>0</v>
      </c>
      <c r="BV10" s="721">
        <f>IF(ISNUMBER(System!$C10),V10+ $BF$1*AV10,$CB$4)</f>
        <v>0</v>
      </c>
      <c r="BW10" s="721">
        <f>IF(ISNUMBER(System!$C10),W10+ $BF$1*AW10,$CB$4)</f>
        <v>0</v>
      </c>
      <c r="BX10" s="721">
        <f>IF(ISNUMBER(System!$C10),X10+ $BF$1*AX10,$CB$4)</f>
        <v>0</v>
      </c>
      <c r="BY10" s="639">
        <f>IF(ISNUMBER(System!$C10),Y10+ $BF$1*AY10,$CB$4)</f>
        <v>0</v>
      </c>
      <c r="CA10" s="1127" t="s">
        <v>474</v>
      </c>
      <c r="CB10" s="1128">
        <f>CB3-CB5</f>
        <v>-169.70562748477141</v>
      </c>
      <c r="CC10" s="1129">
        <f>(CB4-CB5)*1</f>
        <v>-169.70562748477141</v>
      </c>
      <c r="CD10" s="1130"/>
      <c r="CE10" s="1127" t="s">
        <v>474</v>
      </c>
      <c r="CF10" s="1128">
        <f>CF3-CF5</f>
        <v>-169.70562748477141</v>
      </c>
      <c r="CG10" s="1129">
        <f>CF4-CF5</f>
        <v>-169.70562748477141</v>
      </c>
    </row>
    <row r="11" spans="1:85" x14ac:dyDescent="0.25">
      <c r="A11" s="1123">
        <v>8</v>
      </c>
      <c r="B11" s="668"/>
      <c r="C11" s="721"/>
      <c r="D11" s="721"/>
      <c r="E11" s="721"/>
      <c r="F11" s="721"/>
      <c r="G11" s="721"/>
      <c r="H11" s="721"/>
      <c r="I11" s="721"/>
      <c r="J11" s="721"/>
      <c r="K11" s="721"/>
      <c r="L11" s="639"/>
      <c r="N11" s="1123">
        <v>8</v>
      </c>
      <c r="O11" s="668"/>
      <c r="P11" s="721"/>
      <c r="Q11" s="721"/>
      <c r="R11" s="721"/>
      <c r="S11" s="721"/>
      <c r="T11" s="721"/>
      <c r="U11" s="721"/>
      <c r="V11" s="721"/>
      <c r="W11" s="721"/>
      <c r="X11" s="721"/>
      <c r="Y11" s="639"/>
      <c r="AA11" s="1124">
        <v>8</v>
      </c>
      <c r="AB11" s="668"/>
      <c r="AC11" s="721"/>
      <c r="AD11" s="721"/>
      <c r="AE11" s="721"/>
      <c r="AF11" s="721"/>
      <c r="AG11" s="721"/>
      <c r="AH11" s="721"/>
      <c r="AI11" s="721"/>
      <c r="AJ11" s="721"/>
      <c r="AK11" s="721"/>
      <c r="AL11" s="639"/>
      <c r="AN11" s="1124">
        <v>8</v>
      </c>
      <c r="AO11" s="668"/>
      <c r="AP11" s="721"/>
      <c r="AQ11" s="721"/>
      <c r="AR11" s="721"/>
      <c r="AS11" s="721"/>
      <c r="AT11" s="721"/>
      <c r="AU11" s="721"/>
      <c r="AV11" s="721"/>
      <c r="AW11" s="721"/>
      <c r="AX11" s="721"/>
      <c r="AY11" s="639"/>
      <c r="BA11" s="1125">
        <v>8</v>
      </c>
      <c r="BB11" s="668">
        <f>IF(ISNUMBER(System!$C11),PlotData!B11+ $BF$1*AB11,$CB$3)</f>
        <v>0</v>
      </c>
      <c r="BC11" s="721">
        <f>IF(ISNUMBER(System!$C11),PlotData!C11+ $BF$1*AC11,$CB$3)</f>
        <v>0</v>
      </c>
      <c r="BD11" s="721">
        <f>IF(ISNUMBER(System!$C11),PlotData!D11+ $BF$1*AD11,$CB$3)</f>
        <v>0</v>
      </c>
      <c r="BE11" s="721">
        <f>IF(ISNUMBER(System!$C11),PlotData!E11+ $BF$1*AE11,$CB$3)</f>
        <v>0</v>
      </c>
      <c r="BF11" s="721">
        <f>IF(ISNUMBER(System!$C11),PlotData!F11+ $BF$1*AF11,$CB$3)</f>
        <v>0</v>
      </c>
      <c r="BG11" s="721">
        <f>IF(ISNUMBER(System!$C11),PlotData!G11+ $BF$1*AG11,$CB$3)</f>
        <v>0</v>
      </c>
      <c r="BH11" s="721">
        <f>IF(ISNUMBER(System!$C11),PlotData!H11+ $BF$1*AH11,$CB$3)</f>
        <v>0</v>
      </c>
      <c r="BI11" s="721">
        <f>IF(ISNUMBER(System!$C11),PlotData!I11+ $BF$1*AI11,$CB$3)</f>
        <v>0</v>
      </c>
      <c r="BJ11" s="721">
        <f>IF(ISNUMBER(System!$C11),PlotData!J11+ $BF$1*AJ11,$CB$3)</f>
        <v>0</v>
      </c>
      <c r="BK11" s="721">
        <f>IF(ISNUMBER(System!$C11),PlotData!K11+ $BF$1*AK11,$CB$3)</f>
        <v>0</v>
      </c>
      <c r="BL11" s="639">
        <f>IF(ISNUMBER(System!$C11),PlotData!L11+ $BF$1*AL11,$CB$3)</f>
        <v>0</v>
      </c>
      <c r="BN11" s="1125">
        <v>8</v>
      </c>
      <c r="BO11" s="668">
        <f>IF(ISNUMBER(System!$C11),O11+ $BF$1*AO11,$CB$4)</f>
        <v>0</v>
      </c>
      <c r="BP11" s="721">
        <f>IF(ISNUMBER(System!$C11),P11+ $BF$1*AP11,$CB$4)</f>
        <v>0</v>
      </c>
      <c r="BQ11" s="721">
        <f>IF(ISNUMBER(System!$C11),Q11+ $BF$1*AQ11,$CB$4)</f>
        <v>0</v>
      </c>
      <c r="BR11" s="721">
        <f>IF(ISNUMBER(System!$C11),R11+ $BF$1*AR11,$CB$4)</f>
        <v>0</v>
      </c>
      <c r="BS11" s="721">
        <f>IF(ISNUMBER(System!$C11),S11+ $BF$1*AS11,$CB$4)</f>
        <v>0</v>
      </c>
      <c r="BT11" s="721">
        <f>IF(ISNUMBER(System!$C11),T11+ $BF$1*AT11,$CB$4)</f>
        <v>0</v>
      </c>
      <c r="BU11" s="721">
        <f>IF(ISNUMBER(System!$C11),U11+ $BF$1*AU11,$CB$4)</f>
        <v>0</v>
      </c>
      <c r="BV11" s="721">
        <f>IF(ISNUMBER(System!$C11),V11+ $BF$1*AV11,$CB$4)</f>
        <v>0</v>
      </c>
      <c r="BW11" s="721">
        <f>IF(ISNUMBER(System!$C11),W11+ $BF$1*AW11,$CB$4)</f>
        <v>0</v>
      </c>
      <c r="BX11" s="721">
        <f>IF(ISNUMBER(System!$C11),X11+ $BF$1*AX11,$CB$4)</f>
        <v>0</v>
      </c>
      <c r="BY11" s="639">
        <f>IF(ISNUMBER(System!$C11),Y11+ $BF$1*AY11,$CB$4)</f>
        <v>0</v>
      </c>
    </row>
    <row r="12" spans="1:85" x14ac:dyDescent="0.25">
      <c r="A12" s="1123">
        <v>9</v>
      </c>
      <c r="B12" s="668"/>
      <c r="C12" s="721"/>
      <c r="D12" s="721"/>
      <c r="E12" s="721"/>
      <c r="F12" s="721"/>
      <c r="G12" s="721"/>
      <c r="H12" s="721"/>
      <c r="I12" s="721"/>
      <c r="J12" s="721"/>
      <c r="K12" s="721"/>
      <c r="L12" s="639"/>
      <c r="N12" s="1123">
        <v>9</v>
      </c>
      <c r="O12" s="668"/>
      <c r="P12" s="721"/>
      <c r="Q12" s="721"/>
      <c r="R12" s="721"/>
      <c r="S12" s="721"/>
      <c r="T12" s="721"/>
      <c r="U12" s="721"/>
      <c r="V12" s="721"/>
      <c r="W12" s="721"/>
      <c r="X12" s="721"/>
      <c r="Y12" s="639"/>
      <c r="AA12" s="1124">
        <v>9</v>
      </c>
      <c r="AB12" s="668"/>
      <c r="AC12" s="721"/>
      <c r="AD12" s="721"/>
      <c r="AE12" s="721"/>
      <c r="AF12" s="721"/>
      <c r="AG12" s="721"/>
      <c r="AH12" s="721"/>
      <c r="AI12" s="721"/>
      <c r="AJ12" s="721"/>
      <c r="AK12" s="721"/>
      <c r="AL12" s="639"/>
      <c r="AN12" s="1124">
        <v>9</v>
      </c>
      <c r="AO12" s="668"/>
      <c r="AP12" s="721"/>
      <c r="AQ12" s="721"/>
      <c r="AR12" s="721"/>
      <c r="AS12" s="721"/>
      <c r="AT12" s="721"/>
      <c r="AU12" s="721"/>
      <c r="AV12" s="721"/>
      <c r="AW12" s="721"/>
      <c r="AX12" s="721"/>
      <c r="AY12" s="639"/>
      <c r="BA12" s="1125">
        <v>9</v>
      </c>
      <c r="BB12" s="668">
        <f>IF(ISNUMBER(System!$C12),PlotData!B12+ $BF$1*AB12,$CB$3)</f>
        <v>0</v>
      </c>
      <c r="BC12" s="721">
        <f>IF(ISNUMBER(System!$C12),PlotData!C12+ $BF$1*AC12,$CB$3)</f>
        <v>0</v>
      </c>
      <c r="BD12" s="721">
        <f>IF(ISNUMBER(System!$C12),PlotData!D12+ $BF$1*AD12,$CB$3)</f>
        <v>0</v>
      </c>
      <c r="BE12" s="721">
        <f>IF(ISNUMBER(System!$C12),PlotData!E12+ $BF$1*AE12,$CB$3)</f>
        <v>0</v>
      </c>
      <c r="BF12" s="721">
        <f>IF(ISNUMBER(System!$C12),PlotData!F12+ $BF$1*AF12,$CB$3)</f>
        <v>0</v>
      </c>
      <c r="BG12" s="721">
        <f>IF(ISNUMBER(System!$C12),PlotData!G12+ $BF$1*AG12,$CB$3)</f>
        <v>0</v>
      </c>
      <c r="BH12" s="721">
        <f>IF(ISNUMBER(System!$C12),PlotData!H12+ $BF$1*AH12,$CB$3)</f>
        <v>0</v>
      </c>
      <c r="BI12" s="721">
        <f>IF(ISNUMBER(System!$C12),PlotData!I12+ $BF$1*AI12,$CB$3)</f>
        <v>0</v>
      </c>
      <c r="BJ12" s="721">
        <f>IF(ISNUMBER(System!$C12),PlotData!J12+ $BF$1*AJ12,$CB$3)</f>
        <v>0</v>
      </c>
      <c r="BK12" s="721">
        <f>IF(ISNUMBER(System!$C12),PlotData!K12+ $BF$1*AK12,$CB$3)</f>
        <v>0</v>
      </c>
      <c r="BL12" s="639">
        <f>IF(ISNUMBER(System!$C12),PlotData!L12+ $BF$1*AL12,$CB$3)</f>
        <v>0</v>
      </c>
      <c r="BN12" s="1125">
        <v>9</v>
      </c>
      <c r="BO12" s="668">
        <f>IF(ISNUMBER(System!$C12),O12+ $BF$1*AO12,$CB$4)</f>
        <v>0</v>
      </c>
      <c r="BP12" s="721">
        <f>IF(ISNUMBER(System!$C12),P12+ $BF$1*AP12,$CB$4)</f>
        <v>0</v>
      </c>
      <c r="BQ12" s="721">
        <f>IF(ISNUMBER(System!$C12),Q12+ $BF$1*AQ12,$CB$4)</f>
        <v>0</v>
      </c>
      <c r="BR12" s="721">
        <f>IF(ISNUMBER(System!$C12),R12+ $BF$1*AR12,$CB$4)</f>
        <v>0</v>
      </c>
      <c r="BS12" s="721">
        <f>IF(ISNUMBER(System!$C12),S12+ $BF$1*AS12,$CB$4)</f>
        <v>0</v>
      </c>
      <c r="BT12" s="721">
        <f>IF(ISNUMBER(System!$C12),T12+ $BF$1*AT12,$CB$4)</f>
        <v>0</v>
      </c>
      <c r="BU12" s="721">
        <f>IF(ISNUMBER(System!$C12),U12+ $BF$1*AU12,$CB$4)</f>
        <v>0</v>
      </c>
      <c r="BV12" s="721">
        <f>IF(ISNUMBER(System!$C12),V12+ $BF$1*AV12,$CB$4)</f>
        <v>0</v>
      </c>
      <c r="BW12" s="721">
        <f>IF(ISNUMBER(System!$C12),W12+ $BF$1*AW12,$CB$4)</f>
        <v>0</v>
      </c>
      <c r="BX12" s="721">
        <f>IF(ISNUMBER(System!$C12),X12+ $BF$1*AX12,$CB$4)</f>
        <v>0</v>
      </c>
      <c r="BY12" s="639">
        <f>IF(ISNUMBER(System!$C12),Y12+ $BF$1*AY12,$CB$4)</f>
        <v>0</v>
      </c>
    </row>
    <row r="13" spans="1:85" x14ac:dyDescent="0.25">
      <c r="A13" s="1123">
        <v>10</v>
      </c>
      <c r="B13" s="668"/>
      <c r="C13" s="721"/>
      <c r="D13" s="721"/>
      <c r="E13" s="721"/>
      <c r="F13" s="721"/>
      <c r="G13" s="721"/>
      <c r="H13" s="721"/>
      <c r="I13" s="721"/>
      <c r="J13" s="721"/>
      <c r="K13" s="721"/>
      <c r="L13" s="639"/>
      <c r="N13" s="1123">
        <v>10</v>
      </c>
      <c r="O13" s="668"/>
      <c r="P13" s="721"/>
      <c r="Q13" s="721"/>
      <c r="R13" s="721"/>
      <c r="S13" s="721"/>
      <c r="T13" s="721"/>
      <c r="U13" s="721"/>
      <c r="V13" s="721"/>
      <c r="W13" s="721"/>
      <c r="X13" s="721"/>
      <c r="Y13" s="639"/>
      <c r="AA13" s="1124">
        <v>10</v>
      </c>
      <c r="AB13" s="668"/>
      <c r="AC13" s="721"/>
      <c r="AD13" s="721"/>
      <c r="AE13" s="721"/>
      <c r="AF13" s="721"/>
      <c r="AG13" s="721"/>
      <c r="AH13" s="721"/>
      <c r="AI13" s="721"/>
      <c r="AJ13" s="721"/>
      <c r="AK13" s="721"/>
      <c r="AL13" s="639"/>
      <c r="AN13" s="1124">
        <v>10</v>
      </c>
      <c r="AO13" s="668"/>
      <c r="AP13" s="721"/>
      <c r="AQ13" s="721"/>
      <c r="AR13" s="721"/>
      <c r="AS13" s="721"/>
      <c r="AT13" s="721"/>
      <c r="AU13" s="721"/>
      <c r="AV13" s="721"/>
      <c r="AW13" s="721"/>
      <c r="AX13" s="721"/>
      <c r="AY13" s="639"/>
      <c r="BA13" s="1125">
        <v>10</v>
      </c>
      <c r="BB13" s="668">
        <f>IF(ISNUMBER(System!$C13),PlotData!B13+ $BF$1*AB13,$CB$3)</f>
        <v>0</v>
      </c>
      <c r="BC13" s="721">
        <f>IF(ISNUMBER(System!$C13),PlotData!C13+ $BF$1*AC13,$CB$3)</f>
        <v>0</v>
      </c>
      <c r="BD13" s="721">
        <f>IF(ISNUMBER(System!$C13),PlotData!D13+ $BF$1*AD13,$CB$3)</f>
        <v>0</v>
      </c>
      <c r="BE13" s="721">
        <f>IF(ISNUMBER(System!$C13),PlotData!E13+ $BF$1*AE13,$CB$3)</f>
        <v>0</v>
      </c>
      <c r="BF13" s="721">
        <f>IF(ISNUMBER(System!$C13),PlotData!F13+ $BF$1*AF13,$CB$3)</f>
        <v>0</v>
      </c>
      <c r="BG13" s="721">
        <f>IF(ISNUMBER(System!$C13),PlotData!G13+ $BF$1*AG13,$CB$3)</f>
        <v>0</v>
      </c>
      <c r="BH13" s="721">
        <f>IF(ISNUMBER(System!$C13),PlotData!H13+ $BF$1*AH13,$CB$3)</f>
        <v>0</v>
      </c>
      <c r="BI13" s="721">
        <f>IF(ISNUMBER(System!$C13),PlotData!I13+ $BF$1*AI13,$CB$3)</f>
        <v>0</v>
      </c>
      <c r="BJ13" s="721">
        <f>IF(ISNUMBER(System!$C13),PlotData!J13+ $BF$1*AJ13,$CB$3)</f>
        <v>0</v>
      </c>
      <c r="BK13" s="721">
        <f>IF(ISNUMBER(System!$C13),PlotData!K13+ $BF$1*AK13,$CB$3)</f>
        <v>0</v>
      </c>
      <c r="BL13" s="639">
        <f>IF(ISNUMBER(System!$C13),PlotData!L13+ $BF$1*AL13,$CB$3)</f>
        <v>0</v>
      </c>
      <c r="BN13" s="1125">
        <v>10</v>
      </c>
      <c r="BO13" s="668">
        <f>IF(ISNUMBER(System!$C13),O13+ $BF$1*AO13,$CB$4)</f>
        <v>0</v>
      </c>
      <c r="BP13" s="721">
        <f>IF(ISNUMBER(System!$C13),P13+ $BF$1*AP13,$CB$4)</f>
        <v>0</v>
      </c>
      <c r="BQ13" s="721">
        <f>IF(ISNUMBER(System!$C13),Q13+ $BF$1*AQ13,$CB$4)</f>
        <v>0</v>
      </c>
      <c r="BR13" s="721">
        <f>IF(ISNUMBER(System!$C13),R13+ $BF$1*AR13,$CB$4)</f>
        <v>0</v>
      </c>
      <c r="BS13" s="721">
        <f>IF(ISNUMBER(System!$C13),S13+ $BF$1*AS13,$CB$4)</f>
        <v>0</v>
      </c>
      <c r="BT13" s="721">
        <f>IF(ISNUMBER(System!$C13),T13+ $BF$1*AT13,$CB$4)</f>
        <v>0</v>
      </c>
      <c r="BU13" s="721">
        <f>IF(ISNUMBER(System!$C13),U13+ $BF$1*AU13,$CB$4)</f>
        <v>0</v>
      </c>
      <c r="BV13" s="721">
        <f>IF(ISNUMBER(System!$C13),V13+ $BF$1*AV13,$CB$4)</f>
        <v>0</v>
      </c>
      <c r="BW13" s="721">
        <f>IF(ISNUMBER(System!$C13),W13+ $BF$1*AW13,$CB$4)</f>
        <v>0</v>
      </c>
      <c r="BX13" s="721">
        <f>IF(ISNUMBER(System!$C13),X13+ $BF$1*AX13,$CB$4)</f>
        <v>0</v>
      </c>
      <c r="BY13" s="639">
        <f>IF(ISNUMBER(System!$C13),Y13+ $BF$1*AY13,$CB$4)</f>
        <v>0</v>
      </c>
    </row>
    <row r="14" spans="1:85" x14ac:dyDescent="0.25">
      <c r="A14" s="1123">
        <v>11</v>
      </c>
      <c r="B14" s="668"/>
      <c r="C14" s="721"/>
      <c r="D14" s="721"/>
      <c r="E14" s="721"/>
      <c r="F14" s="721"/>
      <c r="G14" s="721"/>
      <c r="H14" s="721"/>
      <c r="I14" s="721"/>
      <c r="J14" s="721"/>
      <c r="K14" s="721"/>
      <c r="L14" s="639"/>
      <c r="N14" s="1123">
        <v>11</v>
      </c>
      <c r="O14" s="668"/>
      <c r="P14" s="721"/>
      <c r="Q14" s="721"/>
      <c r="R14" s="721"/>
      <c r="S14" s="721"/>
      <c r="T14" s="721"/>
      <c r="U14" s="721"/>
      <c r="V14" s="721"/>
      <c r="W14" s="721"/>
      <c r="X14" s="721"/>
      <c r="Y14" s="639"/>
      <c r="AA14" s="1124">
        <v>11</v>
      </c>
      <c r="AB14" s="668"/>
      <c r="AC14" s="721"/>
      <c r="AD14" s="721"/>
      <c r="AE14" s="721"/>
      <c r="AF14" s="721"/>
      <c r="AG14" s="721"/>
      <c r="AH14" s="721"/>
      <c r="AI14" s="721"/>
      <c r="AJ14" s="721"/>
      <c r="AK14" s="721"/>
      <c r="AL14" s="639"/>
      <c r="AN14" s="1124">
        <v>11</v>
      </c>
      <c r="AO14" s="668"/>
      <c r="AP14" s="721"/>
      <c r="AQ14" s="721"/>
      <c r="AR14" s="721"/>
      <c r="AS14" s="721"/>
      <c r="AT14" s="721"/>
      <c r="AU14" s="721"/>
      <c r="AV14" s="721"/>
      <c r="AW14" s="721"/>
      <c r="AX14" s="721"/>
      <c r="AY14" s="639"/>
      <c r="BA14" s="1125">
        <v>11</v>
      </c>
      <c r="BB14" s="668">
        <f>IF(ISNUMBER(System!$C14),PlotData!B14+ $BF$1*AB14,$CB$3)</f>
        <v>0</v>
      </c>
      <c r="BC14" s="721">
        <f>IF(ISNUMBER(System!$C14),PlotData!C14+ $BF$1*AC14,$CB$3)</f>
        <v>0</v>
      </c>
      <c r="BD14" s="721">
        <f>IF(ISNUMBER(System!$C14),PlotData!D14+ $BF$1*AD14,$CB$3)</f>
        <v>0</v>
      </c>
      <c r="BE14" s="721">
        <f>IF(ISNUMBER(System!$C14),PlotData!E14+ $BF$1*AE14,$CB$3)</f>
        <v>0</v>
      </c>
      <c r="BF14" s="721">
        <f>IF(ISNUMBER(System!$C14),PlotData!F14+ $BF$1*AF14,$CB$3)</f>
        <v>0</v>
      </c>
      <c r="BG14" s="721">
        <f>IF(ISNUMBER(System!$C14),PlotData!G14+ $BF$1*AG14,$CB$3)</f>
        <v>0</v>
      </c>
      <c r="BH14" s="721">
        <f>IF(ISNUMBER(System!$C14),PlotData!H14+ $BF$1*AH14,$CB$3)</f>
        <v>0</v>
      </c>
      <c r="BI14" s="721">
        <f>IF(ISNUMBER(System!$C14),PlotData!I14+ $BF$1*AI14,$CB$3)</f>
        <v>0</v>
      </c>
      <c r="BJ14" s="721">
        <f>IF(ISNUMBER(System!$C14),PlotData!J14+ $BF$1*AJ14,$CB$3)</f>
        <v>0</v>
      </c>
      <c r="BK14" s="721">
        <f>IF(ISNUMBER(System!$C14),PlotData!K14+ $BF$1*AK14,$CB$3)</f>
        <v>0</v>
      </c>
      <c r="BL14" s="639">
        <f>IF(ISNUMBER(System!$C14),PlotData!L14+ $BF$1*AL14,$CB$3)</f>
        <v>0</v>
      </c>
      <c r="BN14" s="1125">
        <v>11</v>
      </c>
      <c r="BO14" s="668">
        <f>IF(ISNUMBER(System!$C14),O14+ $BF$1*AO14,$CB$4)</f>
        <v>0</v>
      </c>
      <c r="BP14" s="721">
        <f>IF(ISNUMBER(System!$C14),P14+ $BF$1*AP14,$CB$4)</f>
        <v>0</v>
      </c>
      <c r="BQ14" s="721">
        <f>IF(ISNUMBER(System!$C14),Q14+ $BF$1*AQ14,$CB$4)</f>
        <v>0</v>
      </c>
      <c r="BR14" s="721">
        <f>IF(ISNUMBER(System!$C14),R14+ $BF$1*AR14,$CB$4)</f>
        <v>0</v>
      </c>
      <c r="BS14" s="721">
        <f>IF(ISNUMBER(System!$C14),S14+ $BF$1*AS14,$CB$4)</f>
        <v>0</v>
      </c>
      <c r="BT14" s="721">
        <f>IF(ISNUMBER(System!$C14),T14+ $BF$1*AT14,$CB$4)</f>
        <v>0</v>
      </c>
      <c r="BU14" s="721">
        <f>IF(ISNUMBER(System!$C14),U14+ $BF$1*AU14,$CB$4)</f>
        <v>0</v>
      </c>
      <c r="BV14" s="721">
        <f>IF(ISNUMBER(System!$C14),V14+ $BF$1*AV14,$CB$4)</f>
        <v>0</v>
      </c>
      <c r="BW14" s="721">
        <f>IF(ISNUMBER(System!$C14),W14+ $BF$1*AW14,$CB$4)</f>
        <v>0</v>
      </c>
      <c r="BX14" s="721">
        <f>IF(ISNUMBER(System!$C14),X14+ $BF$1*AX14,$CB$4)</f>
        <v>0</v>
      </c>
      <c r="BY14" s="639">
        <f>IF(ISNUMBER(System!$C14),Y14+ $BF$1*AY14,$CB$4)</f>
        <v>0</v>
      </c>
    </row>
    <row r="15" spans="1:85" ht="13.8" thickBot="1" x14ac:dyDescent="0.3">
      <c r="A15" s="1123">
        <v>12</v>
      </c>
      <c r="B15" s="668"/>
      <c r="C15" s="721"/>
      <c r="D15" s="721"/>
      <c r="E15" s="721"/>
      <c r="F15" s="721"/>
      <c r="G15" s="721"/>
      <c r="H15" s="721"/>
      <c r="I15" s="721"/>
      <c r="J15" s="721"/>
      <c r="K15" s="721"/>
      <c r="L15" s="639"/>
      <c r="N15" s="1123">
        <v>12</v>
      </c>
      <c r="O15" s="668"/>
      <c r="P15" s="721"/>
      <c r="Q15" s="721"/>
      <c r="R15" s="721"/>
      <c r="S15" s="721"/>
      <c r="T15" s="721"/>
      <c r="U15" s="721"/>
      <c r="V15" s="721"/>
      <c r="W15" s="721"/>
      <c r="X15" s="721"/>
      <c r="Y15" s="639"/>
      <c r="AA15" s="1124">
        <v>12</v>
      </c>
      <c r="AB15" s="668"/>
      <c r="AC15" s="721"/>
      <c r="AD15" s="721"/>
      <c r="AE15" s="721"/>
      <c r="AF15" s="721"/>
      <c r="AG15" s="721"/>
      <c r="AH15" s="721"/>
      <c r="AI15" s="721"/>
      <c r="AJ15" s="721"/>
      <c r="AK15" s="721"/>
      <c r="AL15" s="639"/>
      <c r="AN15" s="1124">
        <v>12</v>
      </c>
      <c r="AO15" s="668"/>
      <c r="AP15" s="721"/>
      <c r="AQ15" s="721"/>
      <c r="AR15" s="721"/>
      <c r="AS15" s="721"/>
      <c r="AT15" s="721"/>
      <c r="AU15" s="721"/>
      <c r="AV15" s="721"/>
      <c r="AW15" s="721"/>
      <c r="AX15" s="721"/>
      <c r="AY15" s="639"/>
      <c r="BA15" s="1125">
        <v>12</v>
      </c>
      <c r="BB15" s="668">
        <f>IF(ISNUMBER(System!$C15),PlotData!B15+ $BF$1*AB15,$CB$3)</f>
        <v>0</v>
      </c>
      <c r="BC15" s="721">
        <f>IF(ISNUMBER(System!$C15),PlotData!C15+ $BF$1*AC15,$CB$3)</f>
        <v>0</v>
      </c>
      <c r="BD15" s="721">
        <f>IF(ISNUMBER(System!$C15),PlotData!D15+ $BF$1*AD15,$CB$3)</f>
        <v>0</v>
      </c>
      <c r="BE15" s="721">
        <f>IF(ISNUMBER(System!$C15),PlotData!E15+ $BF$1*AE15,$CB$3)</f>
        <v>0</v>
      </c>
      <c r="BF15" s="721">
        <f>IF(ISNUMBER(System!$C15),PlotData!F15+ $BF$1*AF15,$CB$3)</f>
        <v>0</v>
      </c>
      <c r="BG15" s="721">
        <f>IF(ISNUMBER(System!$C15),PlotData!G15+ $BF$1*AG15,$CB$3)</f>
        <v>0</v>
      </c>
      <c r="BH15" s="721">
        <f>IF(ISNUMBER(System!$C15),PlotData!H15+ $BF$1*AH15,$CB$3)</f>
        <v>0</v>
      </c>
      <c r="BI15" s="721">
        <f>IF(ISNUMBER(System!$C15),PlotData!I15+ $BF$1*AI15,$CB$3)</f>
        <v>0</v>
      </c>
      <c r="BJ15" s="721">
        <f>IF(ISNUMBER(System!$C15),PlotData!J15+ $BF$1*AJ15,$CB$3)</f>
        <v>0</v>
      </c>
      <c r="BK15" s="721">
        <f>IF(ISNUMBER(System!$C15),PlotData!K15+ $BF$1*AK15,$CB$3)</f>
        <v>0</v>
      </c>
      <c r="BL15" s="639">
        <f>IF(ISNUMBER(System!$C15),PlotData!L15+ $BF$1*AL15,$CB$3)</f>
        <v>0</v>
      </c>
      <c r="BN15" s="1125">
        <v>12</v>
      </c>
      <c r="BO15" s="668">
        <f>IF(ISNUMBER(System!$C15),O15+ $BF$1*AO15,$CB$4)</f>
        <v>0</v>
      </c>
      <c r="BP15" s="721">
        <f>IF(ISNUMBER(System!$C15),P15+ $BF$1*AP15,$CB$4)</f>
        <v>0</v>
      </c>
      <c r="BQ15" s="721">
        <f>IF(ISNUMBER(System!$C15),Q15+ $BF$1*AQ15,$CB$4)</f>
        <v>0</v>
      </c>
      <c r="BR15" s="721">
        <f>IF(ISNUMBER(System!$C15),R15+ $BF$1*AR15,$CB$4)</f>
        <v>0</v>
      </c>
      <c r="BS15" s="721">
        <f>IF(ISNUMBER(System!$C15),S15+ $BF$1*AS15,$CB$4)</f>
        <v>0</v>
      </c>
      <c r="BT15" s="721">
        <f>IF(ISNUMBER(System!$C15),T15+ $BF$1*AT15,$CB$4)</f>
        <v>0</v>
      </c>
      <c r="BU15" s="721">
        <f>IF(ISNUMBER(System!$C15),U15+ $BF$1*AU15,$CB$4)</f>
        <v>0</v>
      </c>
      <c r="BV15" s="721">
        <f>IF(ISNUMBER(System!$C15),V15+ $BF$1*AV15,$CB$4)</f>
        <v>0</v>
      </c>
      <c r="BW15" s="721">
        <f>IF(ISNUMBER(System!$C15),W15+ $BF$1*AW15,$CB$4)</f>
        <v>0</v>
      </c>
      <c r="BX15" s="721">
        <f>IF(ISNUMBER(System!$C15),X15+ $BF$1*AX15,$CB$4)</f>
        <v>0</v>
      </c>
      <c r="BY15" s="639">
        <f>IF(ISNUMBER(System!$C15),Y15+ $BF$1*AY15,$CB$4)</f>
        <v>0</v>
      </c>
    </row>
    <row r="16" spans="1:85" ht="13.8" thickBot="1" x14ac:dyDescent="0.3">
      <c r="A16" s="1123">
        <v>13</v>
      </c>
      <c r="B16" s="668"/>
      <c r="C16" s="721"/>
      <c r="D16" s="721"/>
      <c r="E16" s="721"/>
      <c r="F16" s="721"/>
      <c r="G16" s="721"/>
      <c r="H16" s="721"/>
      <c r="I16" s="721"/>
      <c r="J16" s="721"/>
      <c r="K16" s="721"/>
      <c r="L16" s="639"/>
      <c r="N16" s="1123">
        <v>13</v>
      </c>
      <c r="O16" s="668"/>
      <c r="P16" s="721"/>
      <c r="Q16" s="721"/>
      <c r="R16" s="721"/>
      <c r="S16" s="721"/>
      <c r="T16" s="721"/>
      <c r="U16" s="721"/>
      <c r="V16" s="721"/>
      <c r="W16" s="721"/>
      <c r="X16" s="721"/>
      <c r="Y16" s="639"/>
      <c r="AA16" s="1124">
        <v>13</v>
      </c>
      <c r="AB16" s="668"/>
      <c r="AC16" s="721"/>
      <c r="AD16" s="721"/>
      <c r="AE16" s="721"/>
      <c r="AF16" s="721"/>
      <c r="AG16" s="721"/>
      <c r="AH16" s="721"/>
      <c r="AI16" s="721"/>
      <c r="AJ16" s="721"/>
      <c r="AK16" s="721"/>
      <c r="AL16" s="639"/>
      <c r="AN16" s="1124">
        <v>13</v>
      </c>
      <c r="AO16" s="668"/>
      <c r="AP16" s="721"/>
      <c r="AQ16" s="721"/>
      <c r="AR16" s="721"/>
      <c r="AS16" s="721"/>
      <c r="AT16" s="721"/>
      <c r="AU16" s="721"/>
      <c r="AV16" s="721"/>
      <c r="AW16" s="721"/>
      <c r="AX16" s="721"/>
      <c r="AY16" s="639"/>
      <c r="BA16" s="1125">
        <v>13</v>
      </c>
      <c r="BB16" s="668">
        <f>IF(ISNUMBER(System!$C16),PlotData!B16+ $BF$1*AB16,$CB$3)</f>
        <v>0</v>
      </c>
      <c r="BC16" s="721">
        <f>IF(ISNUMBER(System!$C16),PlotData!C16+ $BF$1*AC16,$CB$3)</f>
        <v>0</v>
      </c>
      <c r="BD16" s="721">
        <f>IF(ISNUMBER(System!$C16),PlotData!D16+ $BF$1*AD16,$CB$3)</f>
        <v>0</v>
      </c>
      <c r="BE16" s="721">
        <f>IF(ISNUMBER(System!$C16),PlotData!E16+ $BF$1*AE16,$CB$3)</f>
        <v>0</v>
      </c>
      <c r="BF16" s="721">
        <f>IF(ISNUMBER(System!$C16),PlotData!F16+ $BF$1*AF16,$CB$3)</f>
        <v>0</v>
      </c>
      <c r="BG16" s="721">
        <f>IF(ISNUMBER(System!$C16),PlotData!G16+ $BF$1*AG16,$CB$3)</f>
        <v>0</v>
      </c>
      <c r="BH16" s="721">
        <f>IF(ISNUMBER(System!$C16),PlotData!H16+ $BF$1*AH16,$CB$3)</f>
        <v>0</v>
      </c>
      <c r="BI16" s="721">
        <f>IF(ISNUMBER(System!$C16),PlotData!I16+ $BF$1*AI16,$CB$3)</f>
        <v>0</v>
      </c>
      <c r="BJ16" s="721">
        <f>IF(ISNUMBER(System!$C16),PlotData!J16+ $BF$1*AJ16,$CB$3)</f>
        <v>0</v>
      </c>
      <c r="BK16" s="721">
        <f>IF(ISNUMBER(System!$C16),PlotData!K16+ $BF$1*AK16,$CB$3)</f>
        <v>0</v>
      </c>
      <c r="BL16" s="639">
        <f>IF(ISNUMBER(System!$C16),PlotData!L16+ $BF$1*AL16,$CB$3)</f>
        <v>0</v>
      </c>
      <c r="BN16" s="1125">
        <v>13</v>
      </c>
      <c r="BO16" s="668">
        <f>IF(ISNUMBER(System!$C16),O16+ $BF$1*AO16,$CB$4)</f>
        <v>0</v>
      </c>
      <c r="BP16" s="721">
        <f>IF(ISNUMBER(System!$C16),P16+ $BF$1*AP16,$CB$4)</f>
        <v>0</v>
      </c>
      <c r="BQ16" s="721">
        <f>IF(ISNUMBER(System!$C16),Q16+ $BF$1*AQ16,$CB$4)</f>
        <v>0</v>
      </c>
      <c r="BR16" s="721">
        <f>IF(ISNUMBER(System!$C16),R16+ $BF$1*AR16,$CB$4)</f>
        <v>0</v>
      </c>
      <c r="BS16" s="721">
        <f>IF(ISNUMBER(System!$C16),S16+ $BF$1*AS16,$CB$4)</f>
        <v>0</v>
      </c>
      <c r="BT16" s="721">
        <f>IF(ISNUMBER(System!$C16),T16+ $BF$1*AT16,$CB$4)</f>
        <v>0</v>
      </c>
      <c r="BU16" s="721">
        <f>IF(ISNUMBER(System!$C16),U16+ $BF$1*AU16,$CB$4)</f>
        <v>0</v>
      </c>
      <c r="BV16" s="721">
        <f>IF(ISNUMBER(System!$C16),V16+ $BF$1*AV16,$CB$4)</f>
        <v>0</v>
      </c>
      <c r="BW16" s="721">
        <f>IF(ISNUMBER(System!$C16),W16+ $BF$1*AW16,$CB$4)</f>
        <v>0</v>
      </c>
      <c r="BX16" s="721">
        <f>IF(ISNUMBER(System!$C16),X16+ $BF$1*AX16,$CB$4)</f>
        <v>0</v>
      </c>
      <c r="BY16" s="639">
        <f>IF(ISNUMBER(System!$C16),Y16+ $BF$1*AY16,$CB$4)</f>
        <v>0</v>
      </c>
      <c r="CA16" s="1397" t="s">
        <v>53</v>
      </c>
      <c r="CB16" s="1395"/>
      <c r="CC16" s="1396"/>
      <c r="CD16" s="1101"/>
      <c r="CE16" s="1397" t="s">
        <v>470</v>
      </c>
      <c r="CF16" s="1395"/>
      <c r="CG16" s="1396"/>
    </row>
    <row r="17" spans="1:85" x14ac:dyDescent="0.25">
      <c r="A17" s="1123">
        <v>14</v>
      </c>
      <c r="B17" s="668"/>
      <c r="C17" s="721"/>
      <c r="D17" s="721"/>
      <c r="E17" s="721"/>
      <c r="F17" s="721"/>
      <c r="G17" s="721"/>
      <c r="H17" s="721"/>
      <c r="I17" s="721"/>
      <c r="J17" s="721"/>
      <c r="K17" s="721"/>
      <c r="L17" s="639"/>
      <c r="N17" s="1123">
        <v>14</v>
      </c>
      <c r="O17" s="668"/>
      <c r="P17" s="721"/>
      <c r="Q17" s="721"/>
      <c r="R17" s="721"/>
      <c r="S17" s="721"/>
      <c r="T17" s="721"/>
      <c r="U17" s="721"/>
      <c r="V17" s="721"/>
      <c r="W17" s="721"/>
      <c r="X17" s="721"/>
      <c r="Y17" s="639"/>
      <c r="AA17" s="1124">
        <v>14</v>
      </c>
      <c r="AB17" s="668"/>
      <c r="AC17" s="721"/>
      <c r="AD17" s="721"/>
      <c r="AE17" s="721"/>
      <c r="AF17" s="721"/>
      <c r="AG17" s="721"/>
      <c r="AH17" s="721"/>
      <c r="AI17" s="721"/>
      <c r="AJ17" s="721"/>
      <c r="AK17" s="721"/>
      <c r="AL17" s="639"/>
      <c r="AN17" s="1124">
        <v>14</v>
      </c>
      <c r="AO17" s="668"/>
      <c r="AP17" s="721"/>
      <c r="AQ17" s="721"/>
      <c r="AR17" s="721"/>
      <c r="AS17" s="721"/>
      <c r="AT17" s="721"/>
      <c r="AU17" s="721"/>
      <c r="AV17" s="721"/>
      <c r="AW17" s="721"/>
      <c r="AX17" s="721"/>
      <c r="AY17" s="639"/>
      <c r="BA17" s="1125">
        <v>14</v>
      </c>
      <c r="BB17" s="668">
        <f>IF(ISNUMBER(System!$C17),PlotData!B17+ $BF$1*AB17,$CB$3)</f>
        <v>0</v>
      </c>
      <c r="BC17" s="721">
        <f>IF(ISNUMBER(System!$C17),PlotData!C17+ $BF$1*AC17,$CB$3)</f>
        <v>0</v>
      </c>
      <c r="BD17" s="721">
        <f>IF(ISNUMBER(System!$C17),PlotData!D17+ $BF$1*AD17,$CB$3)</f>
        <v>0</v>
      </c>
      <c r="BE17" s="721">
        <f>IF(ISNUMBER(System!$C17),PlotData!E17+ $BF$1*AE17,$CB$3)</f>
        <v>0</v>
      </c>
      <c r="BF17" s="721">
        <f>IF(ISNUMBER(System!$C17),PlotData!F17+ $BF$1*AF17,$CB$3)</f>
        <v>0</v>
      </c>
      <c r="BG17" s="721">
        <f>IF(ISNUMBER(System!$C17),PlotData!G17+ $BF$1*AG17,$CB$3)</f>
        <v>0</v>
      </c>
      <c r="BH17" s="721">
        <f>IF(ISNUMBER(System!$C17),PlotData!H17+ $BF$1*AH17,$CB$3)</f>
        <v>0</v>
      </c>
      <c r="BI17" s="721">
        <f>IF(ISNUMBER(System!$C17),PlotData!I17+ $BF$1*AI17,$CB$3)</f>
        <v>0</v>
      </c>
      <c r="BJ17" s="721">
        <f>IF(ISNUMBER(System!$C17),PlotData!J17+ $BF$1*AJ17,$CB$3)</f>
        <v>0</v>
      </c>
      <c r="BK17" s="721">
        <f>IF(ISNUMBER(System!$C17),PlotData!K17+ $BF$1*AK17,$CB$3)</f>
        <v>0</v>
      </c>
      <c r="BL17" s="639">
        <f>IF(ISNUMBER(System!$C17),PlotData!L17+ $BF$1*AL17,$CB$3)</f>
        <v>0</v>
      </c>
      <c r="BN17" s="1125">
        <v>14</v>
      </c>
      <c r="BO17" s="668">
        <f>IF(ISNUMBER(System!$C17),O17+ $BF$1*AO17,$CB$4)</f>
        <v>0</v>
      </c>
      <c r="BP17" s="721">
        <f>IF(ISNUMBER(System!$C17),P17+ $BF$1*AP17,$CB$4)</f>
        <v>0</v>
      </c>
      <c r="BQ17" s="721">
        <f>IF(ISNUMBER(System!$C17),Q17+ $BF$1*AQ17,$CB$4)</f>
        <v>0</v>
      </c>
      <c r="BR17" s="721">
        <f>IF(ISNUMBER(System!$C17),R17+ $BF$1*AR17,$CB$4)</f>
        <v>0</v>
      </c>
      <c r="BS17" s="721">
        <f>IF(ISNUMBER(System!$C17),S17+ $BF$1*AS17,$CB$4)</f>
        <v>0</v>
      </c>
      <c r="BT17" s="721">
        <f>IF(ISNUMBER(System!$C17),T17+ $BF$1*AT17,$CB$4)</f>
        <v>0</v>
      </c>
      <c r="BU17" s="721">
        <f>IF(ISNUMBER(System!$C17),U17+ $BF$1*AU17,$CB$4)</f>
        <v>0</v>
      </c>
      <c r="BV17" s="721">
        <f>IF(ISNUMBER(System!$C17),V17+ $BF$1*AV17,$CB$4)</f>
        <v>0</v>
      </c>
      <c r="BW17" s="721">
        <f>IF(ISNUMBER(System!$C17),W17+ $BF$1*AW17,$CB$4)</f>
        <v>0</v>
      </c>
      <c r="BX17" s="721">
        <f>IF(ISNUMBER(System!$C17),X17+ $BF$1*AX17,$CB$4)</f>
        <v>0</v>
      </c>
      <c r="BY17" s="639">
        <f>IF(ISNUMBER(System!$C17),Y17+ $BF$1*AY17,$CB$4)</f>
        <v>0</v>
      </c>
      <c r="CA17" s="1112" t="s">
        <v>178</v>
      </c>
      <c r="CB17" s="1113">
        <f>(MAX(Knoten!$C$3:$C$42)+MIN(Knoten!$C$3:$C$42))/2</f>
        <v>-80</v>
      </c>
      <c r="CC17" s="1114">
        <f>(MAX(Knoten!$C$3:$C$42)-MIN(Knoten!$C$3:$C$42))/2</f>
        <v>100</v>
      </c>
      <c r="CD17" s="1115"/>
      <c r="CE17" s="1112" t="s">
        <v>178</v>
      </c>
      <c r="CF17" s="1113">
        <f>PlotData!$BI$1</f>
        <v>7.1054273576010019E-15</v>
      </c>
      <c r="CG17" s="1114"/>
    </row>
    <row r="18" spans="1:85" x14ac:dyDescent="0.25">
      <c r="A18" s="1123">
        <v>15</v>
      </c>
      <c r="B18" s="668"/>
      <c r="C18" s="721"/>
      <c r="D18" s="721"/>
      <c r="E18" s="721"/>
      <c r="F18" s="721"/>
      <c r="G18" s="721"/>
      <c r="H18" s="721"/>
      <c r="I18" s="721"/>
      <c r="J18" s="721"/>
      <c r="K18" s="721"/>
      <c r="L18" s="639"/>
      <c r="N18" s="1123">
        <v>15</v>
      </c>
      <c r="O18" s="668"/>
      <c r="P18" s="721"/>
      <c r="Q18" s="721"/>
      <c r="R18" s="721"/>
      <c r="S18" s="721"/>
      <c r="T18" s="721"/>
      <c r="U18" s="721"/>
      <c r="V18" s="721"/>
      <c r="W18" s="721"/>
      <c r="X18" s="721"/>
      <c r="Y18" s="639"/>
      <c r="AA18" s="1124">
        <v>15</v>
      </c>
      <c r="AB18" s="668"/>
      <c r="AC18" s="721"/>
      <c r="AD18" s="721"/>
      <c r="AE18" s="721"/>
      <c r="AF18" s="721"/>
      <c r="AG18" s="721"/>
      <c r="AH18" s="721"/>
      <c r="AI18" s="721"/>
      <c r="AJ18" s="721"/>
      <c r="AK18" s="721"/>
      <c r="AL18" s="639"/>
      <c r="AN18" s="1124">
        <v>15</v>
      </c>
      <c r="AO18" s="668"/>
      <c r="AP18" s="721"/>
      <c r="AQ18" s="721"/>
      <c r="AR18" s="721"/>
      <c r="AS18" s="721"/>
      <c r="AT18" s="721"/>
      <c r="AU18" s="721"/>
      <c r="AV18" s="721"/>
      <c r="AW18" s="721"/>
      <c r="AX18" s="721"/>
      <c r="AY18" s="639"/>
      <c r="BA18" s="1125">
        <v>15</v>
      </c>
      <c r="BB18" s="668">
        <f>IF(ISNUMBER(System!$C18),PlotData!B18+ $BF$1*AB18,$CB$3)</f>
        <v>0</v>
      </c>
      <c r="BC18" s="721">
        <f>IF(ISNUMBER(System!$C18),PlotData!C18+ $BF$1*AC18,$CB$3)</f>
        <v>0</v>
      </c>
      <c r="BD18" s="721">
        <f>IF(ISNUMBER(System!$C18),PlotData!D18+ $BF$1*AD18,$CB$3)</f>
        <v>0</v>
      </c>
      <c r="BE18" s="721">
        <f>IF(ISNUMBER(System!$C18),PlotData!E18+ $BF$1*AE18,$CB$3)</f>
        <v>0</v>
      </c>
      <c r="BF18" s="721">
        <f>IF(ISNUMBER(System!$C18),PlotData!F18+ $BF$1*AF18,$CB$3)</f>
        <v>0</v>
      </c>
      <c r="BG18" s="721">
        <f>IF(ISNUMBER(System!$C18),PlotData!G18+ $BF$1*AG18,$CB$3)</f>
        <v>0</v>
      </c>
      <c r="BH18" s="721">
        <f>IF(ISNUMBER(System!$C18),PlotData!H18+ $BF$1*AH18,$CB$3)</f>
        <v>0</v>
      </c>
      <c r="BI18" s="721">
        <f>IF(ISNUMBER(System!$C18),PlotData!I18+ $BF$1*AI18,$CB$3)</f>
        <v>0</v>
      </c>
      <c r="BJ18" s="721">
        <f>IF(ISNUMBER(System!$C18),PlotData!J18+ $BF$1*AJ18,$CB$3)</f>
        <v>0</v>
      </c>
      <c r="BK18" s="721">
        <f>IF(ISNUMBER(System!$C18),PlotData!K18+ $BF$1*AK18,$CB$3)</f>
        <v>0</v>
      </c>
      <c r="BL18" s="639">
        <f>IF(ISNUMBER(System!$C18),PlotData!L18+ $BF$1*AL18,$CB$3)</f>
        <v>0</v>
      </c>
      <c r="BN18" s="1125">
        <v>15</v>
      </c>
      <c r="BO18" s="668">
        <f>IF(ISNUMBER(System!$C18),O18+ $BF$1*AO18,$CB$4)</f>
        <v>0</v>
      </c>
      <c r="BP18" s="721">
        <f>IF(ISNUMBER(System!$C18),P18+ $BF$1*AP18,$CB$4)</f>
        <v>0</v>
      </c>
      <c r="BQ18" s="721">
        <f>IF(ISNUMBER(System!$C18),Q18+ $BF$1*AQ18,$CB$4)</f>
        <v>0</v>
      </c>
      <c r="BR18" s="721">
        <f>IF(ISNUMBER(System!$C18),R18+ $BF$1*AR18,$CB$4)</f>
        <v>0</v>
      </c>
      <c r="BS18" s="721">
        <f>IF(ISNUMBER(System!$C18),S18+ $BF$1*AS18,$CB$4)</f>
        <v>0</v>
      </c>
      <c r="BT18" s="721">
        <f>IF(ISNUMBER(System!$C18),T18+ $BF$1*AT18,$CB$4)</f>
        <v>0</v>
      </c>
      <c r="BU18" s="721">
        <f>IF(ISNUMBER(System!$C18),U18+ $BF$1*AU18,$CB$4)</f>
        <v>0</v>
      </c>
      <c r="BV18" s="721">
        <f>IF(ISNUMBER(System!$C18),V18+ $BF$1*AV18,$CB$4)</f>
        <v>0</v>
      </c>
      <c r="BW18" s="721">
        <f>IF(ISNUMBER(System!$C18),W18+ $BF$1*AW18,$CB$4)</f>
        <v>0</v>
      </c>
      <c r="BX18" s="721">
        <f>IF(ISNUMBER(System!$C18),X18+ $BF$1*AX18,$CB$4)</f>
        <v>0</v>
      </c>
      <c r="BY18" s="639">
        <f>IF(ISNUMBER(System!$C18),Y18+ $BF$1*AY18,$CB$4)</f>
        <v>0</v>
      </c>
      <c r="CA18" s="1120" t="s">
        <v>179</v>
      </c>
      <c r="CB18" s="1121">
        <f>(MAX(Knoten!$D$3:$D$42)+MIN(Knoten!$D$3:$D$42))/2</f>
        <v>40</v>
      </c>
      <c r="CC18" s="1122">
        <f>(MAX(Knoten!$D$3:$D$42)-MIN(Knoten!$D$3:$D$42))/2</f>
        <v>100</v>
      </c>
      <c r="CD18" s="1115"/>
      <c r="CE18" s="1120" t="s">
        <v>179</v>
      </c>
      <c r="CF18" s="1121">
        <f>PlotData!$BR$1</f>
        <v>7.1054273576010019E-15</v>
      </c>
      <c r="CG18" s="1122"/>
    </row>
    <row r="19" spans="1:85" x14ac:dyDescent="0.25">
      <c r="A19" s="1123">
        <v>16</v>
      </c>
      <c r="B19" s="668"/>
      <c r="C19" s="721"/>
      <c r="D19" s="721"/>
      <c r="E19" s="721"/>
      <c r="F19" s="721"/>
      <c r="G19" s="721"/>
      <c r="H19" s="721"/>
      <c r="I19" s="721"/>
      <c r="J19" s="721"/>
      <c r="K19" s="721"/>
      <c r="L19" s="639"/>
      <c r="N19" s="1123">
        <v>16</v>
      </c>
      <c r="O19" s="668"/>
      <c r="P19" s="721"/>
      <c r="Q19" s="721"/>
      <c r="R19" s="721"/>
      <c r="S19" s="721"/>
      <c r="T19" s="721"/>
      <c r="U19" s="721"/>
      <c r="V19" s="721"/>
      <c r="W19" s="721"/>
      <c r="X19" s="721"/>
      <c r="Y19" s="639"/>
      <c r="AA19" s="1124">
        <v>16</v>
      </c>
      <c r="AB19" s="668"/>
      <c r="AC19" s="721"/>
      <c r="AD19" s="721"/>
      <c r="AE19" s="721"/>
      <c r="AF19" s="721"/>
      <c r="AG19" s="721"/>
      <c r="AH19" s="721"/>
      <c r="AI19" s="721"/>
      <c r="AJ19" s="721"/>
      <c r="AK19" s="721"/>
      <c r="AL19" s="639"/>
      <c r="AN19" s="1124">
        <v>16</v>
      </c>
      <c r="AO19" s="668"/>
      <c r="AP19" s="721"/>
      <c r="AQ19" s="721"/>
      <c r="AR19" s="721"/>
      <c r="AS19" s="721"/>
      <c r="AT19" s="721"/>
      <c r="AU19" s="721"/>
      <c r="AV19" s="721"/>
      <c r="AW19" s="721"/>
      <c r="AX19" s="721"/>
      <c r="AY19" s="721"/>
      <c r="BA19" s="1125">
        <v>16</v>
      </c>
      <c r="BB19" s="668">
        <f>IF(ISNUMBER(System!$C19),PlotData!B19+ $BF$1*AB19,$CB$3)</f>
        <v>0</v>
      </c>
      <c r="BC19" s="721">
        <f>IF(ISNUMBER(System!$C19),PlotData!C19+ $BF$1*AC19,$CB$3)</f>
        <v>0</v>
      </c>
      <c r="BD19" s="721">
        <f>IF(ISNUMBER(System!$C19),PlotData!D19+ $BF$1*AD19,$CB$3)</f>
        <v>0</v>
      </c>
      <c r="BE19" s="721">
        <f>IF(ISNUMBER(System!$C19),PlotData!E19+ $BF$1*AE19,$CB$3)</f>
        <v>0</v>
      </c>
      <c r="BF19" s="721">
        <f>IF(ISNUMBER(System!$C19),PlotData!F19+ $BF$1*AF19,$CB$3)</f>
        <v>0</v>
      </c>
      <c r="BG19" s="721">
        <f>IF(ISNUMBER(System!$C19),PlotData!G19+ $BF$1*AG19,$CB$3)</f>
        <v>0</v>
      </c>
      <c r="BH19" s="721">
        <f>IF(ISNUMBER(System!$C19),PlotData!H19+ $BF$1*AH19,$CB$3)</f>
        <v>0</v>
      </c>
      <c r="BI19" s="721">
        <f>IF(ISNUMBER(System!$C19),PlotData!I19+ $BF$1*AI19,$CB$3)</f>
        <v>0</v>
      </c>
      <c r="BJ19" s="721">
        <f>IF(ISNUMBER(System!$C19),PlotData!J19+ $BF$1*AJ19,$CB$3)</f>
        <v>0</v>
      </c>
      <c r="BK19" s="721">
        <f>IF(ISNUMBER(System!$C19),PlotData!K19+ $BF$1*AK19,$CB$3)</f>
        <v>0</v>
      </c>
      <c r="BL19" s="639">
        <f>IF(ISNUMBER(System!$C19),PlotData!L19+ $BF$1*AL19,$CB$3)</f>
        <v>0</v>
      </c>
      <c r="BN19" s="1125">
        <v>16</v>
      </c>
      <c r="BO19" s="668">
        <f>IF(ISNUMBER(System!$C19),O19+ $BF$1*AO19,$CB$4)</f>
        <v>0</v>
      </c>
      <c r="BP19" s="721">
        <f>IF(ISNUMBER(System!$C19),P19+ $BF$1*AP19,$CB$4)</f>
        <v>0</v>
      </c>
      <c r="BQ19" s="721">
        <f>IF(ISNUMBER(System!$C19),Q19+ $BF$1*AQ19,$CB$4)</f>
        <v>0</v>
      </c>
      <c r="BR19" s="721">
        <f>IF(ISNUMBER(System!$C19),R19+ $BF$1*AR19,$CB$4)</f>
        <v>0</v>
      </c>
      <c r="BS19" s="721">
        <f>IF(ISNUMBER(System!$C19),S19+ $BF$1*AS19,$CB$4)</f>
        <v>0</v>
      </c>
      <c r="BT19" s="721">
        <f>IF(ISNUMBER(System!$C19),T19+ $BF$1*AT19,$CB$4)</f>
        <v>0</v>
      </c>
      <c r="BU19" s="721">
        <f>IF(ISNUMBER(System!$C19),U19+ $BF$1*AU19,$CB$4)</f>
        <v>0</v>
      </c>
      <c r="BV19" s="721">
        <f>IF(ISNUMBER(System!$C19),V19+ $BF$1*AY19,$CB$4)</f>
        <v>0</v>
      </c>
      <c r="BW19" s="721">
        <f>IF(ISNUMBER(System!$C19),W19+ $BF$1*AW19,$CB$4)</f>
        <v>0</v>
      </c>
      <c r="BX19" s="721">
        <f>IF(ISNUMBER(System!$C19),X19+ $BF$1*AX19,$CB$4)</f>
        <v>0</v>
      </c>
      <c r="BY19" s="639">
        <f>IF(ISNUMBER(System!$C19),Y19+ $BF$1*AY19,$CB$4)</f>
        <v>0</v>
      </c>
      <c r="CA19" s="1120" t="s">
        <v>196</v>
      </c>
      <c r="CB19" s="1121">
        <f>SQRT(CC17^2+CC18^2)*CB20</f>
        <v>169.70562748477141</v>
      </c>
      <c r="CC19" s="1126"/>
      <c r="CD19" s="1115"/>
      <c r="CE19" s="1120" t="s">
        <v>196</v>
      </c>
      <c r="CF19" s="1121">
        <f>CF20 * PlotData!$BV$1</f>
        <v>169.70562748477141</v>
      </c>
      <c r="CG19" s="1122"/>
    </row>
    <row r="20" spans="1:85" x14ac:dyDescent="0.25">
      <c r="A20" s="1123">
        <v>17</v>
      </c>
      <c r="B20" s="668"/>
      <c r="C20" s="721"/>
      <c r="D20" s="721"/>
      <c r="E20" s="721"/>
      <c r="F20" s="721"/>
      <c r="G20" s="721"/>
      <c r="H20" s="721"/>
      <c r="I20" s="721"/>
      <c r="J20" s="721"/>
      <c r="K20" s="721"/>
      <c r="L20" s="639"/>
      <c r="N20" s="1123">
        <v>17</v>
      </c>
      <c r="O20" s="668"/>
      <c r="P20" s="721"/>
      <c r="Q20" s="721"/>
      <c r="R20" s="721"/>
      <c r="S20" s="721"/>
      <c r="T20" s="721"/>
      <c r="U20" s="721"/>
      <c r="V20" s="721"/>
      <c r="W20" s="721"/>
      <c r="X20" s="721"/>
      <c r="Y20" s="639"/>
      <c r="AA20" s="1124">
        <v>17</v>
      </c>
      <c r="AB20" s="668"/>
      <c r="AC20" s="721"/>
      <c r="AD20" s="721"/>
      <c r="AE20" s="721"/>
      <c r="AF20" s="721"/>
      <c r="AG20" s="721"/>
      <c r="AH20" s="721"/>
      <c r="AI20" s="721"/>
      <c r="AJ20" s="721"/>
      <c r="AK20" s="721"/>
      <c r="AL20" s="639"/>
      <c r="AN20" s="1124">
        <v>17</v>
      </c>
      <c r="AO20" s="668"/>
      <c r="AP20" s="721"/>
      <c r="AQ20" s="721"/>
      <c r="AR20" s="721"/>
      <c r="AS20" s="721"/>
      <c r="AT20" s="721"/>
      <c r="AU20" s="721"/>
      <c r="AV20" s="721"/>
      <c r="AW20" s="721"/>
      <c r="AX20" s="721"/>
      <c r="AY20" s="639"/>
      <c r="BA20" s="1125">
        <v>17</v>
      </c>
      <c r="BB20" s="668">
        <f>IF(ISNUMBER(System!$C20),PlotData!B20+ $BF$1*AB20,$CB$3)</f>
        <v>0</v>
      </c>
      <c r="BC20" s="721">
        <f>IF(ISNUMBER(System!$C20),PlotData!C20+ $BF$1*AC20,$CB$3)</f>
        <v>0</v>
      </c>
      <c r="BD20" s="721">
        <f>IF(ISNUMBER(System!$C20),PlotData!D20+ $BF$1*AD20,$CB$3)</f>
        <v>0</v>
      </c>
      <c r="BE20" s="721">
        <f>IF(ISNUMBER(System!$C20),PlotData!E20+ $BF$1*AE20,$CB$3)</f>
        <v>0</v>
      </c>
      <c r="BF20" s="721">
        <f>IF(ISNUMBER(System!$C20),PlotData!F20+ $BF$1*AF20,$CB$3)</f>
        <v>0</v>
      </c>
      <c r="BG20" s="721">
        <f>IF(ISNUMBER(System!$C20),PlotData!G20+ $BF$1*AG20,$CB$3)</f>
        <v>0</v>
      </c>
      <c r="BH20" s="721">
        <f>IF(ISNUMBER(System!$C20),PlotData!H20+ $BF$1*AH20,$CB$3)</f>
        <v>0</v>
      </c>
      <c r="BI20" s="721">
        <f>IF(ISNUMBER(System!$C20),PlotData!I20+ $BF$1*AI20,$CB$3)</f>
        <v>0</v>
      </c>
      <c r="BJ20" s="721">
        <f>IF(ISNUMBER(System!$C20),PlotData!J20+ $BF$1*AJ20,$CB$3)</f>
        <v>0</v>
      </c>
      <c r="BK20" s="721">
        <f>IF(ISNUMBER(System!$C20),PlotData!K20+ $BF$1*AK20,$CB$3)</f>
        <v>0</v>
      </c>
      <c r="BL20" s="639">
        <f>IF(ISNUMBER(System!$C20),PlotData!L20+ $BF$1*AL20,$CB$3)</f>
        <v>0</v>
      </c>
      <c r="BN20" s="1125">
        <v>17</v>
      </c>
      <c r="BO20" s="668">
        <f>IF(ISNUMBER(System!$C20),O20+ $BF$1*AO20,$CB$4)</f>
        <v>0</v>
      </c>
      <c r="BP20" s="721">
        <f>IF(ISNUMBER(System!$C20),P20+ $BF$1*AP20,$CB$4)</f>
        <v>0</v>
      </c>
      <c r="BQ20" s="721">
        <f>IF(ISNUMBER(System!$C20),Q20+ $BF$1*AQ20,$CB$4)</f>
        <v>0</v>
      </c>
      <c r="BR20" s="721">
        <f>IF(ISNUMBER(System!$C20),R20+ $BF$1*AR20,$CB$4)</f>
        <v>0</v>
      </c>
      <c r="BS20" s="721">
        <f>IF(ISNUMBER(System!$C20),S20+ $BF$1*AS20,$CB$4)</f>
        <v>0</v>
      </c>
      <c r="BT20" s="721">
        <f>IF(ISNUMBER(System!$C20),T20+ $BF$1*AT20,$CB$4)</f>
        <v>0</v>
      </c>
      <c r="BU20" s="721">
        <f>IF(ISNUMBER(System!$C20),U20+ $BF$1*AU20,$CB$4)</f>
        <v>0</v>
      </c>
      <c r="BV20" s="721">
        <f>IF(ISNUMBER(System!$C20),V20+ $BF$1*AV20,$CB$4)</f>
        <v>0</v>
      </c>
      <c r="BW20" s="721">
        <f>IF(ISNUMBER(System!$C20),W20+ $BF$1*AW20,$CB$4)</f>
        <v>0</v>
      </c>
      <c r="BX20" s="721">
        <f>IF(ISNUMBER(System!$C20),X20+ $BF$1*AX20,$CB$4)</f>
        <v>0</v>
      </c>
      <c r="BY20" s="639">
        <f>IF(ISNUMBER(System!$C20),Y20+ $BF$1*AY20,$CB$4)</f>
        <v>0</v>
      </c>
      <c r="CA20" s="1120" t="s">
        <v>269</v>
      </c>
      <c r="CB20" s="1121">
        <v>1.2</v>
      </c>
      <c r="CC20" s="1122"/>
      <c r="CD20" s="1115"/>
      <c r="CE20" s="1120" t="s">
        <v>269</v>
      </c>
      <c r="CF20" s="1121">
        <v>1.2</v>
      </c>
      <c r="CG20" s="1122"/>
    </row>
    <row r="21" spans="1:85" x14ac:dyDescent="0.25">
      <c r="A21" s="1123">
        <v>18</v>
      </c>
      <c r="B21" s="668"/>
      <c r="C21" s="721"/>
      <c r="D21" s="721"/>
      <c r="E21" s="721"/>
      <c r="F21" s="721"/>
      <c r="G21" s="721"/>
      <c r="H21" s="721"/>
      <c r="I21" s="721"/>
      <c r="J21" s="721"/>
      <c r="K21" s="721"/>
      <c r="L21" s="639"/>
      <c r="N21" s="1123">
        <v>18</v>
      </c>
      <c r="O21" s="668"/>
      <c r="P21" s="721"/>
      <c r="Q21" s="721"/>
      <c r="R21" s="721"/>
      <c r="S21" s="721"/>
      <c r="T21" s="721"/>
      <c r="U21" s="721"/>
      <c r="V21" s="721"/>
      <c r="W21" s="721"/>
      <c r="X21" s="721"/>
      <c r="Y21" s="639"/>
      <c r="AA21" s="1124">
        <v>18</v>
      </c>
      <c r="AB21" s="668"/>
      <c r="AC21" s="721"/>
      <c r="AD21" s="721"/>
      <c r="AE21" s="721"/>
      <c r="AF21" s="721"/>
      <c r="AG21" s="721"/>
      <c r="AH21" s="721"/>
      <c r="AI21" s="721"/>
      <c r="AJ21" s="721"/>
      <c r="AK21" s="721"/>
      <c r="AL21" s="639"/>
      <c r="AN21" s="1124">
        <v>18</v>
      </c>
      <c r="AO21" s="668"/>
      <c r="AP21" s="721"/>
      <c r="AQ21" s="721"/>
      <c r="AR21" s="721"/>
      <c r="AS21" s="721"/>
      <c r="AT21" s="721"/>
      <c r="AU21" s="721"/>
      <c r="AV21" s="721"/>
      <c r="AW21" s="721"/>
      <c r="AX21" s="721"/>
      <c r="AY21" s="639"/>
      <c r="BA21" s="1125">
        <v>18</v>
      </c>
      <c r="BB21" s="668">
        <f>IF(ISNUMBER(System!$C21),PlotData!B21+ $BF$1*AB21,$CB$3)</f>
        <v>0</v>
      </c>
      <c r="BC21" s="721">
        <f>IF(ISNUMBER(System!$C21),PlotData!C21+ $BF$1*AC21,$CB$3)</f>
        <v>0</v>
      </c>
      <c r="BD21" s="721">
        <f>IF(ISNUMBER(System!$C21),PlotData!D21+ $BF$1*AD21,$CB$3)</f>
        <v>0</v>
      </c>
      <c r="BE21" s="721">
        <f>IF(ISNUMBER(System!$C21),PlotData!E21+ $BF$1*AE21,$CB$3)</f>
        <v>0</v>
      </c>
      <c r="BF21" s="721">
        <f>IF(ISNUMBER(System!$C21),PlotData!F21+ $BF$1*AF21,$CB$3)</f>
        <v>0</v>
      </c>
      <c r="BG21" s="721">
        <f>IF(ISNUMBER(System!$C21),PlotData!G21+ $BF$1*AG21,$CB$3)</f>
        <v>0</v>
      </c>
      <c r="BH21" s="721">
        <f>IF(ISNUMBER(System!$C21),PlotData!H21+ $BF$1*AH21,$CB$3)</f>
        <v>0</v>
      </c>
      <c r="BI21" s="721">
        <f>IF(ISNUMBER(System!$C21),PlotData!I21+ $BF$1*AI21,$CB$3)</f>
        <v>0</v>
      </c>
      <c r="BJ21" s="721">
        <f>IF(ISNUMBER(System!$C21),PlotData!J21+ $BF$1*AJ21,$CB$3)</f>
        <v>0</v>
      </c>
      <c r="BK21" s="721">
        <f>IF(ISNUMBER(System!$C21),PlotData!K21+ $BF$1*AK21,$CB$3)</f>
        <v>0</v>
      </c>
      <c r="BL21" s="639">
        <f>IF(ISNUMBER(System!$C21),PlotData!L21+ $BF$1*AL21,$CB$3)</f>
        <v>0</v>
      </c>
      <c r="BN21" s="1125">
        <v>18</v>
      </c>
      <c r="BO21" s="668">
        <f>IF(ISNUMBER(System!$C21),O21+ $BF$1*AO21,$CB$4)</f>
        <v>0</v>
      </c>
      <c r="BP21" s="721">
        <f>IF(ISNUMBER(System!$C21),P21+ $BF$1*AP21,$CB$4)</f>
        <v>0</v>
      </c>
      <c r="BQ21" s="721">
        <f>IF(ISNUMBER(System!$C21),Q21+ $BF$1*AQ21,$CB$4)</f>
        <v>0</v>
      </c>
      <c r="BR21" s="721">
        <f>IF(ISNUMBER(System!$C21),R21+ $BF$1*AR21,$CB$4)</f>
        <v>0</v>
      </c>
      <c r="BS21" s="721">
        <f>IF(ISNUMBER(System!$C21),S21+ $BF$1*AS21,$CB$4)</f>
        <v>0</v>
      </c>
      <c r="BT21" s="721">
        <f>IF(ISNUMBER(System!$C21),T21+ $BF$1*AT21,$CB$4)</f>
        <v>0</v>
      </c>
      <c r="BU21" s="721">
        <f>IF(ISNUMBER(System!$C21),U21+ $BF$1*AU21,$CB$4)</f>
        <v>0</v>
      </c>
      <c r="BV21" s="721">
        <f>IF(ISNUMBER(System!$C21),V21+ $BF$1*AV21,$CB$4)</f>
        <v>0</v>
      </c>
      <c r="BW21" s="721">
        <f>IF(ISNUMBER(System!$C21),W21+ $BF$1*AW21,$CB$4)</f>
        <v>0</v>
      </c>
      <c r="BX21" s="721">
        <f>IF(ISNUMBER(System!$C21),X21+ $BF$1*AX21,$CB$4)</f>
        <v>0</v>
      </c>
      <c r="BY21" s="639">
        <f>IF(ISNUMBER(System!$C21),Y21+ $BF$1*AY21,$CB$4)</f>
        <v>0</v>
      </c>
      <c r="CA21" s="1120" t="s">
        <v>471</v>
      </c>
      <c r="CB21" s="1121">
        <f>CB17-CB19</f>
        <v>-249.70562748477141</v>
      </c>
      <c r="CC21" s="1122">
        <f>(CB18+CB19)*1</f>
        <v>209.70562748477141</v>
      </c>
      <c r="CD21" s="1115"/>
      <c r="CE21" s="1120" t="s">
        <v>471</v>
      </c>
      <c r="CF21" s="1121">
        <f>CF17-CF19</f>
        <v>-169.70562748477141</v>
      </c>
      <c r="CG21" s="1122">
        <f>CF18+CF19</f>
        <v>169.70562748477141</v>
      </c>
    </row>
    <row r="22" spans="1:85" x14ac:dyDescent="0.25">
      <c r="A22" s="1123">
        <v>19</v>
      </c>
      <c r="B22" s="668"/>
      <c r="C22" s="721"/>
      <c r="D22" s="721"/>
      <c r="E22" s="721"/>
      <c r="F22" s="721"/>
      <c r="G22" s="721"/>
      <c r="H22" s="721"/>
      <c r="I22" s="721"/>
      <c r="J22" s="721"/>
      <c r="K22" s="721"/>
      <c r="L22" s="639"/>
      <c r="N22" s="1123">
        <v>19</v>
      </c>
      <c r="O22" s="668"/>
      <c r="P22" s="721"/>
      <c r="Q22" s="721"/>
      <c r="R22" s="721"/>
      <c r="S22" s="721"/>
      <c r="T22" s="721"/>
      <c r="U22" s="721"/>
      <c r="V22" s="721"/>
      <c r="W22" s="721"/>
      <c r="X22" s="721"/>
      <c r="Y22" s="639"/>
      <c r="AA22" s="1124">
        <v>19</v>
      </c>
      <c r="AB22" s="668"/>
      <c r="AC22" s="721"/>
      <c r="AD22" s="721"/>
      <c r="AE22" s="721"/>
      <c r="AF22" s="721"/>
      <c r="AG22" s="721"/>
      <c r="AH22" s="721"/>
      <c r="AI22" s="721"/>
      <c r="AJ22" s="721"/>
      <c r="AK22" s="721"/>
      <c r="AL22" s="639"/>
      <c r="AN22" s="1124">
        <v>19</v>
      </c>
      <c r="AO22" s="668"/>
      <c r="AP22" s="721"/>
      <c r="AQ22" s="721"/>
      <c r="AR22" s="721"/>
      <c r="AS22" s="721"/>
      <c r="AT22" s="721"/>
      <c r="AU22" s="721"/>
      <c r="AV22" s="721"/>
      <c r="AW22" s="721"/>
      <c r="AX22" s="721"/>
      <c r="AY22" s="639"/>
      <c r="BA22" s="1125">
        <v>19</v>
      </c>
      <c r="BB22" s="668">
        <f>IF(ISNUMBER(System!$C22),PlotData!B22+ $BF$1*AB22,$CB$3)</f>
        <v>0</v>
      </c>
      <c r="BC22" s="721">
        <f>IF(ISNUMBER(System!$C22),PlotData!C22+ $BF$1*AC22,$CB$3)</f>
        <v>0</v>
      </c>
      <c r="BD22" s="721">
        <f>IF(ISNUMBER(System!$C22),PlotData!D22+ $BF$1*AD22,$CB$3)</f>
        <v>0</v>
      </c>
      <c r="BE22" s="721">
        <f>IF(ISNUMBER(System!$C22),PlotData!E22+ $BF$1*AE22,$CB$3)</f>
        <v>0</v>
      </c>
      <c r="BF22" s="721">
        <f>IF(ISNUMBER(System!$C22),PlotData!F22+ $BF$1*AF22,$CB$3)</f>
        <v>0</v>
      </c>
      <c r="BG22" s="721">
        <f>IF(ISNUMBER(System!$C22),PlotData!G22+ $BF$1*AG22,$CB$3)</f>
        <v>0</v>
      </c>
      <c r="BH22" s="721">
        <f>IF(ISNUMBER(System!$C22),PlotData!H22+ $BF$1*AH22,$CB$3)</f>
        <v>0</v>
      </c>
      <c r="BI22" s="721">
        <f>IF(ISNUMBER(System!$C22),PlotData!I22+ $BF$1*AI22,$CB$3)</f>
        <v>0</v>
      </c>
      <c r="BJ22" s="721">
        <f>IF(ISNUMBER(System!$C22),PlotData!J22+ $BF$1*AJ22,$CB$3)</f>
        <v>0</v>
      </c>
      <c r="BK22" s="721">
        <f>IF(ISNUMBER(System!$C22),PlotData!K22+ $BF$1*AK22,$CB$3)</f>
        <v>0</v>
      </c>
      <c r="BL22" s="639">
        <f>IF(ISNUMBER(System!$C22),PlotData!L22+ $BF$1*AL22,$CB$3)</f>
        <v>0</v>
      </c>
      <c r="BN22" s="1125">
        <v>19</v>
      </c>
      <c r="BO22" s="668">
        <f>IF(ISNUMBER(System!$C22),O22+ $BF$1*AO22,$CB$4)</f>
        <v>0</v>
      </c>
      <c r="BP22" s="721">
        <f>IF(ISNUMBER(System!$C22),P22+ $BF$1*AP22,$CB$4)</f>
        <v>0</v>
      </c>
      <c r="BQ22" s="721">
        <f>IF(ISNUMBER(System!$C22),Q22+ $BF$1*AQ22,$CB$4)</f>
        <v>0</v>
      </c>
      <c r="BR22" s="721">
        <f>IF(ISNUMBER(System!$C22),R22+ $BF$1*AR22,$CB$4)</f>
        <v>0</v>
      </c>
      <c r="BS22" s="721">
        <f>IF(ISNUMBER(System!$C22),S22+ $BF$1*AS22,$CB$4)</f>
        <v>0</v>
      </c>
      <c r="BT22" s="721">
        <f>IF(ISNUMBER(System!$C22),T22+ $BF$1*AT22,$CB$4)</f>
        <v>0</v>
      </c>
      <c r="BU22" s="721">
        <f>IF(ISNUMBER(System!$C22),U22+ $BF$1*AU22,$CB$4)</f>
        <v>0</v>
      </c>
      <c r="BV22" s="721">
        <f>IF(ISNUMBER(System!$C22),V22+ $BF$1*AV22,$CB$4)</f>
        <v>0</v>
      </c>
      <c r="BW22" s="721">
        <f>IF(ISNUMBER(System!$C22),W22+ $BF$1*AW22,$CB$4)</f>
        <v>0</v>
      </c>
      <c r="BX22" s="721">
        <f>IF(ISNUMBER(System!$C22),X22+ $BF$1*AX22,$CB$4)</f>
        <v>0</v>
      </c>
      <c r="BY22" s="639">
        <f>IF(ISNUMBER(System!$C22),Y22+ $BF$1*AY22,$CB$4)</f>
        <v>0</v>
      </c>
      <c r="CA22" s="1120" t="s">
        <v>472</v>
      </c>
      <c r="CB22" s="1121">
        <f>CB17+CB19</f>
        <v>89.705627484771412</v>
      </c>
      <c r="CC22" s="1122">
        <f>(CB18+CB19)*1</f>
        <v>209.70562748477141</v>
      </c>
      <c r="CD22" s="1115"/>
      <c r="CE22" s="1120" t="s">
        <v>472</v>
      </c>
      <c r="CF22" s="1121">
        <f>CF17+CF19</f>
        <v>169.70562748477141</v>
      </c>
      <c r="CG22" s="1122">
        <f>CF18+CF19</f>
        <v>169.70562748477141</v>
      </c>
    </row>
    <row r="23" spans="1:85" x14ac:dyDescent="0.25">
      <c r="A23" s="1131">
        <v>20</v>
      </c>
      <c r="B23" s="1132"/>
      <c r="C23" s="1133"/>
      <c r="D23" s="1133"/>
      <c r="E23" s="1133"/>
      <c r="F23" s="1133"/>
      <c r="G23" s="1133"/>
      <c r="H23" s="1133"/>
      <c r="I23" s="1133"/>
      <c r="J23" s="1133"/>
      <c r="K23" s="1133"/>
      <c r="L23" s="1134"/>
      <c r="N23" s="1131">
        <v>20</v>
      </c>
      <c r="O23" s="1132"/>
      <c r="P23" s="1133"/>
      <c r="Q23" s="1133"/>
      <c r="R23" s="1133"/>
      <c r="S23" s="1133"/>
      <c r="T23" s="1133"/>
      <c r="U23" s="1133"/>
      <c r="V23" s="1133"/>
      <c r="W23" s="1133"/>
      <c r="X23" s="1133"/>
      <c r="Y23" s="1134"/>
      <c r="AA23" s="1124">
        <v>20</v>
      </c>
      <c r="AB23" s="668"/>
      <c r="AC23" s="721"/>
      <c r="AD23" s="721"/>
      <c r="AE23" s="721"/>
      <c r="AF23" s="721"/>
      <c r="AG23" s="721"/>
      <c r="AH23" s="721"/>
      <c r="AI23" s="721"/>
      <c r="AJ23" s="721"/>
      <c r="AK23" s="721"/>
      <c r="AL23" s="639"/>
      <c r="AN23" s="1124">
        <v>20</v>
      </c>
      <c r="AO23" s="668"/>
      <c r="AP23" s="721"/>
      <c r="AQ23" s="721"/>
      <c r="AR23" s="721"/>
      <c r="AS23" s="721"/>
      <c r="AT23" s="721"/>
      <c r="AU23" s="721"/>
      <c r="AV23" s="721"/>
      <c r="AW23" s="721"/>
      <c r="AX23" s="721"/>
      <c r="AY23" s="639"/>
      <c r="BA23" s="1135">
        <v>20</v>
      </c>
      <c r="BB23" s="668">
        <f>IF(ISNUMBER(System!$C23),PlotData!B23+ $BF$1*AB23,$CB$3)</f>
        <v>0</v>
      </c>
      <c r="BC23" s="721">
        <f>IF(ISNUMBER(System!$C23),PlotData!C23+ $BF$1*AC23,$CB$3)</f>
        <v>0</v>
      </c>
      <c r="BD23" s="721">
        <f>IF(ISNUMBER(System!$C23),PlotData!D23+ $BF$1*AD23,$CB$3)</f>
        <v>0</v>
      </c>
      <c r="BE23" s="721">
        <f>IF(ISNUMBER(System!$C23),PlotData!E23+ $BF$1*AE23,$CB$3)</f>
        <v>0</v>
      </c>
      <c r="BF23" s="721">
        <f>IF(ISNUMBER(System!$C23),PlotData!F23+ $BF$1*AF23,$CB$3)</f>
        <v>0</v>
      </c>
      <c r="BG23" s="721">
        <f>IF(ISNUMBER(System!$C23),PlotData!G23+ $BF$1*AG23,$CB$3)</f>
        <v>0</v>
      </c>
      <c r="BH23" s="721">
        <f>IF(ISNUMBER(System!$C23),PlotData!H23+ $BF$1*AH23,$CB$3)</f>
        <v>0</v>
      </c>
      <c r="BI23" s="721">
        <f>IF(ISNUMBER(System!$C23),PlotData!I23+ $BF$1*AI23,$CB$3)</f>
        <v>0</v>
      </c>
      <c r="BJ23" s="721">
        <f>IF(ISNUMBER(System!$C23),PlotData!J23+ $BF$1*AJ23,$CB$3)</f>
        <v>0</v>
      </c>
      <c r="BK23" s="721">
        <f>IF(ISNUMBER(System!$C23),PlotData!K23+ $BF$1*AK23,$CB$3)</f>
        <v>0</v>
      </c>
      <c r="BL23" s="639">
        <f>IF(ISNUMBER(System!$C23),PlotData!L23+ $BF$1*AL23,$CB$3)</f>
        <v>0</v>
      </c>
      <c r="BN23" s="1135">
        <v>20</v>
      </c>
      <c r="BO23" s="668">
        <f>IF(ISNUMBER(System!$C23),O23+ $BF$1*AO23,$CB$4)</f>
        <v>0</v>
      </c>
      <c r="BP23" s="721">
        <f>IF(ISNUMBER(System!$C23),P23+ $BF$1*AP23,$CB$4)</f>
        <v>0</v>
      </c>
      <c r="BQ23" s="721">
        <f>IF(ISNUMBER(System!$C23),Q23+ $BF$1*AQ23,$CB$4)</f>
        <v>0</v>
      </c>
      <c r="BR23" s="721">
        <f>IF(ISNUMBER(System!$C23),R23+ $BF$1*AR23,$CB$4)</f>
        <v>0</v>
      </c>
      <c r="BS23" s="721">
        <f>IF(ISNUMBER(System!$C23),S23+ $BF$1*AS23,$CB$4)</f>
        <v>0</v>
      </c>
      <c r="BT23" s="721">
        <f>IF(ISNUMBER(System!$C23),T23+ $BF$1*AT23,$CB$4)</f>
        <v>0</v>
      </c>
      <c r="BU23" s="721">
        <f>IF(ISNUMBER(System!$C23),U23+ $BF$1*AU23,$CB$4)</f>
        <v>0</v>
      </c>
      <c r="BV23" s="721">
        <f>IF(ISNUMBER(System!$C23),V23+ $BF$1*AV23,$CB$4)</f>
        <v>0</v>
      </c>
      <c r="BW23" s="721">
        <f>IF(ISNUMBER(System!$C23),W23+ $BF$1*AW23,$CB$4)</f>
        <v>0</v>
      </c>
      <c r="BX23" s="721">
        <f>IF(ISNUMBER(System!$C23),X23+ $BF$1*AX23,$CB$4)</f>
        <v>0</v>
      </c>
      <c r="BY23" s="639">
        <f>IF(ISNUMBER(System!$C23),Y23+ $BF$1*AY23,$CB$4)</f>
        <v>0</v>
      </c>
      <c r="CA23" s="1120" t="s">
        <v>473</v>
      </c>
      <c r="CB23" s="1121">
        <f>CB17+CB19</f>
        <v>89.705627484771412</v>
      </c>
      <c r="CC23" s="1122">
        <f>(CB18-CB19)*1</f>
        <v>-129.70562748477141</v>
      </c>
      <c r="CD23" s="1115"/>
      <c r="CE23" s="1120" t="s">
        <v>473</v>
      </c>
      <c r="CF23" s="1121">
        <f>CF17+CF19</f>
        <v>169.70562748477141</v>
      </c>
      <c r="CG23" s="1122">
        <f>CF18-CF19</f>
        <v>-169.70562748477141</v>
      </c>
    </row>
    <row r="24" spans="1:85" ht="13.8" thickBot="1" x14ac:dyDescent="0.3">
      <c r="A24" s="1123">
        <v>21</v>
      </c>
      <c r="B24" s="668"/>
      <c r="C24" s="721"/>
      <c r="D24" s="721"/>
      <c r="E24" s="721"/>
      <c r="F24" s="721"/>
      <c r="G24" s="721"/>
      <c r="H24" s="721"/>
      <c r="I24" s="721"/>
      <c r="J24" s="721"/>
      <c r="K24" s="721"/>
      <c r="L24" s="639"/>
      <c r="N24" s="1123">
        <v>21</v>
      </c>
      <c r="O24" s="668"/>
      <c r="P24" s="721"/>
      <c r="Q24" s="721"/>
      <c r="R24" s="721"/>
      <c r="S24" s="721"/>
      <c r="T24" s="721"/>
      <c r="U24" s="721"/>
      <c r="V24" s="721"/>
      <c r="W24" s="721"/>
      <c r="X24" s="721"/>
      <c r="Y24" s="639"/>
      <c r="AA24" s="1124">
        <v>21</v>
      </c>
      <c r="AB24" s="668"/>
      <c r="AC24" s="721"/>
      <c r="AD24" s="721"/>
      <c r="AE24" s="721"/>
      <c r="AF24" s="721"/>
      <c r="AG24" s="721"/>
      <c r="AH24" s="721"/>
      <c r="AI24" s="721"/>
      <c r="AJ24" s="721"/>
      <c r="AK24" s="721"/>
      <c r="AL24" s="639"/>
      <c r="AN24" s="1124">
        <v>21</v>
      </c>
      <c r="AO24" s="668"/>
      <c r="AP24" s="721"/>
      <c r="AQ24" s="721"/>
      <c r="AR24" s="721"/>
      <c r="AS24" s="721"/>
      <c r="AT24" s="721"/>
      <c r="AU24" s="721"/>
      <c r="AV24" s="721"/>
      <c r="AW24" s="721"/>
      <c r="AX24" s="721"/>
      <c r="AY24" s="639"/>
      <c r="BA24" s="1125">
        <v>21</v>
      </c>
      <c r="BB24" s="668">
        <f>IF(ISNUMBER(System!$C24),PlotData!B24+ $BF$1*AB24,$CB$3)</f>
        <v>0</v>
      </c>
      <c r="BC24" s="721">
        <f>IF(ISNUMBER(System!$C24),PlotData!C24+ $BF$1*AC24,$CB$3)</f>
        <v>0</v>
      </c>
      <c r="BD24" s="721">
        <f>IF(ISNUMBER(System!$C24),PlotData!D24+ $BF$1*AD24,$CB$3)</f>
        <v>0</v>
      </c>
      <c r="BE24" s="721">
        <f>IF(ISNUMBER(System!$C24),PlotData!E24+ $BF$1*AE24,$CB$3)</f>
        <v>0</v>
      </c>
      <c r="BF24" s="721">
        <f>IF(ISNUMBER(System!$C24),PlotData!F24+ $BF$1*AF24,$CB$3)</f>
        <v>0</v>
      </c>
      <c r="BG24" s="721">
        <f>IF(ISNUMBER(System!$C24),PlotData!G24+ $BF$1*AG24,$CB$3)</f>
        <v>0</v>
      </c>
      <c r="BH24" s="721">
        <f>IF(ISNUMBER(System!$C24),PlotData!H24+ $BF$1*AH24,$CB$3)</f>
        <v>0</v>
      </c>
      <c r="BI24" s="721">
        <f>IF(ISNUMBER(System!$C24),PlotData!I24+ $BF$1*AI24,$CB$3)</f>
        <v>0</v>
      </c>
      <c r="BJ24" s="721">
        <f>IF(ISNUMBER(System!$C24),PlotData!J24+ $BF$1*AJ24,$CB$3)</f>
        <v>0</v>
      </c>
      <c r="BK24" s="721">
        <f>IF(ISNUMBER(System!$C24),PlotData!K24+ $BF$1*AK24,$CB$3)</f>
        <v>0</v>
      </c>
      <c r="BL24" s="639">
        <f>IF(ISNUMBER(System!$C24),PlotData!L24+ $BF$1*AL24,$CB$3)</f>
        <v>0</v>
      </c>
      <c r="BN24" s="1125">
        <v>21</v>
      </c>
      <c r="BO24" s="668">
        <f>IF(ISNUMBER(System!$C24),O24+ $BF$1*AO24,$CB$4)</f>
        <v>0</v>
      </c>
      <c r="BP24" s="721">
        <f>IF(ISNUMBER(System!$C24),P24+ $BF$1*AP24,$CB$4)</f>
        <v>0</v>
      </c>
      <c r="BQ24" s="721">
        <f>IF(ISNUMBER(System!$C24),Q24+ $BF$1*AQ24,$CB$4)</f>
        <v>0</v>
      </c>
      <c r="BR24" s="721">
        <f>IF(ISNUMBER(System!$C24),R24+ $BF$1*AR24,$CB$4)</f>
        <v>0</v>
      </c>
      <c r="BS24" s="721">
        <f>IF(ISNUMBER(System!$C24),S24+ $BF$1*AS24,$CB$4)</f>
        <v>0</v>
      </c>
      <c r="BT24" s="721">
        <f>IF(ISNUMBER(System!$C24),T24+ $BF$1*AT24,$CB$4)</f>
        <v>0</v>
      </c>
      <c r="BU24" s="721">
        <f>IF(ISNUMBER(System!$C24),U24+ $BF$1*AU24,$CB$4)</f>
        <v>0</v>
      </c>
      <c r="BV24" s="721">
        <f>IF(ISNUMBER(System!$C24),V24+ $BF$1*AV24,$CB$4)</f>
        <v>0</v>
      </c>
      <c r="BW24" s="721">
        <f>IF(ISNUMBER(System!$C24),W24+ $BF$1*AW24,$CB$4)</f>
        <v>0</v>
      </c>
      <c r="BX24" s="721">
        <f>IF(ISNUMBER(System!$C24),X24+ $BF$1*AX24,$CB$4)</f>
        <v>0</v>
      </c>
      <c r="BY24" s="639">
        <f>IF(ISNUMBER(System!$C24),Y24+ $BF$1*AY24,$CB$4)</f>
        <v>0</v>
      </c>
      <c r="CA24" s="1127" t="s">
        <v>474</v>
      </c>
      <c r="CB24" s="1128">
        <f>CB17-CB19</f>
        <v>-249.70562748477141</v>
      </c>
      <c r="CC24" s="1129">
        <f>(CB18-CB19)*1</f>
        <v>-129.70562748477141</v>
      </c>
      <c r="CD24" s="1130"/>
      <c r="CE24" s="1127" t="s">
        <v>474</v>
      </c>
      <c r="CF24" s="1128">
        <f>CF17-CF19</f>
        <v>-169.70562748477141</v>
      </c>
      <c r="CG24" s="1129">
        <f>CF18-CF19</f>
        <v>-169.70562748477141</v>
      </c>
    </row>
    <row r="25" spans="1:85" x14ac:dyDescent="0.25">
      <c r="A25" s="1123">
        <v>22</v>
      </c>
      <c r="B25" s="668"/>
      <c r="C25" s="721"/>
      <c r="D25" s="721"/>
      <c r="E25" s="721"/>
      <c r="F25" s="721"/>
      <c r="G25" s="721"/>
      <c r="H25" s="721"/>
      <c r="I25" s="721"/>
      <c r="J25" s="721"/>
      <c r="K25" s="721"/>
      <c r="L25" s="639"/>
      <c r="N25" s="1123">
        <v>22</v>
      </c>
      <c r="O25" s="668"/>
      <c r="P25" s="721"/>
      <c r="Q25" s="721"/>
      <c r="R25" s="721"/>
      <c r="S25" s="721"/>
      <c r="T25" s="721"/>
      <c r="U25" s="721"/>
      <c r="V25" s="721"/>
      <c r="W25" s="721"/>
      <c r="X25" s="721"/>
      <c r="Y25" s="639"/>
      <c r="AA25" s="1124">
        <v>22</v>
      </c>
      <c r="AB25" s="668"/>
      <c r="AC25" s="721"/>
      <c r="AD25" s="721"/>
      <c r="AE25" s="721"/>
      <c r="AF25" s="721"/>
      <c r="AG25" s="721"/>
      <c r="AH25" s="721"/>
      <c r="AI25" s="721"/>
      <c r="AJ25" s="721"/>
      <c r="AK25" s="721"/>
      <c r="AL25" s="639"/>
      <c r="AN25" s="1124">
        <v>22</v>
      </c>
      <c r="AO25" s="668"/>
      <c r="AP25" s="721"/>
      <c r="AQ25" s="721"/>
      <c r="AR25" s="721"/>
      <c r="AS25" s="721"/>
      <c r="AT25" s="721"/>
      <c r="AU25" s="721"/>
      <c r="AV25" s="721"/>
      <c r="AW25" s="721"/>
      <c r="AX25" s="721"/>
      <c r="AY25" s="639"/>
      <c r="BA25" s="1125">
        <v>22</v>
      </c>
      <c r="BB25" s="668">
        <f>IF(ISNUMBER(System!$C25),PlotData!B25+ $BF$1*AB25,$CB$3)</f>
        <v>0</v>
      </c>
      <c r="BC25" s="721">
        <f>IF(ISNUMBER(System!$C25),PlotData!C25+ $BF$1*AC25,$CB$3)</f>
        <v>0</v>
      </c>
      <c r="BD25" s="721">
        <f>IF(ISNUMBER(System!$C25),PlotData!D25+ $BF$1*AD25,$CB$3)</f>
        <v>0</v>
      </c>
      <c r="BE25" s="721">
        <f>IF(ISNUMBER(System!$C25),PlotData!E25+ $BF$1*AE25,$CB$3)</f>
        <v>0</v>
      </c>
      <c r="BF25" s="721">
        <f>IF(ISNUMBER(System!$C25),PlotData!F25+ $BF$1*AF25,$CB$3)</f>
        <v>0</v>
      </c>
      <c r="BG25" s="721">
        <f>IF(ISNUMBER(System!$C25),PlotData!G25+ $BF$1*AG25,$CB$3)</f>
        <v>0</v>
      </c>
      <c r="BH25" s="721">
        <f>IF(ISNUMBER(System!$C25),PlotData!H25+ $BF$1*AH25,$CB$3)</f>
        <v>0</v>
      </c>
      <c r="BI25" s="721">
        <f>IF(ISNUMBER(System!$C25),PlotData!I25+ $BF$1*AI25,$CB$3)</f>
        <v>0</v>
      </c>
      <c r="BJ25" s="721">
        <f>IF(ISNUMBER(System!$C25),PlotData!J25+ $BF$1*AJ25,$CB$3)</f>
        <v>0</v>
      </c>
      <c r="BK25" s="721">
        <f>IF(ISNUMBER(System!$C25),PlotData!K25+ $BF$1*AK25,$CB$3)</f>
        <v>0</v>
      </c>
      <c r="BL25" s="639">
        <f>IF(ISNUMBER(System!$C25),PlotData!L25+ $BF$1*AL25,$CB$3)</f>
        <v>0</v>
      </c>
      <c r="BN25" s="1125">
        <v>22</v>
      </c>
      <c r="BO25" s="668">
        <f>IF(ISNUMBER(System!$C25),O25+ $BF$1*AO25,$CB$4)</f>
        <v>0</v>
      </c>
      <c r="BP25" s="721">
        <f>IF(ISNUMBER(System!$C25),P25+ $BF$1*AP25,$CB$4)</f>
        <v>0</v>
      </c>
      <c r="BQ25" s="721">
        <f>IF(ISNUMBER(System!$C25),Q25+ $BF$1*AQ25,$CB$4)</f>
        <v>0</v>
      </c>
      <c r="BR25" s="721">
        <f>IF(ISNUMBER(System!$C25),R25+ $BF$1*AR25,$CB$4)</f>
        <v>0</v>
      </c>
      <c r="BS25" s="721">
        <f>IF(ISNUMBER(System!$C25),S25+ $BF$1*AS25,$CB$4)</f>
        <v>0</v>
      </c>
      <c r="BT25" s="721">
        <f>IF(ISNUMBER(System!$C25),T25+ $BF$1*AT25,$CB$4)</f>
        <v>0</v>
      </c>
      <c r="BU25" s="721">
        <f>IF(ISNUMBER(System!$C25),U25+ $BF$1*AU25,$CB$4)</f>
        <v>0</v>
      </c>
      <c r="BV25" s="721">
        <f>IF(ISNUMBER(System!$C25),V25+ $BF$1*AV25,$CB$4)</f>
        <v>0</v>
      </c>
      <c r="BW25" s="721">
        <f>IF(ISNUMBER(System!$C25),W25+ $BF$1*AW25,$CB$4)</f>
        <v>0</v>
      </c>
      <c r="BX25" s="721">
        <f>IF(ISNUMBER(System!$C25),X25+ $BF$1*AX25,$CB$4)</f>
        <v>0</v>
      </c>
      <c r="BY25" s="639">
        <f>IF(ISNUMBER(System!$C25),Y25+ $BF$1*AY25,$CB$4)</f>
        <v>0</v>
      </c>
    </row>
    <row r="26" spans="1:85" x14ac:dyDescent="0.25">
      <c r="A26" s="1123">
        <v>23</v>
      </c>
      <c r="B26" s="668"/>
      <c r="C26" s="721"/>
      <c r="D26" s="721"/>
      <c r="E26" s="721"/>
      <c r="F26" s="721"/>
      <c r="G26" s="721"/>
      <c r="H26" s="721"/>
      <c r="I26" s="721"/>
      <c r="J26" s="721"/>
      <c r="K26" s="721"/>
      <c r="L26" s="639"/>
      <c r="N26" s="1123">
        <v>23</v>
      </c>
      <c r="O26" s="668"/>
      <c r="P26" s="721"/>
      <c r="Q26" s="721"/>
      <c r="R26" s="721"/>
      <c r="S26" s="721"/>
      <c r="T26" s="721"/>
      <c r="U26" s="721"/>
      <c r="V26" s="721"/>
      <c r="W26" s="721"/>
      <c r="X26" s="721"/>
      <c r="Y26" s="639"/>
      <c r="AA26" s="1124">
        <v>23</v>
      </c>
      <c r="AB26" s="668"/>
      <c r="AC26" s="721"/>
      <c r="AD26" s="721"/>
      <c r="AE26" s="721"/>
      <c r="AF26" s="721"/>
      <c r="AG26" s="721"/>
      <c r="AH26" s="721"/>
      <c r="AI26" s="721"/>
      <c r="AJ26" s="721"/>
      <c r="AK26" s="721"/>
      <c r="AL26" s="639"/>
      <c r="AN26" s="1124">
        <v>23</v>
      </c>
      <c r="AO26" s="668"/>
      <c r="AP26" s="721"/>
      <c r="AQ26" s="721"/>
      <c r="AR26" s="721"/>
      <c r="AS26" s="721"/>
      <c r="AT26" s="721"/>
      <c r="AU26" s="721"/>
      <c r="AV26" s="721"/>
      <c r="AW26" s="721"/>
      <c r="AX26" s="721"/>
      <c r="AY26" s="639"/>
      <c r="BA26" s="1125">
        <v>23</v>
      </c>
      <c r="BB26" s="668">
        <f>IF(ISNUMBER(System!$C26),PlotData!B26+ $BF$1*AB26,$CB$3)</f>
        <v>0</v>
      </c>
      <c r="BC26" s="721">
        <f>IF(ISNUMBER(System!$C26),PlotData!C26+ $BF$1*AC26,$CB$3)</f>
        <v>0</v>
      </c>
      <c r="BD26" s="721">
        <f>IF(ISNUMBER(System!$C26),PlotData!D26+ $BF$1*AD26,$CB$3)</f>
        <v>0</v>
      </c>
      <c r="BE26" s="721">
        <f>IF(ISNUMBER(System!$C26),PlotData!E26+ $BF$1*AE26,$CB$3)</f>
        <v>0</v>
      </c>
      <c r="BF26" s="721">
        <f>IF(ISNUMBER(System!$C26),PlotData!F26+ $BF$1*AF26,$CB$3)</f>
        <v>0</v>
      </c>
      <c r="BG26" s="721">
        <f>IF(ISNUMBER(System!$C26),PlotData!G26+ $BF$1*AG26,$CB$3)</f>
        <v>0</v>
      </c>
      <c r="BH26" s="721">
        <f>IF(ISNUMBER(System!$C26),PlotData!H26+ $BF$1*AH26,$CB$3)</f>
        <v>0</v>
      </c>
      <c r="BI26" s="721">
        <f>IF(ISNUMBER(System!$C26),PlotData!I26+ $BF$1*AI26,$CB$3)</f>
        <v>0</v>
      </c>
      <c r="BJ26" s="721">
        <f>IF(ISNUMBER(System!$C26),PlotData!J26+ $BF$1*AJ26,$CB$3)</f>
        <v>0</v>
      </c>
      <c r="BK26" s="721">
        <f>IF(ISNUMBER(System!$C26),PlotData!K26+ $BF$1*AK26,$CB$3)</f>
        <v>0</v>
      </c>
      <c r="BL26" s="639">
        <f>IF(ISNUMBER(System!$C26),PlotData!L26+ $BF$1*AL26,$CB$3)</f>
        <v>0</v>
      </c>
      <c r="BN26" s="1125">
        <v>23</v>
      </c>
      <c r="BO26" s="668">
        <f>IF(ISNUMBER(System!$C26),O26+ $BF$1*AO26,$CB$4)</f>
        <v>0</v>
      </c>
      <c r="BP26" s="721">
        <f>IF(ISNUMBER(System!$C26),P26+ $BF$1*AP26,$CB$4)</f>
        <v>0</v>
      </c>
      <c r="BQ26" s="721">
        <f>IF(ISNUMBER(System!$C26),Q26+ $BF$1*AQ26,$CB$4)</f>
        <v>0</v>
      </c>
      <c r="BR26" s="721">
        <f>IF(ISNUMBER(System!$C26),R26+ $BF$1*AR26,$CB$4)</f>
        <v>0</v>
      </c>
      <c r="BS26" s="721">
        <f>IF(ISNUMBER(System!$C26),S26+ $BF$1*AS26,$CB$4)</f>
        <v>0</v>
      </c>
      <c r="BT26" s="721">
        <f>IF(ISNUMBER(System!$C26),T26+ $BF$1*AT26,$CB$4)</f>
        <v>0</v>
      </c>
      <c r="BU26" s="721">
        <f>IF(ISNUMBER(System!$C26),U26+ $BF$1*AU26,$CB$4)</f>
        <v>0</v>
      </c>
      <c r="BV26" s="721">
        <f>IF(ISNUMBER(System!$C26),V26+ $BF$1*AV26,$CB$4)</f>
        <v>0</v>
      </c>
      <c r="BW26" s="721">
        <f>IF(ISNUMBER(System!$C26),W26+ $BF$1*AW26,$CB$4)</f>
        <v>0</v>
      </c>
      <c r="BX26" s="721">
        <f>IF(ISNUMBER(System!$C26),X26+ $BF$1*AX26,$CB$4)</f>
        <v>0</v>
      </c>
      <c r="BY26" s="639">
        <f>IF(ISNUMBER(System!$C26),Y26+ $BF$1*AY26,$CB$4)</f>
        <v>0</v>
      </c>
    </row>
    <row r="27" spans="1:85" x14ac:dyDescent="0.25">
      <c r="A27" s="1123">
        <v>24</v>
      </c>
      <c r="B27" s="668"/>
      <c r="C27" s="721"/>
      <c r="D27" s="721"/>
      <c r="E27" s="721"/>
      <c r="F27" s="721"/>
      <c r="G27" s="721"/>
      <c r="H27" s="721"/>
      <c r="I27" s="721"/>
      <c r="J27" s="721"/>
      <c r="K27" s="721"/>
      <c r="L27" s="639"/>
      <c r="N27" s="1123">
        <v>24</v>
      </c>
      <c r="O27" s="668"/>
      <c r="P27" s="721"/>
      <c r="Q27" s="721"/>
      <c r="R27" s="721"/>
      <c r="S27" s="721"/>
      <c r="T27" s="721"/>
      <c r="U27" s="721"/>
      <c r="V27" s="721"/>
      <c r="W27" s="721"/>
      <c r="X27" s="721"/>
      <c r="Y27" s="639"/>
      <c r="AA27" s="1124">
        <v>24</v>
      </c>
      <c r="AB27" s="668"/>
      <c r="AC27" s="721"/>
      <c r="AD27" s="721"/>
      <c r="AE27" s="721"/>
      <c r="AF27" s="721"/>
      <c r="AG27" s="721"/>
      <c r="AH27" s="721"/>
      <c r="AI27" s="721"/>
      <c r="AJ27" s="721"/>
      <c r="AK27" s="721"/>
      <c r="AL27" s="639"/>
      <c r="AN27" s="1124">
        <v>24</v>
      </c>
      <c r="AO27" s="668"/>
      <c r="AP27" s="721"/>
      <c r="AQ27" s="721"/>
      <c r="AR27" s="721"/>
      <c r="AS27" s="721"/>
      <c r="AT27" s="721"/>
      <c r="AU27" s="721"/>
      <c r="AV27" s="721"/>
      <c r="AW27" s="721"/>
      <c r="AX27" s="721"/>
      <c r="AY27" s="639"/>
      <c r="BA27" s="1125">
        <v>24</v>
      </c>
      <c r="BB27" s="668">
        <f>IF(ISNUMBER(System!$C27),PlotData!B27+ $BF$1*AB27,$CB$3)</f>
        <v>0</v>
      </c>
      <c r="BC27" s="721">
        <f>IF(ISNUMBER(System!$C27),PlotData!C27+ $BF$1*AC27,$CB$3)</f>
        <v>0</v>
      </c>
      <c r="BD27" s="721">
        <f>IF(ISNUMBER(System!$C27),PlotData!D27+ $BF$1*AD27,$CB$3)</f>
        <v>0</v>
      </c>
      <c r="BE27" s="721">
        <f>IF(ISNUMBER(System!$C27),PlotData!E27+ $BF$1*AE27,$CB$3)</f>
        <v>0</v>
      </c>
      <c r="BF27" s="721">
        <f>IF(ISNUMBER(System!$C27),PlotData!F27+ $BF$1*AF27,$CB$3)</f>
        <v>0</v>
      </c>
      <c r="BG27" s="721">
        <f>IF(ISNUMBER(System!$C27),PlotData!G27+ $BF$1*AG27,$CB$3)</f>
        <v>0</v>
      </c>
      <c r="BH27" s="721">
        <f>IF(ISNUMBER(System!$C27),PlotData!H27+ $BF$1*AH27,$CB$3)</f>
        <v>0</v>
      </c>
      <c r="BI27" s="721">
        <f>IF(ISNUMBER(System!$C27),PlotData!I27+ $BF$1*AI27,$CB$3)</f>
        <v>0</v>
      </c>
      <c r="BJ27" s="721">
        <f>IF(ISNUMBER(System!$C27),PlotData!J27+ $BF$1*AJ27,$CB$3)</f>
        <v>0</v>
      </c>
      <c r="BK27" s="721">
        <f>IF(ISNUMBER(System!$C27),PlotData!K27+ $BF$1*AK27,$CB$3)</f>
        <v>0</v>
      </c>
      <c r="BL27" s="639">
        <f>IF(ISNUMBER(System!$C27),PlotData!L27+ $BF$1*AL27,$CB$3)</f>
        <v>0</v>
      </c>
      <c r="BN27" s="1125">
        <v>24</v>
      </c>
      <c r="BO27" s="668">
        <f>IF(ISNUMBER(System!$C27),O27+ $BF$1*AO27,$CB$4)</f>
        <v>0</v>
      </c>
      <c r="BP27" s="721">
        <f>IF(ISNUMBER(System!$C27),P27+ $BF$1*AP27,$CB$4)</f>
        <v>0</v>
      </c>
      <c r="BQ27" s="721">
        <f>IF(ISNUMBER(System!$C27),Q27+ $BF$1*AQ27,$CB$4)</f>
        <v>0</v>
      </c>
      <c r="BR27" s="721">
        <f>IF(ISNUMBER(System!$C27),R27+ $BF$1*AR27,$CB$4)</f>
        <v>0</v>
      </c>
      <c r="BS27" s="721">
        <f>IF(ISNUMBER(System!$C27),S27+ $BF$1*AS27,$CB$4)</f>
        <v>0</v>
      </c>
      <c r="BT27" s="721">
        <f>IF(ISNUMBER(System!$C27),T27+ $BF$1*AT27,$CB$4)</f>
        <v>0</v>
      </c>
      <c r="BU27" s="721">
        <f>IF(ISNUMBER(System!$C27),U27+ $BF$1*AU27,$CB$4)</f>
        <v>0</v>
      </c>
      <c r="BV27" s="721">
        <f>IF(ISNUMBER(System!$C27),V27+ $BF$1*AV27,$CB$4)</f>
        <v>0</v>
      </c>
      <c r="BW27" s="721">
        <f>IF(ISNUMBER(System!$C27),W27+ $BF$1*AW27,$CB$4)</f>
        <v>0</v>
      </c>
      <c r="BX27" s="721">
        <f>IF(ISNUMBER(System!$C27),X27+ $BF$1*AX27,$CB$4)</f>
        <v>0</v>
      </c>
      <c r="BY27" s="639">
        <f>IF(ISNUMBER(System!$C27),Y27+ $BF$1*AY27,$CB$4)</f>
        <v>0</v>
      </c>
    </row>
    <row r="28" spans="1:85" x14ac:dyDescent="0.25">
      <c r="A28" s="1123">
        <v>25</v>
      </c>
      <c r="B28" s="668"/>
      <c r="C28" s="721"/>
      <c r="D28" s="721"/>
      <c r="E28" s="721"/>
      <c r="F28" s="721"/>
      <c r="G28" s="721"/>
      <c r="H28" s="721"/>
      <c r="I28" s="721"/>
      <c r="J28" s="721"/>
      <c r="K28" s="721"/>
      <c r="L28" s="639"/>
      <c r="N28" s="1123">
        <v>25</v>
      </c>
      <c r="O28" s="668"/>
      <c r="P28" s="721"/>
      <c r="Q28" s="721"/>
      <c r="R28" s="721"/>
      <c r="S28" s="721"/>
      <c r="T28" s="721"/>
      <c r="U28" s="721"/>
      <c r="V28" s="721"/>
      <c r="W28" s="721"/>
      <c r="X28" s="721"/>
      <c r="Y28" s="639"/>
      <c r="AA28" s="1124">
        <v>25</v>
      </c>
      <c r="AB28" s="668"/>
      <c r="AC28" s="721"/>
      <c r="AD28" s="721"/>
      <c r="AE28" s="721"/>
      <c r="AF28" s="721"/>
      <c r="AG28" s="721"/>
      <c r="AH28" s="721"/>
      <c r="AI28" s="721"/>
      <c r="AJ28" s="721"/>
      <c r="AK28" s="721"/>
      <c r="AL28" s="639"/>
      <c r="AN28" s="1124">
        <v>25</v>
      </c>
      <c r="AO28" s="668"/>
      <c r="AP28" s="721"/>
      <c r="AQ28" s="721"/>
      <c r="AR28" s="721"/>
      <c r="AS28" s="721"/>
      <c r="AT28" s="721"/>
      <c r="AU28" s="721"/>
      <c r="AV28" s="721"/>
      <c r="AW28" s="721"/>
      <c r="AX28" s="721"/>
      <c r="AY28" s="639"/>
      <c r="BA28" s="1125">
        <v>25</v>
      </c>
      <c r="BB28" s="668">
        <f>IF(ISNUMBER(System!$C28),PlotData!B28+ $BF$1*AB28,$CB$3)</f>
        <v>0</v>
      </c>
      <c r="BC28" s="721">
        <f>IF(ISNUMBER(System!$C28),PlotData!C28+ $BF$1*AC28,$CB$3)</f>
        <v>0</v>
      </c>
      <c r="BD28" s="721">
        <f>IF(ISNUMBER(System!$C28),PlotData!D28+ $BF$1*AD28,$CB$3)</f>
        <v>0</v>
      </c>
      <c r="BE28" s="721">
        <f>IF(ISNUMBER(System!$C28),PlotData!E28+ $BF$1*AE28,$CB$3)</f>
        <v>0</v>
      </c>
      <c r="BF28" s="721">
        <f>IF(ISNUMBER(System!$C28),PlotData!F28+ $BF$1*AF28,$CB$3)</f>
        <v>0</v>
      </c>
      <c r="BG28" s="721">
        <f>IF(ISNUMBER(System!$C28),PlotData!G28+ $BF$1*AG28,$CB$3)</f>
        <v>0</v>
      </c>
      <c r="BH28" s="721">
        <f>IF(ISNUMBER(System!$C28),PlotData!H28+ $BF$1*AH28,$CB$3)</f>
        <v>0</v>
      </c>
      <c r="BI28" s="721">
        <f>IF(ISNUMBER(System!$C28),PlotData!I28+ $BF$1*AI28,$CB$3)</f>
        <v>0</v>
      </c>
      <c r="BJ28" s="721">
        <f>IF(ISNUMBER(System!$C28),PlotData!J28+ $BF$1*AJ28,$CB$3)</f>
        <v>0</v>
      </c>
      <c r="BK28" s="721">
        <f>IF(ISNUMBER(System!$C28),PlotData!K28+ $BF$1*AK28,$CB$3)</f>
        <v>0</v>
      </c>
      <c r="BL28" s="639">
        <f>IF(ISNUMBER(System!$C28),PlotData!L28+ $BF$1*AL28,$CB$3)</f>
        <v>0</v>
      </c>
      <c r="BN28" s="1125">
        <v>25</v>
      </c>
      <c r="BO28" s="668">
        <f>IF(ISNUMBER(System!$C28),O28+ $BF$1*AO28,$CB$4)</f>
        <v>0</v>
      </c>
      <c r="BP28" s="721">
        <f>IF(ISNUMBER(System!$C28),P28+ $BF$1*AP28,$CB$4)</f>
        <v>0</v>
      </c>
      <c r="BQ28" s="721">
        <f>IF(ISNUMBER(System!$C28),Q28+ $BF$1*AQ28,$CB$4)</f>
        <v>0</v>
      </c>
      <c r="BR28" s="721">
        <f>IF(ISNUMBER(System!$C28),R28+ $BF$1*AR28,$CB$4)</f>
        <v>0</v>
      </c>
      <c r="BS28" s="721">
        <f>IF(ISNUMBER(System!$C28),S28+ $BF$1*AS28,$CB$4)</f>
        <v>0</v>
      </c>
      <c r="BT28" s="721">
        <f>IF(ISNUMBER(System!$C28),T28+ $BF$1*AT28,$CB$4)</f>
        <v>0</v>
      </c>
      <c r="BU28" s="721">
        <f>IF(ISNUMBER(System!$C28),U28+ $BF$1*AU28,$CB$4)</f>
        <v>0</v>
      </c>
      <c r="BV28" s="721">
        <f>IF(ISNUMBER(System!$C28),V28+ $BF$1*AV28,$CB$4)</f>
        <v>0</v>
      </c>
      <c r="BW28" s="721">
        <f>IF(ISNUMBER(System!$C28),W28+ $BF$1*AW28,$CB$4)</f>
        <v>0</v>
      </c>
      <c r="BX28" s="721">
        <f>IF(ISNUMBER(System!$C28),X28+ $BF$1*AX28,$CB$4)</f>
        <v>0</v>
      </c>
      <c r="BY28" s="639">
        <f>IF(ISNUMBER(System!$C28),Y28+ $BF$1*AY28,$CB$4)</f>
        <v>0</v>
      </c>
    </row>
    <row r="29" spans="1:85" x14ac:dyDescent="0.25">
      <c r="A29" s="1123">
        <v>26</v>
      </c>
      <c r="B29" s="668"/>
      <c r="C29" s="721"/>
      <c r="D29" s="721"/>
      <c r="E29" s="721"/>
      <c r="F29" s="721"/>
      <c r="G29" s="721"/>
      <c r="H29" s="721"/>
      <c r="I29" s="721"/>
      <c r="J29" s="721"/>
      <c r="K29" s="721"/>
      <c r="L29" s="639"/>
      <c r="N29" s="1123">
        <v>26</v>
      </c>
      <c r="O29" s="668"/>
      <c r="P29" s="721"/>
      <c r="Q29" s="721"/>
      <c r="R29" s="721"/>
      <c r="S29" s="721"/>
      <c r="T29" s="721"/>
      <c r="U29" s="721"/>
      <c r="V29" s="721"/>
      <c r="W29" s="721"/>
      <c r="X29" s="721"/>
      <c r="Y29" s="639"/>
      <c r="AA29" s="1124">
        <v>26</v>
      </c>
      <c r="AB29" s="668"/>
      <c r="AC29" s="721"/>
      <c r="AD29" s="721"/>
      <c r="AE29" s="721"/>
      <c r="AF29" s="721"/>
      <c r="AG29" s="721"/>
      <c r="AH29" s="721"/>
      <c r="AI29" s="721"/>
      <c r="AJ29" s="721"/>
      <c r="AK29" s="721"/>
      <c r="AL29" s="639"/>
      <c r="AN29" s="1124">
        <v>26</v>
      </c>
      <c r="AO29" s="668"/>
      <c r="AP29" s="721"/>
      <c r="AQ29" s="721"/>
      <c r="AR29" s="721"/>
      <c r="AS29" s="721"/>
      <c r="AT29" s="721"/>
      <c r="AU29" s="721"/>
      <c r="AV29" s="721"/>
      <c r="AW29" s="721"/>
      <c r="AX29" s="721"/>
      <c r="AY29" s="639"/>
      <c r="BA29" s="1125">
        <v>26</v>
      </c>
      <c r="BB29" s="668">
        <f>IF(ISNUMBER(System!$C29),PlotData!B29+ $BF$1*AB29,$CB$3)</f>
        <v>0</v>
      </c>
      <c r="BC29" s="721">
        <f>IF(ISNUMBER(System!$C29),PlotData!C29+ $BF$1*AC29,$CB$3)</f>
        <v>0</v>
      </c>
      <c r="BD29" s="721">
        <f>IF(ISNUMBER(System!$C29),PlotData!D29+ $BF$1*AD29,$CB$3)</f>
        <v>0</v>
      </c>
      <c r="BE29" s="721">
        <f>IF(ISNUMBER(System!$C29),PlotData!E29+ $BF$1*AE29,$CB$3)</f>
        <v>0</v>
      </c>
      <c r="BF29" s="721">
        <f>IF(ISNUMBER(System!$C29),PlotData!F29+ $BF$1*AF29,$CB$3)</f>
        <v>0</v>
      </c>
      <c r="BG29" s="721">
        <f>IF(ISNUMBER(System!$C29),PlotData!G29+ $BF$1*AG29,$CB$3)</f>
        <v>0</v>
      </c>
      <c r="BH29" s="721">
        <f>IF(ISNUMBER(System!$C29),PlotData!H29+ $BF$1*AH29,$CB$3)</f>
        <v>0</v>
      </c>
      <c r="BI29" s="721">
        <f>IF(ISNUMBER(System!$C29),PlotData!I29+ $BF$1*AI29,$CB$3)</f>
        <v>0</v>
      </c>
      <c r="BJ29" s="721">
        <f>IF(ISNUMBER(System!$C29),PlotData!J29+ $BF$1*AJ29,$CB$3)</f>
        <v>0</v>
      </c>
      <c r="BK29" s="721">
        <f>IF(ISNUMBER(System!$C29),PlotData!K29+ $BF$1*AK29,$CB$3)</f>
        <v>0</v>
      </c>
      <c r="BL29" s="639">
        <f>IF(ISNUMBER(System!$C29),PlotData!L29+ $BF$1*AL29,$CB$3)</f>
        <v>0</v>
      </c>
      <c r="BN29" s="1125">
        <v>26</v>
      </c>
      <c r="BO29" s="668">
        <f>IF(ISNUMBER(System!$C29),O29+ $BF$1*AO29,$CB$4)</f>
        <v>0</v>
      </c>
      <c r="BP29" s="721">
        <f>IF(ISNUMBER(System!$C29),P29+ $BF$1*AP29,$CB$4)</f>
        <v>0</v>
      </c>
      <c r="BQ29" s="721">
        <f>IF(ISNUMBER(System!$C29),Q29+ $BF$1*AQ29,$CB$4)</f>
        <v>0</v>
      </c>
      <c r="BR29" s="721">
        <f>IF(ISNUMBER(System!$C29),R29+ $BF$1*AR29,$CB$4)</f>
        <v>0</v>
      </c>
      <c r="BS29" s="721">
        <f>IF(ISNUMBER(System!$C29),S29+ $BF$1*AS29,$CB$4)</f>
        <v>0</v>
      </c>
      <c r="BT29" s="721">
        <f>IF(ISNUMBER(System!$C29),T29+ $BF$1*AT29,$CB$4)</f>
        <v>0</v>
      </c>
      <c r="BU29" s="721">
        <f>IF(ISNUMBER(System!$C29),U29+ $BF$1*AU29,$CB$4)</f>
        <v>0</v>
      </c>
      <c r="BV29" s="721">
        <f>IF(ISNUMBER(System!$C29),V29+ $BF$1*AV29,$CB$4)</f>
        <v>0</v>
      </c>
      <c r="BW29" s="721">
        <f>IF(ISNUMBER(System!$C29),W29+ $BF$1*AW29,$CB$4)</f>
        <v>0</v>
      </c>
      <c r="BX29" s="721">
        <f>IF(ISNUMBER(System!$C29),X29+ $BF$1*AX29,$CB$4)</f>
        <v>0</v>
      </c>
      <c r="BY29" s="639">
        <f>IF(ISNUMBER(System!$C29),Y29+ $BF$1*AY29,$CB$4)</f>
        <v>0</v>
      </c>
    </row>
    <row r="30" spans="1:85" x14ac:dyDescent="0.25">
      <c r="A30" s="1123">
        <v>27</v>
      </c>
      <c r="B30" s="668"/>
      <c r="C30" s="721"/>
      <c r="D30" s="721"/>
      <c r="E30" s="721"/>
      <c r="F30" s="721"/>
      <c r="G30" s="721"/>
      <c r="H30" s="721"/>
      <c r="I30" s="721"/>
      <c r="J30" s="721"/>
      <c r="K30" s="721"/>
      <c r="L30" s="639"/>
      <c r="N30" s="1123">
        <v>27</v>
      </c>
      <c r="O30" s="668"/>
      <c r="P30" s="721"/>
      <c r="Q30" s="721"/>
      <c r="R30" s="721"/>
      <c r="S30" s="721"/>
      <c r="T30" s="721"/>
      <c r="U30" s="721"/>
      <c r="V30" s="721"/>
      <c r="W30" s="721"/>
      <c r="X30" s="721"/>
      <c r="Y30" s="639"/>
      <c r="AA30" s="1124">
        <v>27</v>
      </c>
      <c r="AB30" s="668"/>
      <c r="AC30" s="721"/>
      <c r="AD30" s="721"/>
      <c r="AE30" s="721"/>
      <c r="AF30" s="721"/>
      <c r="AG30" s="721"/>
      <c r="AH30" s="721"/>
      <c r="AI30" s="721"/>
      <c r="AJ30" s="721"/>
      <c r="AK30" s="721"/>
      <c r="AL30" s="639"/>
      <c r="AN30" s="1124">
        <v>27</v>
      </c>
      <c r="AO30" s="668"/>
      <c r="AP30" s="721"/>
      <c r="AQ30" s="721"/>
      <c r="AR30" s="721"/>
      <c r="AS30" s="721"/>
      <c r="AT30" s="721"/>
      <c r="AU30" s="721"/>
      <c r="AV30" s="721"/>
      <c r="AW30" s="721"/>
      <c r="AX30" s="721"/>
      <c r="AY30" s="639"/>
      <c r="BA30" s="1125">
        <v>27</v>
      </c>
      <c r="BB30" s="668">
        <f>IF(ISNUMBER(System!$C30),PlotData!B30+ $BF$1*AB30,$CB$3)</f>
        <v>0</v>
      </c>
      <c r="BC30" s="721">
        <f>IF(ISNUMBER(System!$C30),PlotData!C30+ $BF$1*AC30,$CB$3)</f>
        <v>0</v>
      </c>
      <c r="BD30" s="721">
        <f>IF(ISNUMBER(System!$C30),PlotData!D30+ $BF$1*AD30,$CB$3)</f>
        <v>0</v>
      </c>
      <c r="BE30" s="721">
        <f>IF(ISNUMBER(System!$C30),PlotData!E30+ $BF$1*AE30,$CB$3)</f>
        <v>0</v>
      </c>
      <c r="BF30" s="721">
        <f>IF(ISNUMBER(System!$C30),PlotData!F30+ $BF$1*AF30,$CB$3)</f>
        <v>0</v>
      </c>
      <c r="BG30" s="721">
        <f>IF(ISNUMBER(System!$C30),PlotData!G30+ $BF$1*AG30,$CB$3)</f>
        <v>0</v>
      </c>
      <c r="BH30" s="721">
        <f>IF(ISNUMBER(System!$C30),PlotData!H30+ $BF$1*AH30,$CB$3)</f>
        <v>0</v>
      </c>
      <c r="BI30" s="721">
        <f>IF(ISNUMBER(System!$C30),PlotData!I30+ $BF$1*AI30,$CB$3)</f>
        <v>0</v>
      </c>
      <c r="BJ30" s="721">
        <f>IF(ISNUMBER(System!$C30),PlotData!J30+ $BF$1*AJ30,$CB$3)</f>
        <v>0</v>
      </c>
      <c r="BK30" s="721">
        <f>IF(ISNUMBER(System!$C30),PlotData!K30+ $BF$1*AK30,$CB$3)</f>
        <v>0</v>
      </c>
      <c r="BL30" s="639">
        <f>IF(ISNUMBER(System!$C30),PlotData!L30+ $BF$1*AL30,$CB$3)</f>
        <v>0</v>
      </c>
      <c r="BN30" s="1125">
        <v>27</v>
      </c>
      <c r="BO30" s="668">
        <f>IF(ISNUMBER(System!$C30),O30+ $BF$1*AO30,$CB$4)</f>
        <v>0</v>
      </c>
      <c r="BP30" s="721">
        <f>IF(ISNUMBER(System!$C30),P30+ $BF$1*AP30,$CB$4)</f>
        <v>0</v>
      </c>
      <c r="BQ30" s="721">
        <f>IF(ISNUMBER(System!$C30),Q30+ $BF$1*AQ30,$CB$4)</f>
        <v>0</v>
      </c>
      <c r="BR30" s="721">
        <f>IF(ISNUMBER(System!$C30),R30+ $BF$1*AR30,$CB$4)</f>
        <v>0</v>
      </c>
      <c r="BS30" s="721">
        <f>IF(ISNUMBER(System!$C30),S30+ $BF$1*AS30,$CB$4)</f>
        <v>0</v>
      </c>
      <c r="BT30" s="721">
        <f>IF(ISNUMBER(System!$C30),T30+ $BF$1*AT30,$CB$4)</f>
        <v>0</v>
      </c>
      <c r="BU30" s="721">
        <f>IF(ISNUMBER(System!$C30),U30+ $BF$1*AU30,$CB$4)</f>
        <v>0</v>
      </c>
      <c r="BV30" s="721">
        <f>IF(ISNUMBER(System!$C30),V30+ $BF$1*AV30,$CB$4)</f>
        <v>0</v>
      </c>
      <c r="BW30" s="721">
        <f>IF(ISNUMBER(System!$C30),W30+ $BF$1*AW30,$CB$4)</f>
        <v>0</v>
      </c>
      <c r="BX30" s="721">
        <f>IF(ISNUMBER(System!$C30),X30+ $BF$1*AX30,$CB$4)</f>
        <v>0</v>
      </c>
      <c r="BY30" s="639">
        <f>IF(ISNUMBER(System!$C30),Y30+ $BF$1*AY30,$CB$4)</f>
        <v>0</v>
      </c>
    </row>
    <row r="31" spans="1:85" x14ac:dyDescent="0.25">
      <c r="A31" s="1123">
        <v>28</v>
      </c>
      <c r="B31" s="668"/>
      <c r="C31" s="721"/>
      <c r="D31" s="721"/>
      <c r="E31" s="721"/>
      <c r="F31" s="721"/>
      <c r="G31" s="721"/>
      <c r="H31" s="721"/>
      <c r="I31" s="721"/>
      <c r="J31" s="721"/>
      <c r="K31" s="721"/>
      <c r="L31" s="639"/>
      <c r="N31" s="1123">
        <v>28</v>
      </c>
      <c r="O31" s="668"/>
      <c r="P31" s="721"/>
      <c r="Q31" s="721"/>
      <c r="R31" s="721"/>
      <c r="S31" s="721"/>
      <c r="T31" s="721"/>
      <c r="U31" s="721"/>
      <c r="V31" s="721"/>
      <c r="W31" s="721"/>
      <c r="X31" s="721"/>
      <c r="Y31" s="639"/>
      <c r="AA31" s="1124">
        <v>28</v>
      </c>
      <c r="AB31" s="668"/>
      <c r="AC31" s="721"/>
      <c r="AD31" s="721"/>
      <c r="AE31" s="721"/>
      <c r="AF31" s="721"/>
      <c r="AG31" s="721"/>
      <c r="AH31" s="721"/>
      <c r="AI31" s="721"/>
      <c r="AJ31" s="721"/>
      <c r="AK31" s="721"/>
      <c r="AL31" s="639"/>
      <c r="AN31" s="1124">
        <v>28</v>
      </c>
      <c r="AO31" s="668"/>
      <c r="AP31" s="721"/>
      <c r="AQ31" s="721"/>
      <c r="AR31" s="721"/>
      <c r="AS31" s="721"/>
      <c r="AT31" s="721"/>
      <c r="AU31" s="721"/>
      <c r="AV31" s="721"/>
      <c r="AW31" s="721"/>
      <c r="AX31" s="721"/>
      <c r="AY31" s="639"/>
      <c r="BA31" s="1125">
        <v>28</v>
      </c>
      <c r="BB31" s="668">
        <f>IF(ISNUMBER(System!$C31),PlotData!B31+ $BF$1*AB31,$CB$3)</f>
        <v>0</v>
      </c>
      <c r="BC31" s="721">
        <f>IF(ISNUMBER(System!$C31),PlotData!C31+ $BF$1*AC31,$CB$3)</f>
        <v>0</v>
      </c>
      <c r="BD31" s="721">
        <f>IF(ISNUMBER(System!$C31),PlotData!D31+ $BF$1*AD31,$CB$3)</f>
        <v>0</v>
      </c>
      <c r="BE31" s="721">
        <f>IF(ISNUMBER(System!$C31),PlotData!E31+ $BF$1*AE31,$CB$3)</f>
        <v>0</v>
      </c>
      <c r="BF31" s="721">
        <f>IF(ISNUMBER(System!$C31),PlotData!F31+ $BF$1*AF31,$CB$3)</f>
        <v>0</v>
      </c>
      <c r="BG31" s="721">
        <f>IF(ISNUMBER(System!$C31),PlotData!G31+ $BF$1*AG31,$CB$3)</f>
        <v>0</v>
      </c>
      <c r="BH31" s="721">
        <f>IF(ISNUMBER(System!$C31),PlotData!H31+ $BF$1*AH31,$CB$3)</f>
        <v>0</v>
      </c>
      <c r="BI31" s="721">
        <f>IF(ISNUMBER(System!$C31),PlotData!I31+ $BF$1*AI31,$CB$3)</f>
        <v>0</v>
      </c>
      <c r="BJ31" s="721">
        <f>IF(ISNUMBER(System!$C31),PlotData!J31+ $BF$1*AJ31,$CB$3)</f>
        <v>0</v>
      </c>
      <c r="BK31" s="721">
        <f>IF(ISNUMBER(System!$C31),PlotData!K31+ $BF$1*AK31,$CB$3)</f>
        <v>0</v>
      </c>
      <c r="BL31" s="639">
        <f>IF(ISNUMBER(System!$C31),PlotData!L31+ $BF$1*AL31,$CB$3)</f>
        <v>0</v>
      </c>
      <c r="BN31" s="1125">
        <v>28</v>
      </c>
      <c r="BO31" s="668">
        <f>IF(ISNUMBER(System!$C31),O31+ $BF$1*AO31,$CB$4)</f>
        <v>0</v>
      </c>
      <c r="BP31" s="721">
        <f>IF(ISNUMBER(System!$C31),P31+ $BF$1*AP31,$CB$4)</f>
        <v>0</v>
      </c>
      <c r="BQ31" s="721">
        <f>IF(ISNUMBER(System!$C31),Q31+ $BF$1*AQ31,$CB$4)</f>
        <v>0</v>
      </c>
      <c r="BR31" s="721">
        <f>IF(ISNUMBER(System!$C31),R31+ $BF$1*AR31,$CB$4)</f>
        <v>0</v>
      </c>
      <c r="BS31" s="721">
        <f>IF(ISNUMBER(System!$C31),S31+ $BF$1*AS31,$CB$4)</f>
        <v>0</v>
      </c>
      <c r="BT31" s="721">
        <f>IF(ISNUMBER(System!$C31),T31+ $BF$1*AT31,$CB$4)</f>
        <v>0</v>
      </c>
      <c r="BU31" s="721">
        <f>IF(ISNUMBER(System!$C31),U31+ $BF$1*AU31,$CB$4)</f>
        <v>0</v>
      </c>
      <c r="BV31" s="721">
        <f>IF(ISNUMBER(System!$C31),V31+ $BF$1*AV31,$CB$4)</f>
        <v>0</v>
      </c>
      <c r="BW31" s="721">
        <f>IF(ISNUMBER(System!$C31),W31+ $BF$1*AW31,$CB$4)</f>
        <v>0</v>
      </c>
      <c r="BX31" s="721">
        <f>IF(ISNUMBER(System!$C31),X31+ $BF$1*AX31,$CB$4)</f>
        <v>0</v>
      </c>
      <c r="BY31" s="639">
        <f>IF(ISNUMBER(System!$C31),Y31+ $BF$1*AY31,$CB$4)</f>
        <v>0</v>
      </c>
    </row>
    <row r="32" spans="1:85" x14ac:dyDescent="0.25">
      <c r="A32" s="1123">
        <v>29</v>
      </c>
      <c r="B32" s="668"/>
      <c r="C32" s="721"/>
      <c r="D32" s="721"/>
      <c r="E32" s="721"/>
      <c r="F32" s="721"/>
      <c r="G32" s="721"/>
      <c r="H32" s="721"/>
      <c r="I32" s="721"/>
      <c r="J32" s="721"/>
      <c r="K32" s="721"/>
      <c r="L32" s="639"/>
      <c r="N32" s="1123">
        <v>29</v>
      </c>
      <c r="O32" s="668"/>
      <c r="P32" s="721"/>
      <c r="Q32" s="721"/>
      <c r="R32" s="721"/>
      <c r="S32" s="721"/>
      <c r="T32" s="721"/>
      <c r="U32" s="721"/>
      <c r="V32" s="721"/>
      <c r="W32" s="721"/>
      <c r="X32" s="721"/>
      <c r="Y32" s="639"/>
      <c r="AA32" s="1124">
        <v>29</v>
      </c>
      <c r="AB32" s="668"/>
      <c r="AC32" s="721"/>
      <c r="AD32" s="721"/>
      <c r="AE32" s="721"/>
      <c r="AF32" s="721"/>
      <c r="AG32" s="721"/>
      <c r="AH32" s="721"/>
      <c r="AI32" s="721"/>
      <c r="AJ32" s="721"/>
      <c r="AK32" s="721"/>
      <c r="AL32" s="639"/>
      <c r="AN32" s="1124">
        <v>29</v>
      </c>
      <c r="AO32" s="668"/>
      <c r="AP32" s="721"/>
      <c r="AQ32" s="721"/>
      <c r="AR32" s="721"/>
      <c r="AS32" s="721"/>
      <c r="AT32" s="721"/>
      <c r="AU32" s="721"/>
      <c r="AV32" s="721"/>
      <c r="AW32" s="721"/>
      <c r="AX32" s="721"/>
      <c r="AY32" s="639"/>
      <c r="BA32" s="1125">
        <v>29</v>
      </c>
      <c r="BB32" s="668">
        <f>IF(ISNUMBER(System!$C32),PlotData!B32+ $BF$1*AB32,$CB$3)</f>
        <v>0</v>
      </c>
      <c r="BC32" s="721">
        <f>IF(ISNUMBER(System!$C32),PlotData!C32+ $BF$1*AC32,$CB$3)</f>
        <v>0</v>
      </c>
      <c r="BD32" s="721">
        <f>IF(ISNUMBER(System!$C32),PlotData!D32+ $BF$1*AD32,$CB$3)</f>
        <v>0</v>
      </c>
      <c r="BE32" s="721">
        <f>IF(ISNUMBER(System!$C32),PlotData!E32+ $BF$1*AE32,$CB$3)</f>
        <v>0</v>
      </c>
      <c r="BF32" s="721">
        <f>IF(ISNUMBER(System!$C32),PlotData!F32+ $BF$1*AF32,$CB$3)</f>
        <v>0</v>
      </c>
      <c r="BG32" s="721">
        <f>IF(ISNUMBER(System!$C32),PlotData!G32+ $BF$1*AG32,$CB$3)</f>
        <v>0</v>
      </c>
      <c r="BH32" s="721">
        <f>IF(ISNUMBER(System!$C32),PlotData!H32+ $BF$1*AH32,$CB$3)</f>
        <v>0</v>
      </c>
      <c r="BI32" s="721">
        <f>IF(ISNUMBER(System!$C32),PlotData!I32+ $BF$1*AI32,$CB$3)</f>
        <v>0</v>
      </c>
      <c r="BJ32" s="721">
        <f>IF(ISNUMBER(System!$C32),PlotData!J32+ $BF$1*AJ32,$CB$3)</f>
        <v>0</v>
      </c>
      <c r="BK32" s="721">
        <f>IF(ISNUMBER(System!$C32),PlotData!K32+ $BF$1*AK32,$CB$3)</f>
        <v>0</v>
      </c>
      <c r="BL32" s="639">
        <f>IF(ISNUMBER(System!$C32),PlotData!L32+ $BF$1*AL32,$CB$3)</f>
        <v>0</v>
      </c>
      <c r="BN32" s="1125">
        <v>29</v>
      </c>
      <c r="BO32" s="668">
        <f>IF(ISNUMBER(System!$C32),O32+ $BF$1*AO32,$CB$4)</f>
        <v>0</v>
      </c>
      <c r="BP32" s="721">
        <f>IF(ISNUMBER(System!$C32),P32+ $BF$1*AP32,$CB$4)</f>
        <v>0</v>
      </c>
      <c r="BQ32" s="721">
        <f>IF(ISNUMBER(System!$C32),Q32+ $BF$1*AQ32,$CB$4)</f>
        <v>0</v>
      </c>
      <c r="BR32" s="721">
        <f>IF(ISNUMBER(System!$C32),R32+ $BF$1*AR32,$CB$4)</f>
        <v>0</v>
      </c>
      <c r="BS32" s="721">
        <f>IF(ISNUMBER(System!$C32),S32+ $BF$1*AS32,$CB$4)</f>
        <v>0</v>
      </c>
      <c r="BT32" s="721">
        <f>IF(ISNUMBER(System!$C32),T32+ $BF$1*AT32,$CB$4)</f>
        <v>0</v>
      </c>
      <c r="BU32" s="721">
        <f>IF(ISNUMBER(System!$C32),U32+ $BF$1*AU32,$CB$4)</f>
        <v>0</v>
      </c>
      <c r="BV32" s="721">
        <f>IF(ISNUMBER(System!$C32),V32+ $BF$1*AV32,$CB$4)</f>
        <v>0</v>
      </c>
      <c r="BW32" s="721">
        <f>IF(ISNUMBER(System!$C32),W32+ $BF$1*AW32,$CB$4)</f>
        <v>0</v>
      </c>
      <c r="BX32" s="721">
        <f>IF(ISNUMBER(System!$C32),X32+ $BF$1*AX32,$CB$4)</f>
        <v>0</v>
      </c>
      <c r="BY32" s="639">
        <f>IF(ISNUMBER(System!$C32),Y32+ $BF$1*AY32,$CB$4)</f>
        <v>0</v>
      </c>
    </row>
    <row r="33" spans="1:77" x14ac:dyDescent="0.25">
      <c r="A33" s="1123">
        <v>30</v>
      </c>
      <c r="B33" s="668"/>
      <c r="C33" s="721"/>
      <c r="D33" s="721"/>
      <c r="E33" s="721"/>
      <c r="F33" s="721"/>
      <c r="G33" s="721"/>
      <c r="H33" s="721"/>
      <c r="I33" s="721"/>
      <c r="J33" s="721"/>
      <c r="K33" s="721"/>
      <c r="L33" s="639"/>
      <c r="N33" s="1123">
        <v>30</v>
      </c>
      <c r="O33" s="668"/>
      <c r="P33" s="721"/>
      <c r="Q33" s="721"/>
      <c r="R33" s="721"/>
      <c r="S33" s="721"/>
      <c r="T33" s="721"/>
      <c r="U33" s="721"/>
      <c r="V33" s="721"/>
      <c r="W33" s="721"/>
      <c r="X33" s="721"/>
      <c r="Y33" s="639"/>
      <c r="AA33" s="1124">
        <v>30</v>
      </c>
      <c r="AB33" s="668"/>
      <c r="AC33" s="721"/>
      <c r="AD33" s="721"/>
      <c r="AE33" s="721"/>
      <c r="AF33" s="721"/>
      <c r="AG33" s="721"/>
      <c r="AH33" s="721"/>
      <c r="AI33" s="721"/>
      <c r="AJ33" s="721"/>
      <c r="AK33" s="721"/>
      <c r="AL33" s="639"/>
      <c r="AN33" s="1124">
        <v>30</v>
      </c>
      <c r="AO33" s="668"/>
      <c r="AP33" s="721"/>
      <c r="AQ33" s="721"/>
      <c r="AR33" s="721"/>
      <c r="AS33" s="721"/>
      <c r="AT33" s="721"/>
      <c r="AU33" s="721"/>
      <c r="AV33" s="721"/>
      <c r="AW33" s="721"/>
      <c r="AX33" s="721"/>
      <c r="AY33" s="639"/>
      <c r="BA33" s="1125">
        <v>30</v>
      </c>
      <c r="BB33" s="668">
        <f>IF(ISNUMBER(System!$C33),PlotData!B33+ $BF$1*AB33,$CB$3)</f>
        <v>0</v>
      </c>
      <c r="BC33" s="721">
        <f>IF(ISNUMBER(System!$C33),PlotData!C33+ $BF$1*AC33,$CB$3)</f>
        <v>0</v>
      </c>
      <c r="BD33" s="721">
        <f>IF(ISNUMBER(System!$C33),PlotData!D33+ $BF$1*AD33,$CB$3)</f>
        <v>0</v>
      </c>
      <c r="BE33" s="721">
        <f>IF(ISNUMBER(System!$C33),PlotData!E33+ $BF$1*AE33,$CB$3)</f>
        <v>0</v>
      </c>
      <c r="BF33" s="721">
        <f>IF(ISNUMBER(System!$C33),PlotData!F33+ $BF$1*AF33,$CB$3)</f>
        <v>0</v>
      </c>
      <c r="BG33" s="721">
        <f>IF(ISNUMBER(System!$C33),PlotData!G33+ $BF$1*AG33,$CB$3)</f>
        <v>0</v>
      </c>
      <c r="BH33" s="721">
        <f>IF(ISNUMBER(System!$C33),PlotData!H33+ $BF$1*AH33,$CB$3)</f>
        <v>0</v>
      </c>
      <c r="BI33" s="721">
        <f>IF(ISNUMBER(System!$C33),PlotData!I33+ $BF$1*AI33,$CB$3)</f>
        <v>0</v>
      </c>
      <c r="BJ33" s="721">
        <f>IF(ISNUMBER(System!$C33),PlotData!J33+ $BF$1*AJ33,$CB$3)</f>
        <v>0</v>
      </c>
      <c r="BK33" s="721">
        <f>IF(ISNUMBER(System!$C33),PlotData!K33+ $BF$1*AK33,$CB$3)</f>
        <v>0</v>
      </c>
      <c r="BL33" s="639">
        <f>IF(ISNUMBER(System!$C33),PlotData!L33+ $BF$1*AL33,$CB$3)</f>
        <v>0</v>
      </c>
      <c r="BN33" s="1125">
        <v>30</v>
      </c>
      <c r="BO33" s="668">
        <f>IF(ISNUMBER(System!$C33),O33+ $BF$1*AO33,$CB$4)</f>
        <v>0</v>
      </c>
      <c r="BP33" s="721">
        <f>IF(ISNUMBER(System!$C33),P33+ $BF$1*AP33,$CB$4)</f>
        <v>0</v>
      </c>
      <c r="BQ33" s="721">
        <f>IF(ISNUMBER(System!$C33),Q33+ $BF$1*AQ33,$CB$4)</f>
        <v>0</v>
      </c>
      <c r="BR33" s="721">
        <f>IF(ISNUMBER(System!$C33),R33+ $BF$1*AR33,$CB$4)</f>
        <v>0</v>
      </c>
      <c r="BS33" s="721">
        <f>IF(ISNUMBER(System!$C33),S33+ $BF$1*AS33,$CB$4)</f>
        <v>0</v>
      </c>
      <c r="BT33" s="721">
        <f>IF(ISNUMBER(System!$C33),T33+ $BF$1*AT33,$CB$4)</f>
        <v>0</v>
      </c>
      <c r="BU33" s="721">
        <f>IF(ISNUMBER(System!$C33),U33+ $BF$1*AU33,$CB$4)</f>
        <v>0</v>
      </c>
      <c r="BV33" s="721">
        <f>IF(ISNUMBER(System!$C33),V33+ $BF$1*AV33,$CB$4)</f>
        <v>0</v>
      </c>
      <c r="BW33" s="721">
        <f>IF(ISNUMBER(System!$C33),W33+ $BF$1*AW33,$CB$4)</f>
        <v>0</v>
      </c>
      <c r="BX33" s="721">
        <f>IF(ISNUMBER(System!$C33),X33+ $BF$1*AX33,$CB$4)</f>
        <v>0</v>
      </c>
      <c r="BY33" s="639">
        <f>IF(ISNUMBER(System!$C33),Y33+ $BF$1*AY33,$CB$4)</f>
        <v>0</v>
      </c>
    </row>
    <row r="34" spans="1:77" x14ac:dyDescent="0.25">
      <c r="A34" s="1123">
        <v>31</v>
      </c>
      <c r="B34" s="668"/>
      <c r="C34" s="721"/>
      <c r="D34" s="721"/>
      <c r="E34" s="721"/>
      <c r="F34" s="721"/>
      <c r="G34" s="721"/>
      <c r="H34" s="721"/>
      <c r="I34" s="721"/>
      <c r="J34" s="721"/>
      <c r="K34" s="721"/>
      <c r="L34" s="639"/>
      <c r="N34" s="1123">
        <v>31</v>
      </c>
      <c r="O34" s="668"/>
      <c r="P34" s="721"/>
      <c r="Q34" s="721"/>
      <c r="R34" s="721"/>
      <c r="S34" s="721"/>
      <c r="T34" s="721"/>
      <c r="U34" s="721"/>
      <c r="V34" s="721"/>
      <c r="W34" s="721"/>
      <c r="X34" s="721"/>
      <c r="Y34" s="639"/>
      <c r="AA34" s="1124">
        <v>31</v>
      </c>
      <c r="AB34" s="668"/>
      <c r="AC34" s="721"/>
      <c r="AD34" s="721"/>
      <c r="AE34" s="721"/>
      <c r="AF34" s="721"/>
      <c r="AG34" s="721"/>
      <c r="AH34" s="721"/>
      <c r="AI34" s="721"/>
      <c r="AJ34" s="721"/>
      <c r="AK34" s="721"/>
      <c r="AL34" s="639"/>
      <c r="AN34" s="1124">
        <v>31</v>
      </c>
      <c r="AO34" s="668"/>
      <c r="AP34" s="721"/>
      <c r="AQ34" s="721"/>
      <c r="AR34" s="721"/>
      <c r="AS34" s="721"/>
      <c r="AT34" s="721"/>
      <c r="AU34" s="721"/>
      <c r="AV34" s="721"/>
      <c r="AW34" s="721"/>
      <c r="AX34" s="721"/>
      <c r="AY34" s="639"/>
      <c r="BA34" s="1125">
        <v>31</v>
      </c>
      <c r="BB34" s="668">
        <f>IF(ISNUMBER(System!$C34),PlotData!B34+ $BF$1*AB34,$CB$3)</f>
        <v>0</v>
      </c>
      <c r="BC34" s="721">
        <f>IF(ISNUMBER(System!$C34),PlotData!C34+ $BF$1*AC34,$CB$3)</f>
        <v>0</v>
      </c>
      <c r="BD34" s="721">
        <f>IF(ISNUMBER(System!$C34),PlotData!D34+ $BF$1*AD34,$CB$3)</f>
        <v>0</v>
      </c>
      <c r="BE34" s="721">
        <f>IF(ISNUMBER(System!$C34),PlotData!E34+ $BF$1*AE34,$CB$3)</f>
        <v>0</v>
      </c>
      <c r="BF34" s="721">
        <f>IF(ISNUMBER(System!$C34),PlotData!F34+ $BF$1*AF34,$CB$3)</f>
        <v>0</v>
      </c>
      <c r="BG34" s="721">
        <f>IF(ISNUMBER(System!$C34),PlotData!G34+ $BF$1*AG34,$CB$3)</f>
        <v>0</v>
      </c>
      <c r="BH34" s="721">
        <f>IF(ISNUMBER(System!$C34),PlotData!H34+ $BF$1*AH34,$CB$3)</f>
        <v>0</v>
      </c>
      <c r="BI34" s="721">
        <f>IF(ISNUMBER(System!$C34),PlotData!I34+ $BF$1*AI34,$CB$3)</f>
        <v>0</v>
      </c>
      <c r="BJ34" s="721">
        <f>IF(ISNUMBER(System!$C34),PlotData!J34+ $BF$1*AJ34,$CB$3)</f>
        <v>0</v>
      </c>
      <c r="BK34" s="721">
        <f>IF(ISNUMBER(System!$C34),PlotData!K34+ $BF$1*AK34,$CB$3)</f>
        <v>0</v>
      </c>
      <c r="BL34" s="639">
        <f>IF(ISNUMBER(System!$C34),PlotData!L34+ $BF$1*AL34,$CB$3)</f>
        <v>0</v>
      </c>
      <c r="BN34" s="1125">
        <v>31</v>
      </c>
      <c r="BO34" s="668">
        <f>IF(ISNUMBER(System!$C34),O34+ $BF$1*AO34,$CB$4)</f>
        <v>0</v>
      </c>
      <c r="BP34" s="721">
        <f>IF(ISNUMBER(System!$C34),P34+ $BF$1*AP34,$CB$4)</f>
        <v>0</v>
      </c>
      <c r="BQ34" s="721">
        <f>IF(ISNUMBER(System!$C34),Q34+ $BF$1*AQ34,$CB$4)</f>
        <v>0</v>
      </c>
      <c r="BR34" s="721">
        <f>IF(ISNUMBER(System!$C34),R34+ $BF$1*AR34,$CB$4)</f>
        <v>0</v>
      </c>
      <c r="BS34" s="721">
        <f>IF(ISNUMBER(System!$C34),S34+ $BF$1*AS34,$CB$4)</f>
        <v>0</v>
      </c>
      <c r="BT34" s="721">
        <f>IF(ISNUMBER(System!$C34),T34+ $BF$1*AT34,$CB$4)</f>
        <v>0</v>
      </c>
      <c r="BU34" s="721">
        <f>IF(ISNUMBER(System!$C34),U34+ $BF$1*AU34,$CB$4)</f>
        <v>0</v>
      </c>
      <c r="BV34" s="721">
        <f>IF(ISNUMBER(System!$C34),V34+ $BF$1*AV34,$CB$4)</f>
        <v>0</v>
      </c>
      <c r="BW34" s="721">
        <f>IF(ISNUMBER(System!$C34),W34+ $BF$1*AW34,$CB$4)</f>
        <v>0</v>
      </c>
      <c r="BX34" s="721">
        <f>IF(ISNUMBER(System!$C34),X34+ $BF$1*AX34,$CB$4)</f>
        <v>0</v>
      </c>
      <c r="BY34" s="639">
        <f>IF(ISNUMBER(System!$C34),Y34+ $BF$1*AY34,$CB$4)</f>
        <v>0</v>
      </c>
    </row>
    <row r="35" spans="1:77" x14ac:dyDescent="0.25">
      <c r="A35" s="1123">
        <v>32</v>
      </c>
      <c r="B35" s="668"/>
      <c r="C35" s="721"/>
      <c r="D35" s="721"/>
      <c r="E35" s="721"/>
      <c r="F35" s="721"/>
      <c r="G35" s="721"/>
      <c r="H35" s="721"/>
      <c r="I35" s="721"/>
      <c r="J35" s="721"/>
      <c r="K35" s="721"/>
      <c r="L35" s="639"/>
      <c r="N35" s="1123">
        <v>32</v>
      </c>
      <c r="O35" s="668"/>
      <c r="P35" s="721"/>
      <c r="Q35" s="721"/>
      <c r="R35" s="721"/>
      <c r="S35" s="721"/>
      <c r="T35" s="721"/>
      <c r="U35" s="721"/>
      <c r="V35" s="721"/>
      <c r="W35" s="721"/>
      <c r="X35" s="721"/>
      <c r="Y35" s="639"/>
      <c r="AA35" s="1124">
        <v>32</v>
      </c>
      <c r="AB35" s="668"/>
      <c r="AC35" s="721"/>
      <c r="AD35" s="721"/>
      <c r="AE35" s="721"/>
      <c r="AF35" s="721"/>
      <c r="AG35" s="721"/>
      <c r="AH35" s="721"/>
      <c r="AI35" s="721"/>
      <c r="AJ35" s="721"/>
      <c r="AK35" s="721"/>
      <c r="AL35" s="639"/>
      <c r="AN35" s="1124">
        <v>32</v>
      </c>
      <c r="AO35" s="668"/>
      <c r="AP35" s="721"/>
      <c r="AQ35" s="721"/>
      <c r="AR35" s="721"/>
      <c r="AS35" s="721"/>
      <c r="AT35" s="721"/>
      <c r="AU35" s="721"/>
      <c r="AV35" s="721"/>
      <c r="AW35" s="721"/>
      <c r="AX35" s="721"/>
      <c r="AY35" s="639"/>
      <c r="BA35" s="1125">
        <v>32</v>
      </c>
      <c r="BB35" s="668">
        <f>IF(ISNUMBER(System!$C35),PlotData!B35+ $BF$1*AB35,$CB$3)</f>
        <v>0</v>
      </c>
      <c r="BC35" s="721">
        <f>IF(ISNUMBER(System!$C35),PlotData!C35+ $BF$1*AC35,$CB$3)</f>
        <v>0</v>
      </c>
      <c r="BD35" s="721">
        <f>IF(ISNUMBER(System!$C35),PlotData!D35+ $BF$1*AD35,$CB$3)</f>
        <v>0</v>
      </c>
      <c r="BE35" s="721">
        <f>IF(ISNUMBER(System!$C35),PlotData!E35+ $BF$1*AE35,$CB$3)</f>
        <v>0</v>
      </c>
      <c r="BF35" s="721">
        <f>IF(ISNUMBER(System!$C35),PlotData!F35+ $BF$1*AF35,$CB$3)</f>
        <v>0</v>
      </c>
      <c r="BG35" s="721">
        <f>IF(ISNUMBER(System!$C35),PlotData!G35+ $BF$1*AG35,$CB$3)</f>
        <v>0</v>
      </c>
      <c r="BH35" s="721">
        <f>IF(ISNUMBER(System!$C35),PlotData!H35+ $BF$1*AH35,$CB$3)</f>
        <v>0</v>
      </c>
      <c r="BI35" s="721">
        <f>IF(ISNUMBER(System!$C35),PlotData!I35+ $BF$1*AI35,$CB$3)</f>
        <v>0</v>
      </c>
      <c r="BJ35" s="721">
        <f>IF(ISNUMBER(System!$C35),PlotData!J35+ $BF$1*AJ35,$CB$3)</f>
        <v>0</v>
      </c>
      <c r="BK35" s="721">
        <f>IF(ISNUMBER(System!$C35),PlotData!K35+ $BF$1*AK35,$CB$3)</f>
        <v>0</v>
      </c>
      <c r="BL35" s="639">
        <f>IF(ISNUMBER(System!$C35),PlotData!L35+ $BF$1*AL35,$CB$3)</f>
        <v>0</v>
      </c>
      <c r="BN35" s="1125">
        <v>32</v>
      </c>
      <c r="BO35" s="668">
        <f>IF(ISNUMBER(System!$C35),O35+ $BF$1*AO35,$CB$4)</f>
        <v>0</v>
      </c>
      <c r="BP35" s="721">
        <f>IF(ISNUMBER(System!$C35),P35+ $BF$1*AP35,$CB$4)</f>
        <v>0</v>
      </c>
      <c r="BQ35" s="721">
        <f>IF(ISNUMBER(System!$C35),Q35+ $BF$1*AQ35,$CB$4)</f>
        <v>0</v>
      </c>
      <c r="BR35" s="721">
        <f>IF(ISNUMBER(System!$C35),R35+ $BF$1*AR35,$CB$4)</f>
        <v>0</v>
      </c>
      <c r="BS35" s="721">
        <f>IF(ISNUMBER(System!$C35),S35+ $BF$1*AS35,$CB$4)</f>
        <v>0</v>
      </c>
      <c r="BT35" s="721">
        <f>IF(ISNUMBER(System!$C35),T35+ $BF$1*AT35,$CB$4)</f>
        <v>0</v>
      </c>
      <c r="BU35" s="721">
        <f>IF(ISNUMBER(System!$C35),U35+ $BF$1*AU35,$CB$4)</f>
        <v>0</v>
      </c>
      <c r="BV35" s="721">
        <f>IF(ISNUMBER(System!$C35),V35+ $BF$1*AV35,$CB$4)</f>
        <v>0</v>
      </c>
      <c r="BW35" s="721">
        <f>IF(ISNUMBER(System!$C35),W35+ $BF$1*AW35,$CB$4)</f>
        <v>0</v>
      </c>
      <c r="BX35" s="721">
        <f>IF(ISNUMBER(System!$C35),X35+ $BF$1*AX35,$CB$4)</f>
        <v>0</v>
      </c>
      <c r="BY35" s="639">
        <f>IF(ISNUMBER(System!$C35),Y35+ $BF$1*AY35,$CB$4)</f>
        <v>0</v>
      </c>
    </row>
    <row r="36" spans="1:77" x14ac:dyDescent="0.25">
      <c r="A36" s="1123">
        <v>33</v>
      </c>
      <c r="B36" s="668"/>
      <c r="C36" s="721"/>
      <c r="D36" s="721"/>
      <c r="E36" s="721"/>
      <c r="F36" s="721"/>
      <c r="G36" s="721"/>
      <c r="H36" s="721"/>
      <c r="I36" s="721"/>
      <c r="J36" s="721"/>
      <c r="K36" s="721"/>
      <c r="L36" s="639"/>
      <c r="N36" s="1123">
        <v>33</v>
      </c>
      <c r="O36" s="668"/>
      <c r="P36" s="721"/>
      <c r="Q36" s="721"/>
      <c r="R36" s="721"/>
      <c r="S36" s="721"/>
      <c r="T36" s="721"/>
      <c r="U36" s="721"/>
      <c r="V36" s="721"/>
      <c r="W36" s="721"/>
      <c r="X36" s="721"/>
      <c r="Y36" s="639"/>
      <c r="AA36" s="1124">
        <v>33</v>
      </c>
      <c r="AB36" s="668"/>
      <c r="AC36" s="721"/>
      <c r="AD36" s="721"/>
      <c r="AE36" s="721"/>
      <c r="AF36" s="721"/>
      <c r="AG36" s="721"/>
      <c r="AH36" s="721"/>
      <c r="AI36" s="721"/>
      <c r="AJ36" s="721"/>
      <c r="AK36" s="721"/>
      <c r="AL36" s="639"/>
      <c r="AN36" s="1124">
        <v>33</v>
      </c>
      <c r="AO36" s="668"/>
      <c r="AP36" s="721"/>
      <c r="AQ36" s="721"/>
      <c r="AR36" s="721"/>
      <c r="AS36" s="721"/>
      <c r="AT36" s="721"/>
      <c r="AU36" s="721"/>
      <c r="AV36" s="721"/>
      <c r="AW36" s="721"/>
      <c r="AX36" s="721"/>
      <c r="AY36" s="639"/>
      <c r="BA36" s="1125">
        <v>33</v>
      </c>
      <c r="BB36" s="668">
        <f>IF(ISNUMBER(System!$C36),PlotData!B36+ $BF$1*AB36,$CB$3)</f>
        <v>0</v>
      </c>
      <c r="BC36" s="721">
        <f>IF(ISNUMBER(System!$C36),PlotData!C36+ $BF$1*AC36,$CB$3)</f>
        <v>0</v>
      </c>
      <c r="BD36" s="721">
        <f>IF(ISNUMBER(System!$C36),PlotData!D36+ $BF$1*AD36,$CB$3)</f>
        <v>0</v>
      </c>
      <c r="BE36" s="721">
        <f>IF(ISNUMBER(System!$C36),PlotData!E36+ $BF$1*AE36,$CB$3)</f>
        <v>0</v>
      </c>
      <c r="BF36" s="721">
        <f>IF(ISNUMBER(System!$C36),PlotData!F36+ $BF$1*AF36,$CB$3)</f>
        <v>0</v>
      </c>
      <c r="BG36" s="721">
        <f>IF(ISNUMBER(System!$C36),PlotData!G36+ $BF$1*AG36,$CB$3)</f>
        <v>0</v>
      </c>
      <c r="BH36" s="721">
        <f>IF(ISNUMBER(System!$C36),PlotData!H36+ $BF$1*AH36,$CB$3)</f>
        <v>0</v>
      </c>
      <c r="BI36" s="721">
        <f>IF(ISNUMBER(System!$C36),PlotData!I36+ $BF$1*AI36,$CB$3)</f>
        <v>0</v>
      </c>
      <c r="BJ36" s="721">
        <f>IF(ISNUMBER(System!$C36),PlotData!J36+ $BF$1*AJ36,$CB$3)</f>
        <v>0</v>
      </c>
      <c r="BK36" s="721">
        <f>IF(ISNUMBER(System!$C36),PlotData!K36+ $BF$1*AK36,$CB$3)</f>
        <v>0</v>
      </c>
      <c r="BL36" s="639">
        <f>IF(ISNUMBER(System!$C36),PlotData!L36+ $BF$1*AL36,$CB$3)</f>
        <v>0</v>
      </c>
      <c r="BN36" s="1125">
        <v>33</v>
      </c>
      <c r="BO36" s="668">
        <f>IF(ISNUMBER(System!$C36),O36+ $BF$1*AO36,$CB$4)</f>
        <v>0</v>
      </c>
      <c r="BP36" s="721">
        <f>IF(ISNUMBER(System!$C36),P36+ $BF$1*AP36,$CB$4)</f>
        <v>0</v>
      </c>
      <c r="BQ36" s="721">
        <f>IF(ISNUMBER(System!$C36),Q36+ $BF$1*AQ36,$CB$4)</f>
        <v>0</v>
      </c>
      <c r="BR36" s="721">
        <f>IF(ISNUMBER(System!$C36),R36+ $BF$1*AR36,$CB$4)</f>
        <v>0</v>
      </c>
      <c r="BS36" s="721">
        <f>IF(ISNUMBER(System!$C36),S36+ $BF$1*AS36,$CB$4)</f>
        <v>0</v>
      </c>
      <c r="BT36" s="721">
        <f>IF(ISNUMBER(System!$C36),T36+ $BF$1*AT36,$CB$4)</f>
        <v>0</v>
      </c>
      <c r="BU36" s="721">
        <f>IF(ISNUMBER(System!$C36),U36+ $BF$1*AU36,$CB$4)</f>
        <v>0</v>
      </c>
      <c r="BV36" s="721">
        <f>IF(ISNUMBER(System!$C36),V36+ $BF$1*AV36,$CB$4)</f>
        <v>0</v>
      </c>
      <c r="BW36" s="721">
        <f>IF(ISNUMBER(System!$C36),W36+ $BF$1*AW36,$CB$4)</f>
        <v>0</v>
      </c>
      <c r="BX36" s="721">
        <f>IF(ISNUMBER(System!$C36),X36+ $BF$1*AX36,$CB$4)</f>
        <v>0</v>
      </c>
      <c r="BY36" s="639">
        <f>IF(ISNUMBER(System!$C36),Y36+ $BF$1*AY36,$CB$4)</f>
        <v>0</v>
      </c>
    </row>
    <row r="37" spans="1:77" x14ac:dyDescent="0.25">
      <c r="A37" s="1123">
        <v>34</v>
      </c>
      <c r="B37" s="668"/>
      <c r="C37" s="721"/>
      <c r="D37" s="721"/>
      <c r="E37" s="721"/>
      <c r="F37" s="721"/>
      <c r="G37" s="721"/>
      <c r="H37" s="721"/>
      <c r="I37" s="721"/>
      <c r="J37" s="721"/>
      <c r="K37" s="721"/>
      <c r="L37" s="639"/>
      <c r="N37" s="1123">
        <v>34</v>
      </c>
      <c r="O37" s="668"/>
      <c r="P37" s="721"/>
      <c r="Q37" s="721"/>
      <c r="R37" s="721"/>
      <c r="S37" s="721"/>
      <c r="T37" s="721"/>
      <c r="U37" s="721"/>
      <c r="V37" s="721"/>
      <c r="W37" s="721"/>
      <c r="X37" s="721"/>
      <c r="Y37" s="639"/>
      <c r="AA37" s="1124">
        <v>34</v>
      </c>
      <c r="AB37" s="668"/>
      <c r="AC37" s="721"/>
      <c r="AD37" s="721"/>
      <c r="AE37" s="721"/>
      <c r="AF37" s="721"/>
      <c r="AG37" s="721"/>
      <c r="AH37" s="721"/>
      <c r="AI37" s="721"/>
      <c r="AJ37" s="721"/>
      <c r="AK37" s="721"/>
      <c r="AL37" s="639"/>
      <c r="AN37" s="1124">
        <v>34</v>
      </c>
      <c r="AO37" s="668"/>
      <c r="AP37" s="721"/>
      <c r="AQ37" s="721"/>
      <c r="AR37" s="721"/>
      <c r="AS37" s="721"/>
      <c r="AT37" s="721"/>
      <c r="AU37" s="721"/>
      <c r="AV37" s="721"/>
      <c r="AW37" s="721"/>
      <c r="AX37" s="721"/>
      <c r="AY37" s="639"/>
      <c r="BA37" s="1125">
        <v>34</v>
      </c>
      <c r="BB37" s="668">
        <f>IF(ISNUMBER(System!$C37),PlotData!B37+ $BF$1*AB37,$CB$3)</f>
        <v>0</v>
      </c>
      <c r="BC37" s="721">
        <f>IF(ISNUMBER(System!$C37),PlotData!C37+ $BF$1*AC37,$CB$3)</f>
        <v>0</v>
      </c>
      <c r="BD37" s="721">
        <f>IF(ISNUMBER(System!$C37),PlotData!D37+ $BF$1*AD37,$CB$3)</f>
        <v>0</v>
      </c>
      <c r="BE37" s="721">
        <f>IF(ISNUMBER(System!$C37),PlotData!E37+ $BF$1*AE37,$CB$3)</f>
        <v>0</v>
      </c>
      <c r="BF37" s="721">
        <f>IF(ISNUMBER(System!$C37),PlotData!F37+ $BF$1*AF37,$CB$3)</f>
        <v>0</v>
      </c>
      <c r="BG37" s="721">
        <f>IF(ISNUMBER(System!$C37),PlotData!G37+ $BF$1*AG37,$CB$3)</f>
        <v>0</v>
      </c>
      <c r="BH37" s="721">
        <f>IF(ISNUMBER(System!$C37),PlotData!H37+ $BF$1*AH37,$CB$3)</f>
        <v>0</v>
      </c>
      <c r="BI37" s="721">
        <f>IF(ISNUMBER(System!$C37),PlotData!I37+ $BF$1*AI37,$CB$3)</f>
        <v>0</v>
      </c>
      <c r="BJ37" s="721">
        <f>IF(ISNUMBER(System!$C37),PlotData!J37+ $BF$1*AJ37,$CB$3)</f>
        <v>0</v>
      </c>
      <c r="BK37" s="721">
        <f>IF(ISNUMBER(System!$C37),PlotData!K37+ $BF$1*AK37,$CB$3)</f>
        <v>0</v>
      </c>
      <c r="BL37" s="639">
        <f>IF(ISNUMBER(System!$C37),PlotData!L37+ $BF$1*AL37,$CB$3)</f>
        <v>0</v>
      </c>
      <c r="BN37" s="1125">
        <v>34</v>
      </c>
      <c r="BO37" s="668">
        <f>IF(ISNUMBER(System!$C37),O37+ $BF$1*AO37,$CB$4)</f>
        <v>0</v>
      </c>
      <c r="BP37" s="721">
        <f>IF(ISNUMBER(System!$C37),P37+ $BF$1*AP37,$CB$4)</f>
        <v>0</v>
      </c>
      <c r="BQ37" s="721">
        <f>IF(ISNUMBER(System!$C37),Q37+ $BF$1*AQ37,$CB$4)</f>
        <v>0</v>
      </c>
      <c r="BR37" s="721">
        <f>IF(ISNUMBER(System!$C37),R37+ $BF$1*AR37,$CB$4)</f>
        <v>0</v>
      </c>
      <c r="BS37" s="721">
        <f>IF(ISNUMBER(System!$C37),S37+ $BF$1*AS37,$CB$4)</f>
        <v>0</v>
      </c>
      <c r="BT37" s="721">
        <f>IF(ISNUMBER(System!$C37),T37+ $BF$1*AT37,$CB$4)</f>
        <v>0</v>
      </c>
      <c r="BU37" s="721">
        <f>IF(ISNUMBER(System!$C37),U37+ $BF$1*AU37,$CB$4)</f>
        <v>0</v>
      </c>
      <c r="BV37" s="721">
        <f>IF(ISNUMBER(System!$C37),V37+ $BF$1*AV37,$CB$4)</f>
        <v>0</v>
      </c>
      <c r="BW37" s="721">
        <f>IF(ISNUMBER(System!$C37),W37+ $BF$1*AW37,$CB$4)</f>
        <v>0</v>
      </c>
      <c r="BX37" s="721">
        <f>IF(ISNUMBER(System!$C37),X37+ $BF$1*AX37,$CB$4)</f>
        <v>0</v>
      </c>
      <c r="BY37" s="639">
        <f>IF(ISNUMBER(System!$C37),Y37+ $BF$1*AY37,$CB$4)</f>
        <v>0</v>
      </c>
    </row>
    <row r="38" spans="1:77" x14ac:dyDescent="0.25">
      <c r="A38" s="1123">
        <v>35</v>
      </c>
      <c r="B38" s="668"/>
      <c r="C38" s="721"/>
      <c r="D38" s="721"/>
      <c r="E38" s="721"/>
      <c r="F38" s="721"/>
      <c r="G38" s="721"/>
      <c r="H38" s="721"/>
      <c r="I38" s="721"/>
      <c r="J38" s="721"/>
      <c r="K38" s="721"/>
      <c r="L38" s="639"/>
      <c r="N38" s="1123">
        <v>35</v>
      </c>
      <c r="O38" s="668"/>
      <c r="P38" s="721"/>
      <c r="Q38" s="721"/>
      <c r="R38" s="721"/>
      <c r="S38" s="721"/>
      <c r="T38" s="721"/>
      <c r="U38" s="721"/>
      <c r="V38" s="721"/>
      <c r="W38" s="721"/>
      <c r="X38" s="721"/>
      <c r="Y38" s="639"/>
      <c r="AA38" s="1124">
        <v>35</v>
      </c>
      <c r="AB38" s="668"/>
      <c r="AC38" s="721"/>
      <c r="AD38" s="721"/>
      <c r="AE38" s="721"/>
      <c r="AF38" s="721"/>
      <c r="AG38" s="721"/>
      <c r="AH38" s="721"/>
      <c r="AI38" s="721"/>
      <c r="AJ38" s="721"/>
      <c r="AK38" s="721"/>
      <c r="AL38" s="639"/>
      <c r="AN38" s="1124">
        <v>35</v>
      </c>
      <c r="AO38" s="668"/>
      <c r="AP38" s="721"/>
      <c r="AQ38" s="721"/>
      <c r="AR38" s="721"/>
      <c r="AS38" s="721"/>
      <c r="AT38" s="721"/>
      <c r="AU38" s="721"/>
      <c r="AV38" s="721"/>
      <c r="AW38" s="721"/>
      <c r="AX38" s="721"/>
      <c r="AY38" s="639"/>
      <c r="BA38" s="1125">
        <v>35</v>
      </c>
      <c r="BB38" s="668">
        <f>IF(ISNUMBER(System!$C38),PlotData!B38+ $BF$1*AB38,$CB$3)</f>
        <v>0</v>
      </c>
      <c r="BC38" s="721">
        <f>IF(ISNUMBER(System!$C38),PlotData!C38+ $BF$1*AC38,$CB$3)</f>
        <v>0</v>
      </c>
      <c r="BD38" s="721">
        <f>IF(ISNUMBER(System!$C38),PlotData!D38+ $BF$1*AD38,$CB$3)</f>
        <v>0</v>
      </c>
      <c r="BE38" s="721">
        <f>IF(ISNUMBER(System!$C38),PlotData!E38+ $BF$1*AE38,$CB$3)</f>
        <v>0</v>
      </c>
      <c r="BF38" s="721">
        <f>IF(ISNUMBER(System!$C38),PlotData!F38+ $BF$1*AF38,$CB$3)</f>
        <v>0</v>
      </c>
      <c r="BG38" s="721">
        <f>IF(ISNUMBER(System!$C38),PlotData!G38+ $BF$1*AG38,$CB$3)</f>
        <v>0</v>
      </c>
      <c r="BH38" s="721">
        <f>IF(ISNUMBER(System!$C38),PlotData!H38+ $BF$1*AH38,$CB$3)</f>
        <v>0</v>
      </c>
      <c r="BI38" s="721">
        <f>IF(ISNUMBER(System!$C38),PlotData!I38+ $BF$1*AI38,$CB$3)</f>
        <v>0</v>
      </c>
      <c r="BJ38" s="721">
        <f>IF(ISNUMBER(System!$C38),PlotData!J38+ $BF$1*AJ38,$CB$3)</f>
        <v>0</v>
      </c>
      <c r="BK38" s="721">
        <f>IF(ISNUMBER(System!$C38),PlotData!K38+ $BF$1*AK38,$CB$3)</f>
        <v>0</v>
      </c>
      <c r="BL38" s="639">
        <f>IF(ISNUMBER(System!$C38),PlotData!L38+ $BF$1*AL38,$CB$3)</f>
        <v>0</v>
      </c>
      <c r="BN38" s="1125">
        <v>35</v>
      </c>
      <c r="BO38" s="668">
        <f>IF(ISNUMBER(System!$C38),O38+ $BF$1*AO38,$CB$4)</f>
        <v>0</v>
      </c>
      <c r="BP38" s="721">
        <f>IF(ISNUMBER(System!$C38),P38+ $BF$1*AP38,$CB$4)</f>
        <v>0</v>
      </c>
      <c r="BQ38" s="721">
        <f>IF(ISNUMBER(System!$C38),Q38+ $BF$1*AQ38,$CB$4)</f>
        <v>0</v>
      </c>
      <c r="BR38" s="721">
        <f>IF(ISNUMBER(System!$C38),R38+ $BF$1*AR38,$CB$4)</f>
        <v>0</v>
      </c>
      <c r="BS38" s="721">
        <f>IF(ISNUMBER(System!$C38),S38+ $BF$1*AS38,$CB$4)</f>
        <v>0</v>
      </c>
      <c r="BT38" s="721">
        <f>IF(ISNUMBER(System!$C38),T38+ $BF$1*AT38,$CB$4)</f>
        <v>0</v>
      </c>
      <c r="BU38" s="721">
        <f>IF(ISNUMBER(System!$C38),U38+ $BF$1*AU38,$CB$4)</f>
        <v>0</v>
      </c>
      <c r="BV38" s="721">
        <f>IF(ISNUMBER(System!$C38),V38+ $BF$1*AV38,$CB$4)</f>
        <v>0</v>
      </c>
      <c r="BW38" s="721">
        <f>IF(ISNUMBER(System!$C38),W38+ $BF$1*AW38,$CB$4)</f>
        <v>0</v>
      </c>
      <c r="BX38" s="721">
        <f>IF(ISNUMBER(System!$C38),X38+ $BF$1*AX38,$CB$4)</f>
        <v>0</v>
      </c>
      <c r="BY38" s="639">
        <f>IF(ISNUMBER(System!$C38),Y38+ $BF$1*AY38,$CB$4)</f>
        <v>0</v>
      </c>
    </row>
    <row r="39" spans="1:77" x14ac:dyDescent="0.25">
      <c r="A39" s="1123">
        <v>36</v>
      </c>
      <c r="B39" s="668"/>
      <c r="C39" s="721"/>
      <c r="D39" s="721"/>
      <c r="E39" s="721"/>
      <c r="F39" s="721"/>
      <c r="G39" s="721"/>
      <c r="H39" s="721"/>
      <c r="I39" s="721"/>
      <c r="J39" s="721"/>
      <c r="K39" s="721"/>
      <c r="L39" s="639"/>
      <c r="N39" s="1123">
        <v>36</v>
      </c>
      <c r="O39" s="668"/>
      <c r="P39" s="721"/>
      <c r="Q39" s="721"/>
      <c r="R39" s="721"/>
      <c r="S39" s="721"/>
      <c r="T39" s="721"/>
      <c r="U39" s="721"/>
      <c r="V39" s="721"/>
      <c r="W39" s="721"/>
      <c r="X39" s="721"/>
      <c r="Y39" s="639"/>
      <c r="AA39" s="1124">
        <v>36</v>
      </c>
      <c r="AB39" s="668"/>
      <c r="AC39" s="721"/>
      <c r="AD39" s="721"/>
      <c r="AE39" s="721"/>
      <c r="AF39" s="721"/>
      <c r="AG39" s="721"/>
      <c r="AH39" s="721"/>
      <c r="AI39" s="721"/>
      <c r="AJ39" s="721"/>
      <c r="AK39" s="721"/>
      <c r="AL39" s="639"/>
      <c r="AN39" s="1124">
        <v>36</v>
      </c>
      <c r="AO39" s="668"/>
      <c r="AP39" s="721"/>
      <c r="AQ39" s="721"/>
      <c r="AR39" s="721"/>
      <c r="AS39" s="721"/>
      <c r="AT39" s="721"/>
      <c r="AU39" s="721"/>
      <c r="AV39" s="721"/>
      <c r="AW39" s="721"/>
      <c r="AX39" s="721"/>
      <c r="AY39" s="639"/>
      <c r="BA39" s="1125">
        <v>36</v>
      </c>
      <c r="BB39" s="668">
        <f>IF(ISNUMBER(System!$C39),PlotData!B39+ $BF$1*AB39,$CB$3)</f>
        <v>0</v>
      </c>
      <c r="BC39" s="721">
        <f>IF(ISNUMBER(System!$C39),PlotData!C39+ $BF$1*AC39,$CB$3)</f>
        <v>0</v>
      </c>
      <c r="BD39" s="721">
        <f>IF(ISNUMBER(System!$C39),PlotData!D39+ $BF$1*AD39,$CB$3)</f>
        <v>0</v>
      </c>
      <c r="BE39" s="721">
        <f>IF(ISNUMBER(System!$C39),PlotData!E39+ $BF$1*AE39,$CB$3)</f>
        <v>0</v>
      </c>
      <c r="BF39" s="721">
        <f>IF(ISNUMBER(System!$C39),PlotData!F39+ $BF$1*AF39,$CB$3)</f>
        <v>0</v>
      </c>
      <c r="BG39" s="721">
        <f>IF(ISNUMBER(System!$C39),PlotData!G39+ $BF$1*AG39,$CB$3)</f>
        <v>0</v>
      </c>
      <c r="BH39" s="721">
        <f>IF(ISNUMBER(System!$C39),PlotData!H39+ $BF$1*AH39,$CB$3)</f>
        <v>0</v>
      </c>
      <c r="BI39" s="721">
        <f>IF(ISNUMBER(System!$C39),PlotData!I39+ $BF$1*AI39,$CB$3)</f>
        <v>0</v>
      </c>
      <c r="BJ39" s="721">
        <f>IF(ISNUMBER(System!$C39),PlotData!J39+ $BF$1*AJ39,$CB$3)</f>
        <v>0</v>
      </c>
      <c r="BK39" s="721">
        <f>IF(ISNUMBER(System!$C39),PlotData!K39+ $BF$1*AK39,$CB$3)</f>
        <v>0</v>
      </c>
      <c r="BL39" s="639">
        <f>IF(ISNUMBER(System!$C39),PlotData!L39+ $BF$1*AL39,$CB$3)</f>
        <v>0</v>
      </c>
      <c r="BN39" s="1125">
        <v>36</v>
      </c>
      <c r="BO39" s="668">
        <f>IF(ISNUMBER(System!$C39),O39+ $BF$1*AO39,$CB$4)</f>
        <v>0</v>
      </c>
      <c r="BP39" s="721">
        <f>IF(ISNUMBER(System!$C39),P39+ $BF$1*AP39,$CB$4)</f>
        <v>0</v>
      </c>
      <c r="BQ39" s="721">
        <f>IF(ISNUMBER(System!$C39),Q39+ $BF$1*AQ39,$CB$4)</f>
        <v>0</v>
      </c>
      <c r="BR39" s="721">
        <f>IF(ISNUMBER(System!$C39),R39+ $BF$1*AR39,$CB$4)</f>
        <v>0</v>
      </c>
      <c r="BS39" s="721">
        <f>IF(ISNUMBER(System!$C39),S39+ $BF$1*AS39,$CB$4)</f>
        <v>0</v>
      </c>
      <c r="BT39" s="721">
        <f>IF(ISNUMBER(System!$C39),T39+ $BF$1*AT39,$CB$4)</f>
        <v>0</v>
      </c>
      <c r="BU39" s="721">
        <f>IF(ISNUMBER(System!$C39),U39+ $BF$1*AU39,$CB$4)</f>
        <v>0</v>
      </c>
      <c r="BV39" s="721">
        <f>IF(ISNUMBER(System!$C39),V39+ $BF$1*AV39,$CB$4)</f>
        <v>0</v>
      </c>
      <c r="BW39" s="721">
        <f>IF(ISNUMBER(System!$C39),W39+ $BF$1*AW39,$CB$4)</f>
        <v>0</v>
      </c>
      <c r="BX39" s="721">
        <f>IF(ISNUMBER(System!$C39),X39+ $BF$1*AX39,$CB$4)</f>
        <v>0</v>
      </c>
      <c r="BY39" s="639">
        <f>IF(ISNUMBER(System!$C39),Y39+ $BF$1*AY39,$CB$4)</f>
        <v>0</v>
      </c>
    </row>
    <row r="40" spans="1:77" x14ac:dyDescent="0.25">
      <c r="A40" s="1123">
        <v>37</v>
      </c>
      <c r="B40" s="668"/>
      <c r="C40" s="721"/>
      <c r="D40" s="721"/>
      <c r="E40" s="721"/>
      <c r="F40" s="721"/>
      <c r="G40" s="721"/>
      <c r="H40" s="721"/>
      <c r="I40" s="721"/>
      <c r="J40" s="721"/>
      <c r="K40" s="721"/>
      <c r="L40" s="639"/>
      <c r="N40" s="1123">
        <v>37</v>
      </c>
      <c r="O40" s="668"/>
      <c r="P40" s="721"/>
      <c r="Q40" s="721"/>
      <c r="R40" s="721"/>
      <c r="S40" s="721"/>
      <c r="T40" s="721"/>
      <c r="U40" s="721"/>
      <c r="V40" s="721"/>
      <c r="W40" s="721"/>
      <c r="X40" s="721"/>
      <c r="Y40" s="639"/>
      <c r="AA40" s="1124">
        <v>37</v>
      </c>
      <c r="AB40" s="668"/>
      <c r="AC40" s="721"/>
      <c r="AD40" s="721"/>
      <c r="AE40" s="721"/>
      <c r="AF40" s="721"/>
      <c r="AG40" s="721"/>
      <c r="AH40" s="721"/>
      <c r="AI40" s="721"/>
      <c r="AJ40" s="721"/>
      <c r="AK40" s="721"/>
      <c r="AL40" s="639"/>
      <c r="AN40" s="1124">
        <v>37</v>
      </c>
      <c r="AO40" s="668"/>
      <c r="AP40" s="721"/>
      <c r="AQ40" s="721"/>
      <c r="AR40" s="721"/>
      <c r="AS40" s="721"/>
      <c r="AT40" s="721"/>
      <c r="AU40" s="721"/>
      <c r="AV40" s="721"/>
      <c r="AW40" s="721"/>
      <c r="AX40" s="721"/>
      <c r="AY40" s="639"/>
      <c r="BA40" s="1125">
        <v>37</v>
      </c>
      <c r="BB40" s="668">
        <f>IF(ISNUMBER(System!$C40),PlotData!B40+ $BF$1*AB40,$CB$3)</f>
        <v>0</v>
      </c>
      <c r="BC40" s="721">
        <f>IF(ISNUMBER(System!$C40),PlotData!C40+ $BF$1*AC40,$CB$3)</f>
        <v>0</v>
      </c>
      <c r="BD40" s="721">
        <f>IF(ISNUMBER(System!$C40),PlotData!D40+ $BF$1*AD40,$CB$3)</f>
        <v>0</v>
      </c>
      <c r="BE40" s="721">
        <f>IF(ISNUMBER(System!$C40),PlotData!E40+ $BF$1*AE40,$CB$3)</f>
        <v>0</v>
      </c>
      <c r="BF40" s="721">
        <f>IF(ISNUMBER(System!$C40),PlotData!F40+ $BF$1*AF40,$CB$3)</f>
        <v>0</v>
      </c>
      <c r="BG40" s="721">
        <f>IF(ISNUMBER(System!$C40),PlotData!G40+ $BF$1*AG40,$CB$3)</f>
        <v>0</v>
      </c>
      <c r="BH40" s="721">
        <f>IF(ISNUMBER(System!$C40),PlotData!H40+ $BF$1*AH40,$CB$3)</f>
        <v>0</v>
      </c>
      <c r="BI40" s="721">
        <f>IF(ISNUMBER(System!$C40),PlotData!I40+ $BF$1*AI40,$CB$3)</f>
        <v>0</v>
      </c>
      <c r="BJ40" s="721">
        <f>IF(ISNUMBER(System!$C40),PlotData!J40+ $BF$1*AJ40,$CB$3)</f>
        <v>0</v>
      </c>
      <c r="BK40" s="721">
        <f>IF(ISNUMBER(System!$C40),PlotData!K40+ $BF$1*AK40,$CB$3)</f>
        <v>0</v>
      </c>
      <c r="BL40" s="639">
        <f>IF(ISNUMBER(System!$C40),PlotData!L40+ $BF$1*AL40,$CB$3)</f>
        <v>0</v>
      </c>
      <c r="BN40" s="1125">
        <v>37</v>
      </c>
      <c r="BO40" s="668">
        <f>IF(ISNUMBER(System!$C40),O40+ $BF$1*AO40,$CB$4)</f>
        <v>0</v>
      </c>
      <c r="BP40" s="721">
        <f>IF(ISNUMBER(System!$C40),P40+ $BF$1*AP40,$CB$4)</f>
        <v>0</v>
      </c>
      <c r="BQ40" s="721">
        <f>IF(ISNUMBER(System!$C40),Q40+ $BF$1*AQ40,$CB$4)</f>
        <v>0</v>
      </c>
      <c r="BR40" s="721">
        <f>IF(ISNUMBER(System!$C40),R40+ $BF$1*AR40,$CB$4)</f>
        <v>0</v>
      </c>
      <c r="BS40" s="721">
        <f>IF(ISNUMBER(System!$C40),S40+ $BF$1*AS40,$CB$4)</f>
        <v>0</v>
      </c>
      <c r="BT40" s="721">
        <f>IF(ISNUMBER(System!$C40),T40+ $BF$1*AT40,$CB$4)</f>
        <v>0</v>
      </c>
      <c r="BU40" s="721">
        <f>IF(ISNUMBER(System!$C40),U40+ $BF$1*AU40,$CB$4)</f>
        <v>0</v>
      </c>
      <c r="BV40" s="721">
        <f>IF(ISNUMBER(System!$C40),V40+ $BF$1*AV40,$CB$4)</f>
        <v>0</v>
      </c>
      <c r="BW40" s="721">
        <f>IF(ISNUMBER(System!$C40),W40+ $BF$1*AW40,$CB$4)</f>
        <v>0</v>
      </c>
      <c r="BX40" s="721">
        <f>IF(ISNUMBER(System!$C40),X40+ $BF$1*AX40,$CB$4)</f>
        <v>0</v>
      </c>
      <c r="BY40" s="639">
        <f>IF(ISNUMBER(System!$C40),Y40+ $BF$1*AY40,$CB$4)</f>
        <v>0</v>
      </c>
    </row>
    <row r="41" spans="1:77" x14ac:dyDescent="0.25">
      <c r="A41" s="1123">
        <v>38</v>
      </c>
      <c r="B41" s="668"/>
      <c r="C41" s="721"/>
      <c r="D41" s="721"/>
      <c r="E41" s="721"/>
      <c r="F41" s="721"/>
      <c r="G41" s="721"/>
      <c r="H41" s="721"/>
      <c r="I41" s="721"/>
      <c r="J41" s="721"/>
      <c r="K41" s="721"/>
      <c r="L41" s="639"/>
      <c r="N41" s="1123">
        <v>38</v>
      </c>
      <c r="O41" s="668"/>
      <c r="P41" s="721"/>
      <c r="Q41" s="721"/>
      <c r="R41" s="721"/>
      <c r="S41" s="721"/>
      <c r="T41" s="721"/>
      <c r="U41" s="721"/>
      <c r="V41" s="721"/>
      <c r="W41" s="721"/>
      <c r="X41" s="721"/>
      <c r="Y41" s="639"/>
      <c r="AA41" s="1124">
        <v>38</v>
      </c>
      <c r="AB41" s="668"/>
      <c r="AC41" s="721"/>
      <c r="AD41" s="721"/>
      <c r="AE41" s="721"/>
      <c r="AF41" s="721"/>
      <c r="AG41" s="721"/>
      <c r="AH41" s="721"/>
      <c r="AI41" s="721"/>
      <c r="AJ41" s="721"/>
      <c r="AK41" s="721"/>
      <c r="AL41" s="639"/>
      <c r="AN41" s="1124">
        <v>38</v>
      </c>
      <c r="AO41" s="668"/>
      <c r="AP41" s="721"/>
      <c r="AQ41" s="721"/>
      <c r="AR41" s="721"/>
      <c r="AS41" s="721"/>
      <c r="AT41" s="721"/>
      <c r="AU41" s="721"/>
      <c r="AV41" s="721"/>
      <c r="AW41" s="721"/>
      <c r="AX41" s="721"/>
      <c r="AY41" s="639"/>
      <c r="BA41" s="1125">
        <v>38</v>
      </c>
      <c r="BB41" s="668">
        <f>IF(ISNUMBER(System!$C41),PlotData!B41+ $BF$1*AB41,$CB$3)</f>
        <v>0</v>
      </c>
      <c r="BC41" s="721">
        <f>IF(ISNUMBER(System!$C41),PlotData!C41+ $BF$1*AC41,$CB$3)</f>
        <v>0</v>
      </c>
      <c r="BD41" s="721">
        <f>IF(ISNUMBER(System!$C41),PlotData!D41+ $BF$1*AD41,$CB$3)</f>
        <v>0</v>
      </c>
      <c r="BE41" s="721">
        <f>IF(ISNUMBER(System!$C41),PlotData!E41+ $BF$1*AE41,$CB$3)</f>
        <v>0</v>
      </c>
      <c r="BF41" s="721">
        <f>IF(ISNUMBER(System!$C41),PlotData!F41+ $BF$1*AF41,$CB$3)</f>
        <v>0</v>
      </c>
      <c r="BG41" s="721">
        <f>IF(ISNUMBER(System!$C41),PlotData!G41+ $BF$1*AG41,$CB$3)</f>
        <v>0</v>
      </c>
      <c r="BH41" s="721">
        <f>IF(ISNUMBER(System!$C41),PlotData!H41+ $BF$1*AH41,$CB$3)</f>
        <v>0</v>
      </c>
      <c r="BI41" s="721">
        <f>IF(ISNUMBER(System!$C41),PlotData!I41+ $BF$1*AI41,$CB$3)</f>
        <v>0</v>
      </c>
      <c r="BJ41" s="721">
        <f>IF(ISNUMBER(System!$C41),PlotData!J41+ $BF$1*AJ41,$CB$3)</f>
        <v>0</v>
      </c>
      <c r="BK41" s="721">
        <f>IF(ISNUMBER(System!$C41),PlotData!K41+ $BF$1*AK41,$CB$3)</f>
        <v>0</v>
      </c>
      <c r="BL41" s="639">
        <f>IF(ISNUMBER(System!$C41),PlotData!L41+ $BF$1*AL41,$CB$3)</f>
        <v>0</v>
      </c>
      <c r="BN41" s="1125">
        <v>38</v>
      </c>
      <c r="BO41" s="668">
        <f>IF(ISNUMBER(System!$C41),O41+ $BF$1*AO41,$CB$4)</f>
        <v>0</v>
      </c>
      <c r="BP41" s="721">
        <f>IF(ISNUMBER(System!$C41),P41+ $BF$1*AP41,$CB$4)</f>
        <v>0</v>
      </c>
      <c r="BQ41" s="721">
        <f>IF(ISNUMBER(System!$C41),Q41+ $BF$1*AQ41,$CB$4)</f>
        <v>0</v>
      </c>
      <c r="BR41" s="721">
        <f>IF(ISNUMBER(System!$C41),R41+ $BF$1*AR41,$CB$4)</f>
        <v>0</v>
      </c>
      <c r="BS41" s="721">
        <f>IF(ISNUMBER(System!$C41),S41+ $BF$1*AS41,$CB$4)</f>
        <v>0</v>
      </c>
      <c r="BT41" s="721">
        <f>IF(ISNUMBER(System!$C41),T41+ $BF$1*AT41,$CB$4)</f>
        <v>0</v>
      </c>
      <c r="BU41" s="721">
        <f>IF(ISNUMBER(System!$C41),U41+ $BF$1*AU41,$CB$4)</f>
        <v>0</v>
      </c>
      <c r="BV41" s="721">
        <f>IF(ISNUMBER(System!$C41),V41+ $BF$1*AV41,$CB$4)</f>
        <v>0</v>
      </c>
      <c r="BW41" s="721">
        <f>IF(ISNUMBER(System!$C41),W41+ $BF$1*AW41,$CB$4)</f>
        <v>0</v>
      </c>
      <c r="BX41" s="721">
        <f>IF(ISNUMBER(System!$C41),X41+ $BF$1*AX41,$CB$4)</f>
        <v>0</v>
      </c>
      <c r="BY41" s="639">
        <f>IF(ISNUMBER(System!$C41),Y41+ $BF$1*AY41,$CB$4)</f>
        <v>0</v>
      </c>
    </row>
    <row r="42" spans="1:77" x14ac:dyDescent="0.25">
      <c r="A42" s="1123">
        <v>39</v>
      </c>
      <c r="B42" s="668"/>
      <c r="C42" s="721"/>
      <c r="D42" s="721"/>
      <c r="E42" s="721"/>
      <c r="F42" s="721"/>
      <c r="G42" s="721"/>
      <c r="H42" s="721"/>
      <c r="I42" s="721"/>
      <c r="J42" s="721"/>
      <c r="K42" s="721"/>
      <c r="L42" s="639"/>
      <c r="N42" s="1123">
        <v>39</v>
      </c>
      <c r="O42" s="668"/>
      <c r="P42" s="721"/>
      <c r="Q42" s="721"/>
      <c r="R42" s="721"/>
      <c r="S42" s="721"/>
      <c r="T42" s="721"/>
      <c r="U42" s="721"/>
      <c r="V42" s="721"/>
      <c r="W42" s="721"/>
      <c r="X42" s="721"/>
      <c r="Y42" s="639"/>
      <c r="AA42" s="1124">
        <v>39</v>
      </c>
      <c r="AB42" s="668"/>
      <c r="AC42" s="721"/>
      <c r="AD42" s="721"/>
      <c r="AE42" s="721"/>
      <c r="AF42" s="721"/>
      <c r="AG42" s="721"/>
      <c r="AH42" s="721"/>
      <c r="AI42" s="721"/>
      <c r="AJ42" s="721"/>
      <c r="AK42" s="721"/>
      <c r="AL42" s="639"/>
      <c r="AN42" s="1124">
        <v>39</v>
      </c>
      <c r="AO42" s="668"/>
      <c r="AP42" s="721"/>
      <c r="AQ42" s="721"/>
      <c r="AR42" s="721"/>
      <c r="AS42" s="721"/>
      <c r="AT42" s="721"/>
      <c r="AU42" s="721"/>
      <c r="AV42" s="721"/>
      <c r="AW42" s="721"/>
      <c r="AX42" s="721"/>
      <c r="AY42" s="639"/>
      <c r="BA42" s="1125">
        <v>39</v>
      </c>
      <c r="BB42" s="668">
        <f>IF(ISNUMBER(System!$C42),PlotData!B42+ $BF$1*AB42,$CB$3)</f>
        <v>0</v>
      </c>
      <c r="BC42" s="721">
        <f>IF(ISNUMBER(System!$C42),PlotData!C42+ $BF$1*AC42,$CB$3)</f>
        <v>0</v>
      </c>
      <c r="BD42" s="721">
        <f>IF(ISNUMBER(System!$C42),PlotData!D42+ $BF$1*AD42,$CB$3)</f>
        <v>0</v>
      </c>
      <c r="BE42" s="721">
        <f>IF(ISNUMBER(System!$C42),PlotData!E42+ $BF$1*AE42,$CB$3)</f>
        <v>0</v>
      </c>
      <c r="BF42" s="721">
        <f>IF(ISNUMBER(System!$C42),PlotData!F42+ $BF$1*AF42,$CB$3)</f>
        <v>0</v>
      </c>
      <c r="BG42" s="721">
        <f>IF(ISNUMBER(System!$C42),PlotData!G42+ $BF$1*AG42,$CB$3)</f>
        <v>0</v>
      </c>
      <c r="BH42" s="721">
        <f>IF(ISNUMBER(System!$C42),PlotData!H42+ $BF$1*AH42,$CB$3)</f>
        <v>0</v>
      </c>
      <c r="BI42" s="721">
        <f>IF(ISNUMBER(System!$C42),PlotData!I42+ $BF$1*AI42,$CB$3)</f>
        <v>0</v>
      </c>
      <c r="BJ42" s="721">
        <f>IF(ISNUMBER(System!$C42),PlotData!J42+ $BF$1*AJ42,$CB$3)</f>
        <v>0</v>
      </c>
      <c r="BK42" s="721">
        <f>IF(ISNUMBER(System!$C42),PlotData!K42+ $BF$1*AK42,$CB$3)</f>
        <v>0</v>
      </c>
      <c r="BL42" s="639">
        <f>IF(ISNUMBER(System!$C42),PlotData!L42+ $BF$1*AL42,$CB$3)</f>
        <v>0</v>
      </c>
      <c r="BN42" s="1125">
        <v>39</v>
      </c>
      <c r="BO42" s="668">
        <f>IF(ISNUMBER(System!$C42),O42+ $BF$1*AO42,$CB$4)</f>
        <v>0</v>
      </c>
      <c r="BP42" s="721">
        <f>IF(ISNUMBER(System!$C42),P42+ $BF$1*AP42,$CB$4)</f>
        <v>0</v>
      </c>
      <c r="BQ42" s="721">
        <f>IF(ISNUMBER(System!$C42),Q42+ $BF$1*AQ42,$CB$4)</f>
        <v>0</v>
      </c>
      <c r="BR42" s="721">
        <f>IF(ISNUMBER(System!$C42),R42+ $BF$1*AR42,$CB$4)</f>
        <v>0</v>
      </c>
      <c r="BS42" s="721">
        <f>IF(ISNUMBER(System!$C42),S42+ $BF$1*AS42,$CB$4)</f>
        <v>0</v>
      </c>
      <c r="BT42" s="721">
        <f>IF(ISNUMBER(System!$C42),T42+ $BF$1*AT42,$CB$4)</f>
        <v>0</v>
      </c>
      <c r="BU42" s="721">
        <f>IF(ISNUMBER(System!$C42),U42+ $BF$1*AU42,$CB$4)</f>
        <v>0</v>
      </c>
      <c r="BV42" s="721">
        <f>IF(ISNUMBER(System!$C42),V42+ $BF$1*AV42,$CB$4)</f>
        <v>0</v>
      </c>
      <c r="BW42" s="721">
        <f>IF(ISNUMBER(System!$C42),W42+ $BF$1*AW42,$CB$4)</f>
        <v>0</v>
      </c>
      <c r="BX42" s="721">
        <f>IF(ISNUMBER(System!$C42),X42+ $BF$1*AX42,$CB$4)</f>
        <v>0</v>
      </c>
      <c r="BY42" s="639">
        <f>IF(ISNUMBER(System!$C42),Y42+ $BF$1*AY42,$CB$4)</f>
        <v>0</v>
      </c>
    </row>
    <row r="43" spans="1:77" ht="13.8" thickBot="1" x14ac:dyDescent="0.3">
      <c r="A43" s="1136">
        <v>40</v>
      </c>
      <c r="B43" s="669"/>
      <c r="C43" s="1137"/>
      <c r="D43" s="1137"/>
      <c r="E43" s="1137"/>
      <c r="F43" s="1137"/>
      <c r="G43" s="1137"/>
      <c r="H43" s="1137"/>
      <c r="I43" s="1137"/>
      <c r="J43" s="1137"/>
      <c r="K43" s="1137"/>
      <c r="L43" s="646"/>
      <c r="N43" s="1136">
        <v>40</v>
      </c>
      <c r="O43" s="669"/>
      <c r="P43" s="1137"/>
      <c r="Q43" s="1137"/>
      <c r="R43" s="1137"/>
      <c r="S43" s="1137"/>
      <c r="T43" s="1137"/>
      <c r="U43" s="1137"/>
      <c r="V43" s="1137"/>
      <c r="W43" s="1137"/>
      <c r="X43" s="1137"/>
      <c r="Y43" s="646"/>
      <c r="AA43" s="1138">
        <v>40</v>
      </c>
      <c r="AB43" s="669"/>
      <c r="AC43" s="1137"/>
      <c r="AD43" s="1137"/>
      <c r="AE43" s="1137"/>
      <c r="AF43" s="1137"/>
      <c r="AG43" s="1137"/>
      <c r="AH43" s="1137"/>
      <c r="AI43" s="1137"/>
      <c r="AJ43" s="1137"/>
      <c r="AK43" s="1137"/>
      <c r="AL43" s="646"/>
      <c r="AN43" s="1138">
        <v>40</v>
      </c>
      <c r="AO43" s="669"/>
      <c r="AP43" s="1137"/>
      <c r="AQ43" s="1137"/>
      <c r="AR43" s="1137"/>
      <c r="AS43" s="1137"/>
      <c r="AT43" s="1137"/>
      <c r="AU43" s="1137"/>
      <c r="AV43" s="1137"/>
      <c r="AW43" s="1137"/>
      <c r="AX43" s="1137"/>
      <c r="AY43" s="646"/>
      <c r="BA43" s="1139">
        <v>40</v>
      </c>
      <c r="BB43" s="669">
        <f>IF(ISNUMBER(System!$C43),PlotData!B43+ $BF$1*AB43,$CB$3)</f>
        <v>0</v>
      </c>
      <c r="BC43" s="1137">
        <f>IF(ISNUMBER(System!$C43),PlotData!C43+ $BF$1*AC43,$CB$3)</f>
        <v>0</v>
      </c>
      <c r="BD43" s="1137">
        <f>IF(ISNUMBER(System!$C43),PlotData!D43+ $BF$1*AD43,$CB$3)</f>
        <v>0</v>
      </c>
      <c r="BE43" s="1137">
        <f>IF(ISNUMBER(System!$C43),PlotData!E43+ $BF$1*AE43,$CB$3)</f>
        <v>0</v>
      </c>
      <c r="BF43" s="1137">
        <f>IF(ISNUMBER(System!$C43),PlotData!F43+ $BF$1*AF43,$CB$3)</f>
        <v>0</v>
      </c>
      <c r="BG43" s="1137">
        <f>IF(ISNUMBER(System!$C43),PlotData!G43+ $BF$1*AG43,$CB$3)</f>
        <v>0</v>
      </c>
      <c r="BH43" s="1137">
        <f>IF(ISNUMBER(System!$C43),PlotData!H43+ $BF$1*AH43,$CB$3)</f>
        <v>0</v>
      </c>
      <c r="BI43" s="1137">
        <f>IF(ISNUMBER(System!$C43),PlotData!I43+ $BF$1*AI43,$CB$3)</f>
        <v>0</v>
      </c>
      <c r="BJ43" s="1137">
        <f>IF(ISNUMBER(System!$C43),PlotData!J43+ $BF$1*AJ43,$CB$3)</f>
        <v>0</v>
      </c>
      <c r="BK43" s="1137">
        <f>IF(ISNUMBER(System!$C43),PlotData!K43+ $BF$1*AK43,$CB$3)</f>
        <v>0</v>
      </c>
      <c r="BL43" s="646">
        <f>IF(ISNUMBER(System!$C43),PlotData!L43+ $BF$1*AL43,$CB$3)</f>
        <v>0</v>
      </c>
      <c r="BN43" s="1139">
        <v>40</v>
      </c>
      <c r="BO43" s="669">
        <f>IF(ISNUMBER(System!$C43),O43+ $BF$1*AO43,$CB$4)</f>
        <v>0</v>
      </c>
      <c r="BP43" s="1137">
        <f>IF(ISNUMBER(System!$C43),P43+ $BF$1*AP43,$CB$4)</f>
        <v>0</v>
      </c>
      <c r="BQ43" s="1137">
        <f>IF(ISNUMBER(System!$C43),Q43+ $BF$1*AQ43,$CB$4)</f>
        <v>0</v>
      </c>
      <c r="BR43" s="1137">
        <f>IF(ISNUMBER(System!$C43),R43+ $BF$1*AR43,$CB$4)</f>
        <v>0</v>
      </c>
      <c r="BS43" s="1137">
        <f>IF(ISNUMBER(System!$C43),S43+ $BF$1*AS43,$CB$4)</f>
        <v>0</v>
      </c>
      <c r="BT43" s="1137">
        <f>IF(ISNUMBER(System!$C43),T43+ $BF$1*AT43,$CB$4)</f>
        <v>0</v>
      </c>
      <c r="BU43" s="1137">
        <f>IF(ISNUMBER(System!$C43),U43+ $BF$1*AU43,$CB$4)</f>
        <v>0</v>
      </c>
      <c r="BV43" s="1137">
        <f>IF(ISNUMBER(System!$C43),V43+ $BF$1*AV43,$CB$4)</f>
        <v>0</v>
      </c>
      <c r="BW43" s="1137">
        <f>IF(ISNUMBER(System!$C43),W43+ $BF$1*AW43,$CB$4)</f>
        <v>0</v>
      </c>
      <c r="BX43" s="1137">
        <f>IF(ISNUMBER(System!$C43),X43+ $BF$1*AX43,$CB$4)</f>
        <v>0</v>
      </c>
      <c r="BY43" s="646">
        <f>IF(ISNUMBER(System!$C43),Y43+ $BF$1*AY43,$CB$4)</f>
        <v>0</v>
      </c>
    </row>
    <row r="44" spans="1:77" x14ac:dyDescent="0.25">
      <c r="BN44" s="602"/>
    </row>
    <row r="46" spans="1:77" x14ac:dyDescent="0.25">
      <c r="Z46" s="1140"/>
    </row>
    <row r="47" spans="1:77" x14ac:dyDescent="0.25">
      <c r="Z47" s="1140"/>
      <c r="AZ47" s="1140"/>
    </row>
  </sheetData>
  <mergeCells count="5">
    <mergeCell ref="CC1:CE1"/>
    <mergeCell ref="CA2:CC2"/>
    <mergeCell ref="CE2:CG2"/>
    <mergeCell ref="CA16:CC16"/>
    <mergeCell ref="CE16:CG16"/>
  </mergeCells>
  <pageMargins left="0.7" right="0.7" top="0.78740157499999996" bottom="0.78740157499999996"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8"/>
  <dimension ref="A1:BI42"/>
  <sheetViews>
    <sheetView topLeftCell="AF1" zoomScale="41" zoomScaleNormal="41" workbookViewId="0">
      <selection activeCell="AG3" sqref="AG3"/>
    </sheetView>
  </sheetViews>
  <sheetFormatPr defaultColWidth="11.44140625" defaultRowHeight="13.2" x14ac:dyDescent="0.25"/>
  <cols>
    <col min="1" max="1" width="4" style="41" bestFit="1" customWidth="1"/>
    <col min="2" max="12" width="11.44140625" style="41"/>
    <col min="13" max="13" width="4.44140625" style="41" customWidth="1"/>
    <col min="14" max="15" width="10.44140625" style="41" customWidth="1"/>
    <col min="16" max="17" width="11.44140625" style="41" customWidth="1"/>
    <col min="18" max="25" width="11.44140625" style="41"/>
    <col min="26" max="26" width="3.44140625" style="1141" customWidth="1"/>
    <col min="27" max="41" width="11.44140625" style="41"/>
    <col min="42" max="42" width="3.5546875" style="41" customWidth="1"/>
    <col min="43" max="54" width="11.44140625" style="41"/>
    <col min="55" max="55" width="14.44140625" style="41" bestFit="1" customWidth="1"/>
    <col min="56" max="57" width="11.44140625" style="41"/>
    <col min="58" max="58" width="3.5546875" style="41" customWidth="1"/>
    <col min="59" max="16384" width="11.44140625" style="41"/>
  </cols>
  <sheetData>
    <row r="1" spans="1:61" ht="13.8" thickBot="1" x14ac:dyDescent="0.3">
      <c r="B1" s="41" t="s">
        <v>270</v>
      </c>
      <c r="O1" s="41">
        <f>COLUMN(O5)</f>
        <v>15</v>
      </c>
      <c r="AB1" s="41">
        <f>COLUMN(AB5)</f>
        <v>28</v>
      </c>
      <c r="AC1" s="41" t="s">
        <v>463</v>
      </c>
      <c r="AE1" s="1108" t="s">
        <v>464</v>
      </c>
      <c r="AF1" s="1110">
        <f>Momente!D6</f>
        <v>3.4613580479798665</v>
      </c>
      <c r="AH1" s="1108" t="s">
        <v>178</v>
      </c>
      <c r="AI1" s="1142">
        <f>(MAX(AB3:AL42)+MIN(AB3:AL42))/2</f>
        <v>0</v>
      </c>
      <c r="AJ1" s="1108" t="s">
        <v>465</v>
      </c>
      <c r="AK1" s="1110">
        <f>(MAX(AB3:AL42)-MIN(AB3:AL42))/2</f>
        <v>100</v>
      </c>
      <c r="AR1" s="1143">
        <f>COLUMN(AR4)</f>
        <v>44</v>
      </c>
      <c r="AS1" s="1108" t="s">
        <v>222</v>
      </c>
      <c r="AT1" s="1142">
        <f>(MAX(AR3:BB42)+MIN(AR3:BB42))/2</f>
        <v>0</v>
      </c>
      <c r="AU1" s="1108" t="s">
        <v>466</v>
      </c>
      <c r="AV1" s="1110">
        <f>(MAX(AR3:BB42)-MIN(AR3:BB42))/2</f>
        <v>100</v>
      </c>
      <c r="AW1" s="41" t="s">
        <v>196</v>
      </c>
      <c r="AX1" s="41">
        <f>SQRT(AK1^2+AV1^2)</f>
        <v>141.42135623730951</v>
      </c>
      <c r="BG1" s="41" t="s">
        <v>475</v>
      </c>
    </row>
    <row r="2" spans="1:61" ht="13.8" thickBot="1" x14ac:dyDescent="0.3">
      <c r="A2" s="1105" t="s">
        <v>16</v>
      </c>
      <c r="B2" s="670">
        <v>0</v>
      </c>
      <c r="C2" s="1107">
        <v>0</v>
      </c>
      <c r="D2" s="1107">
        <v>0.2</v>
      </c>
      <c r="E2" s="1107">
        <v>0.3</v>
      </c>
      <c r="F2" s="1107">
        <v>0.4</v>
      </c>
      <c r="G2" s="1107">
        <v>0.5</v>
      </c>
      <c r="H2" s="1107">
        <v>0.6</v>
      </c>
      <c r="I2" s="1107">
        <v>0.7</v>
      </c>
      <c r="J2" s="1107">
        <v>0.8</v>
      </c>
      <c r="K2" s="1107">
        <v>0.9</v>
      </c>
      <c r="L2" s="671">
        <v>1</v>
      </c>
      <c r="N2" s="1105" t="s">
        <v>228</v>
      </c>
      <c r="O2" s="670">
        <v>0</v>
      </c>
      <c r="P2" s="1107">
        <v>0.1</v>
      </c>
      <c r="Q2" s="1107">
        <v>0.2</v>
      </c>
      <c r="R2" s="1107">
        <v>0.3</v>
      </c>
      <c r="S2" s="1107">
        <v>0.4</v>
      </c>
      <c r="T2" s="1107">
        <v>0.5</v>
      </c>
      <c r="U2" s="1107">
        <v>0.6</v>
      </c>
      <c r="V2" s="1107">
        <v>0.7</v>
      </c>
      <c r="W2" s="1107">
        <v>0.8</v>
      </c>
      <c r="X2" s="1107">
        <v>0.9</v>
      </c>
      <c r="Y2" s="671">
        <v>1</v>
      </c>
      <c r="AA2" s="1105" t="s">
        <v>16</v>
      </c>
      <c r="AB2" s="670">
        <v>0</v>
      </c>
      <c r="AC2" s="1107">
        <v>0.1</v>
      </c>
      <c r="AD2" s="1107">
        <v>0.2</v>
      </c>
      <c r="AE2" s="1107">
        <v>0.3</v>
      </c>
      <c r="AF2" s="1107">
        <v>0.4</v>
      </c>
      <c r="AG2" s="1107">
        <v>0.5</v>
      </c>
      <c r="AH2" s="1107">
        <v>0.6</v>
      </c>
      <c r="AI2" s="1107">
        <v>0.7</v>
      </c>
      <c r="AJ2" s="1107">
        <v>0.8</v>
      </c>
      <c r="AK2" s="1107">
        <v>0.9</v>
      </c>
      <c r="AL2" s="671">
        <v>1</v>
      </c>
      <c r="AM2" s="1100">
        <v>1</v>
      </c>
      <c r="AN2" s="1107">
        <v>0</v>
      </c>
      <c r="AO2" s="671">
        <v>0</v>
      </c>
      <c r="AQ2" s="1105" t="s">
        <v>228</v>
      </c>
      <c r="AR2" s="670">
        <v>0</v>
      </c>
      <c r="AS2" s="1107">
        <v>0.1</v>
      </c>
      <c r="AT2" s="1107">
        <v>0.2</v>
      </c>
      <c r="AU2" s="1107">
        <v>0.3</v>
      </c>
      <c r="AV2" s="1107">
        <v>0.4</v>
      </c>
      <c r="AW2" s="1107">
        <v>0.5</v>
      </c>
      <c r="AX2" s="1107">
        <v>0.6</v>
      </c>
      <c r="AY2" s="1107">
        <v>0.7</v>
      </c>
      <c r="AZ2" s="1107">
        <v>0.8</v>
      </c>
      <c r="BA2" s="1107">
        <v>0.9</v>
      </c>
      <c r="BB2" s="671">
        <v>1</v>
      </c>
      <c r="BC2" s="1100">
        <v>1</v>
      </c>
      <c r="BD2" s="1107">
        <v>0</v>
      </c>
      <c r="BE2" s="671">
        <v>0</v>
      </c>
      <c r="BG2" s="745" t="s">
        <v>178</v>
      </c>
      <c r="BH2" s="1117">
        <f>PlotM!$AI$1</f>
        <v>0</v>
      </c>
      <c r="BI2" s="632"/>
    </row>
    <row r="3" spans="1:61" x14ac:dyDescent="0.25">
      <c r="A3" s="1118">
        <v>1</v>
      </c>
      <c r="B3" s="745">
        <v>5.3381674125357117</v>
      </c>
      <c r="C3" s="1117">
        <v>4.8043506712821404</v>
      </c>
      <c r="D3" s="1117">
        <v>4.2705339300285692</v>
      </c>
      <c r="E3" s="1117">
        <v>3.7367171887749975</v>
      </c>
      <c r="F3" s="1117">
        <v>3.2029004475214271</v>
      </c>
      <c r="G3" s="1117">
        <v>2.6690837062678558</v>
      </c>
      <c r="H3" s="1117">
        <v>2.135266965014285</v>
      </c>
      <c r="I3" s="1117">
        <v>1.601450223760714</v>
      </c>
      <c r="J3" s="1117">
        <v>1.0676334825071425</v>
      </c>
      <c r="K3" s="1117">
        <v>0.5338167412535717</v>
      </c>
      <c r="L3" s="632">
        <v>0</v>
      </c>
      <c r="N3" s="1118">
        <v>1</v>
      </c>
      <c r="O3" s="745">
        <v>-7.1175565500476159</v>
      </c>
      <c r="P3" s="1117">
        <v>-6.4058008950428551</v>
      </c>
      <c r="Q3" s="1117">
        <v>-5.6940452400380925</v>
      </c>
      <c r="R3" s="1117">
        <v>-4.9822895850333309</v>
      </c>
      <c r="S3" s="1117">
        <v>-4.2705339300285692</v>
      </c>
      <c r="T3" s="1117">
        <v>-3.5587782750238079</v>
      </c>
      <c r="U3" s="1117">
        <v>-2.8470226200190467</v>
      </c>
      <c r="V3" s="1117">
        <v>-2.1352669650142855</v>
      </c>
      <c r="W3" s="1117">
        <v>-1.4235113100095236</v>
      </c>
      <c r="X3" s="1117">
        <v>-0.71175565500476234</v>
      </c>
      <c r="Y3" s="632">
        <v>0</v>
      </c>
      <c r="AA3" s="1119">
        <v>1</v>
      </c>
      <c r="AB3" s="746">
        <f>IF(ISNUMBER(System!$C4),PlotData!B4+Momente!$E$2* $AF$1*B3,PlotData!$CB$3)</f>
        <v>38.477308734844343</v>
      </c>
      <c r="AC3" s="1144">
        <f>IF(ISNUMBER(System!$C4),PlotData!C4+ Momente!$E$2*$AF$1*C3,PlotData!$CB$3)</f>
        <v>44.629577861359905</v>
      </c>
      <c r="AD3" s="1144">
        <f>IF(ISNUMBER(System!$C4),PlotData!D4+ Momente!$E$2*$AF$1*D3,PlotData!$CB$3)</f>
        <v>50.781846987875475</v>
      </c>
      <c r="AE3" s="1144">
        <f>IF(ISNUMBER(System!$C4),PlotData!E4+Momente!$E$2* $AF$1*E3,PlotData!$CB$3)</f>
        <v>56.934116114391038</v>
      </c>
      <c r="AF3" s="1144">
        <f>IF(ISNUMBER(System!$C4),PlotData!F4+Momente!$E$2* $AF$1*F3,PlotData!$CB$3)</f>
        <v>63.086385240906608</v>
      </c>
      <c r="AG3" s="1144">
        <f>IF(ISNUMBER(System!$C4),PlotData!G4+ Momente!$E$2*$AF$1*G3,PlotData!$CB$3)</f>
        <v>69.238654367422171</v>
      </c>
      <c r="AH3" s="1144">
        <f>IF(ISNUMBER(System!$C4),PlotData!H4+ Momente!$E$2*$AF$1*H3,PlotData!$CB$3)</f>
        <v>75.390923493937734</v>
      </c>
      <c r="AI3" s="1144">
        <f>IF(ISNUMBER(System!$C4),PlotData!I4+ Momente!$E$2*$AF$1*I3,PlotData!$CB$3)</f>
        <v>81.543192620453311</v>
      </c>
      <c r="AJ3" s="1144">
        <f>IF(ISNUMBER(System!$C4),PlotData!J4+ Momente!$E$2*$AF$1*J3,PlotData!$CB$3)</f>
        <v>87.695461746968874</v>
      </c>
      <c r="AK3" s="1144">
        <f>IF(ISNUMBER(System!$C4),PlotData!K4+ Momente!$E$2*$AF$1*K3,PlotData!$CB$3)</f>
        <v>93.847730873484437</v>
      </c>
      <c r="AL3" s="747">
        <f>IF(ISNUMBER(System!$C4),PlotData!L4+Momente!$E$2* $AF$1*L3,PlotData!$CB$3)</f>
        <v>100</v>
      </c>
      <c r="AM3" s="745">
        <f>IF(ISNUMBER(System!$C4),PlotData!L4,PlotData!$CB$3)</f>
        <v>100</v>
      </c>
      <c r="AN3" s="1117">
        <f>IF(ISNUMBER(System!$C4),PlotData!B4,PlotData!$CB$3)</f>
        <v>20</v>
      </c>
      <c r="AO3" s="632">
        <f>IF(ISNUMBER(System!$C4),AB3,PlotData!$CB$3)</f>
        <v>38.477308734844343</v>
      </c>
      <c r="AQ3" s="1119">
        <v>1</v>
      </c>
      <c r="AR3" s="746">
        <f>IF(ISNUMBER(System!$C4),PlotData!O4+ Momente!$E$2*$AF$1*O3,PlotData!$CB$4)</f>
        <v>-64.636411646459123</v>
      </c>
      <c r="AS3" s="1144">
        <f>IF(ISNUMBER(System!$C4),PlotData!P4+Momente!$E$2* $AF$1*P3,PlotData!$CB$4)</f>
        <v>-56.172770481813217</v>
      </c>
      <c r="AT3" s="1144">
        <f>IF(ISNUMBER(System!$C4),PlotData!Q4+ Momente!$E$2*$AF$1*Q3,PlotData!$CB$4)</f>
        <v>-47.709129317167303</v>
      </c>
      <c r="AU3" s="1144">
        <f>IF(ISNUMBER(System!$C4),PlotData!R4+Momente!$E$2* $AF$1*R3,PlotData!$CB$4)</f>
        <v>-39.245488152521389</v>
      </c>
      <c r="AV3" s="1144">
        <f>IF(ISNUMBER(System!$C4),PlotData!S4+ Momente!$E$2*$AF$1*S3,PlotData!$CB$4)</f>
        <v>-30.781846987875475</v>
      </c>
      <c r="AW3" s="1144">
        <f>IF(ISNUMBER(System!$C4),PlotData!T4+ Momente!$E$2*$AF$1*T3,PlotData!$CB$4)</f>
        <v>-22.318205823229562</v>
      </c>
      <c r="AX3" s="1144">
        <f>IF(ISNUMBER(System!$C4),PlotData!U4+ Momente!$E$2*$AF$1*U3,PlotData!$CB$4)</f>
        <v>-13.854564658583653</v>
      </c>
      <c r="AY3" s="1144">
        <f>IF(ISNUMBER(System!$C4),PlotData!V4+ Momente!$E$2*$AF$1*V3,PlotData!$CB$4)</f>
        <v>-5.3909234939377413</v>
      </c>
      <c r="AZ3" s="1144">
        <f>IF(ISNUMBER(System!$C4),PlotData!W4+ Momente!$E$2*$AF$1*W3,PlotData!$CB$4)</f>
        <v>3.0727176707081734</v>
      </c>
      <c r="BA3" s="1144">
        <f>IF(ISNUMBER(System!$C4),PlotData!X4+ Momente!$E$2*$AF$1*X3,PlotData!$CB$4)</f>
        <v>11.536358835354084</v>
      </c>
      <c r="BB3" s="747">
        <f>IF(ISNUMBER(System!$C4),PlotData!Y4+ Momente!$E$2*$AF$1*Y3,PlotData!$CB$4)</f>
        <v>20</v>
      </c>
      <c r="BC3" s="1145">
        <f>IF(ISNUMBER(System!$C4),PlotData!Y4, PlotData!CB$4)</f>
        <v>20</v>
      </c>
      <c r="BD3" s="1144">
        <f>IF(ISNUMBER(System!$C4),PlotData!O4, PlotData!$CB$4)</f>
        <v>-40</v>
      </c>
      <c r="BE3" s="747">
        <f>IF(ISNUMBER(System!$C4), AR3,PlotData!$CB$4)</f>
        <v>-64.636411646459123</v>
      </c>
      <c r="BG3" s="668" t="s">
        <v>179</v>
      </c>
      <c r="BH3" s="721">
        <f>PlotM!$AT$1</f>
        <v>0</v>
      </c>
      <c r="BI3" s="639"/>
    </row>
    <row r="4" spans="1:61" x14ac:dyDescent="0.25">
      <c r="A4" s="1124">
        <v>2</v>
      </c>
      <c r="B4" s="668">
        <v>14.708587652509609</v>
      </c>
      <c r="C4" s="721">
        <v>13.237728887258651</v>
      </c>
      <c r="D4" s="721">
        <v>11.766870122007687</v>
      </c>
      <c r="E4" s="721">
        <v>10.296011356756726</v>
      </c>
      <c r="F4" s="721">
        <v>8.8251525915057663</v>
      </c>
      <c r="G4" s="721">
        <v>7.3542938262548043</v>
      </c>
      <c r="H4" s="721">
        <v>5.8834350610038433</v>
      </c>
      <c r="I4" s="721">
        <v>4.412576295752884</v>
      </c>
      <c r="J4" s="721">
        <v>2.9417175305019234</v>
      </c>
      <c r="K4" s="721">
        <v>1.4708587652509626</v>
      </c>
      <c r="L4" s="639">
        <v>0</v>
      </c>
      <c r="N4" s="1124">
        <v>2</v>
      </c>
      <c r="O4" s="668">
        <v>0</v>
      </c>
      <c r="P4" s="721">
        <v>0</v>
      </c>
      <c r="Q4" s="721">
        <v>0</v>
      </c>
      <c r="R4" s="721">
        <v>0</v>
      </c>
      <c r="S4" s="721">
        <v>0</v>
      </c>
      <c r="T4" s="721">
        <v>0</v>
      </c>
      <c r="U4" s="721">
        <v>0</v>
      </c>
      <c r="V4" s="721">
        <v>0</v>
      </c>
      <c r="W4" s="721">
        <v>0</v>
      </c>
      <c r="X4" s="721">
        <v>0</v>
      </c>
      <c r="Y4" s="639">
        <v>0</v>
      </c>
      <c r="AA4" s="1125">
        <v>2</v>
      </c>
      <c r="AB4" s="668">
        <f>IF(ISNUMBER(System!$C5),PlotData!B5+Momente!$E$2* $AF$1*B4,PlotData!$CB$3)</f>
        <v>70.911688245431435</v>
      </c>
      <c r="AC4" s="721">
        <f>IF(ISNUMBER(System!$C5),PlotData!C5+ Momente!$E$2*$AF$1*C4,PlotData!$CB$3)</f>
        <v>65.820519420888303</v>
      </c>
      <c r="AD4" s="721">
        <f>IF(ISNUMBER(System!$C5),PlotData!D5+ Momente!$E$2*$AF$1*D4,PlotData!$CB$3)</f>
        <v>60.729350596345142</v>
      </c>
      <c r="AE4" s="721">
        <f>IF(ISNUMBER(System!$C5),PlotData!E5+Momente!$E$2* $AF$1*E4,PlotData!$CB$3)</f>
        <v>55.638181771801996</v>
      </c>
      <c r="AF4" s="721">
        <f>IF(ISNUMBER(System!$C5),PlotData!F5+Momente!$E$2* $AF$1*F4,PlotData!$CB$3)</f>
        <v>50.547012947258864</v>
      </c>
      <c r="AG4" s="721">
        <f>IF(ISNUMBER(System!$C5),PlotData!G5+ Momente!$E$2*$AF$1*G4,PlotData!$CB$3)</f>
        <v>45.455844122715718</v>
      </c>
      <c r="AH4" s="721">
        <f>IF(ISNUMBER(System!$C5),PlotData!H5+ Momente!$E$2*$AF$1*H4,PlotData!$CB$3)</f>
        <v>40.364675298172571</v>
      </c>
      <c r="AI4" s="721">
        <f>IF(ISNUMBER(System!$C5),PlotData!I5+ Momente!$E$2*$AF$1*I4,PlotData!$CB$3)</f>
        <v>35.273506473629432</v>
      </c>
      <c r="AJ4" s="721">
        <f>IF(ISNUMBER(System!$C5),PlotData!J5+ Momente!$E$2*$AF$1*J4,PlotData!$CB$3)</f>
        <v>30.182337649086293</v>
      </c>
      <c r="AK4" s="721">
        <f>IF(ISNUMBER(System!$C5),PlotData!K5+ Momente!$E$2*$AF$1*K4,PlotData!$CB$3)</f>
        <v>25.091168824543146</v>
      </c>
      <c r="AL4" s="639">
        <f>IF(ISNUMBER(System!$C5),PlotData!L5+Momente!$E$2* $AF$1*L4,PlotData!$CB$3)</f>
        <v>20</v>
      </c>
      <c r="AM4" s="668">
        <f>IF(ISNUMBER(System!$C5),PlotData!L5,PlotData!$CB$3)</f>
        <v>20</v>
      </c>
      <c r="AN4" s="721">
        <f>IF(ISNUMBER(System!$C5),PlotData!B5,PlotData!$CB$3)</f>
        <v>20</v>
      </c>
      <c r="AO4" s="639">
        <f>IF(ISNUMBER(System!$C5),AB4,PlotData!$CB$3)</f>
        <v>70.911688245431435</v>
      </c>
      <c r="AQ4" s="1125">
        <v>2</v>
      </c>
      <c r="AR4" s="668">
        <f>IF(ISNUMBER(System!$C5),PlotData!O5+ Momente!$E$2*$AF$1*O4,PlotData!$CB$4)</f>
        <v>-40</v>
      </c>
      <c r="AS4" s="721">
        <f>IF(ISNUMBER(System!$C5),PlotData!P5+Momente!$E$2* $AF$1*P4,PlotData!$CB$4)</f>
        <v>-34</v>
      </c>
      <c r="AT4" s="721">
        <f>IF(ISNUMBER(System!$C5),PlotData!Q5+ Momente!$E$2*$AF$1*Q4,PlotData!$CB$4)</f>
        <v>-28</v>
      </c>
      <c r="AU4" s="721">
        <f>IF(ISNUMBER(System!$C5),PlotData!R5+Momente!$E$2* $AF$1*R4,PlotData!$CB$4)</f>
        <v>-22</v>
      </c>
      <c r="AV4" s="721">
        <f>IF(ISNUMBER(System!$C5),PlotData!S5+ Momente!$E$2*$AF$1*S4,PlotData!$CB$4)</f>
        <v>-16</v>
      </c>
      <c r="AW4" s="721">
        <f>IF(ISNUMBER(System!$C5),PlotData!T5+ Momente!$E$2*$AF$1*T4,PlotData!$CB$4)</f>
        <v>-10</v>
      </c>
      <c r="AX4" s="721">
        <f>IF(ISNUMBER(System!$C5),PlotData!U5+ Momente!$E$2*$AF$1*U4,PlotData!$CB$4)</f>
        <v>-4</v>
      </c>
      <c r="AY4" s="721">
        <f>IF(ISNUMBER(System!$C5),PlotData!V5+ Momente!$E$2*$AF$1*V4,PlotData!$CB$4)</f>
        <v>2</v>
      </c>
      <c r="AZ4" s="721">
        <f>IF(ISNUMBER(System!$C5),PlotData!W5+ Momente!$E$2*$AF$1*W4,PlotData!$CB$4)</f>
        <v>8</v>
      </c>
      <c r="BA4" s="721">
        <f>IF(ISNUMBER(System!$C5),PlotData!X5+ Momente!$E$2*$AF$1*X4,PlotData!$CB$4)</f>
        <v>14</v>
      </c>
      <c r="BB4" s="639">
        <f>IF(ISNUMBER(System!$C5),PlotData!Y5+ Momente!$E$2*$AF$1*Y4,PlotData!$CB$4)</f>
        <v>20</v>
      </c>
      <c r="BC4" s="1146">
        <f>IF(ISNUMBER(System!$C5),PlotData!Y5, PlotData!CB$4)</f>
        <v>20</v>
      </c>
      <c r="BD4" s="721">
        <f>IF(ISNUMBER(System!$C5),PlotData!O5, PlotData!$CB$4)</f>
        <v>-40</v>
      </c>
      <c r="BE4" s="639">
        <f>IF(ISNUMBER(System!$C5), AR4,PlotData!$CB$4)</f>
        <v>-40</v>
      </c>
      <c r="BG4" s="668" t="s">
        <v>196</v>
      </c>
      <c r="BH4" s="721">
        <f>BH5 * PlotM!$AX$1</f>
        <v>141.42135623730951</v>
      </c>
      <c r="BI4" s="639"/>
    </row>
    <row r="5" spans="1:61" x14ac:dyDescent="0.25">
      <c r="A5" s="1124">
        <v>3</v>
      </c>
      <c r="B5" s="668">
        <v>-9.7317332801451428</v>
      </c>
      <c r="C5" s="721">
        <v>-8.7585599521306303</v>
      </c>
      <c r="D5" s="721">
        <v>-7.785386624116116</v>
      </c>
      <c r="E5" s="721">
        <v>-6.8122132961016018</v>
      </c>
      <c r="F5" s="721">
        <v>-5.8390399680870866</v>
      </c>
      <c r="G5" s="721">
        <v>-4.8658666400725723</v>
      </c>
      <c r="H5" s="721">
        <v>-3.892693312058058</v>
      </c>
      <c r="I5" s="721">
        <v>-2.9195199840435437</v>
      </c>
      <c r="J5" s="721">
        <v>-1.9463466560290297</v>
      </c>
      <c r="K5" s="721">
        <v>-0.97317332801451517</v>
      </c>
      <c r="L5" s="639">
        <v>0</v>
      </c>
      <c r="N5" s="1124">
        <v>3</v>
      </c>
      <c r="O5" s="668">
        <v>-6.4878221867634291</v>
      </c>
      <c r="P5" s="721">
        <v>-5.8390399680870866</v>
      </c>
      <c r="Q5" s="721">
        <v>-5.190257749410744</v>
      </c>
      <c r="R5" s="721">
        <v>-4.5414755307344015</v>
      </c>
      <c r="S5" s="721">
        <v>-3.8926933120580576</v>
      </c>
      <c r="T5" s="721">
        <v>-3.243911093381715</v>
      </c>
      <c r="U5" s="721">
        <v>-2.595128874705372</v>
      </c>
      <c r="V5" s="721">
        <v>-1.9463466560290292</v>
      </c>
      <c r="W5" s="721">
        <v>-1.2975644373526865</v>
      </c>
      <c r="X5" s="721">
        <v>-0.64878221867634345</v>
      </c>
      <c r="Y5" s="639">
        <v>0</v>
      </c>
      <c r="AA5" s="1125">
        <v>3</v>
      </c>
      <c r="AB5" s="668">
        <f>IF(ISNUMBER(System!$C6),PlotData!B6+Momente!$E$2* $AF$1*B5,PlotData!$CB$3)</f>
        <v>-13.685013310023898</v>
      </c>
      <c r="AC5" s="721">
        <f>IF(ISNUMBER(System!$C6),PlotData!C6+ Momente!$E$2*$AF$1*C5,PlotData!$CB$3)</f>
        <v>-6.316511979021513</v>
      </c>
      <c r="AD5" s="721">
        <f>IF(ISNUMBER(System!$C6),PlotData!D6+ Momente!$E$2*$AF$1*D5,PlotData!$CB$3)</f>
        <v>1.051989351980879</v>
      </c>
      <c r="AE5" s="721">
        <f>IF(ISNUMBER(System!$C6),PlotData!E6+Momente!$E$2* $AF$1*E5,PlotData!$CB$3)</f>
        <v>8.4204906829832673</v>
      </c>
      <c r="AF5" s="721">
        <f>IF(ISNUMBER(System!$C6),PlotData!F6+Momente!$E$2* $AF$1*F5,PlotData!$CB$3)</f>
        <v>15.788992013985659</v>
      </c>
      <c r="AG5" s="721">
        <f>IF(ISNUMBER(System!$C6),PlotData!G6+ Momente!$E$2*$AF$1*G5,PlotData!$CB$3)</f>
        <v>23.157493344988051</v>
      </c>
      <c r="AH5" s="721">
        <f>IF(ISNUMBER(System!$C6),PlotData!H6+ Momente!$E$2*$AF$1*H5,PlotData!$CB$3)</f>
        <v>30.525994675990439</v>
      </c>
      <c r="AI5" s="721">
        <f>IF(ISNUMBER(System!$C6),PlotData!I6+ Momente!$E$2*$AF$1*I5,PlotData!$CB$3)</f>
        <v>37.894496006992824</v>
      </c>
      <c r="AJ5" s="721">
        <f>IF(ISNUMBER(System!$C6),PlotData!J6+ Momente!$E$2*$AF$1*J5,PlotData!$CB$3)</f>
        <v>45.262997337995216</v>
      </c>
      <c r="AK5" s="721">
        <f>IF(ISNUMBER(System!$C6),PlotData!K6+ Momente!$E$2*$AF$1*K5,PlotData!$CB$3)</f>
        <v>52.631498668997608</v>
      </c>
      <c r="AL5" s="639">
        <f>IF(ISNUMBER(System!$C6),PlotData!L6+Momente!$E$2* $AF$1*L5,PlotData!$CB$3)</f>
        <v>60</v>
      </c>
      <c r="AM5" s="668">
        <f>IF(ISNUMBER(System!$C6),PlotData!L6,PlotData!$CB$3)</f>
        <v>60</v>
      </c>
      <c r="AN5" s="721">
        <f>IF(ISNUMBER(System!$C6),PlotData!B6,PlotData!$CB$3)</f>
        <v>20</v>
      </c>
      <c r="AO5" s="639">
        <f>IF(ISNUMBER(System!$C6),AB5,PlotData!$CB$3)</f>
        <v>-13.685013310023898</v>
      </c>
      <c r="AQ5" s="1125">
        <v>3</v>
      </c>
      <c r="AR5" s="668">
        <f>IF(ISNUMBER(System!$C6),PlotData!O6+ Momente!$E$2*$AF$1*O5,PlotData!$CB$4)</f>
        <v>-62.456675540015937</v>
      </c>
      <c r="AS5" s="721">
        <f>IF(ISNUMBER(System!$C6),PlotData!P6+Momente!$E$2* $AF$1*P5,PlotData!$CB$4)</f>
        <v>-66.211007986014337</v>
      </c>
      <c r="AT5" s="721">
        <f>IF(ISNUMBER(System!$C6),PlotData!Q6+ Momente!$E$2*$AF$1*Q5,PlotData!$CB$4)</f>
        <v>-69.965340432012752</v>
      </c>
      <c r="AU5" s="721">
        <f>IF(ISNUMBER(System!$C6),PlotData!R6+Momente!$E$2* $AF$1*R5,PlotData!$CB$4)</f>
        <v>-73.719672878011153</v>
      </c>
      <c r="AV5" s="721">
        <f>IF(ISNUMBER(System!$C6),PlotData!S6+ Momente!$E$2*$AF$1*S5,PlotData!$CB$4)</f>
        <v>-77.474005324009553</v>
      </c>
      <c r="AW5" s="721">
        <f>IF(ISNUMBER(System!$C6),PlotData!T6+ Momente!$E$2*$AF$1*T5,PlotData!$CB$4)</f>
        <v>-81.228337770007968</v>
      </c>
      <c r="AX5" s="721">
        <f>IF(ISNUMBER(System!$C6),PlotData!U6+ Momente!$E$2*$AF$1*U5,PlotData!$CB$4)</f>
        <v>-84.982670216006369</v>
      </c>
      <c r="AY5" s="721">
        <f>IF(ISNUMBER(System!$C6),PlotData!V6+ Momente!$E$2*$AF$1*V5,PlotData!$CB$4)</f>
        <v>-88.737002662004784</v>
      </c>
      <c r="AZ5" s="721">
        <f>IF(ISNUMBER(System!$C6),PlotData!W6+ Momente!$E$2*$AF$1*W5,PlotData!$CB$4)</f>
        <v>-92.491335108003184</v>
      </c>
      <c r="BA5" s="721">
        <f>IF(ISNUMBER(System!$C6),PlotData!X6+ Momente!$E$2*$AF$1*X5,PlotData!$CB$4)</f>
        <v>-96.245667554001599</v>
      </c>
      <c r="BB5" s="639">
        <f>IF(ISNUMBER(System!$C6),PlotData!Y6+ Momente!$E$2*$AF$1*Y5,PlotData!$CB$4)</f>
        <v>-100</v>
      </c>
      <c r="BC5" s="1146">
        <f>IF(ISNUMBER(System!$C6),PlotData!Y6, PlotData!CB$4)</f>
        <v>-100</v>
      </c>
      <c r="BD5" s="721">
        <f>IF(ISNUMBER(System!$C6),PlotData!O6, PlotData!$CB$4)</f>
        <v>-40</v>
      </c>
      <c r="BE5" s="639">
        <f>IF(ISNUMBER(System!$C6), AR5,PlotData!$CB$4)</f>
        <v>-62.456675540015937</v>
      </c>
      <c r="BG5" s="668" t="s">
        <v>269</v>
      </c>
      <c r="BH5" s="721">
        <f>1/Momente!$G$2</f>
        <v>1</v>
      </c>
      <c r="BI5" s="639"/>
    </row>
    <row r="6" spans="1:61" x14ac:dyDescent="0.25">
      <c r="A6" s="1124">
        <v>4</v>
      </c>
      <c r="B6" s="668">
        <v>-4.0058756414702552</v>
      </c>
      <c r="C6" s="721">
        <v>-3.6052880773232294</v>
      </c>
      <c r="D6" s="721">
        <v>-3.204700513176205</v>
      </c>
      <c r="E6" s="721">
        <v>-2.8041129490291787</v>
      </c>
      <c r="F6" s="721">
        <v>-2.4035253848821534</v>
      </c>
      <c r="G6" s="721">
        <v>-2.0029378207351276</v>
      </c>
      <c r="H6" s="721">
        <v>-1.6023502565881025</v>
      </c>
      <c r="I6" s="721">
        <v>-1.2017626924410769</v>
      </c>
      <c r="J6" s="721">
        <v>-0.80117512829405158</v>
      </c>
      <c r="K6" s="721">
        <v>-0.40058756414702568</v>
      </c>
      <c r="L6" s="639">
        <v>0</v>
      </c>
      <c r="N6" s="1124">
        <v>4</v>
      </c>
      <c r="O6" s="668">
        <v>9.3470431634305946</v>
      </c>
      <c r="P6" s="721">
        <v>8.4123388470875344</v>
      </c>
      <c r="Q6" s="721">
        <v>7.4776345307444778</v>
      </c>
      <c r="R6" s="721">
        <v>6.5429302144014168</v>
      </c>
      <c r="S6" s="721">
        <v>5.6082258980583575</v>
      </c>
      <c r="T6" s="721">
        <v>4.6735215817152973</v>
      </c>
      <c r="U6" s="721">
        <v>3.7388172653722389</v>
      </c>
      <c r="V6" s="721">
        <v>2.8041129490291792</v>
      </c>
      <c r="W6" s="721">
        <v>1.8694086326861203</v>
      </c>
      <c r="X6" s="721">
        <v>0.93470431634305995</v>
      </c>
      <c r="Y6" s="639">
        <v>0</v>
      </c>
      <c r="AA6" s="1125">
        <v>4</v>
      </c>
      <c r="AB6" s="668">
        <f>IF(ISNUMBER(System!$C7),PlotData!B7+Momente!$E$2* $AF$1*B6,PlotData!$CB$3)</f>
        <v>6.1342301091904226</v>
      </c>
      <c r="AC6" s="721">
        <f>IF(ISNUMBER(System!$C7),PlotData!C7+ Momente!$E$2*$AF$1*C6,PlotData!$CB$3)</f>
        <v>0.52080709827137994</v>
      </c>
      <c r="AD6" s="721">
        <f>IF(ISNUMBER(System!$C7),PlotData!D7+ Momente!$E$2*$AF$1*D6,PlotData!$CB$3)</f>
        <v>-5.0926159126476644</v>
      </c>
      <c r="AE6" s="721">
        <f>IF(ISNUMBER(System!$C7),PlotData!E7+Momente!$E$2* $AF$1*E6,PlotData!$CB$3)</f>
        <v>-10.706038923566705</v>
      </c>
      <c r="AF6" s="721">
        <f>IF(ISNUMBER(System!$C7),PlotData!F7+Momente!$E$2* $AF$1*F6,PlotData!$CB$3)</f>
        <v>-16.319461934485748</v>
      </c>
      <c r="AG6" s="721">
        <f>IF(ISNUMBER(System!$C7),PlotData!G7+ Momente!$E$2*$AF$1*G6,PlotData!$CB$3)</f>
        <v>-21.932884945404787</v>
      </c>
      <c r="AH6" s="721">
        <f>IF(ISNUMBER(System!$C7),PlotData!H7+ Momente!$E$2*$AF$1*H6,PlotData!$CB$3)</f>
        <v>-27.546307956323833</v>
      </c>
      <c r="AI6" s="721">
        <f>IF(ISNUMBER(System!$C7),PlotData!I7+ Momente!$E$2*$AF$1*I6,PlotData!$CB$3)</f>
        <v>-33.159730967242872</v>
      </c>
      <c r="AJ6" s="721">
        <f>IF(ISNUMBER(System!$C7),PlotData!J7+ Momente!$E$2*$AF$1*J6,PlotData!$CB$3)</f>
        <v>-38.773153978161915</v>
      </c>
      <c r="AK6" s="721">
        <f>IF(ISNUMBER(System!$C7),PlotData!K7+ Momente!$E$2*$AF$1*K6,PlotData!$CB$3)</f>
        <v>-44.386576989080957</v>
      </c>
      <c r="AL6" s="639">
        <f>IF(ISNUMBER(System!$C7),PlotData!L7+Momente!$E$2* $AF$1*L6,PlotData!$CB$3)</f>
        <v>-50</v>
      </c>
      <c r="AM6" s="668">
        <f>IF(ISNUMBER(System!$C7),PlotData!L7,PlotData!$CB$3)</f>
        <v>-50</v>
      </c>
      <c r="AN6" s="721">
        <f>IF(ISNUMBER(System!$C7),PlotData!B7,PlotData!$CB$3)</f>
        <v>20</v>
      </c>
      <c r="AO6" s="639">
        <f>IF(ISNUMBER(System!$C7),AB6,PlotData!$CB$3)</f>
        <v>6.1342301091904226</v>
      </c>
      <c r="AQ6" s="1125">
        <v>4</v>
      </c>
      <c r="AR6" s="668">
        <f>IF(ISNUMBER(System!$C7),PlotData!O7+ Momente!$E$2*$AF$1*O6,PlotData!$CB$4)</f>
        <v>-7.6465369214443228</v>
      </c>
      <c r="AS6" s="721">
        <f>IF(ISNUMBER(System!$C7),PlotData!P7+Momente!$E$2* $AF$1*P6,PlotData!$CB$4)</f>
        <v>-13.881883229299891</v>
      </c>
      <c r="AT6" s="721">
        <f>IF(ISNUMBER(System!$C7),PlotData!Q7+ Momente!$E$2*$AF$1*Q6,PlotData!$CB$4)</f>
        <v>-20.117229537155449</v>
      </c>
      <c r="AU6" s="721">
        <f>IF(ISNUMBER(System!$C7),PlotData!R7+Momente!$E$2* $AF$1*R6,PlotData!$CB$4)</f>
        <v>-26.352575845011025</v>
      </c>
      <c r="AV6" s="721">
        <f>IF(ISNUMBER(System!$C7),PlotData!S7+ Momente!$E$2*$AF$1*S6,PlotData!$CB$4)</f>
        <v>-32.587922152866589</v>
      </c>
      <c r="AW6" s="721">
        <f>IF(ISNUMBER(System!$C7),PlotData!T7+ Momente!$E$2*$AF$1*T6,PlotData!$CB$4)</f>
        <v>-38.823268460722161</v>
      </c>
      <c r="AX6" s="721">
        <f>IF(ISNUMBER(System!$C7),PlotData!U7+ Momente!$E$2*$AF$1*U6,PlotData!$CB$4)</f>
        <v>-45.058614768577726</v>
      </c>
      <c r="AY6" s="721">
        <f>IF(ISNUMBER(System!$C7),PlotData!V7+ Momente!$E$2*$AF$1*V6,PlotData!$CB$4)</f>
        <v>-51.293961076433291</v>
      </c>
      <c r="AZ6" s="721">
        <f>IF(ISNUMBER(System!$C7),PlotData!W7+ Momente!$E$2*$AF$1*W6,PlotData!$CB$4)</f>
        <v>-57.529307384288856</v>
      </c>
      <c r="BA6" s="721">
        <f>IF(ISNUMBER(System!$C7),PlotData!X7+ Momente!$E$2*$AF$1*X6,PlotData!$CB$4)</f>
        <v>-63.764653692144428</v>
      </c>
      <c r="BB6" s="639">
        <f>IF(ISNUMBER(System!$C7),PlotData!Y7+ Momente!$E$2*$AF$1*Y6,PlotData!$CB$4)</f>
        <v>-70</v>
      </c>
      <c r="BC6" s="1146">
        <f>IF(ISNUMBER(System!$C7),PlotData!Y7, PlotData!CB$4)</f>
        <v>-70</v>
      </c>
      <c r="BD6" s="721">
        <f>IF(ISNUMBER(System!$C7),PlotData!O7, PlotData!$CB$4)</f>
        <v>-40</v>
      </c>
      <c r="BE6" s="639">
        <f>IF(ISNUMBER(System!$C7), AR6,PlotData!$CB$4)</f>
        <v>-7.6465369214443228</v>
      </c>
      <c r="BG6" s="668" t="s">
        <v>471</v>
      </c>
      <c r="BH6" s="721">
        <f>BH2-BH4</f>
        <v>-141.42135623730951</v>
      </c>
      <c r="BI6" s="639">
        <f>BH3+BH4</f>
        <v>141.42135623730951</v>
      </c>
    </row>
    <row r="7" spans="1:61" x14ac:dyDescent="0.25">
      <c r="A7" s="1124">
        <v>5</v>
      </c>
      <c r="B7" s="668">
        <v>3.438748233313663</v>
      </c>
      <c r="C7" s="721">
        <v>3.0948734099822977</v>
      </c>
      <c r="D7" s="721">
        <v>2.750998586650931</v>
      </c>
      <c r="E7" s="721">
        <v>2.4071237633195648</v>
      </c>
      <c r="F7" s="721">
        <v>2.0632489399881981</v>
      </c>
      <c r="G7" s="721">
        <v>1.7193741166568317</v>
      </c>
      <c r="H7" s="721">
        <v>1.3754992933254657</v>
      </c>
      <c r="I7" s="721">
        <v>1.0316244699940993</v>
      </c>
      <c r="J7" s="721">
        <v>0.68774964666273319</v>
      </c>
      <c r="K7" s="721">
        <v>0.34387482333136693</v>
      </c>
      <c r="L7" s="639">
        <v>0</v>
      </c>
      <c r="N7" s="1124">
        <v>5</v>
      </c>
      <c r="O7" s="668">
        <v>2.9474984856974253</v>
      </c>
      <c r="P7" s="721">
        <v>2.6527486371276834</v>
      </c>
      <c r="Q7" s="721">
        <v>2.357998788557941</v>
      </c>
      <c r="R7" s="721">
        <v>2.0632489399881981</v>
      </c>
      <c r="S7" s="721">
        <v>1.7684990914184555</v>
      </c>
      <c r="T7" s="721">
        <v>1.4737492428487129</v>
      </c>
      <c r="U7" s="721">
        <v>1.1789993942789705</v>
      </c>
      <c r="V7" s="721">
        <v>0.88424954570922798</v>
      </c>
      <c r="W7" s="721">
        <v>0.58949969713948558</v>
      </c>
      <c r="X7" s="721">
        <v>0.29474984856974312</v>
      </c>
      <c r="Y7" s="639">
        <v>0</v>
      </c>
      <c r="AA7" s="1125">
        <v>5</v>
      </c>
      <c r="AB7" s="668">
        <f>IF(ISNUMBER(System!$C8),PlotData!B8+Momente!$E$2* $AF$1*B7,PlotData!$CB$3)</f>
        <v>31.902738872356792</v>
      </c>
      <c r="AC7" s="721">
        <f>IF(ISNUMBER(System!$C8),PlotData!C8+ Momente!$E$2*$AF$1*C7,PlotData!$CB$3)</f>
        <v>18.71246498512112</v>
      </c>
      <c r="AD7" s="721">
        <f>IF(ISNUMBER(System!$C8),PlotData!D8+ Momente!$E$2*$AF$1*D7,PlotData!$CB$3)</f>
        <v>5.5221910978854378</v>
      </c>
      <c r="AE7" s="721">
        <f>IF(ISNUMBER(System!$C8),PlotData!E8+Momente!$E$2* $AF$1*E7,PlotData!$CB$3)</f>
        <v>-7.6680827893502403</v>
      </c>
      <c r="AF7" s="721">
        <f>IF(ISNUMBER(System!$C8),PlotData!F8+Momente!$E$2* $AF$1*F7,PlotData!$CB$3)</f>
        <v>-20.85835667658592</v>
      </c>
      <c r="AG7" s="721">
        <f>IF(ISNUMBER(System!$C8),PlotData!G8+ Momente!$E$2*$AF$1*G7,PlotData!$CB$3)</f>
        <v>-34.048630563821604</v>
      </c>
      <c r="AH7" s="721">
        <f>IF(ISNUMBER(System!$C8),PlotData!H8+ Momente!$E$2*$AF$1*H7,PlotData!$CB$3)</f>
        <v>-47.23890445105728</v>
      </c>
      <c r="AI7" s="721">
        <f>IF(ISNUMBER(System!$C8),PlotData!I8+ Momente!$E$2*$AF$1*I7,PlotData!$CB$3)</f>
        <v>-60.429178338292957</v>
      </c>
      <c r="AJ7" s="721">
        <f>IF(ISNUMBER(System!$C8),PlotData!J8+ Momente!$E$2*$AF$1*J7,PlotData!$CB$3)</f>
        <v>-73.619452225528633</v>
      </c>
      <c r="AK7" s="721">
        <f>IF(ISNUMBER(System!$C8),PlotData!K8+ Momente!$E$2*$AF$1*K7,PlotData!$CB$3)</f>
        <v>-86.809726112764324</v>
      </c>
      <c r="AL7" s="639">
        <f>IF(ISNUMBER(System!$C8),PlotData!L8+Momente!$E$2* $AF$1*L7,PlotData!$CB$3)</f>
        <v>-100</v>
      </c>
      <c r="AM7" s="668">
        <f>IF(ISNUMBER(System!$C8),PlotData!L8,PlotData!$CB$3)</f>
        <v>-100</v>
      </c>
      <c r="AN7" s="721">
        <f>IF(ISNUMBER(System!$C8),PlotData!B8,PlotData!$CB$3)</f>
        <v>20</v>
      </c>
      <c r="AO7" s="639">
        <f>IF(ISNUMBER(System!$C8),AB7,PlotData!$CB$3)</f>
        <v>31.902738872356792</v>
      </c>
      <c r="AQ7" s="1125">
        <v>5</v>
      </c>
      <c r="AR7" s="668">
        <f>IF(ISNUMBER(System!$C8),PlotData!O8+ Momente!$E$2*$AF$1*O7,PlotData!$CB$4)</f>
        <v>-29.797652395122746</v>
      </c>
      <c r="AS7" s="721">
        <f>IF(ISNUMBER(System!$C8),PlotData!P8+Momente!$E$2* $AF$1*P7,PlotData!$CB$4)</f>
        <v>-16.817887155610471</v>
      </c>
      <c r="AT7" s="721">
        <f>IF(ISNUMBER(System!$C8),PlotData!Q8+ Momente!$E$2*$AF$1*Q7,PlotData!$CB$4)</f>
        <v>-3.8381219160981956</v>
      </c>
      <c r="AU7" s="721">
        <f>IF(ISNUMBER(System!$C8),PlotData!R8+Momente!$E$2* $AF$1*R7,PlotData!$CB$4)</f>
        <v>9.1416433234140779</v>
      </c>
      <c r="AV7" s="721">
        <f>IF(ISNUMBER(System!$C8),PlotData!S8+ Momente!$E$2*$AF$1*S7,PlotData!$CB$4)</f>
        <v>22.121408562926351</v>
      </c>
      <c r="AW7" s="721">
        <f>IF(ISNUMBER(System!$C8),PlotData!T8+ Momente!$E$2*$AF$1*T7,PlotData!$CB$4)</f>
        <v>35.101173802438623</v>
      </c>
      <c r="AX7" s="721">
        <f>IF(ISNUMBER(System!$C8),PlotData!U8+ Momente!$E$2*$AF$1*U7,PlotData!$CB$4)</f>
        <v>48.080939041950899</v>
      </c>
      <c r="AY7" s="721">
        <f>IF(ISNUMBER(System!$C8),PlotData!V8+ Momente!$E$2*$AF$1*V7,PlotData!$CB$4)</f>
        <v>61.060704281463174</v>
      </c>
      <c r="AZ7" s="721">
        <f>IF(ISNUMBER(System!$C8),PlotData!W8+ Momente!$E$2*$AF$1*W7,PlotData!$CB$4)</f>
        <v>74.040469520975449</v>
      </c>
      <c r="BA7" s="721">
        <f>IF(ISNUMBER(System!$C8),PlotData!X8+ Momente!$E$2*$AF$1*X7,PlotData!$CB$4)</f>
        <v>87.020234760487725</v>
      </c>
      <c r="BB7" s="639">
        <f>IF(ISNUMBER(System!$C8),PlotData!Y8+ Momente!$E$2*$AF$1*Y7,PlotData!$CB$4)</f>
        <v>100</v>
      </c>
      <c r="BC7" s="1146">
        <f>IF(ISNUMBER(System!$C8),PlotData!Y8, PlotData!CB$4)</f>
        <v>100</v>
      </c>
      <c r="BD7" s="721">
        <f>IF(ISNUMBER(System!$C8),PlotData!O8, PlotData!$CB$4)</f>
        <v>-40</v>
      </c>
      <c r="BE7" s="639">
        <f>IF(ISNUMBER(System!$C8), AR7,PlotData!$CB$4)</f>
        <v>-29.797652395122746</v>
      </c>
      <c r="BG7" s="668" t="s">
        <v>472</v>
      </c>
      <c r="BH7" s="721">
        <f>BH2+BH4</f>
        <v>141.42135623730951</v>
      </c>
      <c r="BI7" s="639">
        <f>BH3+BH4</f>
        <v>141.42135623730951</v>
      </c>
    </row>
    <row r="8" spans="1:61" x14ac:dyDescent="0.25">
      <c r="A8" s="1124">
        <v>6</v>
      </c>
      <c r="B8" s="668"/>
      <c r="C8" s="721"/>
      <c r="D8" s="721"/>
      <c r="E8" s="721"/>
      <c r="F8" s="721"/>
      <c r="G8" s="721"/>
      <c r="H8" s="721"/>
      <c r="I8" s="721"/>
      <c r="J8" s="721"/>
      <c r="K8" s="721"/>
      <c r="L8" s="639"/>
      <c r="N8" s="1124">
        <v>6</v>
      </c>
      <c r="O8" s="668"/>
      <c r="P8" s="721"/>
      <c r="Q8" s="721"/>
      <c r="R8" s="721"/>
      <c r="S8" s="721"/>
      <c r="T8" s="721"/>
      <c r="U8" s="721"/>
      <c r="V8" s="721"/>
      <c r="W8" s="721"/>
      <c r="X8" s="721"/>
      <c r="Y8" s="639"/>
      <c r="AA8" s="1125">
        <v>6</v>
      </c>
      <c r="AB8" s="668">
        <f>IF(ISNUMBER(System!$C9),PlotData!B9+Momente!$E$2* $AF$1*B8,PlotData!$CB$3)</f>
        <v>0</v>
      </c>
      <c r="AC8" s="721">
        <f>IF(ISNUMBER(System!$C9),PlotData!C9+ Momente!$E$2*$AF$1*C8,PlotData!$CB$3)</f>
        <v>0</v>
      </c>
      <c r="AD8" s="721">
        <f>IF(ISNUMBER(System!$C9),PlotData!D9+ Momente!$E$2*$AF$1*D8,PlotData!$CB$3)</f>
        <v>0</v>
      </c>
      <c r="AE8" s="721">
        <f>IF(ISNUMBER(System!$C9),PlotData!E9+Momente!$E$2* $AF$1*E8,PlotData!$CB$3)</f>
        <v>0</v>
      </c>
      <c r="AF8" s="721">
        <f>IF(ISNUMBER(System!$C9),PlotData!F9+Momente!$E$2* $AF$1*F8,PlotData!$CB$3)</f>
        <v>0</v>
      </c>
      <c r="AG8" s="721">
        <f>IF(ISNUMBER(System!$C9),PlotData!G9+ Momente!$E$2*$AF$1*G8,PlotData!$CB$3)</f>
        <v>0</v>
      </c>
      <c r="AH8" s="721">
        <f>IF(ISNUMBER(System!$C9),PlotData!H9+ Momente!$E$2*$AF$1*H8,PlotData!$CB$3)</f>
        <v>0</v>
      </c>
      <c r="AI8" s="721">
        <f>IF(ISNUMBER(System!$C9),PlotData!I9+ Momente!$E$2*$AF$1*I8,PlotData!$CB$3)</f>
        <v>0</v>
      </c>
      <c r="AJ8" s="721">
        <f>IF(ISNUMBER(System!$C9),PlotData!J9+ Momente!$E$2*$AF$1*J8,PlotData!$CB$3)</f>
        <v>0</v>
      </c>
      <c r="AK8" s="721">
        <f>IF(ISNUMBER(System!$C9),PlotData!K9+ Momente!$E$2*$AF$1*K8,PlotData!$CB$3)</f>
        <v>0</v>
      </c>
      <c r="AL8" s="639">
        <f>IF(ISNUMBER(System!$C9),PlotData!L9+Momente!$E$2* $AF$1*L8,PlotData!$CB$3)</f>
        <v>0</v>
      </c>
      <c r="AM8" s="668">
        <f>IF(ISNUMBER(System!$C9),PlotData!L9,PlotData!$CB$3)</f>
        <v>0</v>
      </c>
      <c r="AN8" s="721">
        <f>IF(ISNUMBER(System!$C9),PlotData!B9,PlotData!$CB$3)</f>
        <v>0</v>
      </c>
      <c r="AO8" s="639">
        <f>IF(ISNUMBER(System!$C9),AB8,PlotData!$CB$3)</f>
        <v>0</v>
      </c>
      <c r="AQ8" s="1125">
        <v>6</v>
      </c>
      <c r="AR8" s="668">
        <f>IF(ISNUMBER(System!$C9),PlotData!O9+ Momente!$E$2*$AF$1*O8,PlotData!$CB$4)</f>
        <v>0</v>
      </c>
      <c r="AS8" s="721">
        <f>IF(ISNUMBER(System!$C9),PlotData!P9+Momente!$E$2* $AF$1*P8,PlotData!$CB$4)</f>
        <v>0</v>
      </c>
      <c r="AT8" s="721">
        <f>IF(ISNUMBER(System!$C9),PlotData!Q9+ Momente!$E$2*$AF$1*Q8,PlotData!$CB$4)</f>
        <v>0</v>
      </c>
      <c r="AU8" s="721">
        <f>IF(ISNUMBER(System!$C9),PlotData!R9+Momente!$E$2* $AF$1*R8,PlotData!$CB$4)</f>
        <v>0</v>
      </c>
      <c r="AV8" s="721">
        <f>IF(ISNUMBER(System!$C9),PlotData!S9+ Momente!$E$2*$AF$1*S8,PlotData!$CB$4)</f>
        <v>0</v>
      </c>
      <c r="AW8" s="721">
        <f>IF(ISNUMBER(System!$C9),PlotData!T9+ Momente!$E$2*$AF$1*T8,PlotData!$CB$4)</f>
        <v>0</v>
      </c>
      <c r="AX8" s="721">
        <f>IF(ISNUMBER(System!$C9),PlotData!U9+ Momente!$E$2*$AF$1*U8,PlotData!$CB$4)</f>
        <v>0</v>
      </c>
      <c r="AY8" s="721">
        <f>IF(ISNUMBER(System!$C9),PlotData!V9+ Momente!$E$2*$AF$1*V8,PlotData!$CB$4)</f>
        <v>0</v>
      </c>
      <c r="AZ8" s="721">
        <f>IF(ISNUMBER(System!$C9),PlotData!W9+ Momente!$E$2*$AF$1*W8,PlotData!$CB$4)</f>
        <v>0</v>
      </c>
      <c r="BA8" s="721">
        <f>IF(ISNUMBER(System!$C9),PlotData!X9+ Momente!$E$2*$AF$1*X8,PlotData!$CB$4)</f>
        <v>0</v>
      </c>
      <c r="BB8" s="639">
        <f>IF(ISNUMBER(System!$C9),PlotData!Y9+ Momente!$E$2*$AF$1*Y8,PlotData!$CB$4)</f>
        <v>0</v>
      </c>
      <c r="BC8" s="1146">
        <f>IF(ISNUMBER(System!$C9),PlotData!Y9, PlotData!CB$4)</f>
        <v>0</v>
      </c>
      <c r="BD8" s="721">
        <f>IF(ISNUMBER(System!$C9),PlotData!O9, PlotData!$CB$4)</f>
        <v>0</v>
      </c>
      <c r="BE8" s="639">
        <f>IF(ISNUMBER(System!$C9), AR8,PlotData!$CB$4)</f>
        <v>0</v>
      </c>
      <c r="BG8" s="668" t="s">
        <v>473</v>
      </c>
      <c r="BH8" s="721">
        <f>BH7</f>
        <v>141.42135623730951</v>
      </c>
      <c r="BI8" s="639">
        <f>BH3-BH4</f>
        <v>-141.42135623730951</v>
      </c>
    </row>
    <row r="9" spans="1:61" ht="13.8" thickBot="1" x14ac:dyDescent="0.3">
      <c r="A9" s="1124">
        <v>7</v>
      </c>
      <c r="B9" s="668"/>
      <c r="C9" s="721"/>
      <c r="D9" s="721"/>
      <c r="E9" s="721"/>
      <c r="F9" s="721"/>
      <c r="G9" s="721"/>
      <c r="H9" s="721"/>
      <c r="I9" s="721"/>
      <c r="J9" s="721"/>
      <c r="K9" s="721"/>
      <c r="L9" s="639"/>
      <c r="N9" s="1124">
        <v>7</v>
      </c>
      <c r="O9" s="668"/>
      <c r="P9" s="721"/>
      <c r="Q9" s="721"/>
      <c r="R9" s="721"/>
      <c r="S9" s="721"/>
      <c r="T9" s="721"/>
      <c r="U9" s="721"/>
      <c r="V9" s="721"/>
      <c r="W9" s="721"/>
      <c r="X9" s="721"/>
      <c r="Y9" s="639"/>
      <c r="AA9" s="1125">
        <v>7</v>
      </c>
      <c r="AB9" s="668">
        <f>IF(ISNUMBER(System!$C10),PlotData!B10+Momente!$E$2* $AF$1*B9,PlotData!$CB$3)</f>
        <v>0</v>
      </c>
      <c r="AC9" s="721">
        <f>IF(ISNUMBER(System!$C10),PlotData!C10+ Momente!$E$2*$AF$1*C9,PlotData!$CB$3)</f>
        <v>0</v>
      </c>
      <c r="AD9" s="721">
        <f>IF(ISNUMBER(System!$C10),PlotData!D10+ Momente!$E$2*$AF$1*D9,PlotData!$CB$3)</f>
        <v>0</v>
      </c>
      <c r="AE9" s="721">
        <f>IF(ISNUMBER(System!$C10),PlotData!E10+Momente!$E$2* $AF$1*E9,PlotData!$CB$3)</f>
        <v>0</v>
      </c>
      <c r="AF9" s="721">
        <f>IF(ISNUMBER(System!$C10),PlotData!F10+Momente!$E$2* $AF$1*F9,PlotData!$CB$3)</f>
        <v>0</v>
      </c>
      <c r="AG9" s="721">
        <f>IF(ISNUMBER(System!$C10),PlotData!G10+ Momente!$E$2*$AF$1*G9,PlotData!$CB$3)</f>
        <v>0</v>
      </c>
      <c r="AH9" s="721">
        <f>IF(ISNUMBER(System!$C10),PlotData!H10+ Momente!$E$2*$AF$1*H9,PlotData!$CB$3)</f>
        <v>0</v>
      </c>
      <c r="AI9" s="721">
        <f>IF(ISNUMBER(System!$C10),PlotData!I10+ Momente!$E$2*$AF$1*I9,PlotData!$CB$3)</f>
        <v>0</v>
      </c>
      <c r="AJ9" s="721">
        <f>IF(ISNUMBER(System!$C10),PlotData!J10+ Momente!$E$2*$AF$1*J9,PlotData!$CB$3)</f>
        <v>0</v>
      </c>
      <c r="AK9" s="721">
        <f>IF(ISNUMBER(System!$C10),PlotData!K10+ Momente!$E$2*$AF$1*K9,PlotData!$CB$3)</f>
        <v>0</v>
      </c>
      <c r="AL9" s="639">
        <f>IF(ISNUMBER(System!$C10),PlotData!L10+Momente!$E$2* $AF$1*L9,PlotData!$CB$3)</f>
        <v>0</v>
      </c>
      <c r="AM9" s="668">
        <f>IF(ISNUMBER(System!$C10),PlotData!L10,PlotData!$CB$3)</f>
        <v>0</v>
      </c>
      <c r="AN9" s="721">
        <f>IF(ISNUMBER(System!$C10),PlotData!B10,PlotData!$CB$3)</f>
        <v>0</v>
      </c>
      <c r="AO9" s="639">
        <f>IF(ISNUMBER(System!$C10),AB9,PlotData!$CB$3)</f>
        <v>0</v>
      </c>
      <c r="AQ9" s="1125">
        <v>7</v>
      </c>
      <c r="AR9" s="668">
        <f>IF(ISNUMBER(System!$C10),PlotData!O10+ Momente!$E$2*$AF$1*O9,PlotData!$CB$4)</f>
        <v>0</v>
      </c>
      <c r="AS9" s="721">
        <f>IF(ISNUMBER(System!$C10),PlotData!P10+Momente!$E$2* $AF$1*P9,PlotData!$CB$4)</f>
        <v>0</v>
      </c>
      <c r="AT9" s="721">
        <f>IF(ISNUMBER(System!$C10),PlotData!Q10+ Momente!$E$2*$AF$1*Q9,PlotData!$CB$4)</f>
        <v>0</v>
      </c>
      <c r="AU9" s="721">
        <f>IF(ISNUMBER(System!$C10),PlotData!R10+Momente!$E$2* $AF$1*R9,PlotData!$CB$4)</f>
        <v>0</v>
      </c>
      <c r="AV9" s="721">
        <f>IF(ISNUMBER(System!$C10),PlotData!S10+ Momente!$E$2*$AF$1*S9,PlotData!$CB$4)</f>
        <v>0</v>
      </c>
      <c r="AW9" s="721">
        <f>IF(ISNUMBER(System!$C10),PlotData!T10+ Momente!$E$2*$AF$1*T9,PlotData!$CB$4)</f>
        <v>0</v>
      </c>
      <c r="AX9" s="721">
        <f>IF(ISNUMBER(System!$C10),PlotData!U10+ Momente!$E$2*$AF$1*U9,PlotData!$CB$4)</f>
        <v>0</v>
      </c>
      <c r="AY9" s="721">
        <f>IF(ISNUMBER(System!$C10),PlotData!V10+ Momente!$E$2*$AF$1*V9,PlotData!$CB$4)</f>
        <v>0</v>
      </c>
      <c r="AZ9" s="721">
        <f>IF(ISNUMBER(System!$C10),PlotData!W10+ Momente!$E$2*$AF$1*W9,PlotData!$CB$4)</f>
        <v>0</v>
      </c>
      <c r="BA9" s="721">
        <f>IF(ISNUMBER(System!$C10),PlotData!X10+ Momente!$E$2*$AF$1*X9,PlotData!$CB$4)</f>
        <v>0</v>
      </c>
      <c r="BB9" s="639">
        <f>IF(ISNUMBER(System!$C10),PlotData!Y10+ Momente!$E$2*$AF$1*Y9,PlotData!$CB$4)</f>
        <v>0</v>
      </c>
      <c r="BC9" s="1146">
        <f>IF(ISNUMBER(System!$C10),PlotData!Y10, PlotData!CB$4)</f>
        <v>0</v>
      </c>
      <c r="BD9" s="721">
        <f>IF(ISNUMBER(System!$C10),PlotData!O10, PlotData!$CB$4)</f>
        <v>0</v>
      </c>
      <c r="BE9" s="639">
        <f>IF(ISNUMBER(System!$C10), AR9,PlotData!$CB$4)</f>
        <v>0</v>
      </c>
      <c r="BG9" s="669" t="s">
        <v>474</v>
      </c>
      <c r="BH9" s="1137">
        <f>BH6</f>
        <v>-141.42135623730951</v>
      </c>
      <c r="BI9" s="646">
        <f>BI8</f>
        <v>-141.42135623730951</v>
      </c>
    </row>
    <row r="10" spans="1:61" x14ac:dyDescent="0.25">
      <c r="A10" s="1124">
        <v>8</v>
      </c>
      <c r="B10" s="668"/>
      <c r="C10" s="721"/>
      <c r="D10" s="721"/>
      <c r="E10" s="721"/>
      <c r="F10" s="721"/>
      <c r="G10" s="721"/>
      <c r="H10" s="721"/>
      <c r="I10" s="721"/>
      <c r="J10" s="721"/>
      <c r="K10" s="721"/>
      <c r="L10" s="639"/>
      <c r="N10" s="1124">
        <v>8</v>
      </c>
      <c r="O10" s="668"/>
      <c r="P10" s="721"/>
      <c r="Q10" s="721"/>
      <c r="R10" s="721"/>
      <c r="S10" s="721"/>
      <c r="T10" s="721"/>
      <c r="U10" s="721"/>
      <c r="V10" s="721"/>
      <c r="W10" s="721"/>
      <c r="X10" s="721"/>
      <c r="Y10" s="639"/>
      <c r="AA10" s="1125">
        <v>8</v>
      </c>
      <c r="AB10" s="668">
        <f>IF(ISNUMBER(System!$C11),PlotData!B11+Momente!$E$2* $AF$1*B10,PlotData!$CB$3)</f>
        <v>0</v>
      </c>
      <c r="AC10" s="721">
        <f>IF(ISNUMBER(System!$C11),PlotData!C11+ Momente!$E$2*$AF$1*C10,PlotData!$CB$3)</f>
        <v>0</v>
      </c>
      <c r="AD10" s="721">
        <f>IF(ISNUMBER(System!$C11),PlotData!D11+ Momente!$E$2*$AF$1*D10,PlotData!$CB$3)</f>
        <v>0</v>
      </c>
      <c r="AE10" s="721">
        <f>IF(ISNUMBER(System!$C11),PlotData!E11+Momente!$E$2* $AF$1*E10,PlotData!$CB$3)</f>
        <v>0</v>
      </c>
      <c r="AF10" s="721">
        <f>IF(ISNUMBER(System!$C11),PlotData!F11+Momente!$E$2* $AF$1*F10,PlotData!$CB$3)</f>
        <v>0</v>
      </c>
      <c r="AG10" s="721">
        <f>IF(ISNUMBER(System!$C11),PlotData!G11+ Momente!$E$2*$AF$1*G10,PlotData!$CB$3)</f>
        <v>0</v>
      </c>
      <c r="AH10" s="721">
        <f>IF(ISNUMBER(System!$C11),PlotData!H11+ Momente!$E$2*$AF$1*H10,PlotData!$CB$3)</f>
        <v>0</v>
      </c>
      <c r="AI10" s="721">
        <f>IF(ISNUMBER(System!$C11),PlotData!I11+ Momente!$E$2*$AF$1*I10,PlotData!$CB$3)</f>
        <v>0</v>
      </c>
      <c r="AJ10" s="721">
        <f>IF(ISNUMBER(System!$C11),PlotData!J11+ Momente!$E$2*$AF$1*J10,PlotData!$CB$3)</f>
        <v>0</v>
      </c>
      <c r="AK10" s="721">
        <f>IF(ISNUMBER(System!$C11),PlotData!K11+ Momente!$E$2*$AF$1*K10,PlotData!$CB$3)</f>
        <v>0</v>
      </c>
      <c r="AL10" s="639">
        <f>IF(ISNUMBER(System!$C11),PlotData!L11+Momente!$E$2* $AF$1*L10,PlotData!$CB$3)</f>
        <v>0</v>
      </c>
      <c r="AM10" s="668">
        <f>IF(ISNUMBER(System!$C11),PlotData!L11,PlotData!$CB$3)</f>
        <v>0</v>
      </c>
      <c r="AN10" s="721">
        <f>IF(ISNUMBER(System!$C11),PlotData!B11,PlotData!$CB$3)</f>
        <v>0</v>
      </c>
      <c r="AO10" s="639">
        <f>IF(ISNUMBER(System!$C11),AB10,PlotData!$CB$3)</f>
        <v>0</v>
      </c>
      <c r="AQ10" s="1125">
        <v>8</v>
      </c>
      <c r="AR10" s="668">
        <f>IF(ISNUMBER(System!$C11),PlotData!O11+ Momente!$E$2*$AF$1*O10,PlotData!$CB$4)</f>
        <v>0</v>
      </c>
      <c r="AS10" s="721">
        <f>IF(ISNUMBER(System!$C11),PlotData!P11+Momente!$E$2* $AF$1*P10,PlotData!$CB$4)</f>
        <v>0</v>
      </c>
      <c r="AT10" s="721">
        <f>IF(ISNUMBER(System!$C11),PlotData!Q11+ Momente!$E$2*$AF$1*Q10,PlotData!$CB$4)</f>
        <v>0</v>
      </c>
      <c r="AU10" s="721">
        <f>IF(ISNUMBER(System!$C11),PlotData!R11+Momente!$E$2* $AF$1*R10,PlotData!$CB$4)</f>
        <v>0</v>
      </c>
      <c r="AV10" s="721">
        <f>IF(ISNUMBER(System!$C11),PlotData!S11+ Momente!$E$2*$AF$1*S10,PlotData!$CB$4)</f>
        <v>0</v>
      </c>
      <c r="AW10" s="721">
        <f>IF(ISNUMBER(System!$C11),PlotData!T11+ Momente!$E$2*$AF$1*T10,PlotData!$CB$4)</f>
        <v>0</v>
      </c>
      <c r="AX10" s="721">
        <f>IF(ISNUMBER(System!$C11),PlotData!U11+ Momente!$E$2*$AF$1*U10,PlotData!$CB$4)</f>
        <v>0</v>
      </c>
      <c r="AY10" s="721">
        <f>IF(ISNUMBER(System!$C11),PlotData!V11+ Momente!$E$2*$AF$1*V10,PlotData!$CB$4)</f>
        <v>0</v>
      </c>
      <c r="AZ10" s="721">
        <f>IF(ISNUMBER(System!$C11),PlotData!W11+ Momente!$E$2*$AF$1*W10,PlotData!$CB$4)</f>
        <v>0</v>
      </c>
      <c r="BA10" s="721">
        <f>IF(ISNUMBER(System!$C11),PlotData!X11+ Momente!$E$2*$AF$1*X10,PlotData!$CB$4)</f>
        <v>0</v>
      </c>
      <c r="BB10" s="639">
        <f>IF(ISNUMBER(System!$C11),PlotData!Y11+ Momente!$E$2*$AF$1*Y10,PlotData!$CB$4)</f>
        <v>0</v>
      </c>
      <c r="BC10" s="1146">
        <f>IF(ISNUMBER(System!$C11),PlotData!Y11, PlotData!CB$4)</f>
        <v>0</v>
      </c>
      <c r="BD10" s="721">
        <f>IF(ISNUMBER(System!$C11),PlotData!O11, PlotData!$CB$4)</f>
        <v>0</v>
      </c>
      <c r="BE10" s="639">
        <f>IF(ISNUMBER(System!$C11), AR10,PlotData!$CB$4)</f>
        <v>0</v>
      </c>
    </row>
    <row r="11" spans="1:61" x14ac:dyDescent="0.25">
      <c r="A11" s="1124">
        <v>9</v>
      </c>
      <c r="B11" s="668"/>
      <c r="C11" s="721"/>
      <c r="D11" s="721"/>
      <c r="E11" s="721"/>
      <c r="F11" s="721"/>
      <c r="G11" s="721"/>
      <c r="H11" s="721"/>
      <c r="I11" s="721"/>
      <c r="J11" s="721"/>
      <c r="K11" s="721"/>
      <c r="L11" s="639"/>
      <c r="N11" s="1124">
        <v>9</v>
      </c>
      <c r="O11" s="668"/>
      <c r="P11" s="721"/>
      <c r="Q11" s="721"/>
      <c r="R11" s="721"/>
      <c r="S11" s="721"/>
      <c r="T11" s="721"/>
      <c r="U11" s="721"/>
      <c r="V11" s="721"/>
      <c r="W11" s="721"/>
      <c r="X11" s="721"/>
      <c r="Y11" s="639"/>
      <c r="AA11" s="1125">
        <v>9</v>
      </c>
      <c r="AB11" s="668">
        <f>IF(ISNUMBER(System!$C12),PlotData!B12+Momente!$E$2* $AF$1*B11,PlotData!$CB$3)</f>
        <v>0</v>
      </c>
      <c r="AC11" s="721">
        <f>IF(ISNUMBER(System!$C12),PlotData!C12+ Momente!$E$2*$AF$1*C11,PlotData!$CB$3)</f>
        <v>0</v>
      </c>
      <c r="AD11" s="721">
        <f>IF(ISNUMBER(System!$C12),PlotData!D12+ Momente!$E$2*$AF$1*D11,PlotData!$CB$3)</f>
        <v>0</v>
      </c>
      <c r="AE11" s="721">
        <f>IF(ISNUMBER(System!$C12),PlotData!E12+Momente!$E$2* $AF$1*E11,PlotData!$CB$3)</f>
        <v>0</v>
      </c>
      <c r="AF11" s="721">
        <f>IF(ISNUMBER(System!$C12),PlotData!F12+Momente!$E$2* $AF$1*F11,PlotData!$CB$3)</f>
        <v>0</v>
      </c>
      <c r="AG11" s="721">
        <f>IF(ISNUMBER(System!$C12),PlotData!G12+ Momente!$E$2*$AF$1*G11,PlotData!$CB$3)</f>
        <v>0</v>
      </c>
      <c r="AH11" s="721">
        <f>IF(ISNUMBER(System!$C12),PlotData!H12+ Momente!$E$2*$AF$1*H11,PlotData!$CB$3)</f>
        <v>0</v>
      </c>
      <c r="AI11" s="721">
        <f>IF(ISNUMBER(System!$C12),PlotData!I12+ Momente!$E$2*$AF$1*I11,PlotData!$CB$3)</f>
        <v>0</v>
      </c>
      <c r="AJ11" s="721">
        <f>IF(ISNUMBER(System!$C12),PlotData!J12+ Momente!$E$2*$AF$1*J11,PlotData!$CB$3)</f>
        <v>0</v>
      </c>
      <c r="AK11" s="721">
        <f>IF(ISNUMBER(System!$C12),PlotData!K12+ Momente!$E$2*$AF$1*K11,PlotData!$CB$3)</f>
        <v>0</v>
      </c>
      <c r="AL11" s="639">
        <f>IF(ISNUMBER(System!$C12),PlotData!L12+Momente!$E$2* $AF$1*L11,PlotData!$CB$3)</f>
        <v>0</v>
      </c>
      <c r="AM11" s="668">
        <f>IF(ISNUMBER(System!$C12),PlotData!L12,PlotData!$CB$3)</f>
        <v>0</v>
      </c>
      <c r="AN11" s="721">
        <f>IF(ISNUMBER(System!$C12),PlotData!B12,PlotData!$CB$3)</f>
        <v>0</v>
      </c>
      <c r="AO11" s="639">
        <f>IF(ISNUMBER(System!$C12),AB11,PlotData!$CB$3)</f>
        <v>0</v>
      </c>
      <c r="AQ11" s="1125">
        <v>9</v>
      </c>
      <c r="AR11" s="668">
        <f>IF(ISNUMBER(System!$C12),PlotData!O12+ Momente!$E$2*$AF$1*O11,PlotData!$CB$4)</f>
        <v>0</v>
      </c>
      <c r="AS11" s="721">
        <f>IF(ISNUMBER(System!$C12),PlotData!P12+Momente!$E$2* $AF$1*P11,PlotData!$CB$4)</f>
        <v>0</v>
      </c>
      <c r="AT11" s="721">
        <f>IF(ISNUMBER(System!$C12),PlotData!Q12+ Momente!$E$2*$AF$1*Q11,PlotData!$CB$4)</f>
        <v>0</v>
      </c>
      <c r="AU11" s="721">
        <f>IF(ISNUMBER(System!$C12),PlotData!R12+Momente!$E$2* $AF$1*R11,PlotData!$CB$4)</f>
        <v>0</v>
      </c>
      <c r="AV11" s="721">
        <f>IF(ISNUMBER(System!$C12),PlotData!S12+ Momente!$E$2*$AF$1*S11,PlotData!$CB$4)</f>
        <v>0</v>
      </c>
      <c r="AW11" s="721">
        <f>IF(ISNUMBER(System!$C12),PlotData!T12+ Momente!$E$2*$AF$1*T11,PlotData!$CB$4)</f>
        <v>0</v>
      </c>
      <c r="AX11" s="721">
        <f>IF(ISNUMBER(System!$C12),PlotData!U12+ Momente!$E$2*$AF$1*U11,PlotData!$CB$4)</f>
        <v>0</v>
      </c>
      <c r="AY11" s="721">
        <f>IF(ISNUMBER(System!$C12),PlotData!V12+ Momente!$E$2*$AF$1*V11,PlotData!$CB$4)</f>
        <v>0</v>
      </c>
      <c r="AZ11" s="721">
        <f>IF(ISNUMBER(System!$C12),PlotData!W12+ Momente!$E$2*$AF$1*W11,PlotData!$CB$4)</f>
        <v>0</v>
      </c>
      <c r="BA11" s="721">
        <f>IF(ISNUMBER(System!$C12),PlotData!X12+ Momente!$E$2*$AF$1*X11,PlotData!$CB$4)</f>
        <v>0</v>
      </c>
      <c r="BB11" s="639">
        <f>IF(ISNUMBER(System!$C12),PlotData!Y12+ Momente!$E$2*$AF$1*Y11,PlotData!$CB$4)</f>
        <v>0</v>
      </c>
      <c r="BC11" s="1146">
        <f>IF(ISNUMBER(System!$C12),PlotData!Y12, PlotData!CB$4)</f>
        <v>0</v>
      </c>
      <c r="BD11" s="721">
        <f>IF(ISNUMBER(System!$C12),PlotData!O12, PlotData!$CB$4)</f>
        <v>0</v>
      </c>
      <c r="BE11" s="639">
        <f>IF(ISNUMBER(System!$C12), AR11,PlotData!$CB$4)</f>
        <v>0</v>
      </c>
    </row>
    <row r="12" spans="1:61" x14ac:dyDescent="0.25">
      <c r="A12" s="1124">
        <v>10</v>
      </c>
      <c r="B12" s="668"/>
      <c r="C12" s="721"/>
      <c r="D12" s="721"/>
      <c r="E12" s="721"/>
      <c r="F12" s="721"/>
      <c r="G12" s="721"/>
      <c r="H12" s="721"/>
      <c r="I12" s="721"/>
      <c r="J12" s="721"/>
      <c r="K12" s="721"/>
      <c r="L12" s="639"/>
      <c r="N12" s="1124">
        <v>10</v>
      </c>
      <c r="O12" s="668"/>
      <c r="P12" s="721"/>
      <c r="Q12" s="721"/>
      <c r="R12" s="721"/>
      <c r="S12" s="721"/>
      <c r="T12" s="721"/>
      <c r="U12" s="721"/>
      <c r="V12" s="721"/>
      <c r="W12" s="721"/>
      <c r="X12" s="721"/>
      <c r="Y12" s="639"/>
      <c r="AA12" s="1125">
        <v>10</v>
      </c>
      <c r="AB12" s="668">
        <f>IF(ISNUMBER(System!$C13),PlotData!B13+Momente!$E$2* $AF$1*B12,PlotData!$CB$3)</f>
        <v>0</v>
      </c>
      <c r="AC12" s="721">
        <f>IF(ISNUMBER(System!$C13),PlotData!C13+ Momente!$E$2*$AF$1*C12,PlotData!$CB$3)</f>
        <v>0</v>
      </c>
      <c r="AD12" s="721">
        <f>IF(ISNUMBER(System!$C13),PlotData!D13+ Momente!$E$2*$AF$1*D12,PlotData!$CB$3)</f>
        <v>0</v>
      </c>
      <c r="AE12" s="721">
        <f>IF(ISNUMBER(System!$C13),PlotData!E13+Momente!$E$2* $AF$1*E12,PlotData!$CB$3)</f>
        <v>0</v>
      </c>
      <c r="AF12" s="721">
        <f>IF(ISNUMBER(System!$C13),PlotData!F13+Momente!$E$2* $AF$1*F12,PlotData!$CB$3)</f>
        <v>0</v>
      </c>
      <c r="AG12" s="721">
        <f>IF(ISNUMBER(System!$C13),PlotData!G13+ Momente!$E$2*$AF$1*G12,PlotData!$CB$3)</f>
        <v>0</v>
      </c>
      <c r="AH12" s="721">
        <f>IF(ISNUMBER(System!$C13),PlotData!H13+ Momente!$E$2*$AF$1*H12,PlotData!$CB$3)</f>
        <v>0</v>
      </c>
      <c r="AI12" s="721">
        <f>IF(ISNUMBER(System!$C13),PlotData!I13+ Momente!$E$2*$AF$1*I12,PlotData!$CB$3)</f>
        <v>0</v>
      </c>
      <c r="AJ12" s="721">
        <f>IF(ISNUMBER(System!$C13),PlotData!J13+ Momente!$E$2*$AF$1*J12,PlotData!$CB$3)</f>
        <v>0</v>
      </c>
      <c r="AK12" s="721">
        <f>IF(ISNUMBER(System!$C13),PlotData!K13+ Momente!$E$2*$AF$1*K12,PlotData!$CB$3)</f>
        <v>0</v>
      </c>
      <c r="AL12" s="639">
        <f>IF(ISNUMBER(System!$C13),PlotData!L13+Momente!$E$2* $AF$1*L12,PlotData!$CB$3)</f>
        <v>0</v>
      </c>
      <c r="AM12" s="668">
        <f>IF(ISNUMBER(System!$C13),PlotData!L13,PlotData!$CB$3)</f>
        <v>0</v>
      </c>
      <c r="AN12" s="721">
        <f>IF(ISNUMBER(System!$C13),PlotData!B13,PlotData!$CB$3)</f>
        <v>0</v>
      </c>
      <c r="AO12" s="639">
        <f>IF(ISNUMBER(System!$C13),AB12,PlotData!$CB$3)</f>
        <v>0</v>
      </c>
      <c r="AQ12" s="1125">
        <v>10</v>
      </c>
      <c r="AR12" s="668">
        <f>IF(ISNUMBER(System!$C13),PlotData!O13+ Momente!$E$2*$AF$1*O12,PlotData!$CB$4)</f>
        <v>0</v>
      </c>
      <c r="AS12" s="721">
        <f>IF(ISNUMBER(System!$C13),PlotData!P13+Momente!$E$2* $AF$1*P12,PlotData!$CB$4)</f>
        <v>0</v>
      </c>
      <c r="AT12" s="721">
        <f>IF(ISNUMBER(System!$C13),PlotData!Q13+ Momente!$E$2*$AF$1*Q12,PlotData!$CB$4)</f>
        <v>0</v>
      </c>
      <c r="AU12" s="721">
        <f>IF(ISNUMBER(System!$C13),PlotData!R13+Momente!$E$2* $AF$1*R12,PlotData!$CB$4)</f>
        <v>0</v>
      </c>
      <c r="AV12" s="721">
        <f>IF(ISNUMBER(System!$C13),PlotData!S13+ Momente!$E$2*$AF$1*S12,PlotData!$CB$4)</f>
        <v>0</v>
      </c>
      <c r="AW12" s="721">
        <f>IF(ISNUMBER(System!$C13),PlotData!T13+ Momente!$E$2*$AF$1*T12,PlotData!$CB$4)</f>
        <v>0</v>
      </c>
      <c r="AX12" s="721">
        <f>IF(ISNUMBER(System!$C13),PlotData!U13+ Momente!$E$2*$AF$1*U12,PlotData!$CB$4)</f>
        <v>0</v>
      </c>
      <c r="AY12" s="721">
        <f>IF(ISNUMBER(System!$C13),PlotData!V13+ Momente!$E$2*$AF$1*V12,PlotData!$CB$4)</f>
        <v>0</v>
      </c>
      <c r="AZ12" s="721">
        <f>IF(ISNUMBER(System!$C13),PlotData!W13+ Momente!$E$2*$AF$1*W12,PlotData!$CB$4)</f>
        <v>0</v>
      </c>
      <c r="BA12" s="721">
        <f>IF(ISNUMBER(System!$C13),PlotData!X13+ Momente!$E$2*$AF$1*X12,PlotData!$CB$4)</f>
        <v>0</v>
      </c>
      <c r="BB12" s="639">
        <f>IF(ISNUMBER(System!$C13),PlotData!Y13+ Momente!$E$2*$AF$1*Y12,PlotData!$CB$4)</f>
        <v>0</v>
      </c>
      <c r="BC12" s="1146">
        <f>IF(ISNUMBER(System!$C13),PlotData!Y13, PlotData!CB$4)</f>
        <v>0</v>
      </c>
      <c r="BD12" s="721">
        <f>IF(ISNUMBER(System!$C13),PlotData!O13, PlotData!$CB$4)</f>
        <v>0</v>
      </c>
      <c r="BE12" s="639">
        <f>IF(ISNUMBER(System!$C13), AR12,PlotData!$CB$4)</f>
        <v>0</v>
      </c>
    </row>
    <row r="13" spans="1:61" x14ac:dyDescent="0.25">
      <c r="A13" s="1124">
        <v>11</v>
      </c>
      <c r="B13" s="668"/>
      <c r="C13" s="721"/>
      <c r="D13" s="721"/>
      <c r="E13" s="721"/>
      <c r="F13" s="721"/>
      <c r="G13" s="721"/>
      <c r="H13" s="721"/>
      <c r="I13" s="721"/>
      <c r="J13" s="721"/>
      <c r="K13" s="721"/>
      <c r="L13" s="639"/>
      <c r="N13" s="1124">
        <v>11</v>
      </c>
      <c r="O13" s="668"/>
      <c r="P13" s="721"/>
      <c r="Q13" s="721"/>
      <c r="R13" s="721"/>
      <c r="S13" s="721"/>
      <c r="T13" s="721"/>
      <c r="U13" s="721"/>
      <c r="V13" s="721"/>
      <c r="W13" s="721"/>
      <c r="X13" s="721"/>
      <c r="Y13" s="639"/>
      <c r="AA13" s="1125">
        <v>11</v>
      </c>
      <c r="AB13" s="668">
        <f>IF(ISNUMBER(System!$C14),PlotData!B14+Momente!$E$2* $AF$1*B13,PlotData!$CB$3)</f>
        <v>0</v>
      </c>
      <c r="AC13" s="721">
        <f>IF(ISNUMBER(System!$C14),PlotData!C14+ Momente!$E$2*$AF$1*C13,PlotData!$CB$3)</f>
        <v>0</v>
      </c>
      <c r="AD13" s="721">
        <f>IF(ISNUMBER(System!$C14),PlotData!D14+ Momente!$E$2*$AF$1*D13,PlotData!$CB$3)</f>
        <v>0</v>
      </c>
      <c r="AE13" s="721">
        <f>IF(ISNUMBER(System!$C14),PlotData!E14+Momente!$E$2* $AF$1*E13,PlotData!$CB$3)</f>
        <v>0</v>
      </c>
      <c r="AF13" s="721">
        <f>IF(ISNUMBER(System!$C14),PlotData!F14+Momente!$E$2* $AF$1*F13,PlotData!$CB$3)</f>
        <v>0</v>
      </c>
      <c r="AG13" s="721">
        <f>IF(ISNUMBER(System!$C14),PlotData!G14+ Momente!$E$2*$AF$1*G13,PlotData!$CB$3)</f>
        <v>0</v>
      </c>
      <c r="AH13" s="721">
        <f>IF(ISNUMBER(System!$C14),PlotData!H14+ Momente!$E$2*$AF$1*H13,PlotData!$CB$3)</f>
        <v>0</v>
      </c>
      <c r="AI13" s="721">
        <f>IF(ISNUMBER(System!$C14),PlotData!I14+ Momente!$E$2*$AF$1*I13,PlotData!$CB$3)</f>
        <v>0</v>
      </c>
      <c r="AJ13" s="721">
        <f>IF(ISNUMBER(System!$C14),PlotData!J14+ Momente!$E$2*$AF$1*J13,PlotData!$CB$3)</f>
        <v>0</v>
      </c>
      <c r="AK13" s="721">
        <f>IF(ISNUMBER(System!$C14),PlotData!K14+ Momente!$E$2*$AF$1*K13,PlotData!$CB$3)</f>
        <v>0</v>
      </c>
      <c r="AL13" s="639">
        <f>IF(ISNUMBER(System!$C14),PlotData!L14+Momente!$E$2* $AF$1*L13,PlotData!$CB$3)</f>
        <v>0</v>
      </c>
      <c r="AM13" s="668">
        <f>IF(ISNUMBER(System!$C14),PlotData!L14,PlotData!$CB$3)</f>
        <v>0</v>
      </c>
      <c r="AN13" s="721">
        <f>IF(ISNUMBER(System!$C14),PlotData!B14,PlotData!$CB$3)</f>
        <v>0</v>
      </c>
      <c r="AO13" s="639">
        <f>IF(ISNUMBER(System!$C14),AB13,PlotData!$CB$3)</f>
        <v>0</v>
      </c>
      <c r="AQ13" s="1125">
        <v>11</v>
      </c>
      <c r="AR13" s="668">
        <f>IF(ISNUMBER(System!$C14),PlotData!O14+ Momente!$E$2*$AF$1*O13,PlotData!$CB$4)</f>
        <v>0</v>
      </c>
      <c r="AS13" s="721">
        <f>IF(ISNUMBER(System!$C14),PlotData!P14+Momente!$E$2* $AF$1*P13,PlotData!$CB$4)</f>
        <v>0</v>
      </c>
      <c r="AT13" s="721">
        <f>IF(ISNUMBER(System!$C14),PlotData!Q14+ Momente!$E$2*$AF$1*Q13,PlotData!$CB$4)</f>
        <v>0</v>
      </c>
      <c r="AU13" s="721">
        <f>IF(ISNUMBER(System!$C14),PlotData!R14+Momente!$E$2* $AF$1*R13,PlotData!$CB$4)</f>
        <v>0</v>
      </c>
      <c r="AV13" s="721">
        <f>IF(ISNUMBER(System!$C14),PlotData!S14+ Momente!$E$2*$AF$1*S13,PlotData!$CB$4)</f>
        <v>0</v>
      </c>
      <c r="AW13" s="721">
        <f>IF(ISNUMBER(System!$C14),PlotData!T14+ Momente!$E$2*$AF$1*T13,PlotData!$CB$4)</f>
        <v>0</v>
      </c>
      <c r="AX13" s="721">
        <f>IF(ISNUMBER(System!$C14),PlotData!U14+ Momente!$E$2*$AF$1*U13,PlotData!$CB$4)</f>
        <v>0</v>
      </c>
      <c r="AY13" s="721">
        <f>IF(ISNUMBER(System!$C14),PlotData!V14+ Momente!$E$2*$AF$1*V13,PlotData!$CB$4)</f>
        <v>0</v>
      </c>
      <c r="AZ13" s="721">
        <f>IF(ISNUMBER(System!$C14),PlotData!W14+ Momente!$E$2*$AF$1*W13,PlotData!$CB$4)</f>
        <v>0</v>
      </c>
      <c r="BA13" s="721">
        <f>IF(ISNUMBER(System!$C14),PlotData!X14+ Momente!$E$2*$AF$1*X13,PlotData!$CB$4)</f>
        <v>0</v>
      </c>
      <c r="BB13" s="639">
        <f>IF(ISNUMBER(System!$C14),PlotData!Y14+ Momente!$E$2*$AF$1*Y13,PlotData!$CB$4)</f>
        <v>0</v>
      </c>
      <c r="BC13" s="1146">
        <f>IF(ISNUMBER(System!$C14),PlotData!Y14, PlotData!CB$4)</f>
        <v>0</v>
      </c>
      <c r="BD13" s="721">
        <f>IF(ISNUMBER(System!$C14),PlotData!O14, PlotData!$CB$4)</f>
        <v>0</v>
      </c>
      <c r="BE13" s="639">
        <f>IF(ISNUMBER(System!$C14), AR13,PlotData!$CB$4)</f>
        <v>0</v>
      </c>
    </row>
    <row r="14" spans="1:61" x14ac:dyDescent="0.25">
      <c r="A14" s="1124">
        <v>12</v>
      </c>
      <c r="B14" s="668"/>
      <c r="C14" s="721"/>
      <c r="D14" s="721"/>
      <c r="E14" s="721"/>
      <c r="F14" s="721"/>
      <c r="G14" s="721"/>
      <c r="H14" s="721"/>
      <c r="I14" s="721"/>
      <c r="J14" s="721"/>
      <c r="K14" s="721"/>
      <c r="L14" s="639"/>
      <c r="N14" s="1124">
        <v>12</v>
      </c>
      <c r="O14" s="668"/>
      <c r="P14" s="721"/>
      <c r="Q14" s="721"/>
      <c r="R14" s="721"/>
      <c r="S14" s="721"/>
      <c r="T14" s="721"/>
      <c r="U14" s="721"/>
      <c r="V14" s="721"/>
      <c r="W14" s="721"/>
      <c r="X14" s="721"/>
      <c r="Y14" s="639"/>
      <c r="AA14" s="1125">
        <v>12</v>
      </c>
      <c r="AB14" s="668">
        <f>IF(ISNUMBER(System!$C15),PlotData!B15+Momente!$E$2* $AF$1*B14,PlotData!$CB$3)</f>
        <v>0</v>
      </c>
      <c r="AC14" s="721">
        <f>IF(ISNUMBER(System!$C15),PlotData!C15+ Momente!$E$2*$AF$1*C14,PlotData!$CB$3)</f>
        <v>0</v>
      </c>
      <c r="AD14" s="721">
        <f>IF(ISNUMBER(System!$C15),PlotData!D15+ Momente!$E$2*$AF$1*D14,PlotData!$CB$3)</f>
        <v>0</v>
      </c>
      <c r="AE14" s="721">
        <f>IF(ISNUMBER(System!$C15),PlotData!E15+Momente!$E$2* $AF$1*E14,PlotData!$CB$3)</f>
        <v>0</v>
      </c>
      <c r="AF14" s="721">
        <f>IF(ISNUMBER(System!$C15),PlotData!F15+Momente!$E$2* $AF$1*F14,PlotData!$CB$3)</f>
        <v>0</v>
      </c>
      <c r="AG14" s="721">
        <f>IF(ISNUMBER(System!$C15),PlotData!G15+ Momente!$E$2*$AF$1*G14,PlotData!$CB$3)</f>
        <v>0</v>
      </c>
      <c r="AH14" s="721">
        <f>IF(ISNUMBER(System!$C15),PlotData!H15+ Momente!$E$2*$AF$1*H14,PlotData!$CB$3)</f>
        <v>0</v>
      </c>
      <c r="AI14" s="721">
        <f>IF(ISNUMBER(System!$C15),PlotData!I15+ Momente!$E$2*$AF$1*I14,PlotData!$CB$3)</f>
        <v>0</v>
      </c>
      <c r="AJ14" s="721">
        <f>IF(ISNUMBER(System!$C15),PlotData!J15+ Momente!$E$2*$AF$1*J14,PlotData!$CB$3)</f>
        <v>0</v>
      </c>
      <c r="AK14" s="721">
        <f>IF(ISNUMBER(System!$C15),PlotData!K15+ Momente!$E$2*$AF$1*K14,PlotData!$CB$3)</f>
        <v>0</v>
      </c>
      <c r="AL14" s="639">
        <f>IF(ISNUMBER(System!$C15),PlotData!L15+Momente!$E$2* $AF$1*L14,PlotData!$CB$3)</f>
        <v>0</v>
      </c>
      <c r="AM14" s="668">
        <f>IF(ISNUMBER(System!$C15),PlotData!L15,PlotData!$CB$3)</f>
        <v>0</v>
      </c>
      <c r="AN14" s="721">
        <f>IF(ISNUMBER(System!$C15),PlotData!B15,PlotData!$CB$3)</f>
        <v>0</v>
      </c>
      <c r="AO14" s="639">
        <f>IF(ISNUMBER(System!$C15),AB14,PlotData!$CB$3)</f>
        <v>0</v>
      </c>
      <c r="AQ14" s="1125">
        <v>12</v>
      </c>
      <c r="AR14" s="668">
        <f>IF(ISNUMBER(System!$C15),PlotData!O15+ Momente!$E$2*$AF$1*O14,PlotData!$CB$4)</f>
        <v>0</v>
      </c>
      <c r="AS14" s="721">
        <f>IF(ISNUMBER(System!$C15),PlotData!P15+Momente!$E$2* $AF$1*P14,PlotData!$CB$4)</f>
        <v>0</v>
      </c>
      <c r="AT14" s="721">
        <f>IF(ISNUMBER(System!$C15),PlotData!Q15+ Momente!$E$2*$AF$1*Q14,PlotData!$CB$4)</f>
        <v>0</v>
      </c>
      <c r="AU14" s="721">
        <f>IF(ISNUMBER(System!$C15),PlotData!R15+Momente!$E$2* $AF$1*R14,PlotData!$CB$4)</f>
        <v>0</v>
      </c>
      <c r="AV14" s="721">
        <f>IF(ISNUMBER(System!$C15),PlotData!S15+ Momente!$E$2*$AF$1*S14,PlotData!$CB$4)</f>
        <v>0</v>
      </c>
      <c r="AW14" s="721">
        <f>IF(ISNUMBER(System!$C15),PlotData!T15+ Momente!$E$2*$AF$1*T14,PlotData!$CB$4)</f>
        <v>0</v>
      </c>
      <c r="AX14" s="721">
        <f>IF(ISNUMBER(System!$C15),PlotData!U15+ Momente!$E$2*$AF$1*U14,PlotData!$CB$4)</f>
        <v>0</v>
      </c>
      <c r="AY14" s="721">
        <f>IF(ISNUMBER(System!$C15),PlotData!V15+ Momente!$E$2*$AF$1*V14,PlotData!$CB$4)</f>
        <v>0</v>
      </c>
      <c r="AZ14" s="721">
        <f>IF(ISNUMBER(System!$C15),PlotData!W15+ Momente!$E$2*$AF$1*W14,PlotData!$CB$4)</f>
        <v>0</v>
      </c>
      <c r="BA14" s="721">
        <f>IF(ISNUMBER(System!$C15),PlotData!X15+ Momente!$E$2*$AF$1*X14,PlotData!$CB$4)</f>
        <v>0</v>
      </c>
      <c r="BB14" s="639">
        <f>IF(ISNUMBER(System!$C15),PlotData!Y15+ Momente!$E$2*$AF$1*Y14,PlotData!$CB$4)</f>
        <v>0</v>
      </c>
      <c r="BC14" s="1146">
        <f>IF(ISNUMBER(System!$C15),PlotData!Y15, PlotData!CB$4)</f>
        <v>0</v>
      </c>
      <c r="BD14" s="721">
        <f>IF(ISNUMBER(System!$C15),PlotData!O15, PlotData!$CB$4)</f>
        <v>0</v>
      </c>
      <c r="BE14" s="639">
        <f>IF(ISNUMBER(System!$C15), AR14,PlotData!$CB$4)</f>
        <v>0</v>
      </c>
    </row>
    <row r="15" spans="1:61" x14ac:dyDescent="0.25">
      <c r="A15" s="1124">
        <v>13</v>
      </c>
      <c r="B15" s="668"/>
      <c r="C15" s="721"/>
      <c r="D15" s="721"/>
      <c r="E15" s="721"/>
      <c r="F15" s="721"/>
      <c r="G15" s="721"/>
      <c r="H15" s="721"/>
      <c r="I15" s="721"/>
      <c r="J15" s="721"/>
      <c r="K15" s="721"/>
      <c r="L15" s="639"/>
      <c r="N15" s="1124">
        <v>13</v>
      </c>
      <c r="O15" s="668"/>
      <c r="P15" s="721"/>
      <c r="Q15" s="721"/>
      <c r="R15" s="721"/>
      <c r="S15" s="721"/>
      <c r="T15" s="721"/>
      <c r="U15" s="721"/>
      <c r="V15" s="721"/>
      <c r="W15" s="721"/>
      <c r="X15" s="721"/>
      <c r="Y15" s="639"/>
      <c r="AA15" s="1125">
        <v>13</v>
      </c>
      <c r="AB15" s="668">
        <f>IF(ISNUMBER(System!$C16),PlotData!B16+Momente!$E$2* $AF$1*B15,PlotData!$CB$3)</f>
        <v>0</v>
      </c>
      <c r="AC15" s="721">
        <f>IF(ISNUMBER(System!$C16),PlotData!C16+ Momente!$E$2*$AF$1*C15,PlotData!$CB$3)</f>
        <v>0</v>
      </c>
      <c r="AD15" s="721">
        <f>IF(ISNUMBER(System!$C16),PlotData!D16+ Momente!$E$2*$AF$1*D15,PlotData!$CB$3)</f>
        <v>0</v>
      </c>
      <c r="AE15" s="721">
        <f>IF(ISNUMBER(System!$C16),PlotData!E16+Momente!$E$2* $AF$1*E15,PlotData!$CB$3)</f>
        <v>0</v>
      </c>
      <c r="AF15" s="721">
        <f>IF(ISNUMBER(System!$C16),PlotData!F16+Momente!$E$2* $AF$1*F15,PlotData!$CB$3)</f>
        <v>0</v>
      </c>
      <c r="AG15" s="721">
        <f>IF(ISNUMBER(System!$C16),PlotData!G16+ Momente!$E$2*$AF$1*G15,PlotData!$CB$3)</f>
        <v>0</v>
      </c>
      <c r="AH15" s="721">
        <f>IF(ISNUMBER(System!$C16),PlotData!H16+ Momente!$E$2*$AF$1*H15,PlotData!$CB$3)</f>
        <v>0</v>
      </c>
      <c r="AI15" s="721">
        <f>IF(ISNUMBER(System!$C16),PlotData!I16+ Momente!$E$2*$AF$1*I15,PlotData!$CB$3)</f>
        <v>0</v>
      </c>
      <c r="AJ15" s="721">
        <f>IF(ISNUMBER(System!$C16),PlotData!J16+ Momente!$E$2*$AF$1*J15,PlotData!$CB$3)</f>
        <v>0</v>
      </c>
      <c r="AK15" s="721">
        <f>IF(ISNUMBER(System!$C16),PlotData!K16+ Momente!$E$2*$AF$1*K15,PlotData!$CB$3)</f>
        <v>0</v>
      </c>
      <c r="AL15" s="639">
        <f>IF(ISNUMBER(System!$C16),PlotData!L16+Momente!$E$2* $AF$1*L15,PlotData!$CB$3)</f>
        <v>0</v>
      </c>
      <c r="AM15" s="668">
        <f>IF(ISNUMBER(System!$C16),PlotData!L16,PlotData!$CB$3)</f>
        <v>0</v>
      </c>
      <c r="AN15" s="721">
        <f>IF(ISNUMBER(System!$C16),PlotData!B16,PlotData!$CB$3)</f>
        <v>0</v>
      </c>
      <c r="AO15" s="639">
        <f>IF(ISNUMBER(System!$C16),AB15,PlotData!$CB$3)</f>
        <v>0</v>
      </c>
      <c r="AQ15" s="1125">
        <v>13</v>
      </c>
      <c r="AR15" s="668">
        <f>IF(ISNUMBER(System!$C16),PlotData!O16+ Momente!$E$2*$AF$1*O15,PlotData!$CB$4)</f>
        <v>0</v>
      </c>
      <c r="AS15" s="721">
        <f>IF(ISNUMBER(System!$C16),PlotData!P16+Momente!$E$2* $AF$1*P15,PlotData!$CB$4)</f>
        <v>0</v>
      </c>
      <c r="AT15" s="721">
        <f>IF(ISNUMBER(System!$C16),PlotData!Q16+ Momente!$E$2*$AF$1*Q15,PlotData!$CB$4)</f>
        <v>0</v>
      </c>
      <c r="AU15" s="721">
        <f>IF(ISNUMBER(System!$C16),PlotData!R16+Momente!$E$2* $AF$1*R15,PlotData!$CB$4)</f>
        <v>0</v>
      </c>
      <c r="AV15" s="721">
        <f>IF(ISNUMBER(System!$C16),PlotData!S16+ Momente!$E$2*$AF$1*S15,PlotData!$CB$4)</f>
        <v>0</v>
      </c>
      <c r="AW15" s="721">
        <f>IF(ISNUMBER(System!$C16),PlotData!T16+ Momente!$E$2*$AF$1*T15,PlotData!$CB$4)</f>
        <v>0</v>
      </c>
      <c r="AX15" s="721">
        <f>IF(ISNUMBER(System!$C16),PlotData!U16+ Momente!$E$2*$AF$1*U15,PlotData!$CB$4)</f>
        <v>0</v>
      </c>
      <c r="AY15" s="721">
        <f>IF(ISNUMBER(System!$C16),PlotData!V16+ Momente!$E$2*$AF$1*V15,PlotData!$CB$4)</f>
        <v>0</v>
      </c>
      <c r="AZ15" s="721">
        <f>IF(ISNUMBER(System!$C16),PlotData!W16+ Momente!$E$2*$AF$1*W15,PlotData!$CB$4)</f>
        <v>0</v>
      </c>
      <c r="BA15" s="721">
        <f>IF(ISNUMBER(System!$C16),PlotData!X16+ Momente!$E$2*$AF$1*X15,PlotData!$CB$4)</f>
        <v>0</v>
      </c>
      <c r="BB15" s="639">
        <f>IF(ISNUMBER(System!$C16),PlotData!Y16+ Momente!$E$2*$AF$1*Y15,PlotData!$CB$4)</f>
        <v>0</v>
      </c>
      <c r="BC15" s="1146">
        <f>IF(ISNUMBER(System!$C16),PlotData!Y16, PlotData!CB$4)</f>
        <v>0</v>
      </c>
      <c r="BD15" s="721">
        <f>IF(ISNUMBER(System!$C16),PlotData!O16, PlotData!$CB$4)</f>
        <v>0</v>
      </c>
      <c r="BE15" s="639">
        <f>IF(ISNUMBER(System!$C16), AR15,PlotData!$CB$4)</f>
        <v>0</v>
      </c>
    </row>
    <row r="16" spans="1:61" x14ac:dyDescent="0.25">
      <c r="A16" s="1124">
        <v>14</v>
      </c>
      <c r="B16" s="668"/>
      <c r="C16" s="721"/>
      <c r="D16" s="721"/>
      <c r="E16" s="721"/>
      <c r="F16" s="721"/>
      <c r="G16" s="721"/>
      <c r="H16" s="721"/>
      <c r="I16" s="721"/>
      <c r="J16" s="721"/>
      <c r="K16" s="721"/>
      <c r="L16" s="639"/>
      <c r="N16" s="1124">
        <v>14</v>
      </c>
      <c r="O16" s="668"/>
      <c r="P16" s="721"/>
      <c r="Q16" s="721"/>
      <c r="R16" s="721"/>
      <c r="S16" s="721"/>
      <c r="T16" s="721"/>
      <c r="U16" s="721"/>
      <c r="V16" s="721"/>
      <c r="W16" s="721"/>
      <c r="X16" s="721"/>
      <c r="Y16" s="639"/>
      <c r="AA16" s="1125">
        <v>14</v>
      </c>
      <c r="AB16" s="668">
        <f>IF(ISNUMBER(System!$C17),PlotData!B17+Momente!$E$2* $AF$1*B16,PlotData!$CB$3)</f>
        <v>0</v>
      </c>
      <c r="AC16" s="721">
        <f>IF(ISNUMBER(System!$C17),PlotData!C17+ Momente!$E$2*$AF$1*C16,PlotData!$CB$3)</f>
        <v>0</v>
      </c>
      <c r="AD16" s="721">
        <f>IF(ISNUMBER(System!$C17),PlotData!D17+ Momente!$E$2*$AF$1*D16,PlotData!$CB$3)</f>
        <v>0</v>
      </c>
      <c r="AE16" s="721">
        <f>IF(ISNUMBER(System!$C17),PlotData!E17+Momente!$E$2* $AF$1*E16,PlotData!$CB$3)</f>
        <v>0</v>
      </c>
      <c r="AF16" s="721">
        <f>IF(ISNUMBER(System!$C17),PlotData!F17+Momente!$E$2* $AF$1*F16,PlotData!$CB$3)</f>
        <v>0</v>
      </c>
      <c r="AG16" s="721">
        <f>IF(ISNUMBER(System!$C17),PlotData!G17+ Momente!$E$2*$AF$1*G16,PlotData!$CB$3)</f>
        <v>0</v>
      </c>
      <c r="AH16" s="721">
        <f>IF(ISNUMBER(System!$C17),PlotData!H17+ Momente!$E$2*$AF$1*H16,PlotData!$CB$3)</f>
        <v>0</v>
      </c>
      <c r="AI16" s="721">
        <f>IF(ISNUMBER(System!$C17),PlotData!I17+ Momente!$E$2*$AF$1*I16,PlotData!$CB$3)</f>
        <v>0</v>
      </c>
      <c r="AJ16" s="721">
        <f>IF(ISNUMBER(System!$C17),PlotData!J17+ Momente!$E$2*$AF$1*J16,PlotData!$CB$3)</f>
        <v>0</v>
      </c>
      <c r="AK16" s="721">
        <f>IF(ISNUMBER(System!$C17),PlotData!K17+ Momente!$E$2*$AF$1*K16,PlotData!$CB$3)</f>
        <v>0</v>
      </c>
      <c r="AL16" s="639">
        <f>IF(ISNUMBER(System!$C17),PlotData!L17+Momente!$E$2* $AF$1*L16,PlotData!$CB$3)</f>
        <v>0</v>
      </c>
      <c r="AM16" s="668">
        <f>IF(ISNUMBER(System!$C17),PlotData!L17,PlotData!$CB$3)</f>
        <v>0</v>
      </c>
      <c r="AN16" s="721">
        <f>IF(ISNUMBER(System!$C17),PlotData!B17,PlotData!$CB$3)</f>
        <v>0</v>
      </c>
      <c r="AO16" s="639">
        <f>IF(ISNUMBER(System!$C17),AB16,PlotData!$CB$3)</f>
        <v>0</v>
      </c>
      <c r="AQ16" s="1125">
        <v>14</v>
      </c>
      <c r="AR16" s="668">
        <f>IF(ISNUMBER(System!$C17),PlotData!O17+ Momente!$E$2*$AF$1*O16,PlotData!$CB$4)</f>
        <v>0</v>
      </c>
      <c r="AS16" s="721">
        <f>IF(ISNUMBER(System!$C17),PlotData!P17+Momente!$E$2* $AF$1*P16,PlotData!$CB$4)</f>
        <v>0</v>
      </c>
      <c r="AT16" s="721">
        <f>IF(ISNUMBER(System!$C17),PlotData!Q17+ Momente!$E$2*$AF$1*Q16,PlotData!$CB$4)</f>
        <v>0</v>
      </c>
      <c r="AU16" s="721">
        <f>IF(ISNUMBER(System!$C17),PlotData!R17+Momente!$E$2* $AF$1*R16,PlotData!$CB$4)</f>
        <v>0</v>
      </c>
      <c r="AV16" s="721">
        <f>IF(ISNUMBER(System!$C17),PlotData!S17+ Momente!$E$2*$AF$1*S16,PlotData!$CB$4)</f>
        <v>0</v>
      </c>
      <c r="AW16" s="721">
        <f>IF(ISNUMBER(System!$C17),PlotData!T17+ Momente!$E$2*$AF$1*T16,PlotData!$CB$4)</f>
        <v>0</v>
      </c>
      <c r="AX16" s="721">
        <f>IF(ISNUMBER(System!$C17),PlotData!U17+ Momente!$E$2*$AF$1*U16,PlotData!$CB$4)</f>
        <v>0</v>
      </c>
      <c r="AY16" s="721">
        <f>IF(ISNUMBER(System!$C17),PlotData!V17+ Momente!$E$2*$AF$1*V16,PlotData!$CB$4)</f>
        <v>0</v>
      </c>
      <c r="AZ16" s="721">
        <f>IF(ISNUMBER(System!$C17),PlotData!W17+ Momente!$E$2*$AF$1*W16,PlotData!$CB$4)</f>
        <v>0</v>
      </c>
      <c r="BA16" s="721">
        <f>IF(ISNUMBER(System!$C17),PlotData!X17+ Momente!$E$2*$AF$1*X16,PlotData!$CB$4)</f>
        <v>0</v>
      </c>
      <c r="BB16" s="639">
        <f>IF(ISNUMBER(System!$C17),PlotData!Y17+ Momente!$E$2*$AF$1*Y16,PlotData!$CB$4)</f>
        <v>0</v>
      </c>
      <c r="BC16" s="1146">
        <f>IF(ISNUMBER(System!$C17),PlotData!Y17, PlotData!CB$4)</f>
        <v>0</v>
      </c>
      <c r="BD16" s="721">
        <f>IF(ISNUMBER(System!$C17),PlotData!O17, PlotData!$CB$4)</f>
        <v>0</v>
      </c>
      <c r="BE16" s="639">
        <f>IF(ISNUMBER(System!$C17), AR16,PlotData!$CB$4)</f>
        <v>0</v>
      </c>
    </row>
    <row r="17" spans="1:57" x14ac:dyDescent="0.25">
      <c r="A17" s="1124">
        <v>15</v>
      </c>
      <c r="B17" s="668"/>
      <c r="C17" s="721"/>
      <c r="D17" s="721"/>
      <c r="E17" s="721"/>
      <c r="F17" s="721"/>
      <c r="G17" s="721"/>
      <c r="H17" s="721"/>
      <c r="I17" s="721"/>
      <c r="J17" s="721"/>
      <c r="K17" s="721"/>
      <c r="L17" s="639"/>
      <c r="N17" s="1124">
        <v>15</v>
      </c>
      <c r="O17" s="668"/>
      <c r="P17" s="721"/>
      <c r="Q17" s="721"/>
      <c r="R17" s="721"/>
      <c r="S17" s="721"/>
      <c r="T17" s="721"/>
      <c r="U17" s="721"/>
      <c r="V17" s="721"/>
      <c r="W17" s="721"/>
      <c r="X17" s="721"/>
      <c r="Y17" s="639"/>
      <c r="AA17" s="1125">
        <v>15</v>
      </c>
      <c r="AB17" s="668">
        <f>IF(ISNUMBER(System!$C18),PlotData!B18+Momente!$E$2* $AF$1*B17,PlotData!$CB$3)</f>
        <v>0</v>
      </c>
      <c r="AC17" s="721">
        <f>IF(ISNUMBER(System!$C18),PlotData!C18+ Momente!$E$2*$AF$1*C17,PlotData!$CB$3)</f>
        <v>0</v>
      </c>
      <c r="AD17" s="721">
        <f>IF(ISNUMBER(System!$C18),PlotData!D18+ Momente!$E$2*$AF$1*D17,PlotData!$CB$3)</f>
        <v>0</v>
      </c>
      <c r="AE17" s="721">
        <f>IF(ISNUMBER(System!$C18),PlotData!E18+Momente!$E$2* $AF$1*E17,PlotData!$CB$3)</f>
        <v>0</v>
      </c>
      <c r="AF17" s="721">
        <f>IF(ISNUMBER(System!$C18),PlotData!F18+Momente!$E$2* $AF$1*F17,PlotData!$CB$3)</f>
        <v>0</v>
      </c>
      <c r="AG17" s="721">
        <f>IF(ISNUMBER(System!$C18),PlotData!G18+ Momente!$E$2*$AF$1*G17,PlotData!$CB$3)</f>
        <v>0</v>
      </c>
      <c r="AH17" s="721">
        <f>IF(ISNUMBER(System!$C18),PlotData!H18+ Momente!$E$2*$AF$1*H17,PlotData!$CB$3)</f>
        <v>0</v>
      </c>
      <c r="AI17" s="721">
        <f>IF(ISNUMBER(System!$C18),PlotData!I18+ Momente!$E$2*$AF$1*I17,PlotData!$CB$3)</f>
        <v>0</v>
      </c>
      <c r="AJ17" s="721">
        <f>IF(ISNUMBER(System!$C18),PlotData!J18+ Momente!$E$2*$AF$1*J17,PlotData!$CB$3)</f>
        <v>0</v>
      </c>
      <c r="AK17" s="721">
        <f>IF(ISNUMBER(System!$C18),PlotData!K18+ Momente!$E$2*$AF$1*K17,PlotData!$CB$3)</f>
        <v>0</v>
      </c>
      <c r="AL17" s="639">
        <f>IF(ISNUMBER(System!$C18),PlotData!L18+Momente!$E$2* $AF$1*L17,PlotData!$CB$3)</f>
        <v>0</v>
      </c>
      <c r="AM17" s="668">
        <f>IF(ISNUMBER(System!$C18),PlotData!L18,PlotData!$CB$3)</f>
        <v>0</v>
      </c>
      <c r="AN17" s="721">
        <f>IF(ISNUMBER(System!$C18),PlotData!B18,PlotData!$CB$3)</f>
        <v>0</v>
      </c>
      <c r="AO17" s="639">
        <f>IF(ISNUMBER(System!$C18),AB17,PlotData!$CB$3)</f>
        <v>0</v>
      </c>
      <c r="AQ17" s="1125">
        <v>15</v>
      </c>
      <c r="AR17" s="668">
        <f>IF(ISNUMBER(System!$C18),PlotData!O18+ Momente!$E$2*$AF$1*O17,PlotData!$CB$4)</f>
        <v>0</v>
      </c>
      <c r="AS17" s="721">
        <f>IF(ISNUMBER(System!$C18),PlotData!P18+Momente!$E$2* $AF$1*P17,PlotData!$CB$4)</f>
        <v>0</v>
      </c>
      <c r="AT17" s="721">
        <f>IF(ISNUMBER(System!$C18),PlotData!Q18+ Momente!$E$2*$AF$1*Q17,PlotData!$CB$4)</f>
        <v>0</v>
      </c>
      <c r="AU17" s="721">
        <f>IF(ISNUMBER(System!$C18),PlotData!R18+Momente!$E$2* $AF$1*R17,PlotData!$CB$4)</f>
        <v>0</v>
      </c>
      <c r="AV17" s="721">
        <f>IF(ISNUMBER(System!$C18),PlotData!S18+ Momente!$E$2*$AF$1*S17,PlotData!$CB$4)</f>
        <v>0</v>
      </c>
      <c r="AW17" s="721">
        <f>IF(ISNUMBER(System!$C18),PlotData!T18+ Momente!$E$2*$AF$1*T17,PlotData!$CB$4)</f>
        <v>0</v>
      </c>
      <c r="AX17" s="721">
        <f>IF(ISNUMBER(System!$C18),PlotData!U18+ Momente!$E$2*$AF$1*U17,PlotData!$CB$4)</f>
        <v>0</v>
      </c>
      <c r="AY17" s="721">
        <f>IF(ISNUMBER(System!$C18),PlotData!V18+ Momente!$E$2*$AF$1*V17,PlotData!$CB$4)</f>
        <v>0</v>
      </c>
      <c r="AZ17" s="721">
        <f>IF(ISNUMBER(System!$C18),PlotData!W18+ Momente!$E$2*$AF$1*W17,PlotData!$CB$4)</f>
        <v>0</v>
      </c>
      <c r="BA17" s="721">
        <f>IF(ISNUMBER(System!$C18),PlotData!X18+ Momente!$E$2*$AF$1*X17,PlotData!$CB$4)</f>
        <v>0</v>
      </c>
      <c r="BB17" s="639">
        <f>IF(ISNUMBER(System!$C18),PlotData!Y18+ Momente!$E$2*$AF$1*Y17,PlotData!$CB$4)</f>
        <v>0</v>
      </c>
      <c r="BC17" s="1146">
        <f>IF(ISNUMBER(System!$C18),PlotData!Y18, PlotData!CB$4)</f>
        <v>0</v>
      </c>
      <c r="BD17" s="721">
        <f>IF(ISNUMBER(System!$C18),PlotData!O18, PlotData!$CB$4)</f>
        <v>0</v>
      </c>
      <c r="BE17" s="639">
        <f>IF(ISNUMBER(System!$C18), AR17,PlotData!$CB$4)</f>
        <v>0</v>
      </c>
    </row>
    <row r="18" spans="1:57" x14ac:dyDescent="0.25">
      <c r="A18" s="1124">
        <v>16</v>
      </c>
      <c r="B18" s="668"/>
      <c r="C18" s="721"/>
      <c r="D18" s="721"/>
      <c r="E18" s="721"/>
      <c r="F18" s="721"/>
      <c r="G18" s="721"/>
      <c r="H18" s="721"/>
      <c r="I18" s="721"/>
      <c r="J18" s="721"/>
      <c r="K18" s="721"/>
      <c r="L18" s="639"/>
      <c r="N18" s="1124">
        <v>16</v>
      </c>
      <c r="O18" s="668"/>
      <c r="P18" s="721"/>
      <c r="Q18" s="721"/>
      <c r="R18" s="721"/>
      <c r="S18" s="721"/>
      <c r="T18" s="721"/>
      <c r="U18" s="721"/>
      <c r="V18" s="721"/>
      <c r="W18" s="721"/>
      <c r="X18" s="721"/>
      <c r="Y18" s="639"/>
      <c r="AA18" s="1125">
        <v>16</v>
      </c>
      <c r="AB18" s="668">
        <f>IF(ISNUMBER(System!$C19),PlotData!B19+Momente!$E$2* $AF$1*B18,PlotData!$CB$3)</f>
        <v>0</v>
      </c>
      <c r="AC18" s="721">
        <f>IF(ISNUMBER(System!$C19),PlotData!C19+ Momente!$E$2*$AF$1*C18,PlotData!$CB$3)</f>
        <v>0</v>
      </c>
      <c r="AD18" s="721">
        <f>IF(ISNUMBER(System!$C19),PlotData!D19+ Momente!$E$2*$AF$1*D18,PlotData!$CB$3)</f>
        <v>0</v>
      </c>
      <c r="AE18" s="721">
        <f>IF(ISNUMBER(System!$C19),PlotData!E19+Momente!$E$2* $AF$1*E18,PlotData!$CB$3)</f>
        <v>0</v>
      </c>
      <c r="AF18" s="721">
        <f>IF(ISNUMBER(System!$C19),PlotData!F19+Momente!$E$2* $AF$1*F18,PlotData!$CB$3)</f>
        <v>0</v>
      </c>
      <c r="AG18" s="721">
        <f>IF(ISNUMBER(System!$C19),PlotData!G19+ Momente!$E$2*$AF$1*G18,PlotData!$CB$3)</f>
        <v>0</v>
      </c>
      <c r="AH18" s="721">
        <f>IF(ISNUMBER(System!$C19),PlotData!H19+ Momente!$E$2*$AF$1*H18,PlotData!$CB$3)</f>
        <v>0</v>
      </c>
      <c r="AI18" s="721">
        <f>IF(ISNUMBER(System!$C19),PlotData!I19+ Momente!$E$2*$AF$1*I18,PlotData!$CB$3)</f>
        <v>0</v>
      </c>
      <c r="AJ18" s="721">
        <f>IF(ISNUMBER(System!$C19),PlotData!J19+ Momente!$E$2*$AF$1*J18,PlotData!$CB$3)</f>
        <v>0</v>
      </c>
      <c r="AK18" s="721">
        <f>IF(ISNUMBER(System!$C19),PlotData!K19+ Momente!$E$2*$AF$1*K18,PlotData!$CB$3)</f>
        <v>0</v>
      </c>
      <c r="AL18" s="639">
        <f>IF(ISNUMBER(System!$C19),PlotData!L19+Momente!$E$2* $AF$1*L18,PlotData!$CB$3)</f>
        <v>0</v>
      </c>
      <c r="AM18" s="668">
        <f>IF(ISNUMBER(System!$C19),PlotData!L19,PlotData!$CB$3)</f>
        <v>0</v>
      </c>
      <c r="AN18" s="721">
        <f>IF(ISNUMBER(System!$C19),PlotData!B19,PlotData!$CB$3)</f>
        <v>0</v>
      </c>
      <c r="AO18" s="639">
        <f>IF(ISNUMBER(System!$C19),AB18,PlotData!$CB$3)</f>
        <v>0</v>
      </c>
      <c r="AQ18" s="1125">
        <v>16</v>
      </c>
      <c r="AR18" s="668">
        <f>IF(ISNUMBER(System!$C19),PlotData!O19+ Momente!$E$2*$AF$1*O18,PlotData!$CB$4)</f>
        <v>0</v>
      </c>
      <c r="AS18" s="721">
        <f>IF(ISNUMBER(System!$C19),PlotData!P19+Momente!$E$2* $AF$1*P18,PlotData!$CB$4)</f>
        <v>0</v>
      </c>
      <c r="AT18" s="721">
        <f>IF(ISNUMBER(System!$C19),PlotData!Q19+ Momente!$E$2*$AF$1*Q18,PlotData!$CB$4)</f>
        <v>0</v>
      </c>
      <c r="AU18" s="721">
        <f>IF(ISNUMBER(System!$C19),PlotData!R19+Momente!$E$2* $AF$1*R18,PlotData!$CB$4)</f>
        <v>0</v>
      </c>
      <c r="AV18" s="721">
        <f>IF(ISNUMBER(System!$C19),PlotData!S19+ Momente!$E$2*$AF$1*S18,PlotData!$CB$4)</f>
        <v>0</v>
      </c>
      <c r="AW18" s="721">
        <f>IF(ISNUMBER(System!$C19),PlotData!T19+ Momente!$E$2*$AF$1*T18,PlotData!$CB$4)</f>
        <v>0</v>
      </c>
      <c r="AX18" s="721">
        <f>IF(ISNUMBER(System!$C19),PlotData!U19+ Momente!$E$2*$AF$1*U18,PlotData!$CB$4)</f>
        <v>0</v>
      </c>
      <c r="AY18" s="721">
        <f>IF(ISNUMBER(System!$C19),PlotData!V19+ Momente!$E$2*$AF$1*V18,PlotData!$CB$4)</f>
        <v>0</v>
      </c>
      <c r="AZ18" s="721">
        <f>IF(ISNUMBER(System!$C19),PlotData!W19+ Momente!$E$2*$AF$1*W18,PlotData!$CB$4)</f>
        <v>0</v>
      </c>
      <c r="BA18" s="721">
        <f>IF(ISNUMBER(System!$C19),PlotData!X19+ Momente!$E$2*$AF$1*X18,PlotData!$CB$4)</f>
        <v>0</v>
      </c>
      <c r="BB18" s="639">
        <f>IF(ISNUMBER(System!$C19),PlotData!Y19+ Momente!$E$2*$AF$1*Y18,PlotData!$CB$4)</f>
        <v>0</v>
      </c>
      <c r="BC18" s="1146">
        <f>IF(ISNUMBER(System!$C19),PlotData!Y19, PlotData!CB$4)</f>
        <v>0</v>
      </c>
      <c r="BD18" s="721">
        <f>IF(ISNUMBER(System!$C19),PlotData!O19, PlotData!$CB$4)</f>
        <v>0</v>
      </c>
      <c r="BE18" s="639">
        <f>IF(ISNUMBER(System!$C19), AR18,PlotData!$CB$4)</f>
        <v>0</v>
      </c>
    </row>
    <row r="19" spans="1:57" x14ac:dyDescent="0.25">
      <c r="A19" s="1124">
        <v>17</v>
      </c>
      <c r="B19" s="668"/>
      <c r="C19" s="721"/>
      <c r="D19" s="721"/>
      <c r="E19" s="721"/>
      <c r="F19" s="721"/>
      <c r="G19" s="721"/>
      <c r="H19" s="721"/>
      <c r="I19" s="721"/>
      <c r="J19" s="721"/>
      <c r="K19" s="721"/>
      <c r="L19" s="639"/>
      <c r="N19" s="1124">
        <v>17</v>
      </c>
      <c r="O19" s="668"/>
      <c r="P19" s="721"/>
      <c r="Q19" s="721"/>
      <c r="R19" s="721"/>
      <c r="S19" s="721"/>
      <c r="T19" s="721"/>
      <c r="U19" s="721"/>
      <c r="V19" s="721"/>
      <c r="W19" s="721"/>
      <c r="X19" s="721"/>
      <c r="Y19" s="639"/>
      <c r="AA19" s="1125">
        <v>17</v>
      </c>
      <c r="AB19" s="668">
        <f>IF(ISNUMBER(System!$C20),PlotData!B20+Momente!$E$2* $AF$1*B19,PlotData!$CB$3)</f>
        <v>0</v>
      </c>
      <c r="AC19" s="721">
        <f>IF(ISNUMBER(System!$C20),PlotData!C20+ Momente!$E$2*$AF$1*C19,PlotData!$CB$3)</f>
        <v>0</v>
      </c>
      <c r="AD19" s="721">
        <f>IF(ISNUMBER(System!$C20),PlotData!D20+ Momente!$E$2*$AF$1*D19,PlotData!$CB$3)</f>
        <v>0</v>
      </c>
      <c r="AE19" s="721">
        <f>IF(ISNUMBER(System!$C20),PlotData!E20+Momente!$E$2* $AF$1*E19,PlotData!$CB$3)</f>
        <v>0</v>
      </c>
      <c r="AF19" s="721">
        <f>IF(ISNUMBER(System!$C20),PlotData!F20+Momente!$E$2* $AF$1*F19,PlotData!$CB$3)</f>
        <v>0</v>
      </c>
      <c r="AG19" s="721">
        <f>IF(ISNUMBER(System!$C20),PlotData!G20+ Momente!$E$2*$AF$1*G19,PlotData!$CB$3)</f>
        <v>0</v>
      </c>
      <c r="AH19" s="721">
        <f>IF(ISNUMBER(System!$C20),PlotData!H20+ Momente!$E$2*$AF$1*H19,PlotData!$CB$3)</f>
        <v>0</v>
      </c>
      <c r="AI19" s="721">
        <f>IF(ISNUMBER(System!$C20),PlotData!I20+ Momente!$E$2*$AF$1*I19,PlotData!$CB$3)</f>
        <v>0</v>
      </c>
      <c r="AJ19" s="721">
        <f>IF(ISNUMBER(System!$C20),PlotData!J20+ Momente!$E$2*$AF$1*J19,PlotData!$CB$3)</f>
        <v>0</v>
      </c>
      <c r="AK19" s="721">
        <f>IF(ISNUMBER(System!$C20),PlotData!K20+ Momente!$E$2*$AF$1*K19,PlotData!$CB$3)</f>
        <v>0</v>
      </c>
      <c r="AL19" s="639">
        <f>IF(ISNUMBER(System!$C20),PlotData!L20+Momente!$E$2* $AF$1*L19,PlotData!$CB$3)</f>
        <v>0</v>
      </c>
      <c r="AM19" s="668">
        <f>IF(ISNUMBER(System!$C20),PlotData!L20,PlotData!$CB$3)</f>
        <v>0</v>
      </c>
      <c r="AN19" s="721">
        <f>IF(ISNUMBER(System!$C20),PlotData!B20,PlotData!$CB$3)</f>
        <v>0</v>
      </c>
      <c r="AO19" s="639">
        <f>IF(ISNUMBER(System!$C20),AB19,PlotData!$CB$3)</f>
        <v>0</v>
      </c>
      <c r="AQ19" s="1125">
        <v>17</v>
      </c>
      <c r="AR19" s="668">
        <f>IF(ISNUMBER(System!$C20),PlotData!O20+ Momente!$E$2*$AF$1*O19,PlotData!$CB$4)</f>
        <v>0</v>
      </c>
      <c r="AS19" s="721">
        <f>IF(ISNUMBER(System!$C20),PlotData!P20+Momente!$E$2* $AF$1*P19,PlotData!$CB$4)</f>
        <v>0</v>
      </c>
      <c r="AT19" s="721">
        <f>IF(ISNUMBER(System!$C20),PlotData!Q20+ Momente!$E$2*$AF$1*Q19,PlotData!$CB$4)</f>
        <v>0</v>
      </c>
      <c r="AU19" s="721">
        <f>IF(ISNUMBER(System!$C20),PlotData!R20+Momente!$E$2* $AF$1*R19,PlotData!$CB$4)</f>
        <v>0</v>
      </c>
      <c r="AV19" s="721">
        <f>IF(ISNUMBER(System!$C20),PlotData!S20+ Momente!$E$2*$AF$1*S19,PlotData!$CB$4)</f>
        <v>0</v>
      </c>
      <c r="AW19" s="721">
        <f>IF(ISNUMBER(System!$C20),PlotData!T20+ Momente!$E$2*$AF$1*T19,PlotData!$CB$4)</f>
        <v>0</v>
      </c>
      <c r="AX19" s="721">
        <f>IF(ISNUMBER(System!$C20),PlotData!U20+ Momente!$E$2*$AF$1*U19,PlotData!$CB$4)</f>
        <v>0</v>
      </c>
      <c r="AY19" s="721">
        <f>IF(ISNUMBER(System!$C20),PlotData!V20+ Momente!$E$2*$AF$1*V19,PlotData!$CB$4)</f>
        <v>0</v>
      </c>
      <c r="AZ19" s="721">
        <f>IF(ISNUMBER(System!$C20),PlotData!W20+ Momente!$E$2*$AF$1*W19,PlotData!$CB$4)</f>
        <v>0</v>
      </c>
      <c r="BA19" s="721">
        <f>IF(ISNUMBER(System!$C20),PlotData!X20+ Momente!$E$2*$AF$1*X19,PlotData!$CB$4)</f>
        <v>0</v>
      </c>
      <c r="BB19" s="639">
        <f>IF(ISNUMBER(System!$C20),PlotData!Y20+ Momente!$E$2*$AF$1*Y19,PlotData!$CB$4)</f>
        <v>0</v>
      </c>
      <c r="BC19" s="1146">
        <f>IF(ISNUMBER(System!$C20),PlotData!Y20, PlotData!CB$4)</f>
        <v>0</v>
      </c>
      <c r="BD19" s="721">
        <f>IF(ISNUMBER(System!$C20),PlotData!O20, PlotData!$CB$4)</f>
        <v>0</v>
      </c>
      <c r="BE19" s="639">
        <f>IF(ISNUMBER(System!$C20), AR19,PlotData!$CB$4)</f>
        <v>0</v>
      </c>
    </row>
    <row r="20" spans="1:57" x14ac:dyDescent="0.25">
      <c r="A20" s="1124">
        <v>18</v>
      </c>
      <c r="B20" s="668"/>
      <c r="C20" s="721"/>
      <c r="D20" s="721"/>
      <c r="E20" s="721"/>
      <c r="F20" s="721"/>
      <c r="G20" s="721"/>
      <c r="H20" s="721"/>
      <c r="I20" s="721"/>
      <c r="J20" s="721"/>
      <c r="K20" s="721"/>
      <c r="L20" s="639"/>
      <c r="N20" s="1124">
        <v>18</v>
      </c>
      <c r="O20" s="668"/>
      <c r="P20" s="721"/>
      <c r="Q20" s="721"/>
      <c r="R20" s="721"/>
      <c r="S20" s="721"/>
      <c r="T20" s="721"/>
      <c r="U20" s="721"/>
      <c r="V20" s="721"/>
      <c r="W20" s="721"/>
      <c r="X20" s="721"/>
      <c r="Y20" s="639"/>
      <c r="AA20" s="1125">
        <v>18</v>
      </c>
      <c r="AB20" s="668">
        <f>IF(ISNUMBER(System!$C21),PlotData!B21+Momente!$E$2* $AF$1*B20,PlotData!$CB$3)</f>
        <v>0</v>
      </c>
      <c r="AC20" s="721">
        <f>IF(ISNUMBER(System!$C21),PlotData!C21+ Momente!$E$2*$AF$1*C20,PlotData!$CB$3)</f>
        <v>0</v>
      </c>
      <c r="AD20" s="721">
        <f>IF(ISNUMBER(System!$C21),PlotData!D21+ Momente!$E$2*$AF$1*D20,PlotData!$CB$3)</f>
        <v>0</v>
      </c>
      <c r="AE20" s="721">
        <f>IF(ISNUMBER(System!$C21),PlotData!E21+Momente!$E$2* $AF$1*E20,PlotData!$CB$3)</f>
        <v>0</v>
      </c>
      <c r="AF20" s="721">
        <f>IF(ISNUMBER(System!$C21),PlotData!F21+Momente!$E$2* $AF$1*F20,PlotData!$CB$3)</f>
        <v>0</v>
      </c>
      <c r="AG20" s="721">
        <f>IF(ISNUMBER(System!$C21),PlotData!G21+ Momente!$E$2*$AF$1*G20,PlotData!$CB$3)</f>
        <v>0</v>
      </c>
      <c r="AH20" s="721">
        <f>IF(ISNUMBER(System!$C21),PlotData!H21+ Momente!$E$2*$AF$1*H20,PlotData!$CB$3)</f>
        <v>0</v>
      </c>
      <c r="AI20" s="721">
        <f>IF(ISNUMBER(System!$C21),PlotData!I21+ Momente!$E$2*$AF$1*I20,PlotData!$CB$3)</f>
        <v>0</v>
      </c>
      <c r="AJ20" s="721">
        <f>IF(ISNUMBER(System!$C21),PlotData!J21+ Momente!$E$2*$AF$1*J20,PlotData!$CB$3)</f>
        <v>0</v>
      </c>
      <c r="AK20" s="721">
        <f>IF(ISNUMBER(System!$C21),PlotData!K21+ Momente!$E$2*$AF$1*K20,PlotData!$CB$3)</f>
        <v>0</v>
      </c>
      <c r="AL20" s="639">
        <f>IF(ISNUMBER(System!$C21),PlotData!L21+Momente!$E$2* $AF$1*L20,PlotData!$CB$3)</f>
        <v>0</v>
      </c>
      <c r="AM20" s="668">
        <f>IF(ISNUMBER(System!$C21),PlotData!L21,PlotData!$CB$3)</f>
        <v>0</v>
      </c>
      <c r="AN20" s="721">
        <f>IF(ISNUMBER(System!$C21),PlotData!B21,PlotData!$CB$3)</f>
        <v>0</v>
      </c>
      <c r="AO20" s="639">
        <f>IF(ISNUMBER(System!$C21),AB20,PlotData!$CB$3)</f>
        <v>0</v>
      </c>
      <c r="AQ20" s="1125">
        <v>18</v>
      </c>
      <c r="AR20" s="668">
        <f>IF(ISNUMBER(System!$C21),PlotData!O21+ Momente!$E$2*$AF$1*O20,PlotData!$CB$4)</f>
        <v>0</v>
      </c>
      <c r="AS20" s="721">
        <f>IF(ISNUMBER(System!$C21),PlotData!P21+Momente!$E$2* $AF$1*P20,PlotData!$CB$4)</f>
        <v>0</v>
      </c>
      <c r="AT20" s="721">
        <f>IF(ISNUMBER(System!$C21),PlotData!Q21+ Momente!$E$2*$AF$1*Q20,PlotData!$CB$4)</f>
        <v>0</v>
      </c>
      <c r="AU20" s="721">
        <f>IF(ISNUMBER(System!$C21),PlotData!R21+Momente!$E$2* $AF$1*R20,PlotData!$CB$4)</f>
        <v>0</v>
      </c>
      <c r="AV20" s="721">
        <f>IF(ISNUMBER(System!$C21),PlotData!S21+ Momente!$E$2*$AF$1*S20,PlotData!$CB$4)</f>
        <v>0</v>
      </c>
      <c r="AW20" s="721">
        <f>IF(ISNUMBER(System!$C21),PlotData!T21+ Momente!$E$2*$AF$1*T20,PlotData!$CB$4)</f>
        <v>0</v>
      </c>
      <c r="AX20" s="721">
        <f>IF(ISNUMBER(System!$C21),PlotData!U21+ Momente!$E$2*$AF$1*U20,PlotData!$CB$4)</f>
        <v>0</v>
      </c>
      <c r="AY20" s="721">
        <f>IF(ISNUMBER(System!$C21),PlotData!V21+ Momente!$E$2*$AF$1*V20,PlotData!$CB$4)</f>
        <v>0</v>
      </c>
      <c r="AZ20" s="721">
        <f>IF(ISNUMBER(System!$C21),PlotData!W21+ Momente!$E$2*$AF$1*W20,PlotData!$CB$4)</f>
        <v>0</v>
      </c>
      <c r="BA20" s="721">
        <f>IF(ISNUMBER(System!$C21),PlotData!X21+ Momente!$E$2*$AF$1*X20,PlotData!$CB$4)</f>
        <v>0</v>
      </c>
      <c r="BB20" s="639">
        <f>IF(ISNUMBER(System!$C21),PlotData!Y21+ Momente!$E$2*$AF$1*Y20,PlotData!$CB$4)</f>
        <v>0</v>
      </c>
      <c r="BC20" s="1146">
        <f>IF(ISNUMBER(System!$C21),PlotData!Y21, PlotData!CB$4)</f>
        <v>0</v>
      </c>
      <c r="BD20" s="721">
        <f>IF(ISNUMBER(System!$C21),PlotData!O21, PlotData!$CB$4)</f>
        <v>0</v>
      </c>
      <c r="BE20" s="639">
        <f>IF(ISNUMBER(System!$C21), AR20,PlotData!$CB$4)</f>
        <v>0</v>
      </c>
    </row>
    <row r="21" spans="1:57" x14ac:dyDescent="0.25">
      <c r="A21" s="1124">
        <v>19</v>
      </c>
      <c r="B21" s="668"/>
      <c r="C21" s="721"/>
      <c r="D21" s="721"/>
      <c r="E21" s="721"/>
      <c r="F21" s="721"/>
      <c r="G21" s="721"/>
      <c r="H21" s="721"/>
      <c r="I21" s="721"/>
      <c r="J21" s="721"/>
      <c r="K21" s="721"/>
      <c r="L21" s="639"/>
      <c r="N21" s="1124">
        <v>19</v>
      </c>
      <c r="O21" s="668"/>
      <c r="P21" s="721"/>
      <c r="Q21" s="721"/>
      <c r="R21" s="721"/>
      <c r="S21" s="721"/>
      <c r="T21" s="721"/>
      <c r="U21" s="721"/>
      <c r="V21" s="721"/>
      <c r="W21" s="721"/>
      <c r="X21" s="721"/>
      <c r="Y21" s="639"/>
      <c r="AA21" s="1125">
        <v>19</v>
      </c>
      <c r="AB21" s="668">
        <f>IF(ISNUMBER(System!$C22),PlotData!B22+Momente!$E$2* $AF$1*B21,PlotData!$CB$3)</f>
        <v>0</v>
      </c>
      <c r="AC21" s="721">
        <f>IF(ISNUMBER(System!$C22),PlotData!C22+ Momente!$E$2*$AF$1*C21,PlotData!$CB$3)</f>
        <v>0</v>
      </c>
      <c r="AD21" s="721">
        <f>IF(ISNUMBER(System!$C22),PlotData!D22+ Momente!$E$2*$AF$1*D21,PlotData!$CB$3)</f>
        <v>0</v>
      </c>
      <c r="AE21" s="721">
        <f>IF(ISNUMBER(System!$C22),PlotData!E22+Momente!$E$2* $AF$1*E21,PlotData!$CB$3)</f>
        <v>0</v>
      </c>
      <c r="AF21" s="721">
        <f>IF(ISNUMBER(System!$C22),PlotData!F22+Momente!$E$2* $AF$1*F21,PlotData!$CB$3)</f>
        <v>0</v>
      </c>
      <c r="AG21" s="721">
        <f>IF(ISNUMBER(System!$C22),PlotData!G22+ Momente!$E$2*$AF$1*G21,PlotData!$CB$3)</f>
        <v>0</v>
      </c>
      <c r="AH21" s="721">
        <f>IF(ISNUMBER(System!$C22),PlotData!H22+ Momente!$E$2*$AF$1*H21,PlotData!$CB$3)</f>
        <v>0</v>
      </c>
      <c r="AI21" s="721">
        <f>IF(ISNUMBER(System!$C22),PlotData!I22+ Momente!$E$2*$AF$1*I21,PlotData!$CB$3)</f>
        <v>0</v>
      </c>
      <c r="AJ21" s="721">
        <f>IF(ISNUMBER(System!$C22),PlotData!J22+ Momente!$E$2*$AF$1*J21,PlotData!$CB$3)</f>
        <v>0</v>
      </c>
      <c r="AK21" s="721">
        <f>IF(ISNUMBER(System!$C22),PlotData!K22+ Momente!$E$2*$AF$1*K21,PlotData!$CB$3)</f>
        <v>0</v>
      </c>
      <c r="AL21" s="639">
        <f>IF(ISNUMBER(System!$C22),PlotData!L22+Momente!$E$2* $AF$1*L21,PlotData!$CB$3)</f>
        <v>0</v>
      </c>
      <c r="AM21" s="668">
        <f>IF(ISNUMBER(System!$C22),PlotData!L22,PlotData!$CB$3)</f>
        <v>0</v>
      </c>
      <c r="AN21" s="721">
        <f>IF(ISNUMBER(System!$C22),PlotData!B22,PlotData!$CB$3)</f>
        <v>0</v>
      </c>
      <c r="AO21" s="639">
        <f>IF(ISNUMBER(System!$C22),AB21,PlotData!$CB$3)</f>
        <v>0</v>
      </c>
      <c r="AQ21" s="1125">
        <v>19</v>
      </c>
      <c r="AR21" s="668">
        <f>IF(ISNUMBER(System!$C22),PlotData!O22+ Momente!$E$2*$AF$1*O21,PlotData!$CB$4)</f>
        <v>0</v>
      </c>
      <c r="AS21" s="721">
        <f>IF(ISNUMBER(System!$C22),PlotData!P22+Momente!$E$2* $AF$1*P21,PlotData!$CB$4)</f>
        <v>0</v>
      </c>
      <c r="AT21" s="721">
        <f>IF(ISNUMBER(System!$C22),PlotData!Q22+ Momente!$E$2*$AF$1*Q21,PlotData!$CB$4)</f>
        <v>0</v>
      </c>
      <c r="AU21" s="721">
        <f>IF(ISNUMBER(System!$C22),PlotData!R22+Momente!$E$2* $AF$1*R21,PlotData!$CB$4)</f>
        <v>0</v>
      </c>
      <c r="AV21" s="721">
        <f>IF(ISNUMBER(System!$C22),PlotData!S22+ Momente!$E$2*$AF$1*S21,PlotData!$CB$4)</f>
        <v>0</v>
      </c>
      <c r="AW21" s="721">
        <f>IF(ISNUMBER(System!$C22),PlotData!T22+ Momente!$E$2*$AF$1*T21,PlotData!$CB$4)</f>
        <v>0</v>
      </c>
      <c r="AX21" s="721">
        <f>IF(ISNUMBER(System!$C22),PlotData!U22+ Momente!$E$2*$AF$1*U21,PlotData!$CB$4)</f>
        <v>0</v>
      </c>
      <c r="AY21" s="721">
        <f>IF(ISNUMBER(System!$C22),PlotData!V22+ Momente!$E$2*$AF$1*V21,PlotData!$CB$4)</f>
        <v>0</v>
      </c>
      <c r="AZ21" s="721">
        <f>IF(ISNUMBER(System!$C22),PlotData!W22+ Momente!$E$2*$AF$1*W21,PlotData!$CB$4)</f>
        <v>0</v>
      </c>
      <c r="BA21" s="721">
        <f>IF(ISNUMBER(System!$C22),PlotData!X22+ Momente!$E$2*$AF$1*X21,PlotData!$CB$4)</f>
        <v>0</v>
      </c>
      <c r="BB21" s="639">
        <f>IF(ISNUMBER(System!$C22),PlotData!Y22+ Momente!$E$2*$AF$1*Y21,PlotData!$CB$4)</f>
        <v>0</v>
      </c>
      <c r="BC21" s="1146">
        <f>IF(ISNUMBER(System!$C22),PlotData!Y22, PlotData!CB$4)</f>
        <v>0</v>
      </c>
      <c r="BD21" s="721">
        <f>IF(ISNUMBER(System!$C22),PlotData!O22, PlotData!$CB$4)</f>
        <v>0</v>
      </c>
      <c r="BE21" s="639">
        <f>IF(ISNUMBER(System!$C22), AR21,PlotData!$CB$4)</f>
        <v>0</v>
      </c>
    </row>
    <row r="22" spans="1:57" x14ac:dyDescent="0.25">
      <c r="A22" s="1147">
        <v>20</v>
      </c>
      <c r="B22" s="1132"/>
      <c r="C22" s="1133"/>
      <c r="D22" s="1133"/>
      <c r="E22" s="1133"/>
      <c r="F22" s="1133"/>
      <c r="G22" s="1133"/>
      <c r="H22" s="1133"/>
      <c r="I22" s="1133"/>
      <c r="J22" s="1133"/>
      <c r="K22" s="1133"/>
      <c r="L22" s="1134"/>
      <c r="N22" s="1147">
        <v>20</v>
      </c>
      <c r="O22" s="1132"/>
      <c r="P22" s="1133"/>
      <c r="Q22" s="1133"/>
      <c r="R22" s="1133"/>
      <c r="S22" s="1133"/>
      <c r="T22" s="1133"/>
      <c r="U22" s="1133"/>
      <c r="V22" s="1133"/>
      <c r="W22" s="1133"/>
      <c r="X22" s="1133"/>
      <c r="Y22" s="1134"/>
      <c r="AA22" s="1135">
        <v>20</v>
      </c>
      <c r="AB22" s="668">
        <f>IF(ISNUMBER(System!$C23),PlotData!B23+Momente!$E$2* $AF$1*B22,PlotData!$CB$3)</f>
        <v>0</v>
      </c>
      <c r="AC22" s="721">
        <f>IF(ISNUMBER(System!$C23),PlotData!C23+ Momente!$E$2*$AF$1*C22,PlotData!$CB$3)</f>
        <v>0</v>
      </c>
      <c r="AD22" s="721">
        <f>IF(ISNUMBER(System!$C23),PlotData!D23+ Momente!$E$2*$AF$1*D22,PlotData!$CB$3)</f>
        <v>0</v>
      </c>
      <c r="AE22" s="721">
        <f>IF(ISNUMBER(System!$C23),PlotData!E23+Momente!$E$2* $AF$1*E22,PlotData!$CB$3)</f>
        <v>0</v>
      </c>
      <c r="AF22" s="721">
        <f>IF(ISNUMBER(System!$C23),PlotData!F23+Momente!$E$2* $AF$1*F22,PlotData!$CB$3)</f>
        <v>0</v>
      </c>
      <c r="AG22" s="721">
        <f>IF(ISNUMBER(System!$C23),PlotData!G23+ Momente!$E$2*$AF$1*G22,PlotData!$CB$3)</f>
        <v>0</v>
      </c>
      <c r="AH22" s="721">
        <f>IF(ISNUMBER(System!$C23),PlotData!H23+ Momente!$E$2*$AF$1*H22,PlotData!$CB$3)</f>
        <v>0</v>
      </c>
      <c r="AI22" s="721">
        <f>IF(ISNUMBER(System!$C23),PlotData!I23+ Momente!$E$2*$AF$1*I22,PlotData!$CB$3)</f>
        <v>0</v>
      </c>
      <c r="AJ22" s="721">
        <f>IF(ISNUMBER(System!$C23),PlotData!J23+ Momente!$E$2*$AF$1*J22,PlotData!$CB$3)</f>
        <v>0</v>
      </c>
      <c r="AK22" s="721">
        <f>IF(ISNUMBER(System!$C23),PlotData!K23+ Momente!$E$2*$AF$1*K22,PlotData!$CB$3)</f>
        <v>0</v>
      </c>
      <c r="AL22" s="639">
        <f>IF(ISNUMBER(System!$C23),PlotData!L23+Momente!$E$2* $AF$1*L22,PlotData!$CB$3)</f>
        <v>0</v>
      </c>
      <c r="AM22" s="668">
        <f>IF(ISNUMBER(System!$C23),PlotData!L23,PlotData!$CB$3)</f>
        <v>0</v>
      </c>
      <c r="AN22" s="721">
        <f>IF(ISNUMBER(System!$C23),PlotData!B23,PlotData!$CB$3)</f>
        <v>0</v>
      </c>
      <c r="AO22" s="639">
        <f>IF(ISNUMBER(System!$C23),AB22,PlotData!$CB$3)</f>
        <v>0</v>
      </c>
      <c r="AQ22" s="1135">
        <v>20</v>
      </c>
      <c r="AR22" s="668">
        <f>IF(ISNUMBER(System!$C23),PlotData!O23+ Momente!$E$2*$AF$1*O22,PlotData!$CB$4)</f>
        <v>0</v>
      </c>
      <c r="AS22" s="721">
        <f>IF(ISNUMBER(System!$C23),PlotData!P23+Momente!$E$2* $AF$1*P22,PlotData!$CB$4)</f>
        <v>0</v>
      </c>
      <c r="AT22" s="721">
        <f>IF(ISNUMBER(System!$C23),PlotData!Q23+ Momente!$E$2*$AF$1*Q22,PlotData!$CB$4)</f>
        <v>0</v>
      </c>
      <c r="AU22" s="721">
        <f>IF(ISNUMBER(System!$C23),PlotData!R23+Momente!$E$2* $AF$1*R22,PlotData!$CB$4)</f>
        <v>0</v>
      </c>
      <c r="AV22" s="721">
        <f>IF(ISNUMBER(System!$C23),PlotData!S23+ Momente!$E$2*$AF$1*S22,PlotData!$CB$4)</f>
        <v>0</v>
      </c>
      <c r="AW22" s="721">
        <f>IF(ISNUMBER(System!$C23),PlotData!T23+ Momente!$E$2*$AF$1*T22,PlotData!$CB$4)</f>
        <v>0</v>
      </c>
      <c r="AX22" s="721">
        <f>IF(ISNUMBER(System!$C23),PlotData!U23+ Momente!$E$2*$AF$1*U22,PlotData!$CB$4)</f>
        <v>0</v>
      </c>
      <c r="AY22" s="721">
        <f>IF(ISNUMBER(System!$C23),PlotData!V23+ Momente!$E$2*$AF$1*V22,PlotData!$CB$4)</f>
        <v>0</v>
      </c>
      <c r="AZ22" s="721">
        <f>IF(ISNUMBER(System!$C23),PlotData!W23+ Momente!$E$2*$AF$1*W22,PlotData!$CB$4)</f>
        <v>0</v>
      </c>
      <c r="BA22" s="721">
        <f>IF(ISNUMBER(System!$C23),PlotData!X23+ Momente!$E$2*$AF$1*X22,PlotData!$CB$4)</f>
        <v>0</v>
      </c>
      <c r="BB22" s="639">
        <f>IF(ISNUMBER(System!$C23),PlotData!Y23+ Momente!$E$2*$AF$1*Y22,PlotData!$CB$4)</f>
        <v>0</v>
      </c>
      <c r="BC22" s="1146">
        <f>IF(ISNUMBER(System!$C23),PlotData!Y23, PlotData!CB$4)</f>
        <v>0</v>
      </c>
      <c r="BD22" s="721">
        <f>IF(ISNUMBER(System!$C23),PlotData!O23, PlotData!$CB$4)</f>
        <v>0</v>
      </c>
      <c r="BE22" s="639">
        <f>IF(ISNUMBER(System!$C23), AR22,PlotData!$CB$4)</f>
        <v>0</v>
      </c>
    </row>
    <row r="23" spans="1:57" x14ac:dyDescent="0.25">
      <c r="A23" s="1124">
        <v>21</v>
      </c>
      <c r="B23" s="668"/>
      <c r="C23" s="721"/>
      <c r="D23" s="721"/>
      <c r="E23" s="721"/>
      <c r="F23" s="721"/>
      <c r="G23" s="721"/>
      <c r="H23" s="721"/>
      <c r="I23" s="721"/>
      <c r="J23" s="721"/>
      <c r="K23" s="721"/>
      <c r="L23" s="639"/>
      <c r="N23" s="1124">
        <v>21</v>
      </c>
      <c r="O23" s="668"/>
      <c r="P23" s="721"/>
      <c r="Q23" s="721"/>
      <c r="R23" s="721"/>
      <c r="S23" s="721"/>
      <c r="T23" s="721"/>
      <c r="U23" s="721"/>
      <c r="V23" s="721"/>
      <c r="W23" s="721"/>
      <c r="X23" s="721"/>
      <c r="Y23" s="639"/>
      <c r="AA23" s="1125">
        <v>21</v>
      </c>
      <c r="AB23" s="668">
        <f>IF(ISNUMBER(System!$C24),PlotData!B24+Momente!$E$2* $AF$1*B23,PlotData!$CB$3)</f>
        <v>0</v>
      </c>
      <c r="AC23" s="721">
        <f>IF(ISNUMBER(System!$C24),PlotData!C24+ Momente!$E$2*$AF$1*C23,PlotData!$CB$3)</f>
        <v>0</v>
      </c>
      <c r="AD23" s="721">
        <f>IF(ISNUMBER(System!$C24),PlotData!D24+ Momente!$E$2*$AF$1*D23,PlotData!$CB$3)</f>
        <v>0</v>
      </c>
      <c r="AE23" s="721">
        <f>IF(ISNUMBER(System!$C24),PlotData!E24+Momente!$E$2* $AF$1*E23,PlotData!$CB$3)</f>
        <v>0</v>
      </c>
      <c r="AF23" s="721">
        <f>IF(ISNUMBER(System!$C24),PlotData!F24+Momente!$E$2* $AF$1*F23,PlotData!$CB$3)</f>
        <v>0</v>
      </c>
      <c r="AG23" s="721">
        <f>IF(ISNUMBER(System!$C24),PlotData!G24+ Momente!$E$2*$AF$1*G23,PlotData!$CB$3)</f>
        <v>0</v>
      </c>
      <c r="AH23" s="721">
        <f>IF(ISNUMBER(System!$C24),PlotData!H24+ Momente!$E$2*$AF$1*H23,PlotData!$CB$3)</f>
        <v>0</v>
      </c>
      <c r="AI23" s="721">
        <f>IF(ISNUMBER(System!$C24),PlotData!I24+ Momente!$E$2*$AF$1*I23,PlotData!$CB$3)</f>
        <v>0</v>
      </c>
      <c r="AJ23" s="721">
        <f>IF(ISNUMBER(System!$C24),PlotData!J24+ Momente!$E$2*$AF$1*J23,PlotData!$CB$3)</f>
        <v>0</v>
      </c>
      <c r="AK23" s="721">
        <f>IF(ISNUMBER(System!$C24),PlotData!K24+ Momente!$E$2*$AF$1*K23,PlotData!$CB$3)</f>
        <v>0</v>
      </c>
      <c r="AL23" s="639">
        <f>IF(ISNUMBER(System!$C24),PlotData!L24+Momente!$E$2* $AF$1*L23,PlotData!$CB$3)</f>
        <v>0</v>
      </c>
      <c r="AM23" s="668">
        <f>IF(ISNUMBER(System!$C24),PlotData!L24,PlotData!$CB$3)</f>
        <v>0</v>
      </c>
      <c r="AN23" s="721">
        <f>IF(ISNUMBER(System!$C24),PlotData!B24,PlotData!$CB$3)</f>
        <v>0</v>
      </c>
      <c r="AO23" s="639">
        <f>IF(ISNUMBER(System!$C24),AB23,PlotData!$CB$3)</f>
        <v>0</v>
      </c>
      <c r="AQ23" s="1125">
        <v>21</v>
      </c>
      <c r="AR23" s="668">
        <f>IF(ISNUMBER(System!$C24),PlotData!O24+ Momente!$E$2*$AF$1*O23,PlotData!$CB$4)</f>
        <v>0</v>
      </c>
      <c r="AS23" s="721">
        <f>IF(ISNUMBER(System!$C24),PlotData!P24+Momente!$E$2* $AF$1*P23,PlotData!$CB$4)</f>
        <v>0</v>
      </c>
      <c r="AT23" s="721">
        <f>IF(ISNUMBER(System!$C24),PlotData!Q24+ Momente!$E$2*$AF$1*Q23,PlotData!$CB$4)</f>
        <v>0</v>
      </c>
      <c r="AU23" s="721">
        <f>IF(ISNUMBER(System!$C24),PlotData!R24+Momente!$E$2* $AF$1*R23,PlotData!$CB$4)</f>
        <v>0</v>
      </c>
      <c r="AV23" s="721">
        <f>IF(ISNUMBER(System!$C24),PlotData!S24+ Momente!$E$2*$AF$1*S23,PlotData!$CB$4)</f>
        <v>0</v>
      </c>
      <c r="AW23" s="721">
        <f>IF(ISNUMBER(System!$C24),PlotData!T24+ Momente!$E$2*$AF$1*T23,PlotData!$CB$4)</f>
        <v>0</v>
      </c>
      <c r="AX23" s="721">
        <f>IF(ISNUMBER(System!$C24),PlotData!U24+ Momente!$E$2*$AF$1*U23,PlotData!$CB$4)</f>
        <v>0</v>
      </c>
      <c r="AY23" s="721">
        <f>IF(ISNUMBER(System!$C24),PlotData!V24+ Momente!$E$2*$AF$1*V23,PlotData!$CB$4)</f>
        <v>0</v>
      </c>
      <c r="AZ23" s="721">
        <f>IF(ISNUMBER(System!$C24),PlotData!W24+ Momente!$E$2*$AF$1*W23,PlotData!$CB$4)</f>
        <v>0</v>
      </c>
      <c r="BA23" s="721">
        <f>IF(ISNUMBER(System!$C24),PlotData!X24+ Momente!$E$2*$AF$1*X23,PlotData!$CB$4)</f>
        <v>0</v>
      </c>
      <c r="BB23" s="639">
        <f>IF(ISNUMBER(System!$C24),PlotData!Y24+ Momente!$E$2*$AF$1*Y23,PlotData!$CB$4)</f>
        <v>0</v>
      </c>
      <c r="BC23" s="1146">
        <f>IF(ISNUMBER(System!$C24),PlotData!Y24, PlotData!CB$4)</f>
        <v>0</v>
      </c>
      <c r="BD23" s="721">
        <f>IF(ISNUMBER(System!$C24),PlotData!O24, PlotData!$CB$4)</f>
        <v>0</v>
      </c>
      <c r="BE23" s="639">
        <f>IF(ISNUMBER(System!$C24), AR23,PlotData!$CB$4)</f>
        <v>0</v>
      </c>
    </row>
    <row r="24" spans="1:57" x14ac:dyDescent="0.25">
      <c r="A24" s="1124">
        <v>22</v>
      </c>
      <c r="B24" s="668"/>
      <c r="C24" s="721"/>
      <c r="D24" s="721"/>
      <c r="E24" s="721"/>
      <c r="F24" s="721"/>
      <c r="G24" s="721"/>
      <c r="H24" s="721"/>
      <c r="I24" s="721"/>
      <c r="J24" s="721"/>
      <c r="K24" s="721"/>
      <c r="L24" s="639"/>
      <c r="N24" s="1124">
        <v>22</v>
      </c>
      <c r="O24" s="668"/>
      <c r="P24" s="721"/>
      <c r="Q24" s="721"/>
      <c r="R24" s="721"/>
      <c r="S24" s="721"/>
      <c r="T24" s="721"/>
      <c r="U24" s="721"/>
      <c r="V24" s="721"/>
      <c r="W24" s="721"/>
      <c r="X24" s="721"/>
      <c r="Y24" s="639"/>
      <c r="AA24" s="1125">
        <v>22</v>
      </c>
      <c r="AB24" s="668">
        <f>IF(ISNUMBER(System!$C25),PlotData!B25+Momente!$E$2* $AF$1*B24,PlotData!$CB$3)</f>
        <v>0</v>
      </c>
      <c r="AC24" s="721">
        <f>IF(ISNUMBER(System!$C25),PlotData!C25+ Momente!$E$2*$AF$1*C24,PlotData!$CB$3)</f>
        <v>0</v>
      </c>
      <c r="AD24" s="721">
        <f>IF(ISNUMBER(System!$C25),PlotData!D25+ Momente!$E$2*$AF$1*D24,PlotData!$CB$3)</f>
        <v>0</v>
      </c>
      <c r="AE24" s="721">
        <f>IF(ISNUMBER(System!$C25),PlotData!E25+Momente!$E$2* $AF$1*E24,PlotData!$CB$3)</f>
        <v>0</v>
      </c>
      <c r="AF24" s="721">
        <f>IF(ISNUMBER(System!$C25),PlotData!F25+Momente!$E$2* $AF$1*F24,PlotData!$CB$3)</f>
        <v>0</v>
      </c>
      <c r="AG24" s="721">
        <f>IF(ISNUMBER(System!$C25),PlotData!G25+ Momente!$E$2*$AF$1*G24,PlotData!$CB$3)</f>
        <v>0</v>
      </c>
      <c r="AH24" s="721">
        <f>IF(ISNUMBER(System!$C25),PlotData!H25+ Momente!$E$2*$AF$1*H24,PlotData!$CB$3)</f>
        <v>0</v>
      </c>
      <c r="AI24" s="721">
        <f>IF(ISNUMBER(System!$C25),PlotData!I25+ Momente!$E$2*$AF$1*I24,PlotData!$CB$3)</f>
        <v>0</v>
      </c>
      <c r="AJ24" s="721">
        <f>IF(ISNUMBER(System!$C25),PlotData!J25+ Momente!$E$2*$AF$1*J24,PlotData!$CB$3)</f>
        <v>0</v>
      </c>
      <c r="AK24" s="721">
        <f>IF(ISNUMBER(System!$C25),PlotData!K25+ Momente!$E$2*$AF$1*K24,PlotData!$CB$3)</f>
        <v>0</v>
      </c>
      <c r="AL24" s="639">
        <f>IF(ISNUMBER(System!$C25),PlotData!L25+Momente!$E$2* $AF$1*L24,PlotData!$CB$3)</f>
        <v>0</v>
      </c>
      <c r="AM24" s="668">
        <f>IF(ISNUMBER(System!$C25),PlotData!L25,PlotData!$CB$3)</f>
        <v>0</v>
      </c>
      <c r="AN24" s="721">
        <f>IF(ISNUMBER(System!$C25),PlotData!B25,PlotData!$CB$3)</f>
        <v>0</v>
      </c>
      <c r="AO24" s="639">
        <f>IF(ISNUMBER(System!$C25),AB24,PlotData!$CB$3)</f>
        <v>0</v>
      </c>
      <c r="AQ24" s="1125">
        <v>22</v>
      </c>
      <c r="AR24" s="668">
        <f>IF(ISNUMBER(System!$C25),PlotData!O25+ Momente!$E$2*$AF$1*O24,PlotData!$CB$4)</f>
        <v>0</v>
      </c>
      <c r="AS24" s="721">
        <f>IF(ISNUMBER(System!$C25),PlotData!P25+Momente!$E$2* $AF$1*P24,PlotData!$CB$4)</f>
        <v>0</v>
      </c>
      <c r="AT24" s="721">
        <f>IF(ISNUMBER(System!$C25),PlotData!Q25+ Momente!$E$2*$AF$1*Q24,PlotData!$CB$4)</f>
        <v>0</v>
      </c>
      <c r="AU24" s="721">
        <f>IF(ISNUMBER(System!$C25),PlotData!R25+Momente!$E$2* $AF$1*R24,PlotData!$CB$4)</f>
        <v>0</v>
      </c>
      <c r="AV24" s="721">
        <f>IF(ISNUMBER(System!$C25),PlotData!S25+ Momente!$E$2*$AF$1*S24,PlotData!$CB$4)</f>
        <v>0</v>
      </c>
      <c r="AW24" s="721">
        <f>IF(ISNUMBER(System!$C25),PlotData!T25+ Momente!$E$2*$AF$1*T24,PlotData!$CB$4)</f>
        <v>0</v>
      </c>
      <c r="AX24" s="721">
        <f>IF(ISNUMBER(System!$C25),PlotData!U25+ Momente!$E$2*$AF$1*U24,PlotData!$CB$4)</f>
        <v>0</v>
      </c>
      <c r="AY24" s="721">
        <f>IF(ISNUMBER(System!$C25),PlotData!V25+ Momente!$E$2*$AF$1*V24,PlotData!$CB$4)</f>
        <v>0</v>
      </c>
      <c r="AZ24" s="721">
        <f>IF(ISNUMBER(System!$C25),PlotData!W25+ Momente!$E$2*$AF$1*W24,PlotData!$CB$4)</f>
        <v>0</v>
      </c>
      <c r="BA24" s="721">
        <f>IF(ISNUMBER(System!$C25),PlotData!X25+ Momente!$E$2*$AF$1*X24,PlotData!$CB$4)</f>
        <v>0</v>
      </c>
      <c r="BB24" s="639">
        <f>IF(ISNUMBER(System!$C25),PlotData!Y25+ Momente!$E$2*$AF$1*Y24,PlotData!$CB$4)</f>
        <v>0</v>
      </c>
      <c r="BC24" s="1146">
        <f>IF(ISNUMBER(System!$C25),PlotData!Y25, PlotData!CB$4)</f>
        <v>0</v>
      </c>
      <c r="BD24" s="721">
        <f>IF(ISNUMBER(System!$C25),PlotData!O25, PlotData!$CB$4)</f>
        <v>0</v>
      </c>
      <c r="BE24" s="639">
        <f>IF(ISNUMBER(System!$C25), AR24,PlotData!$CB$4)</f>
        <v>0</v>
      </c>
    </row>
    <row r="25" spans="1:57" x14ac:dyDescent="0.25">
      <c r="A25" s="1124">
        <v>23</v>
      </c>
      <c r="B25" s="668"/>
      <c r="C25" s="721"/>
      <c r="D25" s="721"/>
      <c r="E25" s="721"/>
      <c r="F25" s="721"/>
      <c r="G25" s="721"/>
      <c r="H25" s="721"/>
      <c r="I25" s="721"/>
      <c r="J25" s="721"/>
      <c r="K25" s="721"/>
      <c r="L25" s="639"/>
      <c r="N25" s="1124">
        <v>23</v>
      </c>
      <c r="O25" s="668"/>
      <c r="P25" s="721"/>
      <c r="Q25" s="721"/>
      <c r="R25" s="721"/>
      <c r="S25" s="721"/>
      <c r="T25" s="721"/>
      <c r="U25" s="721"/>
      <c r="V25" s="721"/>
      <c r="W25" s="721"/>
      <c r="X25" s="721"/>
      <c r="Y25" s="639"/>
      <c r="AA25" s="1125">
        <v>23</v>
      </c>
      <c r="AB25" s="668">
        <f>IF(ISNUMBER(System!$C26),PlotData!B26+Momente!$E$2* $AF$1*B25,PlotData!$CB$3)</f>
        <v>0</v>
      </c>
      <c r="AC25" s="721">
        <f>IF(ISNUMBER(System!$C26),PlotData!C26+ Momente!$E$2*$AF$1*C25,PlotData!$CB$3)</f>
        <v>0</v>
      </c>
      <c r="AD25" s="721">
        <f>IF(ISNUMBER(System!$C26),PlotData!D26+ Momente!$E$2*$AF$1*D25,PlotData!$CB$3)</f>
        <v>0</v>
      </c>
      <c r="AE25" s="721">
        <f>IF(ISNUMBER(System!$C26),PlotData!E26+Momente!$E$2* $AF$1*E25,PlotData!$CB$3)</f>
        <v>0</v>
      </c>
      <c r="AF25" s="721">
        <f>IF(ISNUMBER(System!$C26),PlotData!F26+Momente!$E$2* $AF$1*F25,PlotData!$CB$3)</f>
        <v>0</v>
      </c>
      <c r="AG25" s="721">
        <f>IF(ISNUMBER(System!$C26),PlotData!G26+ Momente!$E$2*$AF$1*G25,PlotData!$CB$3)</f>
        <v>0</v>
      </c>
      <c r="AH25" s="721">
        <f>IF(ISNUMBER(System!$C26),PlotData!H26+ Momente!$E$2*$AF$1*H25,PlotData!$CB$3)</f>
        <v>0</v>
      </c>
      <c r="AI25" s="721">
        <f>IF(ISNUMBER(System!$C26),PlotData!I26+ Momente!$E$2*$AF$1*I25,PlotData!$CB$3)</f>
        <v>0</v>
      </c>
      <c r="AJ25" s="721">
        <f>IF(ISNUMBER(System!$C26),PlotData!J26+ Momente!$E$2*$AF$1*J25,PlotData!$CB$3)</f>
        <v>0</v>
      </c>
      <c r="AK25" s="721">
        <f>IF(ISNUMBER(System!$C26),PlotData!K26+ Momente!$E$2*$AF$1*K25,PlotData!$CB$3)</f>
        <v>0</v>
      </c>
      <c r="AL25" s="639">
        <f>IF(ISNUMBER(System!$C26),PlotData!L26+Momente!$E$2* $AF$1*L25,PlotData!$CB$3)</f>
        <v>0</v>
      </c>
      <c r="AM25" s="668">
        <f>IF(ISNUMBER(System!$C26),PlotData!L26,PlotData!$CB$3)</f>
        <v>0</v>
      </c>
      <c r="AN25" s="721">
        <f>IF(ISNUMBER(System!$C26),PlotData!B26,PlotData!$CB$3)</f>
        <v>0</v>
      </c>
      <c r="AO25" s="639">
        <f>IF(ISNUMBER(System!$C26),AB25,PlotData!$CB$3)</f>
        <v>0</v>
      </c>
      <c r="AQ25" s="1125">
        <v>23</v>
      </c>
      <c r="AR25" s="668">
        <f>IF(ISNUMBER(System!$C26),PlotData!O26+ Momente!$E$2*$AF$1*O25,PlotData!$CB$4)</f>
        <v>0</v>
      </c>
      <c r="AS25" s="721">
        <f>IF(ISNUMBER(System!$C26),PlotData!P26+Momente!$E$2* $AF$1*P25,PlotData!$CB$4)</f>
        <v>0</v>
      </c>
      <c r="AT25" s="721">
        <f>IF(ISNUMBER(System!$C26),PlotData!Q26+ Momente!$E$2*$AF$1*Q25,PlotData!$CB$4)</f>
        <v>0</v>
      </c>
      <c r="AU25" s="721">
        <f>IF(ISNUMBER(System!$C26),PlotData!R26+Momente!$E$2* $AF$1*R25,PlotData!$CB$4)</f>
        <v>0</v>
      </c>
      <c r="AV25" s="721">
        <f>IF(ISNUMBER(System!$C26),PlotData!S26+ Momente!$E$2*$AF$1*S25,PlotData!$CB$4)</f>
        <v>0</v>
      </c>
      <c r="AW25" s="721">
        <f>IF(ISNUMBER(System!$C26),PlotData!T26+ Momente!$E$2*$AF$1*T25,PlotData!$CB$4)</f>
        <v>0</v>
      </c>
      <c r="AX25" s="721">
        <f>IF(ISNUMBER(System!$C26),PlotData!U26+ Momente!$E$2*$AF$1*U25,PlotData!$CB$4)</f>
        <v>0</v>
      </c>
      <c r="AY25" s="721">
        <f>IF(ISNUMBER(System!$C26),PlotData!V26+ Momente!$E$2*$AF$1*V25,PlotData!$CB$4)</f>
        <v>0</v>
      </c>
      <c r="AZ25" s="721">
        <f>IF(ISNUMBER(System!$C26),PlotData!W26+ Momente!$E$2*$AF$1*W25,PlotData!$CB$4)</f>
        <v>0</v>
      </c>
      <c r="BA25" s="721">
        <f>IF(ISNUMBER(System!$C26),PlotData!X26+ Momente!$E$2*$AF$1*X25,PlotData!$CB$4)</f>
        <v>0</v>
      </c>
      <c r="BB25" s="639">
        <f>IF(ISNUMBER(System!$C26),PlotData!Y26+ Momente!$E$2*$AF$1*Y25,PlotData!$CB$4)</f>
        <v>0</v>
      </c>
      <c r="BC25" s="1146">
        <f>IF(ISNUMBER(System!$C26),PlotData!Y26, PlotData!CB$4)</f>
        <v>0</v>
      </c>
      <c r="BD25" s="721">
        <f>IF(ISNUMBER(System!$C26),PlotData!O26, PlotData!$CB$4)</f>
        <v>0</v>
      </c>
      <c r="BE25" s="639">
        <f>IF(ISNUMBER(System!$C26), AR25,PlotData!$CB$4)</f>
        <v>0</v>
      </c>
    </row>
    <row r="26" spans="1:57" x14ac:dyDescent="0.25">
      <c r="A26" s="1124">
        <v>24</v>
      </c>
      <c r="B26" s="668"/>
      <c r="C26" s="721"/>
      <c r="D26" s="721"/>
      <c r="E26" s="721"/>
      <c r="F26" s="721"/>
      <c r="G26" s="721"/>
      <c r="H26" s="721"/>
      <c r="I26" s="721"/>
      <c r="J26" s="721"/>
      <c r="K26" s="721"/>
      <c r="L26" s="639"/>
      <c r="N26" s="1124">
        <v>24</v>
      </c>
      <c r="O26" s="668"/>
      <c r="P26" s="721"/>
      <c r="Q26" s="721"/>
      <c r="R26" s="721"/>
      <c r="S26" s="721"/>
      <c r="T26" s="721"/>
      <c r="U26" s="721"/>
      <c r="V26" s="721"/>
      <c r="W26" s="721"/>
      <c r="X26" s="721"/>
      <c r="Y26" s="639"/>
      <c r="AA26" s="1125">
        <v>24</v>
      </c>
      <c r="AB26" s="668">
        <f>IF(ISNUMBER(System!$C27),PlotData!B27+Momente!$E$2* $AF$1*B26,PlotData!$CB$3)</f>
        <v>0</v>
      </c>
      <c r="AC26" s="721">
        <f>IF(ISNUMBER(System!$C27),PlotData!C27+ Momente!$E$2*$AF$1*C26,PlotData!$CB$3)</f>
        <v>0</v>
      </c>
      <c r="AD26" s="721">
        <f>IF(ISNUMBER(System!$C27),PlotData!D27+ Momente!$E$2*$AF$1*D26,PlotData!$CB$3)</f>
        <v>0</v>
      </c>
      <c r="AE26" s="721">
        <f>IF(ISNUMBER(System!$C27),PlotData!E27+Momente!$E$2* $AF$1*E26,PlotData!$CB$3)</f>
        <v>0</v>
      </c>
      <c r="AF26" s="721">
        <f>IF(ISNUMBER(System!$C27),PlotData!F27+Momente!$E$2* $AF$1*F26,PlotData!$CB$3)</f>
        <v>0</v>
      </c>
      <c r="AG26" s="721">
        <f>IF(ISNUMBER(System!$C27),PlotData!G27+ Momente!$E$2*$AF$1*G26,PlotData!$CB$3)</f>
        <v>0</v>
      </c>
      <c r="AH26" s="721">
        <f>IF(ISNUMBER(System!$C27),PlotData!H27+ Momente!$E$2*$AF$1*H26,PlotData!$CB$3)</f>
        <v>0</v>
      </c>
      <c r="AI26" s="721">
        <f>IF(ISNUMBER(System!$C27),PlotData!I27+ Momente!$E$2*$AF$1*I26,PlotData!$CB$3)</f>
        <v>0</v>
      </c>
      <c r="AJ26" s="721">
        <f>IF(ISNUMBER(System!$C27),PlotData!J27+ Momente!$E$2*$AF$1*J26,PlotData!$CB$3)</f>
        <v>0</v>
      </c>
      <c r="AK26" s="721">
        <f>IF(ISNUMBER(System!$C27),PlotData!K27+ Momente!$E$2*$AF$1*K26,PlotData!$CB$3)</f>
        <v>0</v>
      </c>
      <c r="AL26" s="639">
        <f>IF(ISNUMBER(System!$C27),PlotData!L27+Momente!$E$2* $AF$1*L26,PlotData!$CB$3)</f>
        <v>0</v>
      </c>
      <c r="AM26" s="668">
        <f>IF(ISNUMBER(System!$C27),PlotData!L27,PlotData!$CB$3)</f>
        <v>0</v>
      </c>
      <c r="AN26" s="721">
        <f>IF(ISNUMBER(System!$C27),PlotData!B27,PlotData!$CB$3)</f>
        <v>0</v>
      </c>
      <c r="AO26" s="639">
        <f>IF(ISNUMBER(System!$C27),AB26,PlotData!$CB$3)</f>
        <v>0</v>
      </c>
      <c r="AQ26" s="1125">
        <v>24</v>
      </c>
      <c r="AR26" s="668">
        <f>IF(ISNUMBER(System!$C27),PlotData!O27+ Momente!$E$2*$AF$1*O26,PlotData!$CB$4)</f>
        <v>0</v>
      </c>
      <c r="AS26" s="721">
        <f>IF(ISNUMBER(System!$C27),PlotData!P27+Momente!$E$2* $AF$1*P26,PlotData!$CB$4)</f>
        <v>0</v>
      </c>
      <c r="AT26" s="721">
        <f>IF(ISNUMBER(System!$C27),PlotData!Q27+ Momente!$E$2*$AF$1*Q26,PlotData!$CB$4)</f>
        <v>0</v>
      </c>
      <c r="AU26" s="721">
        <f>IF(ISNUMBER(System!$C27),PlotData!R27+Momente!$E$2* $AF$1*R26,PlotData!$CB$4)</f>
        <v>0</v>
      </c>
      <c r="AV26" s="721">
        <f>IF(ISNUMBER(System!$C27),PlotData!S27+ Momente!$E$2*$AF$1*S26,PlotData!$CB$4)</f>
        <v>0</v>
      </c>
      <c r="AW26" s="721">
        <f>IF(ISNUMBER(System!$C27),PlotData!T27+ Momente!$E$2*$AF$1*T26,PlotData!$CB$4)</f>
        <v>0</v>
      </c>
      <c r="AX26" s="721">
        <f>IF(ISNUMBER(System!$C27),PlotData!U27+ Momente!$E$2*$AF$1*U26,PlotData!$CB$4)</f>
        <v>0</v>
      </c>
      <c r="AY26" s="721">
        <f>IF(ISNUMBER(System!$C27),PlotData!V27+ Momente!$E$2*$AF$1*V26,PlotData!$CB$4)</f>
        <v>0</v>
      </c>
      <c r="AZ26" s="721">
        <f>IF(ISNUMBER(System!$C27),PlotData!W27+ Momente!$E$2*$AF$1*W26,PlotData!$CB$4)</f>
        <v>0</v>
      </c>
      <c r="BA26" s="721">
        <f>IF(ISNUMBER(System!$C27),PlotData!X27+ Momente!$E$2*$AF$1*X26,PlotData!$CB$4)</f>
        <v>0</v>
      </c>
      <c r="BB26" s="639">
        <f>IF(ISNUMBER(System!$C27),PlotData!Y27+ Momente!$E$2*$AF$1*Y26,PlotData!$CB$4)</f>
        <v>0</v>
      </c>
      <c r="BC26" s="1146">
        <f>IF(ISNUMBER(System!$C27),PlotData!Y27, PlotData!CB$4)</f>
        <v>0</v>
      </c>
      <c r="BD26" s="721">
        <f>IF(ISNUMBER(System!$C27),PlotData!O27, PlotData!$CB$4)</f>
        <v>0</v>
      </c>
      <c r="BE26" s="639">
        <f>IF(ISNUMBER(System!$C27), AR26,PlotData!$CB$4)</f>
        <v>0</v>
      </c>
    </row>
    <row r="27" spans="1:57" x14ac:dyDescent="0.25">
      <c r="A27" s="1124">
        <v>25</v>
      </c>
      <c r="B27" s="668"/>
      <c r="C27" s="721"/>
      <c r="D27" s="721"/>
      <c r="E27" s="721"/>
      <c r="F27" s="721"/>
      <c r="G27" s="721"/>
      <c r="H27" s="721"/>
      <c r="I27" s="721"/>
      <c r="J27" s="721"/>
      <c r="K27" s="721"/>
      <c r="L27" s="639"/>
      <c r="N27" s="1124">
        <v>25</v>
      </c>
      <c r="O27" s="668"/>
      <c r="P27" s="721"/>
      <c r="Q27" s="721"/>
      <c r="R27" s="721"/>
      <c r="S27" s="721"/>
      <c r="T27" s="721"/>
      <c r="U27" s="721"/>
      <c r="V27" s="721"/>
      <c r="W27" s="721"/>
      <c r="X27" s="721"/>
      <c r="Y27" s="639"/>
      <c r="AA27" s="1125">
        <v>25</v>
      </c>
      <c r="AB27" s="668">
        <f>IF(ISNUMBER(System!$C28),PlotData!B28+Momente!$E$2* $AF$1*B27,PlotData!$CB$3)</f>
        <v>0</v>
      </c>
      <c r="AC27" s="721">
        <f>IF(ISNUMBER(System!$C28),PlotData!C28+ Momente!$E$2*$AF$1*C27,PlotData!$CB$3)</f>
        <v>0</v>
      </c>
      <c r="AD27" s="721">
        <f>IF(ISNUMBER(System!$C28),PlotData!D28+ Momente!$E$2*$AF$1*D27,PlotData!$CB$3)</f>
        <v>0</v>
      </c>
      <c r="AE27" s="721">
        <f>IF(ISNUMBER(System!$C28),PlotData!E28+Momente!$E$2* $AF$1*E27,PlotData!$CB$3)</f>
        <v>0</v>
      </c>
      <c r="AF27" s="721">
        <f>IF(ISNUMBER(System!$C28),PlotData!F28+Momente!$E$2* $AF$1*F27,PlotData!$CB$3)</f>
        <v>0</v>
      </c>
      <c r="AG27" s="721">
        <f>IF(ISNUMBER(System!$C28),PlotData!G28+ Momente!$E$2*$AF$1*G27,PlotData!$CB$3)</f>
        <v>0</v>
      </c>
      <c r="AH27" s="721">
        <f>IF(ISNUMBER(System!$C28),PlotData!H28+ Momente!$E$2*$AF$1*H27,PlotData!$CB$3)</f>
        <v>0</v>
      </c>
      <c r="AI27" s="721">
        <f>IF(ISNUMBER(System!$C28),PlotData!I28+ Momente!$E$2*$AF$1*I27,PlotData!$CB$3)</f>
        <v>0</v>
      </c>
      <c r="AJ27" s="721">
        <f>IF(ISNUMBER(System!$C28),PlotData!J28+ Momente!$E$2*$AF$1*J27,PlotData!$CB$3)</f>
        <v>0</v>
      </c>
      <c r="AK27" s="721">
        <f>IF(ISNUMBER(System!$C28),PlotData!K28+ Momente!$E$2*$AF$1*K27,PlotData!$CB$3)</f>
        <v>0</v>
      </c>
      <c r="AL27" s="639">
        <f>IF(ISNUMBER(System!$C28),PlotData!L28+Momente!$E$2* $AF$1*L27,PlotData!$CB$3)</f>
        <v>0</v>
      </c>
      <c r="AM27" s="668">
        <f>IF(ISNUMBER(System!$C28),PlotData!L28,PlotData!$CB$3)</f>
        <v>0</v>
      </c>
      <c r="AN27" s="721">
        <f>IF(ISNUMBER(System!$C28),PlotData!B28,PlotData!$CB$3)</f>
        <v>0</v>
      </c>
      <c r="AO27" s="639">
        <f>IF(ISNUMBER(System!$C28),AB27,PlotData!$CB$3)</f>
        <v>0</v>
      </c>
      <c r="AQ27" s="1125">
        <v>25</v>
      </c>
      <c r="AR27" s="668">
        <f>IF(ISNUMBER(System!$C28),PlotData!O28+ Momente!$E$2*$AF$1*O27,PlotData!$CB$4)</f>
        <v>0</v>
      </c>
      <c r="AS27" s="721">
        <f>IF(ISNUMBER(System!$C28),PlotData!P28+Momente!$E$2* $AF$1*P27,PlotData!$CB$4)</f>
        <v>0</v>
      </c>
      <c r="AT27" s="721">
        <f>IF(ISNUMBER(System!$C28),PlotData!Q28+ Momente!$E$2*$AF$1*Q27,PlotData!$CB$4)</f>
        <v>0</v>
      </c>
      <c r="AU27" s="721">
        <f>IF(ISNUMBER(System!$C28),PlotData!R28+Momente!$E$2* $AF$1*R27,PlotData!$CB$4)</f>
        <v>0</v>
      </c>
      <c r="AV27" s="721">
        <f>IF(ISNUMBER(System!$C28),PlotData!S28+ Momente!$E$2*$AF$1*S27,PlotData!$CB$4)</f>
        <v>0</v>
      </c>
      <c r="AW27" s="721">
        <f>IF(ISNUMBER(System!$C28),PlotData!T28+ Momente!$E$2*$AF$1*T27,PlotData!$CB$4)</f>
        <v>0</v>
      </c>
      <c r="AX27" s="721">
        <f>IF(ISNUMBER(System!$C28),PlotData!U28+ Momente!$E$2*$AF$1*U27,PlotData!$CB$4)</f>
        <v>0</v>
      </c>
      <c r="AY27" s="721">
        <f>IF(ISNUMBER(System!$C28),PlotData!V28+ Momente!$E$2*$AF$1*V27,PlotData!$CB$4)</f>
        <v>0</v>
      </c>
      <c r="AZ27" s="721">
        <f>IF(ISNUMBER(System!$C28),PlotData!W28+ Momente!$E$2*$AF$1*W27,PlotData!$CB$4)</f>
        <v>0</v>
      </c>
      <c r="BA27" s="721">
        <f>IF(ISNUMBER(System!$C28),PlotData!X28+ Momente!$E$2*$AF$1*X27,PlotData!$CB$4)</f>
        <v>0</v>
      </c>
      <c r="BB27" s="639">
        <f>IF(ISNUMBER(System!$C28),PlotData!Y28+ Momente!$E$2*$AF$1*Y27,PlotData!$CB$4)</f>
        <v>0</v>
      </c>
      <c r="BC27" s="1146">
        <f>IF(ISNUMBER(System!$C28),PlotData!Y28, PlotData!CB$4)</f>
        <v>0</v>
      </c>
      <c r="BD27" s="721">
        <f>IF(ISNUMBER(System!$C28),PlotData!O28, PlotData!$CB$4)</f>
        <v>0</v>
      </c>
      <c r="BE27" s="639">
        <f>IF(ISNUMBER(System!$C28), AR27,PlotData!$CB$4)</f>
        <v>0</v>
      </c>
    </row>
    <row r="28" spans="1:57" x14ac:dyDescent="0.25">
      <c r="A28" s="1124">
        <v>26</v>
      </c>
      <c r="B28" s="668"/>
      <c r="C28" s="721"/>
      <c r="D28" s="721"/>
      <c r="E28" s="721"/>
      <c r="F28" s="721"/>
      <c r="G28" s="721"/>
      <c r="H28" s="721"/>
      <c r="I28" s="721"/>
      <c r="J28" s="721"/>
      <c r="K28" s="721"/>
      <c r="L28" s="639"/>
      <c r="N28" s="1124">
        <v>26</v>
      </c>
      <c r="O28" s="668"/>
      <c r="P28" s="721"/>
      <c r="Q28" s="721"/>
      <c r="R28" s="721"/>
      <c r="S28" s="721"/>
      <c r="T28" s="721"/>
      <c r="U28" s="721"/>
      <c r="V28" s="721"/>
      <c r="W28" s="721"/>
      <c r="X28" s="721"/>
      <c r="Y28" s="639"/>
      <c r="AA28" s="1125">
        <v>26</v>
      </c>
      <c r="AB28" s="668">
        <f>IF(ISNUMBER(System!$C29),PlotData!B29+Momente!$E$2* $AF$1*B28,PlotData!$CB$3)</f>
        <v>0</v>
      </c>
      <c r="AC28" s="721">
        <f>IF(ISNUMBER(System!$C29),PlotData!C29+ Momente!$E$2*$AF$1*C28,PlotData!$CB$3)</f>
        <v>0</v>
      </c>
      <c r="AD28" s="721">
        <f>IF(ISNUMBER(System!$C29),PlotData!D29+ Momente!$E$2*$AF$1*D28,PlotData!$CB$3)</f>
        <v>0</v>
      </c>
      <c r="AE28" s="721">
        <f>IF(ISNUMBER(System!$C29),PlotData!E29+Momente!$E$2* $AF$1*E28,PlotData!$CB$3)</f>
        <v>0</v>
      </c>
      <c r="AF28" s="721">
        <f>IF(ISNUMBER(System!$C29),PlotData!F29+Momente!$E$2* $AF$1*F28,PlotData!$CB$3)</f>
        <v>0</v>
      </c>
      <c r="AG28" s="721">
        <f>IF(ISNUMBER(System!$C29),PlotData!G29+ Momente!$E$2*$AF$1*G28,PlotData!$CB$3)</f>
        <v>0</v>
      </c>
      <c r="AH28" s="721">
        <f>IF(ISNUMBER(System!$C29),PlotData!H29+ Momente!$E$2*$AF$1*H28,PlotData!$CB$3)</f>
        <v>0</v>
      </c>
      <c r="AI28" s="721">
        <f>IF(ISNUMBER(System!$C29),PlotData!I29+ Momente!$E$2*$AF$1*I28,PlotData!$CB$3)</f>
        <v>0</v>
      </c>
      <c r="AJ28" s="721">
        <f>IF(ISNUMBER(System!$C29),PlotData!J29+ Momente!$E$2*$AF$1*J28,PlotData!$CB$3)</f>
        <v>0</v>
      </c>
      <c r="AK28" s="721">
        <f>IF(ISNUMBER(System!$C29),PlotData!K29+ Momente!$E$2*$AF$1*K28,PlotData!$CB$3)</f>
        <v>0</v>
      </c>
      <c r="AL28" s="639">
        <f>IF(ISNUMBER(System!$C29),PlotData!L29+Momente!$E$2* $AF$1*L28,PlotData!$CB$3)</f>
        <v>0</v>
      </c>
      <c r="AM28" s="668">
        <f>IF(ISNUMBER(System!$C29),PlotData!L29,PlotData!$CB$3)</f>
        <v>0</v>
      </c>
      <c r="AN28" s="721">
        <f>IF(ISNUMBER(System!$C29),PlotData!B29,PlotData!$CB$3)</f>
        <v>0</v>
      </c>
      <c r="AO28" s="639">
        <f>IF(ISNUMBER(System!$C29),AB28,PlotData!$CB$3)</f>
        <v>0</v>
      </c>
      <c r="AQ28" s="1125">
        <v>26</v>
      </c>
      <c r="AR28" s="668">
        <f>IF(ISNUMBER(System!$C29),PlotData!O29+ Momente!$E$2*$AF$1*O28,PlotData!$CB$4)</f>
        <v>0</v>
      </c>
      <c r="AS28" s="721">
        <f>IF(ISNUMBER(System!$C29),PlotData!P29+Momente!$E$2* $AF$1*P28,PlotData!$CB$4)</f>
        <v>0</v>
      </c>
      <c r="AT28" s="721">
        <f>IF(ISNUMBER(System!$C29),PlotData!Q29+ Momente!$E$2*$AF$1*Q28,PlotData!$CB$4)</f>
        <v>0</v>
      </c>
      <c r="AU28" s="721">
        <f>IF(ISNUMBER(System!$C29),PlotData!R29+Momente!$E$2* $AF$1*R28,PlotData!$CB$4)</f>
        <v>0</v>
      </c>
      <c r="AV28" s="721">
        <f>IF(ISNUMBER(System!$C29),PlotData!S29+ Momente!$E$2*$AF$1*S28,PlotData!$CB$4)</f>
        <v>0</v>
      </c>
      <c r="AW28" s="721">
        <f>IF(ISNUMBER(System!$C29),PlotData!T29+ Momente!$E$2*$AF$1*T28,PlotData!$CB$4)</f>
        <v>0</v>
      </c>
      <c r="AX28" s="721">
        <f>IF(ISNUMBER(System!$C29),PlotData!U29+ Momente!$E$2*$AF$1*U28,PlotData!$CB$4)</f>
        <v>0</v>
      </c>
      <c r="AY28" s="721">
        <f>IF(ISNUMBER(System!$C29),PlotData!V29+ Momente!$E$2*$AF$1*V28,PlotData!$CB$4)</f>
        <v>0</v>
      </c>
      <c r="AZ28" s="721">
        <f>IF(ISNUMBER(System!$C29),PlotData!W29+ Momente!$E$2*$AF$1*W28,PlotData!$CB$4)</f>
        <v>0</v>
      </c>
      <c r="BA28" s="721">
        <f>IF(ISNUMBER(System!$C29),PlotData!X29+ Momente!$E$2*$AF$1*X28,PlotData!$CB$4)</f>
        <v>0</v>
      </c>
      <c r="BB28" s="639">
        <f>IF(ISNUMBER(System!$C29),PlotData!Y29+ Momente!$E$2*$AF$1*Y28,PlotData!$CB$4)</f>
        <v>0</v>
      </c>
      <c r="BC28" s="1146">
        <f>IF(ISNUMBER(System!$C29),PlotData!Y29, PlotData!CB$4)</f>
        <v>0</v>
      </c>
      <c r="BD28" s="721">
        <f>IF(ISNUMBER(System!$C29),PlotData!O29, PlotData!$CB$4)</f>
        <v>0</v>
      </c>
      <c r="BE28" s="639">
        <f>IF(ISNUMBER(System!$C29), AR28,PlotData!$CB$4)</f>
        <v>0</v>
      </c>
    </row>
    <row r="29" spans="1:57" x14ac:dyDescent="0.25">
      <c r="A29" s="1124">
        <v>27</v>
      </c>
      <c r="B29" s="668"/>
      <c r="C29" s="721"/>
      <c r="D29" s="721"/>
      <c r="E29" s="721"/>
      <c r="F29" s="721"/>
      <c r="G29" s="721"/>
      <c r="H29" s="721"/>
      <c r="I29" s="721"/>
      <c r="J29" s="721"/>
      <c r="K29" s="721"/>
      <c r="L29" s="639"/>
      <c r="N29" s="1124">
        <v>27</v>
      </c>
      <c r="O29" s="668"/>
      <c r="P29" s="721"/>
      <c r="Q29" s="721"/>
      <c r="R29" s="721"/>
      <c r="S29" s="721"/>
      <c r="T29" s="721"/>
      <c r="U29" s="721"/>
      <c r="V29" s="721"/>
      <c r="W29" s="721"/>
      <c r="X29" s="721"/>
      <c r="Y29" s="639"/>
      <c r="AA29" s="1125">
        <v>27</v>
      </c>
      <c r="AB29" s="668">
        <f>IF(ISNUMBER(System!$C30),PlotData!B30+Momente!$E$2* $AF$1*B29,PlotData!$CB$3)</f>
        <v>0</v>
      </c>
      <c r="AC29" s="721">
        <f>IF(ISNUMBER(System!$C30),PlotData!C30+ Momente!$E$2*$AF$1*C29,PlotData!$CB$3)</f>
        <v>0</v>
      </c>
      <c r="AD29" s="721">
        <f>IF(ISNUMBER(System!$C30),PlotData!D30+ Momente!$E$2*$AF$1*D29,PlotData!$CB$3)</f>
        <v>0</v>
      </c>
      <c r="AE29" s="721">
        <f>IF(ISNUMBER(System!$C30),PlotData!E30+Momente!$E$2* $AF$1*E29,PlotData!$CB$3)</f>
        <v>0</v>
      </c>
      <c r="AF29" s="721">
        <f>IF(ISNUMBER(System!$C30),PlotData!F30+Momente!$E$2* $AF$1*F29,PlotData!$CB$3)</f>
        <v>0</v>
      </c>
      <c r="AG29" s="721">
        <f>IF(ISNUMBER(System!$C30),PlotData!G30+ Momente!$E$2*$AF$1*G29,PlotData!$CB$3)</f>
        <v>0</v>
      </c>
      <c r="AH29" s="721">
        <f>IF(ISNUMBER(System!$C30),PlotData!H30+ Momente!$E$2*$AF$1*H29,PlotData!$CB$3)</f>
        <v>0</v>
      </c>
      <c r="AI29" s="721">
        <f>IF(ISNUMBER(System!$C30),PlotData!I30+ Momente!$E$2*$AF$1*I29,PlotData!$CB$3)</f>
        <v>0</v>
      </c>
      <c r="AJ29" s="721">
        <f>IF(ISNUMBER(System!$C30),PlotData!J30+ Momente!$E$2*$AF$1*J29,PlotData!$CB$3)</f>
        <v>0</v>
      </c>
      <c r="AK29" s="721">
        <f>IF(ISNUMBER(System!$C30),PlotData!K30+ Momente!$E$2*$AF$1*K29,PlotData!$CB$3)</f>
        <v>0</v>
      </c>
      <c r="AL29" s="639">
        <f>IF(ISNUMBER(System!$C30),PlotData!L30+Momente!$E$2* $AF$1*L29,PlotData!$CB$3)</f>
        <v>0</v>
      </c>
      <c r="AM29" s="668">
        <f>IF(ISNUMBER(System!$C30),PlotData!L30,PlotData!$CB$3)</f>
        <v>0</v>
      </c>
      <c r="AN29" s="721">
        <f>IF(ISNUMBER(System!$C30),PlotData!B30,PlotData!$CB$3)</f>
        <v>0</v>
      </c>
      <c r="AO29" s="639">
        <f>IF(ISNUMBER(System!$C30),AB29,PlotData!$CB$3)</f>
        <v>0</v>
      </c>
      <c r="AQ29" s="1125">
        <v>27</v>
      </c>
      <c r="AR29" s="668">
        <f>IF(ISNUMBER(System!$C30),PlotData!O30+ Momente!$E$2*$AF$1*O29,PlotData!$CB$4)</f>
        <v>0</v>
      </c>
      <c r="AS29" s="721">
        <f>IF(ISNUMBER(System!$C30),PlotData!P30+Momente!$E$2* $AF$1*P29,PlotData!$CB$4)</f>
        <v>0</v>
      </c>
      <c r="AT29" s="721">
        <f>IF(ISNUMBER(System!$C30),PlotData!Q30+ Momente!$E$2*$AF$1*Q29,PlotData!$CB$4)</f>
        <v>0</v>
      </c>
      <c r="AU29" s="721">
        <f>IF(ISNUMBER(System!$C30),PlotData!R30+Momente!$E$2* $AF$1*R29,PlotData!$CB$4)</f>
        <v>0</v>
      </c>
      <c r="AV29" s="721">
        <f>IF(ISNUMBER(System!$C30),PlotData!S30+ Momente!$E$2*$AF$1*S29,PlotData!$CB$4)</f>
        <v>0</v>
      </c>
      <c r="AW29" s="721">
        <f>IF(ISNUMBER(System!$C30),PlotData!T30+ Momente!$E$2*$AF$1*T29,PlotData!$CB$4)</f>
        <v>0</v>
      </c>
      <c r="AX29" s="721">
        <f>IF(ISNUMBER(System!$C30),PlotData!U30+ Momente!$E$2*$AF$1*U29,PlotData!$CB$4)</f>
        <v>0</v>
      </c>
      <c r="AY29" s="721">
        <f>IF(ISNUMBER(System!$C30),PlotData!V30+ Momente!$E$2*$AF$1*V29,PlotData!$CB$4)</f>
        <v>0</v>
      </c>
      <c r="AZ29" s="721">
        <f>IF(ISNUMBER(System!$C30),PlotData!W30+ Momente!$E$2*$AF$1*W29,PlotData!$CB$4)</f>
        <v>0</v>
      </c>
      <c r="BA29" s="721">
        <f>IF(ISNUMBER(System!$C30),PlotData!X30+ Momente!$E$2*$AF$1*X29,PlotData!$CB$4)</f>
        <v>0</v>
      </c>
      <c r="BB29" s="639">
        <f>IF(ISNUMBER(System!$C30),PlotData!Y30+ Momente!$E$2*$AF$1*Y29,PlotData!$CB$4)</f>
        <v>0</v>
      </c>
      <c r="BC29" s="1146">
        <f>IF(ISNUMBER(System!$C30),PlotData!Y30, PlotData!CB$4)</f>
        <v>0</v>
      </c>
      <c r="BD29" s="721">
        <f>IF(ISNUMBER(System!$C30),PlotData!O30, PlotData!$CB$4)</f>
        <v>0</v>
      </c>
      <c r="BE29" s="639">
        <f>IF(ISNUMBER(System!$C30), AR29,PlotData!$CB$4)</f>
        <v>0</v>
      </c>
    </row>
    <row r="30" spans="1:57" x14ac:dyDescent="0.25">
      <c r="A30" s="1124">
        <v>28</v>
      </c>
      <c r="B30" s="668"/>
      <c r="C30" s="721"/>
      <c r="D30" s="721"/>
      <c r="E30" s="721"/>
      <c r="F30" s="721"/>
      <c r="G30" s="721"/>
      <c r="H30" s="721"/>
      <c r="I30" s="721"/>
      <c r="J30" s="721"/>
      <c r="K30" s="721"/>
      <c r="L30" s="639"/>
      <c r="N30" s="1124">
        <v>28</v>
      </c>
      <c r="O30" s="668"/>
      <c r="P30" s="721"/>
      <c r="Q30" s="721"/>
      <c r="R30" s="721"/>
      <c r="S30" s="721"/>
      <c r="T30" s="721"/>
      <c r="U30" s="721"/>
      <c r="V30" s="721"/>
      <c r="W30" s="721"/>
      <c r="X30" s="721"/>
      <c r="Y30" s="639"/>
      <c r="AA30" s="1125">
        <v>28</v>
      </c>
      <c r="AB30" s="668">
        <f>IF(ISNUMBER(System!$C31),PlotData!B31+Momente!$E$2* $AF$1*B30,PlotData!$CB$3)</f>
        <v>0</v>
      </c>
      <c r="AC30" s="721">
        <f>IF(ISNUMBER(System!$C31),PlotData!C31+ Momente!$E$2*$AF$1*C30,PlotData!$CB$3)</f>
        <v>0</v>
      </c>
      <c r="AD30" s="721">
        <f>IF(ISNUMBER(System!$C31),PlotData!D31+ Momente!$E$2*$AF$1*D30,PlotData!$CB$3)</f>
        <v>0</v>
      </c>
      <c r="AE30" s="721">
        <f>IF(ISNUMBER(System!$C31),PlotData!E31+Momente!$E$2* $AF$1*E30,PlotData!$CB$3)</f>
        <v>0</v>
      </c>
      <c r="AF30" s="721">
        <f>IF(ISNUMBER(System!$C31),PlotData!F31+Momente!$E$2* $AF$1*F30,PlotData!$CB$3)</f>
        <v>0</v>
      </c>
      <c r="AG30" s="721">
        <f>IF(ISNUMBER(System!$C31),PlotData!G31+ Momente!$E$2*$AF$1*G30,PlotData!$CB$3)</f>
        <v>0</v>
      </c>
      <c r="AH30" s="721">
        <f>IF(ISNUMBER(System!$C31),PlotData!H31+ Momente!$E$2*$AF$1*H30,PlotData!$CB$3)</f>
        <v>0</v>
      </c>
      <c r="AI30" s="721">
        <f>IF(ISNUMBER(System!$C31),PlotData!I31+ Momente!$E$2*$AF$1*I30,PlotData!$CB$3)</f>
        <v>0</v>
      </c>
      <c r="AJ30" s="721">
        <f>IF(ISNUMBER(System!$C31),PlotData!J31+ Momente!$E$2*$AF$1*J30,PlotData!$CB$3)</f>
        <v>0</v>
      </c>
      <c r="AK30" s="721">
        <f>IF(ISNUMBER(System!$C31),PlotData!K31+ Momente!$E$2*$AF$1*K30,PlotData!$CB$3)</f>
        <v>0</v>
      </c>
      <c r="AL30" s="639">
        <f>IF(ISNUMBER(System!$C31),PlotData!L31+Momente!$E$2* $AF$1*L30,PlotData!$CB$3)</f>
        <v>0</v>
      </c>
      <c r="AM30" s="668">
        <f>IF(ISNUMBER(System!$C31),PlotData!L31,PlotData!$CB$3)</f>
        <v>0</v>
      </c>
      <c r="AN30" s="721">
        <f>IF(ISNUMBER(System!$C31),PlotData!B31,PlotData!$CB$3)</f>
        <v>0</v>
      </c>
      <c r="AO30" s="639">
        <f>IF(ISNUMBER(System!$C31),AB30,PlotData!$CB$3)</f>
        <v>0</v>
      </c>
      <c r="AQ30" s="1125">
        <v>28</v>
      </c>
      <c r="AR30" s="668">
        <f>IF(ISNUMBER(System!$C31),PlotData!O31+ Momente!$E$2*$AF$1*O30,PlotData!$CB$4)</f>
        <v>0</v>
      </c>
      <c r="AS30" s="721">
        <f>IF(ISNUMBER(System!$C31),PlotData!P31+Momente!$E$2* $AF$1*P30,PlotData!$CB$4)</f>
        <v>0</v>
      </c>
      <c r="AT30" s="721">
        <f>IF(ISNUMBER(System!$C31),PlotData!Q31+ Momente!$E$2*$AF$1*Q30,PlotData!$CB$4)</f>
        <v>0</v>
      </c>
      <c r="AU30" s="721">
        <f>IF(ISNUMBER(System!$C31),PlotData!R31+Momente!$E$2* $AF$1*R30,PlotData!$CB$4)</f>
        <v>0</v>
      </c>
      <c r="AV30" s="721">
        <f>IF(ISNUMBER(System!$C31),PlotData!S31+ Momente!$E$2*$AF$1*S30,PlotData!$CB$4)</f>
        <v>0</v>
      </c>
      <c r="AW30" s="721">
        <f>IF(ISNUMBER(System!$C31),PlotData!T31+ Momente!$E$2*$AF$1*T30,PlotData!$CB$4)</f>
        <v>0</v>
      </c>
      <c r="AX30" s="721">
        <f>IF(ISNUMBER(System!$C31),PlotData!U31+ Momente!$E$2*$AF$1*U30,PlotData!$CB$4)</f>
        <v>0</v>
      </c>
      <c r="AY30" s="721">
        <f>IF(ISNUMBER(System!$C31),PlotData!V31+ Momente!$E$2*$AF$1*V30,PlotData!$CB$4)</f>
        <v>0</v>
      </c>
      <c r="AZ30" s="721">
        <f>IF(ISNUMBER(System!$C31),PlotData!W31+ Momente!$E$2*$AF$1*W30,PlotData!$CB$4)</f>
        <v>0</v>
      </c>
      <c r="BA30" s="721">
        <f>IF(ISNUMBER(System!$C31),PlotData!X31+ Momente!$E$2*$AF$1*X30,PlotData!$CB$4)</f>
        <v>0</v>
      </c>
      <c r="BB30" s="639">
        <f>IF(ISNUMBER(System!$C31),PlotData!Y31+ Momente!$E$2*$AF$1*Y30,PlotData!$CB$4)</f>
        <v>0</v>
      </c>
      <c r="BC30" s="1146">
        <f>IF(ISNUMBER(System!$C31),PlotData!Y31, PlotData!CB$4)</f>
        <v>0</v>
      </c>
      <c r="BD30" s="721">
        <f>IF(ISNUMBER(System!$C31),PlotData!O31, PlotData!$CB$4)</f>
        <v>0</v>
      </c>
      <c r="BE30" s="639">
        <f>IF(ISNUMBER(System!$C31), AR30,PlotData!$CB$4)</f>
        <v>0</v>
      </c>
    </row>
    <row r="31" spans="1:57" x14ac:dyDescent="0.25">
      <c r="A31" s="1124">
        <v>29</v>
      </c>
      <c r="B31" s="668"/>
      <c r="C31" s="721"/>
      <c r="D31" s="721"/>
      <c r="E31" s="721"/>
      <c r="F31" s="721"/>
      <c r="G31" s="721"/>
      <c r="H31" s="721"/>
      <c r="I31" s="721"/>
      <c r="J31" s="721"/>
      <c r="K31" s="721"/>
      <c r="L31" s="639"/>
      <c r="N31" s="1124">
        <v>29</v>
      </c>
      <c r="O31" s="668"/>
      <c r="P31" s="721"/>
      <c r="Q31" s="721"/>
      <c r="R31" s="721"/>
      <c r="S31" s="721"/>
      <c r="T31" s="721"/>
      <c r="U31" s="721"/>
      <c r="V31" s="721"/>
      <c r="W31" s="721"/>
      <c r="X31" s="721"/>
      <c r="Y31" s="639"/>
      <c r="AA31" s="1125">
        <v>29</v>
      </c>
      <c r="AB31" s="668">
        <f>IF(ISNUMBER(System!$C32),PlotData!B32+Momente!$E$2* $AF$1*B31,PlotData!$CB$3)</f>
        <v>0</v>
      </c>
      <c r="AC31" s="721">
        <f>IF(ISNUMBER(System!$C32),PlotData!C32+ Momente!$E$2*$AF$1*C31,PlotData!$CB$3)</f>
        <v>0</v>
      </c>
      <c r="AD31" s="721">
        <f>IF(ISNUMBER(System!$C32),PlotData!D32+ Momente!$E$2*$AF$1*D31,PlotData!$CB$3)</f>
        <v>0</v>
      </c>
      <c r="AE31" s="721">
        <f>IF(ISNUMBER(System!$C32),PlotData!E32+Momente!$E$2* $AF$1*E31,PlotData!$CB$3)</f>
        <v>0</v>
      </c>
      <c r="AF31" s="721">
        <f>IF(ISNUMBER(System!$C32),PlotData!F32+Momente!$E$2* $AF$1*F31,PlotData!$CB$3)</f>
        <v>0</v>
      </c>
      <c r="AG31" s="721">
        <f>IF(ISNUMBER(System!$C32),PlotData!G32+ Momente!$E$2*$AF$1*G31,PlotData!$CB$3)</f>
        <v>0</v>
      </c>
      <c r="AH31" s="721">
        <f>IF(ISNUMBER(System!$C32),PlotData!H32+ Momente!$E$2*$AF$1*H31,PlotData!$CB$3)</f>
        <v>0</v>
      </c>
      <c r="AI31" s="721">
        <f>IF(ISNUMBER(System!$C32),PlotData!I32+ Momente!$E$2*$AF$1*I31,PlotData!$CB$3)</f>
        <v>0</v>
      </c>
      <c r="AJ31" s="721">
        <f>IF(ISNUMBER(System!$C32),PlotData!J32+ Momente!$E$2*$AF$1*J31,PlotData!$CB$3)</f>
        <v>0</v>
      </c>
      <c r="AK31" s="721">
        <f>IF(ISNUMBER(System!$C32),PlotData!K32+ Momente!$E$2*$AF$1*K31,PlotData!$CB$3)</f>
        <v>0</v>
      </c>
      <c r="AL31" s="639">
        <f>IF(ISNUMBER(System!$C32),PlotData!L32+Momente!$E$2* $AF$1*L31,PlotData!$CB$3)</f>
        <v>0</v>
      </c>
      <c r="AM31" s="668">
        <f>IF(ISNUMBER(System!$C32),PlotData!L32,PlotData!$CB$3)</f>
        <v>0</v>
      </c>
      <c r="AN31" s="721">
        <f>IF(ISNUMBER(System!$C32),PlotData!B32,PlotData!$CB$3)</f>
        <v>0</v>
      </c>
      <c r="AO31" s="639">
        <f>IF(ISNUMBER(System!$C32),AB31,PlotData!$CB$3)</f>
        <v>0</v>
      </c>
      <c r="AQ31" s="1125">
        <v>29</v>
      </c>
      <c r="AR31" s="668">
        <f>IF(ISNUMBER(System!$C32),PlotData!O32+ Momente!$E$2*$AF$1*O31,PlotData!$CB$4)</f>
        <v>0</v>
      </c>
      <c r="AS31" s="721">
        <f>IF(ISNUMBER(System!$C32),PlotData!P32+Momente!$E$2* $AF$1*P31,PlotData!$CB$4)</f>
        <v>0</v>
      </c>
      <c r="AT31" s="721">
        <f>IF(ISNUMBER(System!$C32),PlotData!Q32+ Momente!$E$2*$AF$1*Q31,PlotData!$CB$4)</f>
        <v>0</v>
      </c>
      <c r="AU31" s="721">
        <f>IF(ISNUMBER(System!$C32),PlotData!R32+Momente!$E$2* $AF$1*R31,PlotData!$CB$4)</f>
        <v>0</v>
      </c>
      <c r="AV31" s="721">
        <f>IF(ISNUMBER(System!$C32),PlotData!S32+ Momente!$E$2*$AF$1*S31,PlotData!$CB$4)</f>
        <v>0</v>
      </c>
      <c r="AW31" s="721">
        <f>IF(ISNUMBER(System!$C32),PlotData!T32+ Momente!$E$2*$AF$1*T31,PlotData!$CB$4)</f>
        <v>0</v>
      </c>
      <c r="AX31" s="721">
        <f>IF(ISNUMBER(System!$C32),PlotData!U32+ Momente!$E$2*$AF$1*U31,PlotData!$CB$4)</f>
        <v>0</v>
      </c>
      <c r="AY31" s="721">
        <f>IF(ISNUMBER(System!$C32),PlotData!V32+ Momente!$E$2*$AF$1*V31,PlotData!$CB$4)</f>
        <v>0</v>
      </c>
      <c r="AZ31" s="721">
        <f>IF(ISNUMBER(System!$C32),PlotData!W32+ Momente!$E$2*$AF$1*W31,PlotData!$CB$4)</f>
        <v>0</v>
      </c>
      <c r="BA31" s="721">
        <f>IF(ISNUMBER(System!$C32),PlotData!X32+ Momente!$E$2*$AF$1*X31,PlotData!$CB$4)</f>
        <v>0</v>
      </c>
      <c r="BB31" s="639">
        <f>IF(ISNUMBER(System!$C32),PlotData!Y32+ Momente!$E$2*$AF$1*Y31,PlotData!$CB$4)</f>
        <v>0</v>
      </c>
      <c r="BC31" s="1146">
        <f>IF(ISNUMBER(System!$C32),PlotData!Y32, PlotData!CB$4)</f>
        <v>0</v>
      </c>
      <c r="BD31" s="721">
        <f>IF(ISNUMBER(System!$C32),PlotData!O32, PlotData!$CB$4)</f>
        <v>0</v>
      </c>
      <c r="BE31" s="639">
        <f>IF(ISNUMBER(System!$C32), AR31,PlotData!$CB$4)</f>
        <v>0</v>
      </c>
    </row>
    <row r="32" spans="1:57" x14ac:dyDescent="0.25">
      <c r="A32" s="1124">
        <v>30</v>
      </c>
      <c r="B32" s="668"/>
      <c r="C32" s="721"/>
      <c r="D32" s="721"/>
      <c r="E32" s="721"/>
      <c r="F32" s="721"/>
      <c r="G32" s="721"/>
      <c r="H32" s="721"/>
      <c r="I32" s="721"/>
      <c r="J32" s="721"/>
      <c r="K32" s="721"/>
      <c r="L32" s="639"/>
      <c r="N32" s="1124">
        <v>30</v>
      </c>
      <c r="O32" s="668"/>
      <c r="P32" s="721"/>
      <c r="Q32" s="721"/>
      <c r="R32" s="721"/>
      <c r="S32" s="721"/>
      <c r="T32" s="721"/>
      <c r="U32" s="721"/>
      <c r="V32" s="721"/>
      <c r="W32" s="721"/>
      <c r="X32" s="721"/>
      <c r="Y32" s="639"/>
      <c r="AA32" s="1125">
        <v>30</v>
      </c>
      <c r="AB32" s="668">
        <f>IF(ISNUMBER(System!$C33),PlotData!B33+Momente!$E$2* $AF$1*B32,PlotData!$CB$3)</f>
        <v>0</v>
      </c>
      <c r="AC32" s="721">
        <f>IF(ISNUMBER(System!$C33),PlotData!C33+ Momente!$E$2*$AF$1*C32,PlotData!$CB$3)</f>
        <v>0</v>
      </c>
      <c r="AD32" s="721">
        <f>IF(ISNUMBER(System!$C33),PlotData!D33+ Momente!$E$2*$AF$1*D32,PlotData!$CB$3)</f>
        <v>0</v>
      </c>
      <c r="AE32" s="721">
        <f>IF(ISNUMBER(System!$C33),PlotData!E33+Momente!$E$2* $AF$1*E32,PlotData!$CB$3)</f>
        <v>0</v>
      </c>
      <c r="AF32" s="721">
        <f>IF(ISNUMBER(System!$C33),PlotData!F33+Momente!$E$2* $AF$1*F32,PlotData!$CB$3)</f>
        <v>0</v>
      </c>
      <c r="AG32" s="721">
        <f>IF(ISNUMBER(System!$C33),PlotData!G33+ Momente!$E$2*$AF$1*G32,PlotData!$CB$3)</f>
        <v>0</v>
      </c>
      <c r="AH32" s="721">
        <f>IF(ISNUMBER(System!$C33),PlotData!H33+ Momente!$E$2*$AF$1*H32,PlotData!$CB$3)</f>
        <v>0</v>
      </c>
      <c r="AI32" s="721">
        <f>IF(ISNUMBER(System!$C33),PlotData!I33+ Momente!$E$2*$AF$1*I32,PlotData!$CB$3)</f>
        <v>0</v>
      </c>
      <c r="AJ32" s="721">
        <f>IF(ISNUMBER(System!$C33),PlotData!J33+ Momente!$E$2*$AF$1*J32,PlotData!$CB$3)</f>
        <v>0</v>
      </c>
      <c r="AK32" s="721">
        <f>IF(ISNUMBER(System!$C33),PlotData!K33+ Momente!$E$2*$AF$1*K32,PlotData!$CB$3)</f>
        <v>0</v>
      </c>
      <c r="AL32" s="639">
        <f>IF(ISNUMBER(System!$C33),PlotData!L33+Momente!$E$2* $AF$1*L32,PlotData!$CB$3)</f>
        <v>0</v>
      </c>
      <c r="AM32" s="668">
        <f>IF(ISNUMBER(System!$C33),PlotData!L33,PlotData!$CB$3)</f>
        <v>0</v>
      </c>
      <c r="AN32" s="721">
        <f>IF(ISNUMBER(System!$C33),PlotData!B33,PlotData!$CB$3)</f>
        <v>0</v>
      </c>
      <c r="AO32" s="639">
        <f>IF(ISNUMBER(System!$C33),AB32,PlotData!$CB$3)</f>
        <v>0</v>
      </c>
      <c r="AQ32" s="1125">
        <v>30</v>
      </c>
      <c r="AR32" s="668">
        <f>IF(ISNUMBER(System!$C33),PlotData!O33+ Momente!$E$2*$AF$1*O32,PlotData!$CB$4)</f>
        <v>0</v>
      </c>
      <c r="AS32" s="721">
        <f>IF(ISNUMBER(System!$C33),PlotData!P33+Momente!$E$2* $AF$1*P32,PlotData!$CB$4)</f>
        <v>0</v>
      </c>
      <c r="AT32" s="721">
        <f>IF(ISNUMBER(System!$C33),PlotData!Q33+ Momente!$E$2*$AF$1*Q32,PlotData!$CB$4)</f>
        <v>0</v>
      </c>
      <c r="AU32" s="721">
        <f>IF(ISNUMBER(System!$C33),PlotData!R33+Momente!$E$2* $AF$1*R32,PlotData!$CB$4)</f>
        <v>0</v>
      </c>
      <c r="AV32" s="721">
        <f>IF(ISNUMBER(System!$C33),PlotData!S33+ Momente!$E$2*$AF$1*S32,PlotData!$CB$4)</f>
        <v>0</v>
      </c>
      <c r="AW32" s="721">
        <f>IF(ISNUMBER(System!$C33),PlotData!T33+ Momente!$E$2*$AF$1*T32,PlotData!$CB$4)</f>
        <v>0</v>
      </c>
      <c r="AX32" s="721">
        <f>IF(ISNUMBER(System!$C33),PlotData!U33+ Momente!$E$2*$AF$1*U32,PlotData!$CB$4)</f>
        <v>0</v>
      </c>
      <c r="AY32" s="721">
        <f>IF(ISNUMBER(System!$C33),PlotData!V33+ Momente!$E$2*$AF$1*V32,PlotData!$CB$4)</f>
        <v>0</v>
      </c>
      <c r="AZ32" s="721">
        <f>IF(ISNUMBER(System!$C33),PlotData!W33+ Momente!$E$2*$AF$1*W32,PlotData!$CB$4)</f>
        <v>0</v>
      </c>
      <c r="BA32" s="721">
        <f>IF(ISNUMBER(System!$C33),PlotData!X33+ Momente!$E$2*$AF$1*X32,PlotData!$CB$4)</f>
        <v>0</v>
      </c>
      <c r="BB32" s="639">
        <f>IF(ISNUMBER(System!$C33),PlotData!Y33+ Momente!$E$2*$AF$1*Y32,PlotData!$CB$4)</f>
        <v>0</v>
      </c>
      <c r="BC32" s="1146">
        <f>IF(ISNUMBER(System!$C33),PlotData!Y33, PlotData!CB$4)</f>
        <v>0</v>
      </c>
      <c r="BD32" s="721">
        <f>IF(ISNUMBER(System!$C33),PlotData!O33, PlotData!$CB$4)</f>
        <v>0</v>
      </c>
      <c r="BE32" s="639">
        <f>IF(ISNUMBER(System!$C33), AR32,PlotData!$CB$4)</f>
        <v>0</v>
      </c>
    </row>
    <row r="33" spans="1:57" x14ac:dyDescent="0.25">
      <c r="A33" s="1124">
        <v>31</v>
      </c>
      <c r="B33" s="668"/>
      <c r="C33" s="721"/>
      <c r="D33" s="721"/>
      <c r="E33" s="721"/>
      <c r="F33" s="721"/>
      <c r="G33" s="721"/>
      <c r="H33" s="721"/>
      <c r="I33" s="721"/>
      <c r="J33" s="721"/>
      <c r="K33" s="721"/>
      <c r="L33" s="639"/>
      <c r="N33" s="1124">
        <v>31</v>
      </c>
      <c r="O33" s="668"/>
      <c r="P33" s="721"/>
      <c r="Q33" s="721"/>
      <c r="R33" s="721"/>
      <c r="S33" s="721"/>
      <c r="T33" s="721"/>
      <c r="U33" s="721"/>
      <c r="V33" s="721"/>
      <c r="W33" s="721"/>
      <c r="X33" s="721"/>
      <c r="Y33" s="639"/>
      <c r="AA33" s="1125">
        <v>31</v>
      </c>
      <c r="AB33" s="668">
        <f>IF(ISNUMBER(System!$C34),PlotData!B34+Momente!$E$2* $AF$1*B33,PlotData!$CB$3)</f>
        <v>0</v>
      </c>
      <c r="AC33" s="721">
        <f>IF(ISNUMBER(System!$C34),PlotData!C34+ Momente!$E$2*$AF$1*C33,PlotData!$CB$3)</f>
        <v>0</v>
      </c>
      <c r="AD33" s="721">
        <f>IF(ISNUMBER(System!$C34),PlotData!D34+ Momente!$E$2*$AF$1*D33,PlotData!$CB$3)</f>
        <v>0</v>
      </c>
      <c r="AE33" s="721">
        <f>IF(ISNUMBER(System!$C34),PlotData!E34+Momente!$E$2* $AF$1*E33,PlotData!$CB$3)</f>
        <v>0</v>
      </c>
      <c r="AF33" s="721">
        <f>IF(ISNUMBER(System!$C34),PlotData!F34+Momente!$E$2* $AF$1*F33,PlotData!$CB$3)</f>
        <v>0</v>
      </c>
      <c r="AG33" s="721">
        <f>IF(ISNUMBER(System!$C34),PlotData!G34+ Momente!$E$2*$AF$1*G33,PlotData!$CB$3)</f>
        <v>0</v>
      </c>
      <c r="AH33" s="721">
        <f>IF(ISNUMBER(System!$C34),PlotData!H34+ Momente!$E$2*$AF$1*H33,PlotData!$CB$3)</f>
        <v>0</v>
      </c>
      <c r="AI33" s="721">
        <f>IF(ISNUMBER(System!$C34),PlotData!I34+ Momente!$E$2*$AF$1*I33,PlotData!$CB$3)</f>
        <v>0</v>
      </c>
      <c r="AJ33" s="721">
        <f>IF(ISNUMBER(System!$C34),PlotData!J34+ Momente!$E$2*$AF$1*J33,PlotData!$CB$3)</f>
        <v>0</v>
      </c>
      <c r="AK33" s="721">
        <f>IF(ISNUMBER(System!$C34),PlotData!K34+ Momente!$E$2*$AF$1*K33,PlotData!$CB$3)</f>
        <v>0</v>
      </c>
      <c r="AL33" s="639">
        <f>IF(ISNUMBER(System!$C34),PlotData!L34+Momente!$E$2* $AF$1*L33,PlotData!$CB$3)</f>
        <v>0</v>
      </c>
      <c r="AM33" s="668">
        <f>IF(ISNUMBER(System!$C34),PlotData!L34,PlotData!$CB$3)</f>
        <v>0</v>
      </c>
      <c r="AN33" s="721">
        <f>IF(ISNUMBER(System!$C34),PlotData!B34,PlotData!$CB$3)</f>
        <v>0</v>
      </c>
      <c r="AO33" s="639">
        <f>IF(ISNUMBER(System!$C34),AB33,PlotData!$CB$3)</f>
        <v>0</v>
      </c>
      <c r="AQ33" s="1125">
        <v>31</v>
      </c>
      <c r="AR33" s="668">
        <f>IF(ISNUMBER(System!$C34),PlotData!O34+ Momente!$E$2*$AF$1*O33,PlotData!$CB$4)</f>
        <v>0</v>
      </c>
      <c r="AS33" s="721">
        <f>IF(ISNUMBER(System!$C34),PlotData!P34+Momente!$E$2* $AF$1*P33,PlotData!$CB$4)</f>
        <v>0</v>
      </c>
      <c r="AT33" s="721">
        <f>IF(ISNUMBER(System!$C34),PlotData!Q34+ Momente!$E$2*$AF$1*Q33,PlotData!$CB$4)</f>
        <v>0</v>
      </c>
      <c r="AU33" s="721">
        <f>IF(ISNUMBER(System!$C34),PlotData!R34+Momente!$E$2* $AF$1*R33,PlotData!$CB$4)</f>
        <v>0</v>
      </c>
      <c r="AV33" s="721">
        <f>IF(ISNUMBER(System!$C34),PlotData!S34+ Momente!$E$2*$AF$1*S33,PlotData!$CB$4)</f>
        <v>0</v>
      </c>
      <c r="AW33" s="721">
        <f>IF(ISNUMBER(System!$C34),PlotData!T34+ Momente!$E$2*$AF$1*T33,PlotData!$CB$4)</f>
        <v>0</v>
      </c>
      <c r="AX33" s="721">
        <f>IF(ISNUMBER(System!$C34),PlotData!U34+ Momente!$E$2*$AF$1*U33,PlotData!$CB$4)</f>
        <v>0</v>
      </c>
      <c r="AY33" s="721">
        <f>IF(ISNUMBER(System!$C34),PlotData!V34+ Momente!$E$2*$AF$1*V33,PlotData!$CB$4)</f>
        <v>0</v>
      </c>
      <c r="AZ33" s="721">
        <f>IF(ISNUMBER(System!$C34),PlotData!W34+ Momente!$E$2*$AF$1*W33,PlotData!$CB$4)</f>
        <v>0</v>
      </c>
      <c r="BA33" s="721">
        <f>IF(ISNUMBER(System!$C34),PlotData!X34+ Momente!$E$2*$AF$1*X33,PlotData!$CB$4)</f>
        <v>0</v>
      </c>
      <c r="BB33" s="639">
        <f>IF(ISNUMBER(System!$C34),PlotData!Y34+ Momente!$E$2*$AF$1*Y33,PlotData!$CB$4)</f>
        <v>0</v>
      </c>
      <c r="BC33" s="1146">
        <f>IF(ISNUMBER(System!$C34),PlotData!Y34, PlotData!CB$4)</f>
        <v>0</v>
      </c>
      <c r="BD33" s="721">
        <f>IF(ISNUMBER(System!$C34),PlotData!O34, PlotData!$CB$4)</f>
        <v>0</v>
      </c>
      <c r="BE33" s="639">
        <f>IF(ISNUMBER(System!$C34), AR33,PlotData!$CB$4)</f>
        <v>0</v>
      </c>
    </row>
    <row r="34" spans="1:57" x14ac:dyDescent="0.25">
      <c r="A34" s="1124">
        <v>32</v>
      </c>
      <c r="B34" s="668"/>
      <c r="C34" s="721"/>
      <c r="D34" s="721"/>
      <c r="E34" s="721"/>
      <c r="F34" s="721"/>
      <c r="G34" s="721"/>
      <c r="H34" s="721"/>
      <c r="I34" s="721"/>
      <c r="J34" s="721"/>
      <c r="K34" s="721"/>
      <c r="L34" s="639"/>
      <c r="N34" s="1124">
        <v>32</v>
      </c>
      <c r="O34" s="668"/>
      <c r="P34" s="721"/>
      <c r="Q34" s="721"/>
      <c r="R34" s="721"/>
      <c r="S34" s="721"/>
      <c r="T34" s="721"/>
      <c r="U34" s="721"/>
      <c r="V34" s="721"/>
      <c r="W34" s="721"/>
      <c r="X34" s="721"/>
      <c r="Y34" s="639"/>
      <c r="AA34" s="1125">
        <v>32</v>
      </c>
      <c r="AB34" s="668">
        <f>IF(ISNUMBER(System!$C35),PlotData!B35+Momente!$E$2* $AF$1*B34,PlotData!$CB$3)</f>
        <v>0</v>
      </c>
      <c r="AC34" s="721">
        <f>IF(ISNUMBER(System!$C35),PlotData!C35+ Momente!$E$2*$AF$1*C34,PlotData!$CB$3)</f>
        <v>0</v>
      </c>
      <c r="AD34" s="721">
        <f>IF(ISNUMBER(System!$C35),PlotData!D35+ Momente!$E$2*$AF$1*D34,PlotData!$CB$3)</f>
        <v>0</v>
      </c>
      <c r="AE34" s="721">
        <f>IF(ISNUMBER(System!$C35),PlotData!E35+Momente!$E$2* $AF$1*E34,PlotData!$CB$3)</f>
        <v>0</v>
      </c>
      <c r="AF34" s="721">
        <f>IF(ISNUMBER(System!$C35),PlotData!F35+Momente!$E$2* $AF$1*F34,PlotData!$CB$3)</f>
        <v>0</v>
      </c>
      <c r="AG34" s="721">
        <f>IF(ISNUMBER(System!$C35),PlotData!G35+ Momente!$E$2*$AF$1*G34,PlotData!$CB$3)</f>
        <v>0</v>
      </c>
      <c r="AH34" s="721">
        <f>IF(ISNUMBER(System!$C35),PlotData!H35+ Momente!$E$2*$AF$1*H34,PlotData!$CB$3)</f>
        <v>0</v>
      </c>
      <c r="AI34" s="721">
        <f>IF(ISNUMBER(System!$C35),PlotData!I35+ Momente!$E$2*$AF$1*I34,PlotData!$CB$3)</f>
        <v>0</v>
      </c>
      <c r="AJ34" s="721">
        <f>IF(ISNUMBER(System!$C35),PlotData!J35+ Momente!$E$2*$AF$1*J34,PlotData!$CB$3)</f>
        <v>0</v>
      </c>
      <c r="AK34" s="721">
        <f>IF(ISNUMBER(System!$C35),PlotData!K35+ Momente!$E$2*$AF$1*K34,PlotData!$CB$3)</f>
        <v>0</v>
      </c>
      <c r="AL34" s="639">
        <f>IF(ISNUMBER(System!$C35),PlotData!L35+Momente!$E$2* $AF$1*L34,PlotData!$CB$3)</f>
        <v>0</v>
      </c>
      <c r="AM34" s="668">
        <f>IF(ISNUMBER(System!$C35),PlotData!L35,PlotData!$CB$3)</f>
        <v>0</v>
      </c>
      <c r="AN34" s="721">
        <f>IF(ISNUMBER(System!$C35),PlotData!B35,PlotData!$CB$3)</f>
        <v>0</v>
      </c>
      <c r="AO34" s="639">
        <f>IF(ISNUMBER(System!$C35),AB34,PlotData!$CB$3)</f>
        <v>0</v>
      </c>
      <c r="AQ34" s="1125">
        <v>32</v>
      </c>
      <c r="AR34" s="668">
        <f>IF(ISNUMBER(System!$C35),PlotData!O35+ Momente!$E$2*$AF$1*O34,PlotData!$CB$4)</f>
        <v>0</v>
      </c>
      <c r="AS34" s="721">
        <f>IF(ISNUMBER(System!$C35),PlotData!P35+Momente!$E$2* $AF$1*P34,PlotData!$CB$4)</f>
        <v>0</v>
      </c>
      <c r="AT34" s="721">
        <f>IF(ISNUMBER(System!$C35),PlotData!Q35+ Momente!$E$2*$AF$1*Q34,PlotData!$CB$4)</f>
        <v>0</v>
      </c>
      <c r="AU34" s="721">
        <f>IF(ISNUMBER(System!$C35),PlotData!R35+Momente!$E$2* $AF$1*R34,PlotData!$CB$4)</f>
        <v>0</v>
      </c>
      <c r="AV34" s="721">
        <f>IF(ISNUMBER(System!$C35),PlotData!S35+ Momente!$E$2*$AF$1*S34,PlotData!$CB$4)</f>
        <v>0</v>
      </c>
      <c r="AW34" s="721">
        <f>IF(ISNUMBER(System!$C35),PlotData!T35+ Momente!$E$2*$AF$1*T34,PlotData!$CB$4)</f>
        <v>0</v>
      </c>
      <c r="AX34" s="721">
        <f>IF(ISNUMBER(System!$C35),PlotData!U35+ Momente!$E$2*$AF$1*U34,PlotData!$CB$4)</f>
        <v>0</v>
      </c>
      <c r="AY34" s="721">
        <f>IF(ISNUMBER(System!$C35),PlotData!V35+ Momente!$E$2*$AF$1*V34,PlotData!$CB$4)</f>
        <v>0</v>
      </c>
      <c r="AZ34" s="721">
        <f>IF(ISNUMBER(System!$C35),PlotData!W35+ Momente!$E$2*$AF$1*W34,PlotData!$CB$4)</f>
        <v>0</v>
      </c>
      <c r="BA34" s="721">
        <f>IF(ISNUMBER(System!$C35),PlotData!X35+ Momente!$E$2*$AF$1*X34,PlotData!$CB$4)</f>
        <v>0</v>
      </c>
      <c r="BB34" s="639">
        <f>IF(ISNUMBER(System!$C35),PlotData!Y35+ Momente!$E$2*$AF$1*Y34,PlotData!$CB$4)</f>
        <v>0</v>
      </c>
      <c r="BC34" s="1146">
        <f>IF(ISNUMBER(System!$C35),PlotData!Y35, PlotData!CB$4)</f>
        <v>0</v>
      </c>
      <c r="BD34" s="721">
        <f>IF(ISNUMBER(System!$C35),PlotData!O35, PlotData!$CB$4)</f>
        <v>0</v>
      </c>
      <c r="BE34" s="639">
        <f>IF(ISNUMBER(System!$C35), AR34,PlotData!$CB$4)</f>
        <v>0</v>
      </c>
    </row>
    <row r="35" spans="1:57" x14ac:dyDescent="0.25">
      <c r="A35" s="1124">
        <v>33</v>
      </c>
      <c r="B35" s="668"/>
      <c r="C35" s="721"/>
      <c r="D35" s="721"/>
      <c r="E35" s="721"/>
      <c r="F35" s="721"/>
      <c r="G35" s="721"/>
      <c r="H35" s="721"/>
      <c r="I35" s="721"/>
      <c r="J35" s="721"/>
      <c r="K35" s="721"/>
      <c r="L35" s="639"/>
      <c r="N35" s="1124">
        <v>33</v>
      </c>
      <c r="O35" s="668"/>
      <c r="P35" s="721"/>
      <c r="Q35" s="721"/>
      <c r="R35" s="721"/>
      <c r="S35" s="721"/>
      <c r="T35" s="721"/>
      <c r="U35" s="721"/>
      <c r="V35" s="721"/>
      <c r="W35" s="721"/>
      <c r="X35" s="721"/>
      <c r="Y35" s="639"/>
      <c r="AA35" s="1125">
        <v>33</v>
      </c>
      <c r="AB35" s="668">
        <f>IF(ISNUMBER(System!$C36),PlotData!B36+Momente!$E$2* $AF$1*B35,PlotData!$CB$3)</f>
        <v>0</v>
      </c>
      <c r="AC35" s="721">
        <f>IF(ISNUMBER(System!$C36),PlotData!C36+ Momente!$E$2*$AF$1*C35,PlotData!$CB$3)</f>
        <v>0</v>
      </c>
      <c r="AD35" s="721">
        <f>IF(ISNUMBER(System!$C36),PlotData!D36+ Momente!$E$2*$AF$1*D35,PlotData!$CB$3)</f>
        <v>0</v>
      </c>
      <c r="AE35" s="721">
        <f>IF(ISNUMBER(System!$C36),PlotData!E36+Momente!$E$2* $AF$1*E35,PlotData!$CB$3)</f>
        <v>0</v>
      </c>
      <c r="AF35" s="721">
        <f>IF(ISNUMBER(System!$C36),PlotData!F36+Momente!$E$2* $AF$1*F35,PlotData!$CB$3)</f>
        <v>0</v>
      </c>
      <c r="AG35" s="721">
        <f>IF(ISNUMBER(System!$C36),PlotData!G36+ Momente!$E$2*$AF$1*G35,PlotData!$CB$3)</f>
        <v>0</v>
      </c>
      <c r="AH35" s="721">
        <f>IF(ISNUMBER(System!$C36),PlotData!H36+ Momente!$E$2*$AF$1*H35,PlotData!$CB$3)</f>
        <v>0</v>
      </c>
      <c r="AI35" s="721">
        <f>IF(ISNUMBER(System!$C36),PlotData!I36+ Momente!$E$2*$AF$1*I35,PlotData!$CB$3)</f>
        <v>0</v>
      </c>
      <c r="AJ35" s="721">
        <f>IF(ISNUMBER(System!$C36),PlotData!J36+ Momente!$E$2*$AF$1*J35,PlotData!$CB$3)</f>
        <v>0</v>
      </c>
      <c r="AK35" s="721">
        <f>IF(ISNUMBER(System!$C36),PlotData!K36+ Momente!$E$2*$AF$1*K35,PlotData!$CB$3)</f>
        <v>0</v>
      </c>
      <c r="AL35" s="639">
        <f>IF(ISNUMBER(System!$C36),PlotData!L36+Momente!$E$2* $AF$1*L35,PlotData!$CB$3)</f>
        <v>0</v>
      </c>
      <c r="AM35" s="668">
        <f>IF(ISNUMBER(System!$C36),PlotData!L36,PlotData!$CB$3)</f>
        <v>0</v>
      </c>
      <c r="AN35" s="721">
        <f>IF(ISNUMBER(System!$C36),PlotData!B36,PlotData!$CB$3)</f>
        <v>0</v>
      </c>
      <c r="AO35" s="639">
        <f>IF(ISNUMBER(System!$C36),AB35,PlotData!$CB$3)</f>
        <v>0</v>
      </c>
      <c r="AQ35" s="1125">
        <v>33</v>
      </c>
      <c r="AR35" s="668">
        <f>IF(ISNUMBER(System!$C36),PlotData!O36+ Momente!$E$2*$AF$1*O35,PlotData!$CB$4)</f>
        <v>0</v>
      </c>
      <c r="AS35" s="721">
        <f>IF(ISNUMBER(System!$C36),PlotData!P36+Momente!$E$2* $AF$1*P35,PlotData!$CB$4)</f>
        <v>0</v>
      </c>
      <c r="AT35" s="721">
        <f>IF(ISNUMBER(System!$C36),PlotData!Q36+ Momente!$E$2*$AF$1*Q35,PlotData!$CB$4)</f>
        <v>0</v>
      </c>
      <c r="AU35" s="721">
        <f>IF(ISNUMBER(System!$C36),PlotData!R36+Momente!$E$2* $AF$1*R35,PlotData!$CB$4)</f>
        <v>0</v>
      </c>
      <c r="AV35" s="721">
        <f>IF(ISNUMBER(System!$C36),PlotData!S36+ Momente!$E$2*$AF$1*S35,PlotData!$CB$4)</f>
        <v>0</v>
      </c>
      <c r="AW35" s="721">
        <f>IF(ISNUMBER(System!$C36),PlotData!T36+ Momente!$E$2*$AF$1*T35,PlotData!$CB$4)</f>
        <v>0</v>
      </c>
      <c r="AX35" s="721">
        <f>IF(ISNUMBER(System!$C36),PlotData!U36+ Momente!$E$2*$AF$1*U35,PlotData!$CB$4)</f>
        <v>0</v>
      </c>
      <c r="AY35" s="721">
        <f>IF(ISNUMBER(System!$C36),PlotData!V36+ Momente!$E$2*$AF$1*V35,PlotData!$CB$4)</f>
        <v>0</v>
      </c>
      <c r="AZ35" s="721">
        <f>IF(ISNUMBER(System!$C36),PlotData!W36+ Momente!$E$2*$AF$1*W35,PlotData!$CB$4)</f>
        <v>0</v>
      </c>
      <c r="BA35" s="721">
        <f>IF(ISNUMBER(System!$C36),PlotData!X36+ Momente!$E$2*$AF$1*X35,PlotData!$CB$4)</f>
        <v>0</v>
      </c>
      <c r="BB35" s="639">
        <f>IF(ISNUMBER(System!$C36),PlotData!Y36+ Momente!$E$2*$AF$1*Y35,PlotData!$CB$4)</f>
        <v>0</v>
      </c>
      <c r="BC35" s="1146">
        <f>IF(ISNUMBER(System!$C36),PlotData!Y36, PlotData!CB$4)</f>
        <v>0</v>
      </c>
      <c r="BD35" s="721">
        <f>IF(ISNUMBER(System!$C36),PlotData!O36, PlotData!$CB$4)</f>
        <v>0</v>
      </c>
      <c r="BE35" s="639">
        <f>IF(ISNUMBER(System!$C36), AR35,PlotData!$CB$4)</f>
        <v>0</v>
      </c>
    </row>
    <row r="36" spans="1:57" x14ac:dyDescent="0.25">
      <c r="A36" s="1124">
        <v>34</v>
      </c>
      <c r="B36" s="668"/>
      <c r="C36" s="721"/>
      <c r="D36" s="721"/>
      <c r="E36" s="721"/>
      <c r="F36" s="721"/>
      <c r="G36" s="721"/>
      <c r="H36" s="721"/>
      <c r="I36" s="721"/>
      <c r="J36" s="721"/>
      <c r="K36" s="721"/>
      <c r="L36" s="639"/>
      <c r="N36" s="1124">
        <v>34</v>
      </c>
      <c r="O36" s="668"/>
      <c r="P36" s="721"/>
      <c r="Q36" s="721"/>
      <c r="R36" s="721"/>
      <c r="S36" s="721"/>
      <c r="T36" s="721"/>
      <c r="U36" s="721"/>
      <c r="V36" s="721"/>
      <c r="W36" s="721"/>
      <c r="X36" s="721"/>
      <c r="Y36" s="639"/>
      <c r="AA36" s="1125">
        <v>34</v>
      </c>
      <c r="AB36" s="668">
        <f>IF(ISNUMBER(System!$C37),PlotData!B37+Momente!$E$2* $AF$1*B36,PlotData!$CB$3)</f>
        <v>0</v>
      </c>
      <c r="AC36" s="721">
        <f>IF(ISNUMBER(System!$C37),PlotData!C37+ Momente!$E$2*$AF$1*C36,PlotData!$CB$3)</f>
        <v>0</v>
      </c>
      <c r="AD36" s="721">
        <f>IF(ISNUMBER(System!$C37),PlotData!D37+ Momente!$E$2*$AF$1*D36,PlotData!$CB$3)</f>
        <v>0</v>
      </c>
      <c r="AE36" s="721">
        <f>IF(ISNUMBER(System!$C37),PlotData!E37+Momente!$E$2* $AF$1*E36,PlotData!$CB$3)</f>
        <v>0</v>
      </c>
      <c r="AF36" s="721">
        <f>IF(ISNUMBER(System!$C37),PlotData!F37+Momente!$E$2* $AF$1*F36,PlotData!$CB$3)</f>
        <v>0</v>
      </c>
      <c r="AG36" s="721">
        <f>IF(ISNUMBER(System!$C37),PlotData!G37+ Momente!$E$2*$AF$1*G36,PlotData!$CB$3)</f>
        <v>0</v>
      </c>
      <c r="AH36" s="721">
        <f>IF(ISNUMBER(System!$C37),PlotData!H37+ Momente!$E$2*$AF$1*H36,PlotData!$CB$3)</f>
        <v>0</v>
      </c>
      <c r="AI36" s="721">
        <f>IF(ISNUMBER(System!$C37),PlotData!I37+ Momente!$E$2*$AF$1*I36,PlotData!$CB$3)</f>
        <v>0</v>
      </c>
      <c r="AJ36" s="721">
        <f>IF(ISNUMBER(System!$C37),PlotData!J37+ Momente!$E$2*$AF$1*J36,PlotData!$CB$3)</f>
        <v>0</v>
      </c>
      <c r="AK36" s="721">
        <f>IF(ISNUMBER(System!$C37),PlotData!K37+ Momente!$E$2*$AF$1*K36,PlotData!$CB$3)</f>
        <v>0</v>
      </c>
      <c r="AL36" s="639">
        <f>IF(ISNUMBER(System!$C37),PlotData!L37+Momente!$E$2* $AF$1*L36,PlotData!$CB$3)</f>
        <v>0</v>
      </c>
      <c r="AM36" s="668">
        <f>IF(ISNUMBER(System!$C37),PlotData!L37,PlotData!$CB$3)</f>
        <v>0</v>
      </c>
      <c r="AN36" s="721">
        <f>IF(ISNUMBER(System!$C37),PlotData!B37,PlotData!$CB$3)</f>
        <v>0</v>
      </c>
      <c r="AO36" s="639">
        <f>IF(ISNUMBER(System!$C37),AB36,PlotData!$CB$3)</f>
        <v>0</v>
      </c>
      <c r="AQ36" s="1125">
        <v>34</v>
      </c>
      <c r="AR36" s="668">
        <f>IF(ISNUMBER(System!$C37),PlotData!O37+ Momente!$E$2*$AF$1*O36,PlotData!$CB$4)</f>
        <v>0</v>
      </c>
      <c r="AS36" s="721">
        <f>IF(ISNUMBER(System!$C37),PlotData!P37+Momente!$E$2* $AF$1*P36,PlotData!$CB$4)</f>
        <v>0</v>
      </c>
      <c r="AT36" s="721">
        <f>IF(ISNUMBER(System!$C37),PlotData!Q37+ Momente!$E$2*$AF$1*Q36,PlotData!$CB$4)</f>
        <v>0</v>
      </c>
      <c r="AU36" s="721">
        <f>IF(ISNUMBER(System!$C37),PlotData!R37+Momente!$E$2* $AF$1*R36,PlotData!$CB$4)</f>
        <v>0</v>
      </c>
      <c r="AV36" s="721">
        <f>IF(ISNUMBER(System!$C37),PlotData!S37+ Momente!$E$2*$AF$1*S36,PlotData!$CB$4)</f>
        <v>0</v>
      </c>
      <c r="AW36" s="721">
        <f>IF(ISNUMBER(System!$C37),PlotData!T37+ Momente!$E$2*$AF$1*T36,PlotData!$CB$4)</f>
        <v>0</v>
      </c>
      <c r="AX36" s="721">
        <f>IF(ISNUMBER(System!$C37),PlotData!U37+ Momente!$E$2*$AF$1*U36,PlotData!$CB$4)</f>
        <v>0</v>
      </c>
      <c r="AY36" s="721">
        <f>IF(ISNUMBER(System!$C37),PlotData!V37+ Momente!$E$2*$AF$1*V36,PlotData!$CB$4)</f>
        <v>0</v>
      </c>
      <c r="AZ36" s="721">
        <f>IF(ISNUMBER(System!$C37),PlotData!W37+ Momente!$E$2*$AF$1*W36,PlotData!$CB$4)</f>
        <v>0</v>
      </c>
      <c r="BA36" s="721">
        <f>IF(ISNUMBER(System!$C37),PlotData!X37+ Momente!$E$2*$AF$1*X36,PlotData!$CB$4)</f>
        <v>0</v>
      </c>
      <c r="BB36" s="639">
        <f>IF(ISNUMBER(System!$C37),PlotData!Y37+ Momente!$E$2*$AF$1*Y36,PlotData!$CB$4)</f>
        <v>0</v>
      </c>
      <c r="BC36" s="1146">
        <f>IF(ISNUMBER(System!$C37),PlotData!Y37, PlotData!CB$4)</f>
        <v>0</v>
      </c>
      <c r="BD36" s="721">
        <f>IF(ISNUMBER(System!$C37),PlotData!O37, PlotData!$CB$4)</f>
        <v>0</v>
      </c>
      <c r="BE36" s="639">
        <f>IF(ISNUMBER(System!$C37), AR36,PlotData!$CB$4)</f>
        <v>0</v>
      </c>
    </row>
    <row r="37" spans="1:57" x14ac:dyDescent="0.25">
      <c r="A37" s="1124">
        <v>35</v>
      </c>
      <c r="B37" s="668"/>
      <c r="C37" s="721"/>
      <c r="D37" s="721"/>
      <c r="E37" s="721"/>
      <c r="F37" s="721"/>
      <c r="G37" s="721"/>
      <c r="H37" s="721"/>
      <c r="I37" s="721"/>
      <c r="J37" s="721"/>
      <c r="K37" s="721"/>
      <c r="L37" s="639"/>
      <c r="N37" s="1124">
        <v>35</v>
      </c>
      <c r="O37" s="668"/>
      <c r="P37" s="721"/>
      <c r="Q37" s="721"/>
      <c r="R37" s="721"/>
      <c r="S37" s="721"/>
      <c r="T37" s="721"/>
      <c r="U37" s="721"/>
      <c r="V37" s="721"/>
      <c r="W37" s="721"/>
      <c r="X37" s="721"/>
      <c r="Y37" s="639"/>
      <c r="AA37" s="1125">
        <v>35</v>
      </c>
      <c r="AB37" s="668">
        <f>IF(ISNUMBER(System!$C38),PlotData!B38+Momente!$E$2* $AF$1*B37,PlotData!$CB$3)</f>
        <v>0</v>
      </c>
      <c r="AC37" s="721">
        <f>IF(ISNUMBER(System!$C38),PlotData!C38+ Momente!$E$2*$AF$1*C37,PlotData!$CB$3)</f>
        <v>0</v>
      </c>
      <c r="AD37" s="721">
        <f>IF(ISNUMBER(System!$C38),PlotData!D38+ Momente!$E$2*$AF$1*D37,PlotData!$CB$3)</f>
        <v>0</v>
      </c>
      <c r="AE37" s="721">
        <f>IF(ISNUMBER(System!$C38),PlotData!E38+Momente!$E$2* $AF$1*E37,PlotData!$CB$3)</f>
        <v>0</v>
      </c>
      <c r="AF37" s="721">
        <f>IF(ISNUMBER(System!$C38),PlotData!F38+Momente!$E$2* $AF$1*F37,PlotData!$CB$3)</f>
        <v>0</v>
      </c>
      <c r="AG37" s="721">
        <f>IF(ISNUMBER(System!$C38),PlotData!G38+ Momente!$E$2*$AF$1*G37,PlotData!$CB$3)</f>
        <v>0</v>
      </c>
      <c r="AH37" s="721">
        <f>IF(ISNUMBER(System!$C38),PlotData!H38+ Momente!$E$2*$AF$1*H37,PlotData!$CB$3)</f>
        <v>0</v>
      </c>
      <c r="AI37" s="721">
        <f>IF(ISNUMBER(System!$C38),PlotData!I38+ Momente!$E$2*$AF$1*I37,PlotData!$CB$3)</f>
        <v>0</v>
      </c>
      <c r="AJ37" s="721">
        <f>IF(ISNUMBER(System!$C38),PlotData!J38+ Momente!$E$2*$AF$1*J37,PlotData!$CB$3)</f>
        <v>0</v>
      </c>
      <c r="AK37" s="721">
        <f>IF(ISNUMBER(System!$C38),PlotData!K38+ Momente!$E$2*$AF$1*K37,PlotData!$CB$3)</f>
        <v>0</v>
      </c>
      <c r="AL37" s="639">
        <f>IF(ISNUMBER(System!$C38),PlotData!L38+Momente!$E$2* $AF$1*L37,PlotData!$CB$3)</f>
        <v>0</v>
      </c>
      <c r="AM37" s="668">
        <f>IF(ISNUMBER(System!$C38),PlotData!L38,PlotData!$CB$3)</f>
        <v>0</v>
      </c>
      <c r="AN37" s="721">
        <f>IF(ISNUMBER(System!$C38),PlotData!B38,PlotData!$CB$3)</f>
        <v>0</v>
      </c>
      <c r="AO37" s="639">
        <f>IF(ISNUMBER(System!$C38),AB37,PlotData!$CB$3)</f>
        <v>0</v>
      </c>
      <c r="AQ37" s="1125">
        <v>35</v>
      </c>
      <c r="AR37" s="668">
        <f>IF(ISNUMBER(System!$C38),PlotData!O38+ Momente!$E$2*$AF$1*O37,PlotData!$CB$4)</f>
        <v>0</v>
      </c>
      <c r="AS37" s="721">
        <f>IF(ISNUMBER(System!$C38),PlotData!P38+Momente!$E$2* $AF$1*P37,PlotData!$CB$4)</f>
        <v>0</v>
      </c>
      <c r="AT37" s="721">
        <f>IF(ISNUMBER(System!$C38),PlotData!Q38+ Momente!$E$2*$AF$1*Q37,PlotData!$CB$4)</f>
        <v>0</v>
      </c>
      <c r="AU37" s="721">
        <f>IF(ISNUMBER(System!$C38),PlotData!R38+Momente!$E$2* $AF$1*R37,PlotData!$CB$4)</f>
        <v>0</v>
      </c>
      <c r="AV37" s="721">
        <f>IF(ISNUMBER(System!$C38),PlotData!S38+ Momente!$E$2*$AF$1*S37,PlotData!$CB$4)</f>
        <v>0</v>
      </c>
      <c r="AW37" s="721">
        <f>IF(ISNUMBER(System!$C38),PlotData!T38+ Momente!$E$2*$AF$1*T37,PlotData!$CB$4)</f>
        <v>0</v>
      </c>
      <c r="AX37" s="721">
        <f>IF(ISNUMBER(System!$C38),PlotData!U38+ Momente!$E$2*$AF$1*U37,PlotData!$CB$4)</f>
        <v>0</v>
      </c>
      <c r="AY37" s="721">
        <f>IF(ISNUMBER(System!$C38),PlotData!V38+ Momente!$E$2*$AF$1*V37,PlotData!$CB$4)</f>
        <v>0</v>
      </c>
      <c r="AZ37" s="721">
        <f>IF(ISNUMBER(System!$C38),PlotData!W38+ Momente!$E$2*$AF$1*W37,PlotData!$CB$4)</f>
        <v>0</v>
      </c>
      <c r="BA37" s="721">
        <f>IF(ISNUMBER(System!$C38),PlotData!X38+ Momente!$E$2*$AF$1*X37,PlotData!$CB$4)</f>
        <v>0</v>
      </c>
      <c r="BB37" s="639">
        <f>IF(ISNUMBER(System!$C38),PlotData!Y38+ Momente!$E$2*$AF$1*Y37,PlotData!$CB$4)</f>
        <v>0</v>
      </c>
      <c r="BC37" s="1146">
        <f>IF(ISNUMBER(System!$C38),PlotData!Y38, PlotData!CB$4)</f>
        <v>0</v>
      </c>
      <c r="BD37" s="721">
        <f>IF(ISNUMBER(System!$C38),PlotData!O38, PlotData!$CB$4)</f>
        <v>0</v>
      </c>
      <c r="BE37" s="639">
        <f>IF(ISNUMBER(System!$C38), AR37,PlotData!$CB$4)</f>
        <v>0</v>
      </c>
    </row>
    <row r="38" spans="1:57" x14ac:dyDescent="0.25">
      <c r="A38" s="1124">
        <v>36</v>
      </c>
      <c r="B38" s="668"/>
      <c r="C38" s="721"/>
      <c r="D38" s="721"/>
      <c r="E38" s="721"/>
      <c r="F38" s="721"/>
      <c r="G38" s="721"/>
      <c r="H38" s="721"/>
      <c r="I38" s="721"/>
      <c r="J38" s="721"/>
      <c r="K38" s="721"/>
      <c r="L38" s="639"/>
      <c r="N38" s="1124">
        <v>36</v>
      </c>
      <c r="O38" s="668"/>
      <c r="P38" s="721"/>
      <c r="Q38" s="721"/>
      <c r="R38" s="721"/>
      <c r="S38" s="721"/>
      <c r="T38" s="721"/>
      <c r="U38" s="721"/>
      <c r="V38" s="721"/>
      <c r="W38" s="721"/>
      <c r="X38" s="721"/>
      <c r="Y38" s="639"/>
      <c r="AA38" s="1125">
        <v>36</v>
      </c>
      <c r="AB38" s="668">
        <f>IF(ISNUMBER(System!$C39),PlotData!B39+Momente!$E$2* $AF$1*B38,PlotData!$CB$3)</f>
        <v>0</v>
      </c>
      <c r="AC38" s="721">
        <f>IF(ISNUMBER(System!$C39),PlotData!C39+ Momente!$E$2*$AF$1*C38,PlotData!$CB$3)</f>
        <v>0</v>
      </c>
      <c r="AD38" s="721">
        <f>IF(ISNUMBER(System!$C39),PlotData!D39+ Momente!$E$2*$AF$1*D38,PlotData!$CB$3)</f>
        <v>0</v>
      </c>
      <c r="AE38" s="721">
        <f>IF(ISNUMBER(System!$C39),PlotData!E39+Momente!$E$2* $AF$1*E38,PlotData!$CB$3)</f>
        <v>0</v>
      </c>
      <c r="AF38" s="721">
        <f>IF(ISNUMBER(System!$C39),PlotData!F39+Momente!$E$2* $AF$1*F38,PlotData!$CB$3)</f>
        <v>0</v>
      </c>
      <c r="AG38" s="721">
        <f>IF(ISNUMBER(System!$C39),PlotData!G39+ Momente!$E$2*$AF$1*G38,PlotData!$CB$3)</f>
        <v>0</v>
      </c>
      <c r="AH38" s="721">
        <f>IF(ISNUMBER(System!$C39),PlotData!H39+ Momente!$E$2*$AF$1*H38,PlotData!$CB$3)</f>
        <v>0</v>
      </c>
      <c r="AI38" s="721">
        <f>IF(ISNUMBER(System!$C39),PlotData!I39+ Momente!$E$2*$AF$1*I38,PlotData!$CB$3)</f>
        <v>0</v>
      </c>
      <c r="AJ38" s="721">
        <f>IF(ISNUMBER(System!$C39),PlotData!J39+ Momente!$E$2*$AF$1*J38,PlotData!$CB$3)</f>
        <v>0</v>
      </c>
      <c r="AK38" s="721">
        <f>IF(ISNUMBER(System!$C39),PlotData!K39+ Momente!$E$2*$AF$1*K38,PlotData!$CB$3)</f>
        <v>0</v>
      </c>
      <c r="AL38" s="639">
        <f>IF(ISNUMBER(System!$C39),PlotData!L39+Momente!$E$2* $AF$1*L38,PlotData!$CB$3)</f>
        <v>0</v>
      </c>
      <c r="AM38" s="668">
        <f>IF(ISNUMBER(System!$C39),PlotData!L39,PlotData!$CB$3)</f>
        <v>0</v>
      </c>
      <c r="AN38" s="721">
        <f>IF(ISNUMBER(System!$C39),PlotData!B39,PlotData!$CB$3)</f>
        <v>0</v>
      </c>
      <c r="AO38" s="639">
        <f>IF(ISNUMBER(System!$C39),AB38,PlotData!$CB$3)</f>
        <v>0</v>
      </c>
      <c r="AQ38" s="1125">
        <v>36</v>
      </c>
      <c r="AR38" s="668">
        <f>IF(ISNUMBER(System!$C39),PlotData!O39+ Momente!$E$2*$AF$1*O38,PlotData!$CB$4)</f>
        <v>0</v>
      </c>
      <c r="AS38" s="721">
        <f>IF(ISNUMBER(System!$C39),PlotData!P39+Momente!$E$2* $AF$1*P38,PlotData!$CB$4)</f>
        <v>0</v>
      </c>
      <c r="AT38" s="721">
        <f>IF(ISNUMBER(System!$C39),PlotData!Q39+ Momente!$E$2*$AF$1*Q38,PlotData!$CB$4)</f>
        <v>0</v>
      </c>
      <c r="AU38" s="721">
        <f>IF(ISNUMBER(System!$C39),PlotData!R39+Momente!$E$2* $AF$1*R38,PlotData!$CB$4)</f>
        <v>0</v>
      </c>
      <c r="AV38" s="721">
        <f>IF(ISNUMBER(System!$C39),PlotData!S39+ Momente!$E$2*$AF$1*S38,PlotData!$CB$4)</f>
        <v>0</v>
      </c>
      <c r="AW38" s="721">
        <f>IF(ISNUMBER(System!$C39),PlotData!T39+ Momente!$E$2*$AF$1*T38,PlotData!$CB$4)</f>
        <v>0</v>
      </c>
      <c r="AX38" s="721">
        <f>IF(ISNUMBER(System!$C39),PlotData!U39+ Momente!$E$2*$AF$1*U38,PlotData!$CB$4)</f>
        <v>0</v>
      </c>
      <c r="AY38" s="721">
        <f>IF(ISNUMBER(System!$C39),PlotData!V39+ Momente!$E$2*$AF$1*V38,PlotData!$CB$4)</f>
        <v>0</v>
      </c>
      <c r="AZ38" s="721">
        <f>IF(ISNUMBER(System!$C39),PlotData!W39+ Momente!$E$2*$AF$1*W38,PlotData!$CB$4)</f>
        <v>0</v>
      </c>
      <c r="BA38" s="721">
        <f>IF(ISNUMBER(System!$C39),PlotData!X39+ Momente!$E$2*$AF$1*X38,PlotData!$CB$4)</f>
        <v>0</v>
      </c>
      <c r="BB38" s="639">
        <f>IF(ISNUMBER(System!$C39),PlotData!Y39+ Momente!$E$2*$AF$1*Y38,PlotData!$CB$4)</f>
        <v>0</v>
      </c>
      <c r="BC38" s="1146">
        <f>IF(ISNUMBER(System!$C39),PlotData!Y39, PlotData!CB$4)</f>
        <v>0</v>
      </c>
      <c r="BD38" s="721">
        <f>IF(ISNUMBER(System!$C39),PlotData!O39, PlotData!$CB$4)</f>
        <v>0</v>
      </c>
      <c r="BE38" s="639">
        <f>IF(ISNUMBER(System!$C39), AR38,PlotData!$CB$4)</f>
        <v>0</v>
      </c>
    </row>
    <row r="39" spans="1:57" x14ac:dyDescent="0.25">
      <c r="A39" s="1124">
        <v>37</v>
      </c>
      <c r="B39" s="668"/>
      <c r="C39" s="721"/>
      <c r="D39" s="721"/>
      <c r="E39" s="721"/>
      <c r="F39" s="721"/>
      <c r="G39" s="721"/>
      <c r="H39" s="721"/>
      <c r="I39" s="721"/>
      <c r="J39" s="721"/>
      <c r="K39" s="721"/>
      <c r="L39" s="639"/>
      <c r="N39" s="1124">
        <v>37</v>
      </c>
      <c r="O39" s="668"/>
      <c r="P39" s="721"/>
      <c r="Q39" s="721"/>
      <c r="R39" s="721"/>
      <c r="S39" s="721"/>
      <c r="T39" s="721"/>
      <c r="U39" s="721"/>
      <c r="V39" s="721"/>
      <c r="W39" s="721"/>
      <c r="X39" s="721"/>
      <c r="Y39" s="639"/>
      <c r="AA39" s="1125">
        <v>37</v>
      </c>
      <c r="AB39" s="668">
        <f>IF(ISNUMBER(System!$C40),PlotData!B40+Momente!$E$2* $AF$1*B39,PlotData!$CB$3)</f>
        <v>0</v>
      </c>
      <c r="AC39" s="721">
        <f>IF(ISNUMBER(System!$C40),PlotData!C40+ Momente!$E$2*$AF$1*C39,PlotData!$CB$3)</f>
        <v>0</v>
      </c>
      <c r="AD39" s="721">
        <f>IF(ISNUMBER(System!$C40),PlotData!D40+ Momente!$E$2*$AF$1*D39,PlotData!$CB$3)</f>
        <v>0</v>
      </c>
      <c r="AE39" s="721">
        <f>IF(ISNUMBER(System!$C40),PlotData!E40+Momente!$E$2* $AF$1*E39,PlotData!$CB$3)</f>
        <v>0</v>
      </c>
      <c r="AF39" s="721">
        <f>IF(ISNUMBER(System!$C40),PlotData!F40+Momente!$E$2* $AF$1*F39,PlotData!$CB$3)</f>
        <v>0</v>
      </c>
      <c r="AG39" s="721">
        <f>IF(ISNUMBER(System!$C40),PlotData!G40+ Momente!$E$2*$AF$1*G39,PlotData!$CB$3)</f>
        <v>0</v>
      </c>
      <c r="AH39" s="721">
        <f>IF(ISNUMBER(System!$C40),PlotData!H40+ Momente!$E$2*$AF$1*H39,PlotData!$CB$3)</f>
        <v>0</v>
      </c>
      <c r="AI39" s="721">
        <f>IF(ISNUMBER(System!$C40),PlotData!I40+ Momente!$E$2*$AF$1*I39,PlotData!$CB$3)</f>
        <v>0</v>
      </c>
      <c r="AJ39" s="721">
        <f>IF(ISNUMBER(System!$C40),PlotData!J40+ Momente!$E$2*$AF$1*J39,PlotData!$CB$3)</f>
        <v>0</v>
      </c>
      <c r="AK39" s="721">
        <f>IF(ISNUMBER(System!$C40),PlotData!K40+ Momente!$E$2*$AF$1*K39,PlotData!$CB$3)</f>
        <v>0</v>
      </c>
      <c r="AL39" s="639">
        <f>IF(ISNUMBER(System!$C40),PlotData!L40+Momente!$E$2* $AF$1*L39,PlotData!$CB$3)</f>
        <v>0</v>
      </c>
      <c r="AM39" s="668">
        <f>IF(ISNUMBER(System!$C40),PlotData!L40,PlotData!$CB$3)</f>
        <v>0</v>
      </c>
      <c r="AN39" s="721">
        <f>IF(ISNUMBER(System!$C40),PlotData!B40,PlotData!$CB$3)</f>
        <v>0</v>
      </c>
      <c r="AO39" s="639">
        <f>IF(ISNUMBER(System!$C40),AB39,PlotData!$CB$3)</f>
        <v>0</v>
      </c>
      <c r="AQ39" s="1125">
        <v>37</v>
      </c>
      <c r="AR39" s="668">
        <f>IF(ISNUMBER(System!$C40),PlotData!O40+ Momente!$E$2*$AF$1*O39,PlotData!$CB$4)</f>
        <v>0</v>
      </c>
      <c r="AS39" s="721">
        <f>IF(ISNUMBER(System!$C40),PlotData!P40+Momente!$E$2* $AF$1*P39,PlotData!$CB$4)</f>
        <v>0</v>
      </c>
      <c r="AT39" s="721">
        <f>IF(ISNUMBER(System!$C40),PlotData!Q40+ Momente!$E$2*$AF$1*Q39,PlotData!$CB$4)</f>
        <v>0</v>
      </c>
      <c r="AU39" s="721">
        <f>IF(ISNUMBER(System!$C40),PlotData!R40+Momente!$E$2* $AF$1*R39,PlotData!$CB$4)</f>
        <v>0</v>
      </c>
      <c r="AV39" s="721">
        <f>IF(ISNUMBER(System!$C40),PlotData!S40+ Momente!$E$2*$AF$1*S39,PlotData!$CB$4)</f>
        <v>0</v>
      </c>
      <c r="AW39" s="721">
        <f>IF(ISNUMBER(System!$C40),PlotData!T40+ Momente!$E$2*$AF$1*T39,PlotData!$CB$4)</f>
        <v>0</v>
      </c>
      <c r="AX39" s="721">
        <f>IF(ISNUMBER(System!$C40),PlotData!U40+ Momente!$E$2*$AF$1*U39,PlotData!$CB$4)</f>
        <v>0</v>
      </c>
      <c r="AY39" s="721">
        <f>IF(ISNUMBER(System!$C40),PlotData!V40+ Momente!$E$2*$AF$1*V39,PlotData!$CB$4)</f>
        <v>0</v>
      </c>
      <c r="AZ39" s="721">
        <f>IF(ISNUMBER(System!$C40),PlotData!W40+ Momente!$E$2*$AF$1*W39,PlotData!$CB$4)</f>
        <v>0</v>
      </c>
      <c r="BA39" s="721">
        <f>IF(ISNUMBER(System!$C40),PlotData!X40+ Momente!$E$2*$AF$1*X39,PlotData!$CB$4)</f>
        <v>0</v>
      </c>
      <c r="BB39" s="639">
        <f>IF(ISNUMBER(System!$C40),PlotData!Y40+ Momente!$E$2*$AF$1*Y39,PlotData!$CB$4)</f>
        <v>0</v>
      </c>
      <c r="BC39" s="1146">
        <f>IF(ISNUMBER(System!$C40),PlotData!Y40, PlotData!CB$4)</f>
        <v>0</v>
      </c>
      <c r="BD39" s="721">
        <f>IF(ISNUMBER(System!$C40),PlotData!O40, PlotData!$CB$4)</f>
        <v>0</v>
      </c>
      <c r="BE39" s="639">
        <f>IF(ISNUMBER(System!$C40), AR39,PlotData!$CB$4)</f>
        <v>0</v>
      </c>
    </row>
    <row r="40" spans="1:57" x14ac:dyDescent="0.25">
      <c r="A40" s="1124">
        <v>38</v>
      </c>
      <c r="B40" s="668"/>
      <c r="C40" s="721"/>
      <c r="D40" s="721"/>
      <c r="E40" s="721"/>
      <c r="F40" s="721"/>
      <c r="G40" s="721"/>
      <c r="H40" s="721"/>
      <c r="I40" s="721"/>
      <c r="J40" s="721"/>
      <c r="K40" s="721"/>
      <c r="L40" s="639"/>
      <c r="N40" s="1124">
        <v>38</v>
      </c>
      <c r="O40" s="668"/>
      <c r="P40" s="721"/>
      <c r="Q40" s="721"/>
      <c r="R40" s="721"/>
      <c r="S40" s="721"/>
      <c r="T40" s="721"/>
      <c r="U40" s="721"/>
      <c r="V40" s="721"/>
      <c r="W40" s="721"/>
      <c r="X40" s="721"/>
      <c r="Y40" s="639"/>
      <c r="AA40" s="1125">
        <v>38</v>
      </c>
      <c r="AB40" s="668">
        <f>IF(ISNUMBER(System!$C41),PlotData!B41+Momente!$E$2* $AF$1*B40,PlotData!$CB$3)</f>
        <v>0</v>
      </c>
      <c r="AC40" s="721">
        <f>IF(ISNUMBER(System!$C41),PlotData!C41+ Momente!$E$2*$AF$1*C40,PlotData!$CB$3)</f>
        <v>0</v>
      </c>
      <c r="AD40" s="721">
        <f>IF(ISNUMBER(System!$C41),PlotData!D41+ Momente!$E$2*$AF$1*D40,PlotData!$CB$3)</f>
        <v>0</v>
      </c>
      <c r="AE40" s="721">
        <f>IF(ISNUMBER(System!$C41),PlotData!E41+Momente!$E$2* $AF$1*E40,PlotData!$CB$3)</f>
        <v>0</v>
      </c>
      <c r="AF40" s="721">
        <f>IF(ISNUMBER(System!$C41),PlotData!F41+Momente!$E$2* $AF$1*F40,PlotData!$CB$3)</f>
        <v>0</v>
      </c>
      <c r="AG40" s="721">
        <f>IF(ISNUMBER(System!$C41),PlotData!G41+ Momente!$E$2*$AF$1*G40,PlotData!$CB$3)</f>
        <v>0</v>
      </c>
      <c r="AH40" s="721">
        <f>IF(ISNUMBER(System!$C41),PlotData!H41+ Momente!$E$2*$AF$1*H40,PlotData!$CB$3)</f>
        <v>0</v>
      </c>
      <c r="AI40" s="721">
        <f>IF(ISNUMBER(System!$C41),PlotData!I41+ Momente!$E$2*$AF$1*I40,PlotData!$CB$3)</f>
        <v>0</v>
      </c>
      <c r="AJ40" s="721">
        <f>IF(ISNUMBER(System!$C41),PlotData!J41+ Momente!$E$2*$AF$1*J40,PlotData!$CB$3)</f>
        <v>0</v>
      </c>
      <c r="AK40" s="721">
        <f>IF(ISNUMBER(System!$C41),PlotData!K41+ Momente!$E$2*$AF$1*K40,PlotData!$CB$3)</f>
        <v>0</v>
      </c>
      <c r="AL40" s="639">
        <f>IF(ISNUMBER(System!$C41),PlotData!L41+Momente!$E$2* $AF$1*L40,PlotData!$CB$3)</f>
        <v>0</v>
      </c>
      <c r="AM40" s="668">
        <f>IF(ISNUMBER(System!$C41),PlotData!L41,PlotData!$CB$3)</f>
        <v>0</v>
      </c>
      <c r="AN40" s="721">
        <f>IF(ISNUMBER(System!$C41),PlotData!B41,PlotData!$CB$3)</f>
        <v>0</v>
      </c>
      <c r="AO40" s="639">
        <f>IF(ISNUMBER(System!$C41),AB40,PlotData!$CB$3)</f>
        <v>0</v>
      </c>
      <c r="AQ40" s="1125">
        <v>38</v>
      </c>
      <c r="AR40" s="668">
        <f>IF(ISNUMBER(System!$C41),PlotData!O41+ Momente!$E$2*$AF$1*O40,PlotData!$CB$4)</f>
        <v>0</v>
      </c>
      <c r="AS40" s="721">
        <f>IF(ISNUMBER(System!$C41),PlotData!P41+Momente!$E$2* $AF$1*P40,PlotData!$CB$4)</f>
        <v>0</v>
      </c>
      <c r="AT40" s="721">
        <f>IF(ISNUMBER(System!$C41),PlotData!Q41+ Momente!$E$2*$AF$1*Q40,PlotData!$CB$4)</f>
        <v>0</v>
      </c>
      <c r="AU40" s="721">
        <f>IF(ISNUMBER(System!$C41),PlotData!R41+Momente!$E$2* $AF$1*R40,PlotData!$CB$4)</f>
        <v>0</v>
      </c>
      <c r="AV40" s="721">
        <f>IF(ISNUMBER(System!$C41),PlotData!S41+ Momente!$E$2*$AF$1*S40,PlotData!$CB$4)</f>
        <v>0</v>
      </c>
      <c r="AW40" s="721">
        <f>IF(ISNUMBER(System!$C41),PlotData!T41+ Momente!$E$2*$AF$1*T40,PlotData!$CB$4)</f>
        <v>0</v>
      </c>
      <c r="AX40" s="721">
        <f>IF(ISNUMBER(System!$C41),PlotData!U41+ Momente!$E$2*$AF$1*U40,PlotData!$CB$4)</f>
        <v>0</v>
      </c>
      <c r="AY40" s="721">
        <f>IF(ISNUMBER(System!$C41),PlotData!V41+ Momente!$E$2*$AF$1*V40,PlotData!$CB$4)</f>
        <v>0</v>
      </c>
      <c r="AZ40" s="721">
        <f>IF(ISNUMBER(System!$C41),PlotData!W41+ Momente!$E$2*$AF$1*W40,PlotData!$CB$4)</f>
        <v>0</v>
      </c>
      <c r="BA40" s="721">
        <f>IF(ISNUMBER(System!$C41),PlotData!X41+ Momente!$E$2*$AF$1*X40,PlotData!$CB$4)</f>
        <v>0</v>
      </c>
      <c r="BB40" s="639">
        <f>IF(ISNUMBER(System!$C41),PlotData!Y41+ Momente!$E$2*$AF$1*Y40,PlotData!$CB$4)</f>
        <v>0</v>
      </c>
      <c r="BC40" s="1146">
        <f>IF(ISNUMBER(System!$C41),PlotData!Y41, PlotData!CB$4)</f>
        <v>0</v>
      </c>
      <c r="BD40" s="721">
        <f>IF(ISNUMBER(System!$C41),PlotData!O41, PlotData!$CB$4)</f>
        <v>0</v>
      </c>
      <c r="BE40" s="639">
        <f>IF(ISNUMBER(System!$C41), AR40,PlotData!$CB$4)</f>
        <v>0</v>
      </c>
    </row>
    <row r="41" spans="1:57" x14ac:dyDescent="0.25">
      <c r="A41" s="1124">
        <v>39</v>
      </c>
      <c r="B41" s="668"/>
      <c r="C41" s="721"/>
      <c r="D41" s="721"/>
      <c r="E41" s="721"/>
      <c r="F41" s="721"/>
      <c r="G41" s="721"/>
      <c r="H41" s="721"/>
      <c r="I41" s="721"/>
      <c r="J41" s="721"/>
      <c r="K41" s="721"/>
      <c r="L41" s="639"/>
      <c r="N41" s="1124">
        <v>39</v>
      </c>
      <c r="O41" s="668"/>
      <c r="P41" s="721"/>
      <c r="Q41" s="721"/>
      <c r="R41" s="721"/>
      <c r="S41" s="721"/>
      <c r="T41" s="721"/>
      <c r="U41" s="721"/>
      <c r="V41" s="721"/>
      <c r="W41" s="721"/>
      <c r="X41" s="721"/>
      <c r="Y41" s="639"/>
      <c r="AA41" s="1125">
        <v>39</v>
      </c>
      <c r="AB41" s="668">
        <f>IF(ISNUMBER(System!$C42),PlotData!B42+Momente!$E$2* $AF$1*B41,PlotData!$CB$3)</f>
        <v>0</v>
      </c>
      <c r="AC41" s="721">
        <f>IF(ISNUMBER(System!$C42),PlotData!C42+ Momente!$E$2*$AF$1*C41,PlotData!$CB$3)</f>
        <v>0</v>
      </c>
      <c r="AD41" s="721">
        <f>IF(ISNUMBER(System!$C42),PlotData!D42+ Momente!$E$2*$AF$1*D41,PlotData!$CB$3)</f>
        <v>0</v>
      </c>
      <c r="AE41" s="721">
        <f>IF(ISNUMBER(System!$C42),PlotData!E42+Momente!$E$2* $AF$1*E41,PlotData!$CB$3)</f>
        <v>0</v>
      </c>
      <c r="AF41" s="721">
        <f>IF(ISNUMBER(System!$C42),PlotData!F42+Momente!$E$2* $AF$1*F41,PlotData!$CB$3)</f>
        <v>0</v>
      </c>
      <c r="AG41" s="721">
        <f>IF(ISNUMBER(System!$C42),PlotData!G42+ Momente!$E$2*$AF$1*G41,PlotData!$CB$3)</f>
        <v>0</v>
      </c>
      <c r="AH41" s="721">
        <f>IF(ISNUMBER(System!$C42),PlotData!H42+ Momente!$E$2*$AF$1*H41,PlotData!$CB$3)</f>
        <v>0</v>
      </c>
      <c r="AI41" s="721">
        <f>IF(ISNUMBER(System!$C42),PlotData!I42+ Momente!$E$2*$AF$1*I41,PlotData!$CB$3)</f>
        <v>0</v>
      </c>
      <c r="AJ41" s="721">
        <f>IF(ISNUMBER(System!$C42),PlotData!J42+ Momente!$E$2*$AF$1*J41,PlotData!$CB$3)</f>
        <v>0</v>
      </c>
      <c r="AK41" s="721">
        <f>IF(ISNUMBER(System!$C42),PlotData!K42+ Momente!$E$2*$AF$1*K41,PlotData!$CB$3)</f>
        <v>0</v>
      </c>
      <c r="AL41" s="639">
        <f>IF(ISNUMBER(System!$C42),PlotData!L42+Momente!$E$2* $AF$1*L41,PlotData!$CB$3)</f>
        <v>0</v>
      </c>
      <c r="AM41" s="668">
        <f>IF(ISNUMBER(System!$C42),PlotData!L42,PlotData!$CB$3)</f>
        <v>0</v>
      </c>
      <c r="AN41" s="721">
        <f>IF(ISNUMBER(System!$C42),PlotData!B42,PlotData!$CB$3)</f>
        <v>0</v>
      </c>
      <c r="AO41" s="639">
        <f>IF(ISNUMBER(System!$C42),AB41,PlotData!$CB$3)</f>
        <v>0</v>
      </c>
      <c r="AQ41" s="1125">
        <v>39</v>
      </c>
      <c r="AR41" s="668">
        <f>IF(ISNUMBER(System!$C42),PlotData!O42+ Momente!$E$2*$AF$1*O41,PlotData!$CB$4)</f>
        <v>0</v>
      </c>
      <c r="AS41" s="721">
        <f>IF(ISNUMBER(System!$C42),PlotData!P42+Momente!$E$2* $AF$1*P41,PlotData!$CB$4)</f>
        <v>0</v>
      </c>
      <c r="AT41" s="721">
        <f>IF(ISNUMBER(System!$C42),PlotData!Q42+ Momente!$E$2*$AF$1*Q41,PlotData!$CB$4)</f>
        <v>0</v>
      </c>
      <c r="AU41" s="721">
        <f>IF(ISNUMBER(System!$C42),PlotData!R42+Momente!$E$2* $AF$1*R41,PlotData!$CB$4)</f>
        <v>0</v>
      </c>
      <c r="AV41" s="721">
        <f>IF(ISNUMBER(System!$C42),PlotData!S42+ Momente!$E$2*$AF$1*S41,PlotData!$CB$4)</f>
        <v>0</v>
      </c>
      <c r="AW41" s="721">
        <f>IF(ISNUMBER(System!$C42),PlotData!T42+ Momente!$E$2*$AF$1*T41,PlotData!$CB$4)</f>
        <v>0</v>
      </c>
      <c r="AX41" s="721">
        <f>IF(ISNUMBER(System!$C42),PlotData!U42+ Momente!$E$2*$AF$1*U41,PlotData!$CB$4)</f>
        <v>0</v>
      </c>
      <c r="AY41" s="721">
        <f>IF(ISNUMBER(System!$C42),PlotData!V42+ Momente!$E$2*$AF$1*V41,PlotData!$CB$4)</f>
        <v>0</v>
      </c>
      <c r="AZ41" s="721">
        <f>IF(ISNUMBER(System!$C42),PlotData!W42+ Momente!$E$2*$AF$1*W41,PlotData!$CB$4)</f>
        <v>0</v>
      </c>
      <c r="BA41" s="721">
        <f>IF(ISNUMBER(System!$C42),PlotData!X42+ Momente!$E$2*$AF$1*X41,PlotData!$CB$4)</f>
        <v>0</v>
      </c>
      <c r="BB41" s="639">
        <f>IF(ISNUMBER(System!$C42),PlotData!Y42+ Momente!$E$2*$AF$1*Y41,PlotData!$CB$4)</f>
        <v>0</v>
      </c>
      <c r="BC41" s="1146">
        <f>IF(ISNUMBER(System!$C42),PlotData!Y42, PlotData!CB$4)</f>
        <v>0</v>
      </c>
      <c r="BD41" s="721">
        <f>IF(ISNUMBER(System!$C42),PlotData!O42, PlotData!$CB$4)</f>
        <v>0</v>
      </c>
      <c r="BE41" s="639">
        <f>IF(ISNUMBER(System!$C42), AR41,PlotData!$CB$4)</f>
        <v>0</v>
      </c>
    </row>
    <row r="42" spans="1:57" ht="13.8" thickBot="1" x14ac:dyDescent="0.3">
      <c r="A42" s="1138">
        <v>40</v>
      </c>
      <c r="B42" s="669"/>
      <c r="C42" s="1137"/>
      <c r="D42" s="1137"/>
      <c r="E42" s="1137"/>
      <c r="F42" s="1137"/>
      <c r="G42" s="1137"/>
      <c r="H42" s="1137"/>
      <c r="I42" s="1137"/>
      <c r="J42" s="1137"/>
      <c r="K42" s="1137"/>
      <c r="L42" s="646"/>
      <c r="N42" s="1138">
        <v>40</v>
      </c>
      <c r="O42" s="669"/>
      <c r="P42" s="1137"/>
      <c r="Q42" s="1137"/>
      <c r="R42" s="1137"/>
      <c r="S42" s="1137"/>
      <c r="T42" s="1137"/>
      <c r="U42" s="1137"/>
      <c r="V42" s="1137"/>
      <c r="W42" s="1137"/>
      <c r="X42" s="1137"/>
      <c r="Y42" s="646"/>
      <c r="AA42" s="1139">
        <v>40</v>
      </c>
      <c r="AB42" s="669">
        <f>IF(ISNUMBER(System!$C43),PlotData!B43+Momente!$E$2* $AF$1*B42,PlotData!$CB$3)</f>
        <v>0</v>
      </c>
      <c r="AC42" s="1137">
        <f>IF(ISNUMBER(System!$C43),PlotData!C43+ Momente!$E$2*$AF$1*C42,PlotData!$CB$3)</f>
        <v>0</v>
      </c>
      <c r="AD42" s="1137">
        <f>IF(ISNUMBER(System!$C43),PlotData!D43+ Momente!$E$2*$AF$1*D42,PlotData!$CB$3)</f>
        <v>0</v>
      </c>
      <c r="AE42" s="1137">
        <f>IF(ISNUMBER(System!$C43),PlotData!E43+Momente!$E$2* $AF$1*E42,PlotData!$CB$3)</f>
        <v>0</v>
      </c>
      <c r="AF42" s="1137">
        <f>IF(ISNUMBER(System!$C43),PlotData!F43+Momente!$E$2* $AF$1*F42,PlotData!$CB$3)</f>
        <v>0</v>
      </c>
      <c r="AG42" s="1137">
        <f>IF(ISNUMBER(System!$C43),PlotData!G43+ Momente!$E$2*$AF$1*G42,PlotData!$CB$3)</f>
        <v>0</v>
      </c>
      <c r="AH42" s="1137">
        <f>IF(ISNUMBER(System!$C43),PlotData!H43+ Momente!$E$2*$AF$1*H42,PlotData!$CB$3)</f>
        <v>0</v>
      </c>
      <c r="AI42" s="1137">
        <f>IF(ISNUMBER(System!$C43),PlotData!I43+ Momente!$E$2*$AF$1*I42,PlotData!$CB$3)</f>
        <v>0</v>
      </c>
      <c r="AJ42" s="1137">
        <f>IF(ISNUMBER(System!$C43),PlotData!J43+ Momente!$E$2*$AF$1*J42,PlotData!$CB$3)</f>
        <v>0</v>
      </c>
      <c r="AK42" s="1137">
        <f>IF(ISNUMBER(System!$C43),PlotData!K43+ Momente!$E$2*$AF$1*K42,PlotData!$CB$3)</f>
        <v>0</v>
      </c>
      <c r="AL42" s="646">
        <f>IF(ISNUMBER(System!$C43),PlotData!L43+Momente!$E$2* $AF$1*L42,PlotData!$CB$3)</f>
        <v>0</v>
      </c>
      <c r="AM42" s="669">
        <f>IF(ISNUMBER(System!$C43),PlotData!L43,PlotData!$CB$3)</f>
        <v>0</v>
      </c>
      <c r="AN42" s="1137">
        <f>IF(ISNUMBER(System!$C43),PlotData!B43,PlotData!$CB$3)</f>
        <v>0</v>
      </c>
      <c r="AO42" s="646">
        <f>IF(ISNUMBER(System!$C43),AB42,PlotData!$CB$3)</f>
        <v>0</v>
      </c>
      <c r="AQ42" s="1139">
        <v>40</v>
      </c>
      <c r="AR42" s="669">
        <f>IF(ISNUMBER(System!$C43),PlotData!O43+ Momente!$E$2*$AF$1*O42,PlotData!$CB$4)</f>
        <v>0</v>
      </c>
      <c r="AS42" s="1137">
        <f>IF(ISNUMBER(System!$C43),PlotData!P43+Momente!$E$2* $AF$1*P42,PlotData!$CB$4)</f>
        <v>0</v>
      </c>
      <c r="AT42" s="1137">
        <f>IF(ISNUMBER(System!$C43),PlotData!Q43+ Momente!$E$2*$AF$1*Q42,PlotData!$CB$4)</f>
        <v>0</v>
      </c>
      <c r="AU42" s="1137">
        <f>IF(ISNUMBER(System!$C43),PlotData!R43+Momente!$E$2* $AF$1*R42,PlotData!$CB$4)</f>
        <v>0</v>
      </c>
      <c r="AV42" s="1137">
        <f>IF(ISNUMBER(System!$C43),PlotData!S43+ Momente!$E$2*$AF$1*S42,PlotData!$CB$4)</f>
        <v>0</v>
      </c>
      <c r="AW42" s="1137">
        <f>IF(ISNUMBER(System!$C43),PlotData!T43+ Momente!$E$2*$AF$1*T42,PlotData!$CB$4)</f>
        <v>0</v>
      </c>
      <c r="AX42" s="1137">
        <f>IF(ISNUMBER(System!$C43),PlotData!U43+ Momente!$E$2*$AF$1*U42,PlotData!$CB$4)</f>
        <v>0</v>
      </c>
      <c r="AY42" s="1137">
        <f>IF(ISNUMBER(System!$C43),PlotData!V43+ Momente!$E$2*$AF$1*V42,PlotData!$CB$4)</f>
        <v>0</v>
      </c>
      <c r="AZ42" s="1137">
        <f>IF(ISNUMBER(System!$C43),PlotData!W43+ Momente!$E$2*$AF$1*W42,PlotData!$CB$4)</f>
        <v>0</v>
      </c>
      <c r="BA42" s="1137">
        <f>IF(ISNUMBER(System!$C43),PlotData!X43+ Momente!$E$2*$AF$1*X42,PlotData!$CB$4)</f>
        <v>0</v>
      </c>
      <c r="BB42" s="646">
        <f>IF(ISNUMBER(System!$C43),PlotData!Y43+ Momente!$E$2*$AF$1*Y42,PlotData!$CB$4)</f>
        <v>0</v>
      </c>
      <c r="BC42" s="1148">
        <f>IF(ISNUMBER(System!$C43),PlotData!Y43, PlotData!CB$4)</f>
        <v>0</v>
      </c>
      <c r="BD42" s="1137">
        <f>IF(ISNUMBER(System!$C43),PlotData!O43, PlotData!$CB$4)</f>
        <v>0</v>
      </c>
      <c r="BE42" s="646">
        <f>IF(ISNUMBER(System!$C43), AR42,PlotData!$CB$4)</f>
        <v>0</v>
      </c>
    </row>
  </sheetData>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19"/>
  <dimension ref="A1:BI44"/>
  <sheetViews>
    <sheetView topLeftCell="AP1" zoomScale="60" zoomScaleNormal="60" workbookViewId="0">
      <selection activeCell="BB3" sqref="BB3"/>
    </sheetView>
  </sheetViews>
  <sheetFormatPr defaultColWidth="11.44140625" defaultRowHeight="13.2" x14ac:dyDescent="0.25"/>
  <cols>
    <col min="1" max="1" width="4" style="41" bestFit="1" customWidth="1"/>
    <col min="2" max="12" width="11.44140625" style="41"/>
    <col min="13" max="13" width="4.44140625" style="41" customWidth="1"/>
    <col min="14" max="15" width="10.44140625" style="41" customWidth="1"/>
    <col min="16" max="17" width="11.44140625" style="41" customWidth="1"/>
    <col min="18" max="25" width="11.44140625" style="41"/>
    <col min="26" max="26" width="3.44140625" style="1141" customWidth="1"/>
    <col min="27" max="41" width="11.44140625" style="41"/>
    <col min="42" max="42" width="3.5546875" style="41" customWidth="1"/>
    <col min="43" max="57" width="11.44140625" style="41"/>
    <col min="58" max="58" width="5.44140625" style="41" customWidth="1"/>
    <col min="59" max="16384" width="11.44140625" style="41"/>
  </cols>
  <sheetData>
    <row r="1" spans="1:61" ht="13.8" thickBot="1" x14ac:dyDescent="0.3">
      <c r="B1" s="41" t="s">
        <v>476</v>
      </c>
      <c r="O1" s="41">
        <f>COLUMN(O5)</f>
        <v>15</v>
      </c>
      <c r="AB1" s="41">
        <f>COLUMN(AB5)</f>
        <v>28</v>
      </c>
      <c r="AC1" s="41" t="s">
        <v>463</v>
      </c>
      <c r="AE1" s="1108" t="s">
        <v>464</v>
      </c>
      <c r="AF1" s="1110">
        <f>Querkraft!D6</f>
        <v>207.68148287879194</v>
      </c>
      <c r="AH1" s="1108" t="s">
        <v>178</v>
      </c>
      <c r="AI1" s="1110">
        <f>(MAX(AB3:AL42)+MIN(AB3:AL42))/2</f>
        <v>-7.4797425651105058</v>
      </c>
      <c r="AJ1" s="1108" t="s">
        <v>465</v>
      </c>
      <c r="AK1" s="1110">
        <f>(MAX(AB3:AL42)-MIN(AB3:AL42))/2</f>
        <v>96.393357324203919</v>
      </c>
      <c r="AR1" s="1143">
        <f>COLUMN(AR4)</f>
        <v>44</v>
      </c>
      <c r="AS1" s="1108" t="s">
        <v>222</v>
      </c>
      <c r="AT1" s="1142">
        <f>(MAX(AR3:BB42)+MIN(AR3:BB42))/2</f>
        <v>0.59544656492502668</v>
      </c>
      <c r="AU1" s="1108" t="s">
        <v>466</v>
      </c>
      <c r="AV1" s="1110">
        <f>(MAX(AR3:BB42)-MIN(AR3:BB42))/2</f>
        <v>96.08475352994833</v>
      </c>
      <c r="AW1" s="41" t="s">
        <v>196</v>
      </c>
      <c r="AX1" s="41">
        <f>SQRT(AK1^2+AV1^2)</f>
        <v>136.10275234962214</v>
      </c>
      <c r="BG1" s="41" t="s">
        <v>200</v>
      </c>
    </row>
    <row r="2" spans="1:61" ht="13.8" thickBot="1" x14ac:dyDescent="0.3">
      <c r="A2" s="1106" t="s">
        <v>16</v>
      </c>
      <c r="B2" s="670">
        <v>0</v>
      </c>
      <c r="C2" s="1107">
        <v>0</v>
      </c>
      <c r="D2" s="1107">
        <v>0.2</v>
      </c>
      <c r="E2" s="1107">
        <v>0.3</v>
      </c>
      <c r="F2" s="1107">
        <v>0.4</v>
      </c>
      <c r="G2" s="1107">
        <v>0.5</v>
      </c>
      <c r="H2" s="1107">
        <v>0.6</v>
      </c>
      <c r="I2" s="1107">
        <v>0.7</v>
      </c>
      <c r="J2" s="1107">
        <v>0.8</v>
      </c>
      <c r="K2" s="1107">
        <v>0.9</v>
      </c>
      <c r="L2" s="671">
        <v>1</v>
      </c>
      <c r="N2" s="1106" t="s">
        <v>228</v>
      </c>
      <c r="O2" s="670">
        <v>0</v>
      </c>
      <c r="P2" s="1107">
        <v>0.1</v>
      </c>
      <c r="Q2" s="1107">
        <v>0.2</v>
      </c>
      <c r="R2" s="1107">
        <v>0.3</v>
      </c>
      <c r="S2" s="1107">
        <v>0.4</v>
      </c>
      <c r="T2" s="1107">
        <v>0.5</v>
      </c>
      <c r="U2" s="1107">
        <v>0.6</v>
      </c>
      <c r="V2" s="1107">
        <v>0.7</v>
      </c>
      <c r="W2" s="1107">
        <v>0.8</v>
      </c>
      <c r="X2" s="1107">
        <v>0.9</v>
      </c>
      <c r="Y2" s="671">
        <v>1</v>
      </c>
      <c r="AA2" s="1106" t="s">
        <v>16</v>
      </c>
      <c r="AB2" s="670">
        <v>0</v>
      </c>
      <c r="AC2" s="1107">
        <v>0.1</v>
      </c>
      <c r="AD2" s="1107">
        <v>0.2</v>
      </c>
      <c r="AE2" s="1107">
        <v>0.3</v>
      </c>
      <c r="AF2" s="1107">
        <v>0.4</v>
      </c>
      <c r="AG2" s="1107">
        <v>0.5</v>
      </c>
      <c r="AH2" s="1107">
        <v>0.6</v>
      </c>
      <c r="AI2" s="1107">
        <v>0.7</v>
      </c>
      <c r="AJ2" s="1107">
        <v>0.8</v>
      </c>
      <c r="AK2" s="1107">
        <v>0.9</v>
      </c>
      <c r="AL2" s="671">
        <v>1</v>
      </c>
      <c r="AM2" s="670">
        <v>1</v>
      </c>
      <c r="AN2" s="1107">
        <v>0</v>
      </c>
      <c r="AO2" s="671">
        <v>0</v>
      </c>
      <c r="AQ2" s="1149" t="s">
        <v>228</v>
      </c>
      <c r="AR2" s="670">
        <v>0</v>
      </c>
      <c r="AS2" s="1107">
        <v>0.1</v>
      </c>
      <c r="AT2" s="1107">
        <v>0.2</v>
      </c>
      <c r="AU2" s="1107">
        <v>0.3</v>
      </c>
      <c r="AV2" s="1107">
        <v>0.4</v>
      </c>
      <c r="AW2" s="1107">
        <v>0.5</v>
      </c>
      <c r="AX2" s="1107">
        <v>0.6</v>
      </c>
      <c r="AY2" s="1107">
        <v>0.7</v>
      </c>
      <c r="AZ2" s="1107">
        <v>0.8</v>
      </c>
      <c r="BA2" s="1107">
        <v>0.9</v>
      </c>
      <c r="BB2" s="671">
        <v>1</v>
      </c>
      <c r="BC2" s="670">
        <v>1</v>
      </c>
      <c r="BD2" s="1107">
        <v>0</v>
      </c>
      <c r="BE2" s="671">
        <v>0</v>
      </c>
      <c r="BG2" s="745" t="s">
        <v>178</v>
      </c>
      <c r="BH2" s="1117">
        <f>PlotQ!$AI$1</f>
        <v>-7.4797425651105058</v>
      </c>
      <c r="BI2" s="632"/>
    </row>
    <row r="3" spans="1:61" x14ac:dyDescent="0.25">
      <c r="A3" s="1118">
        <v>1</v>
      </c>
      <c r="B3" s="745">
        <v>-5.338167412535709E-2</v>
      </c>
      <c r="C3" s="1117">
        <v>-5.338167412535709E-2</v>
      </c>
      <c r="D3" s="1117">
        <v>-5.338167412535709E-2</v>
      </c>
      <c r="E3" s="1117">
        <v>-5.338167412535709E-2</v>
      </c>
      <c r="F3" s="1117">
        <v>-5.338167412535709E-2</v>
      </c>
      <c r="G3" s="1117">
        <v>-5.338167412535709E-2</v>
      </c>
      <c r="H3" s="1117">
        <v>-5.338167412535709E-2</v>
      </c>
      <c r="I3" s="1117">
        <v>-5.338167412535709E-2</v>
      </c>
      <c r="J3" s="1117">
        <v>-5.338167412535709E-2</v>
      </c>
      <c r="K3" s="1117">
        <v>-5.338167412535709E-2</v>
      </c>
      <c r="L3" s="632">
        <v>-5.338167412535709E-2</v>
      </c>
      <c r="N3" s="1118">
        <v>1</v>
      </c>
      <c r="O3" s="745">
        <v>7.1175565500476129E-2</v>
      </c>
      <c r="P3" s="1117">
        <v>7.1175565500476129E-2</v>
      </c>
      <c r="Q3" s="1117">
        <v>7.1175565500476129E-2</v>
      </c>
      <c r="R3" s="1117">
        <v>7.1175565500476129E-2</v>
      </c>
      <c r="S3" s="1117">
        <v>7.1175565500476129E-2</v>
      </c>
      <c r="T3" s="1117">
        <v>7.1175565500476129E-2</v>
      </c>
      <c r="U3" s="1117">
        <v>7.1175565500476129E-2</v>
      </c>
      <c r="V3" s="1117">
        <v>7.1175565500476129E-2</v>
      </c>
      <c r="W3" s="1117">
        <v>7.1175565500476129E-2</v>
      </c>
      <c r="X3" s="1117">
        <v>7.1175565500476129E-2</v>
      </c>
      <c r="Y3" s="632">
        <v>7.1175565500476129E-2</v>
      </c>
      <c r="AA3" s="1119">
        <v>1</v>
      </c>
      <c r="AB3" s="746">
        <f>IF(ISNUMBER(System!$C4),PlotData!B4+ Querkraft!$E$2*$AF$1*B3,PlotData!$CB$3)</f>
        <v>8.9136147590934005</v>
      </c>
      <c r="AC3" s="1144">
        <f>IF(ISNUMBER(System!$C4),PlotData!C4+ Querkraft!$E$2*$AF$1*C3,PlotData!$CB$3)</f>
        <v>16.913614759093399</v>
      </c>
      <c r="AD3" s="1144">
        <f>IF(ISNUMBER(System!$C4),PlotData!D4+ Querkraft!$E$2*$AF$1*D3,PlotData!$CB$3)</f>
        <v>24.913614759093399</v>
      </c>
      <c r="AE3" s="1144">
        <f>IF(ISNUMBER(System!$C4),PlotData!E4+ Querkraft!$E$2*$AF$1*E3,PlotData!$CB$3)</f>
        <v>32.913614759093399</v>
      </c>
      <c r="AF3" s="1144">
        <f>IF(ISNUMBER(System!$C4),PlotData!F4+Querkraft!$E$2* $AF$1*F3,PlotData!$CB$3)</f>
        <v>40.913614759093399</v>
      </c>
      <c r="AG3" s="1144">
        <f>IF(ISNUMBER(System!$C4),PlotData!G4+ Querkraft!$E$2*$AF$1*G3,PlotData!$CB$3)</f>
        <v>48.913614759093399</v>
      </c>
      <c r="AH3" s="1144">
        <f>IF(ISNUMBER(System!$C4),PlotData!H4+Querkraft!$E$2* $AF$1*H3,PlotData!$CB$3)</f>
        <v>56.913614759093399</v>
      </c>
      <c r="AI3" s="1144">
        <f>IF(ISNUMBER(System!$C4),PlotData!I4+ Querkraft!$E$2*$AF$1*I3,PlotData!$CB$3)</f>
        <v>64.913614759093406</v>
      </c>
      <c r="AJ3" s="1144">
        <f>IF(ISNUMBER(System!$C4),PlotData!J4+Querkraft!$E$2*$AF$1*J3,PlotData!$CB$3)</f>
        <v>72.913614759093406</v>
      </c>
      <c r="AK3" s="1144">
        <f>IF(ISNUMBER(System!$C4),PlotData!K4+ Querkraft!$E$2*$AF$1*K3,PlotData!$CB$3)</f>
        <v>80.913614759093406</v>
      </c>
      <c r="AL3" s="747">
        <f>IF(ISNUMBER(System!$C4),PlotData!L4+ Querkraft!$E$2*$AF$1*L3,PlotData!$CB$3)</f>
        <v>88.913614759093406</v>
      </c>
      <c r="AM3" s="746">
        <f>IF(ISNUMBER(System!$C4),PlotData!L4,PlotData!$CB$3)</f>
        <v>100</v>
      </c>
      <c r="AN3" s="1144">
        <f>IF(ISNUMBER(System!$C4),PlotData!B4,PlotData!$CB$3)</f>
        <v>20</v>
      </c>
      <c r="AO3" s="747">
        <f>IF(ISNUMBER(System!$C4),AB3,PlotData!$CB$3)</f>
        <v>8.9136147590934005</v>
      </c>
      <c r="AQ3" s="1118">
        <v>1</v>
      </c>
      <c r="AR3" s="1145">
        <f>IF(ISNUMBER(System!$C4),PlotData!O4+ Querkraft!$E$2*$AF$1*O3,PlotData!$CB$4)</f>
        <v>-25.218153012124532</v>
      </c>
      <c r="AS3" s="1144">
        <f>IF(ISNUMBER(System!$C4),PlotData!P4+Querkraft!$E$2* $AF$1*P3,PlotData!$CB$4)</f>
        <v>-19.218153012124532</v>
      </c>
      <c r="AT3" s="1144">
        <f>IF(ISNUMBER(System!$C4),PlotData!Q4+Querkraft!$E$2*$AF$1*Q3,PlotData!$CB$4)</f>
        <v>-13.218153012124533</v>
      </c>
      <c r="AU3" s="1144">
        <f>IF(ISNUMBER(System!$C4),PlotData!R4+ Querkraft!$E$2*$AF$1*R3,PlotData!$CB$4)</f>
        <v>-7.2181530121245334</v>
      </c>
      <c r="AV3" s="1144">
        <f>IF(ISNUMBER(System!$C4),PlotData!S4+ Querkraft!$E$2*$AF$1*S3,PlotData!$CB$4)</f>
        <v>-1.2181530121245334</v>
      </c>
      <c r="AW3" s="1144">
        <f>IF(ISNUMBER(System!$C4),PlotData!T4+ Querkraft!$E$2*$AF$1*T3,PlotData!$CB$4)</f>
        <v>4.7818469878754666</v>
      </c>
      <c r="AX3" s="1144">
        <f>IF(ISNUMBER(System!$C4),PlotData!U4+ Querkraft!$E$2*$AF$1*U3,PlotData!$CB$4)</f>
        <v>10.781846987875467</v>
      </c>
      <c r="AY3" s="1144">
        <f>IF(ISNUMBER(System!$C4),PlotData!V4+ Querkraft!$E$2*$AF$1*V3,PlotData!$CB$4)</f>
        <v>16.781846987875468</v>
      </c>
      <c r="AZ3" s="1144">
        <f>IF(ISNUMBER(System!$C4),PlotData!W4+ Querkraft!$E$2*$AF$1*W3,PlotData!$CB$4)</f>
        <v>22.781846987875468</v>
      </c>
      <c r="BA3" s="1144">
        <f>IF(ISNUMBER(System!$C4),PlotData!X4+Querkraft!$E$2* $AF$1*X3,PlotData!$CB$4)</f>
        <v>28.781846987875468</v>
      </c>
      <c r="BB3" s="747">
        <f>IF(ISNUMBER(System!$C4),PlotData!Y4+Querkraft!$E$2*$AF$1*Y3,PlotData!$CB$4)</f>
        <v>34.781846987875468</v>
      </c>
      <c r="BC3" s="746">
        <f>IF(ISNUMBER(System!$C4),PlotData!Y4, PlotData!CB$4)</f>
        <v>20</v>
      </c>
      <c r="BD3" s="1144">
        <f>IF(ISNUMBER(System!$C4),PlotData!O4, PlotData!$CB$4)</f>
        <v>-40</v>
      </c>
      <c r="BE3" s="747">
        <f>IF(ISNUMBER(System!$C4), AR3,PlotData!$CB$4)</f>
        <v>-25.218153012124532</v>
      </c>
      <c r="BG3" s="668" t="s">
        <v>179</v>
      </c>
      <c r="BH3" s="721">
        <f>PlotQ!$AT$1</f>
        <v>0.59544656492502668</v>
      </c>
      <c r="BI3" s="639"/>
    </row>
    <row r="4" spans="1:61" x14ac:dyDescent="0.25">
      <c r="A4" s="1124">
        <v>2</v>
      </c>
      <c r="B4" s="668">
        <v>-0.24514312754182685</v>
      </c>
      <c r="C4" s="721">
        <v>-0.24514312754182685</v>
      </c>
      <c r="D4" s="721">
        <v>-0.24514312754182685</v>
      </c>
      <c r="E4" s="721">
        <v>-0.24514312754182685</v>
      </c>
      <c r="F4" s="721">
        <v>-0.24514312754182685</v>
      </c>
      <c r="G4" s="721">
        <v>-0.24514312754182685</v>
      </c>
      <c r="H4" s="721">
        <v>-0.24514312754182685</v>
      </c>
      <c r="I4" s="721">
        <v>-0.24514312754182685</v>
      </c>
      <c r="J4" s="721">
        <v>-0.24514312754182685</v>
      </c>
      <c r="K4" s="721">
        <v>-0.24514312754182685</v>
      </c>
      <c r="L4" s="639">
        <v>-0.24514312754182685</v>
      </c>
      <c r="N4" s="1124">
        <v>2</v>
      </c>
      <c r="O4" s="668">
        <v>0</v>
      </c>
      <c r="P4" s="721">
        <v>0</v>
      </c>
      <c r="Q4" s="721">
        <v>0</v>
      </c>
      <c r="R4" s="721">
        <v>0</v>
      </c>
      <c r="S4" s="721">
        <v>0</v>
      </c>
      <c r="T4" s="721">
        <v>0</v>
      </c>
      <c r="U4" s="721">
        <v>0</v>
      </c>
      <c r="V4" s="721">
        <v>0</v>
      </c>
      <c r="W4" s="721">
        <v>0</v>
      </c>
      <c r="X4" s="721">
        <v>0</v>
      </c>
      <c r="Y4" s="639">
        <v>0</v>
      </c>
      <c r="AA4" s="1125">
        <v>2</v>
      </c>
      <c r="AB4" s="668">
        <f>IF(ISNUMBER(System!$C5),PlotData!B5+ Querkraft!$E$2*$AF$1*B4,PlotData!$CB$3)</f>
        <v>-30.911688245431421</v>
      </c>
      <c r="AC4" s="721">
        <f>IF(ISNUMBER(System!$C5),PlotData!C5+ Querkraft!$E$2*$AF$1*C4,PlotData!$CB$3)</f>
        <v>-30.911688245431421</v>
      </c>
      <c r="AD4" s="721">
        <f>IF(ISNUMBER(System!$C5),PlotData!D5+ Querkraft!$E$2*$AF$1*D4,PlotData!$CB$3)</f>
        <v>-30.911688245431421</v>
      </c>
      <c r="AE4" s="721">
        <f>IF(ISNUMBER(System!$C5),PlotData!E5+ Querkraft!$E$2*$AF$1*E4,PlotData!$CB$3)</f>
        <v>-30.911688245431421</v>
      </c>
      <c r="AF4" s="721">
        <f>IF(ISNUMBER(System!$C5),PlotData!F5+Querkraft!$E$2* $AF$1*F4,PlotData!$CB$3)</f>
        <v>-30.911688245431421</v>
      </c>
      <c r="AG4" s="721">
        <f>IF(ISNUMBER(System!$C5),PlotData!G5+ Querkraft!$E$2*$AF$1*G4,PlotData!$CB$3)</f>
        <v>-30.911688245431421</v>
      </c>
      <c r="AH4" s="721">
        <f>IF(ISNUMBER(System!$C5),PlotData!H5+Querkraft!$E$2* $AF$1*H4,PlotData!$CB$3)</f>
        <v>-30.911688245431421</v>
      </c>
      <c r="AI4" s="721">
        <f>IF(ISNUMBER(System!$C5),PlotData!I5+ Querkraft!$E$2*$AF$1*I4,PlotData!$CB$3)</f>
        <v>-30.911688245431421</v>
      </c>
      <c r="AJ4" s="721">
        <f>IF(ISNUMBER(System!$C5),PlotData!J5+Querkraft!$E$2*$AF$1*J4,PlotData!$CB$3)</f>
        <v>-30.911688245431421</v>
      </c>
      <c r="AK4" s="721">
        <f>IF(ISNUMBER(System!$C5),PlotData!K5+ Querkraft!$E$2*$AF$1*K4,PlotData!$CB$3)</f>
        <v>-30.911688245431421</v>
      </c>
      <c r="AL4" s="639">
        <f>IF(ISNUMBER(System!$C5),PlotData!L5+ Querkraft!$E$2*$AF$1*L4,PlotData!$CB$3)</f>
        <v>-30.911688245431421</v>
      </c>
      <c r="AM4" s="668">
        <f>IF(ISNUMBER(System!$C5),PlotData!L5,PlotData!$CB$3)</f>
        <v>20</v>
      </c>
      <c r="AN4" s="721">
        <f>IF(ISNUMBER(System!$C5),PlotData!B5,PlotData!$CB$3)</f>
        <v>20</v>
      </c>
      <c r="AO4" s="639">
        <f>IF(ISNUMBER(System!$C5),AB4,PlotData!$CB$3)</f>
        <v>-30.911688245431421</v>
      </c>
      <c r="AQ4" s="1124">
        <v>2</v>
      </c>
      <c r="AR4" s="1146">
        <f>IF(ISNUMBER(System!$C5),PlotData!O5+ Querkraft!$E$2*$AF$1*O4,PlotData!$CB$4)</f>
        <v>-40</v>
      </c>
      <c r="AS4" s="721">
        <f>IF(ISNUMBER(System!$C5),PlotData!P5+Querkraft!$E$2* $AF$1*P4,PlotData!$CB$4)</f>
        <v>-34</v>
      </c>
      <c r="AT4" s="721">
        <f>IF(ISNUMBER(System!$C5),PlotData!Q5+Querkraft!$E$2*$AF$1*Q4,PlotData!$CB$4)</f>
        <v>-28</v>
      </c>
      <c r="AU4" s="721">
        <f>IF(ISNUMBER(System!$C5),PlotData!R5+ Querkraft!$E$2*$AF$1*R4,PlotData!$CB$4)</f>
        <v>-22</v>
      </c>
      <c r="AV4" s="721">
        <f>IF(ISNUMBER(System!$C5),PlotData!S5+ Querkraft!$E$2*$AF$1*S4,PlotData!$CB$4)</f>
        <v>-16</v>
      </c>
      <c r="AW4" s="721">
        <f>IF(ISNUMBER(System!$C5),PlotData!T5+ Querkraft!$E$2*$AF$1*T4,PlotData!$CB$4)</f>
        <v>-10</v>
      </c>
      <c r="AX4" s="721">
        <f>IF(ISNUMBER(System!$C5),PlotData!U5+ Querkraft!$E$2*$AF$1*U4,PlotData!$CB$4)</f>
        <v>-4</v>
      </c>
      <c r="AY4" s="721">
        <f>IF(ISNUMBER(System!$C5),PlotData!V5+ Querkraft!$E$2*$AF$1*V4,PlotData!$CB$4)</f>
        <v>2</v>
      </c>
      <c r="AZ4" s="721">
        <f>IF(ISNUMBER(System!$C5),PlotData!W5+ Querkraft!$E$2*$AF$1*W4,PlotData!$CB$4)</f>
        <v>8</v>
      </c>
      <c r="BA4" s="721">
        <f>IF(ISNUMBER(System!$C5),PlotData!X5+Querkraft!$E$2* $AF$1*X4,PlotData!$CB$4)</f>
        <v>14</v>
      </c>
      <c r="BB4" s="639">
        <f>IF(ISNUMBER(System!$C5),PlotData!Y5+Querkraft!$E$2*$AF$1*Y4,PlotData!$CB$4)</f>
        <v>20</v>
      </c>
      <c r="BC4" s="668">
        <f>IF(ISNUMBER(System!$C5),PlotData!Y5, PlotData!CB$4)</f>
        <v>20</v>
      </c>
      <c r="BD4" s="721">
        <f>IF(ISNUMBER(System!$C5),PlotData!O5, PlotData!$CB$4)</f>
        <v>-40</v>
      </c>
      <c r="BE4" s="639">
        <f>IF(ISNUMBER(System!$C5), AR4,PlotData!$CB$4)</f>
        <v>-40</v>
      </c>
      <c r="BG4" s="668" t="s">
        <v>196</v>
      </c>
      <c r="BH4" s="721">
        <f>BH5 * PlotQ!$AX$1</f>
        <v>136.10275234962214</v>
      </c>
      <c r="BI4" s="639"/>
    </row>
    <row r="5" spans="1:61" x14ac:dyDescent="0.25">
      <c r="A5" s="1124">
        <v>3</v>
      </c>
      <c r="B5" s="668">
        <v>0.13495485900270263</v>
      </c>
      <c r="C5" s="721">
        <v>0.13495485900270263</v>
      </c>
      <c r="D5" s="721">
        <v>0.13495485900270263</v>
      </c>
      <c r="E5" s="721">
        <v>0.13495485900270263</v>
      </c>
      <c r="F5" s="721">
        <v>0.13495485900270263</v>
      </c>
      <c r="G5" s="721">
        <v>0.13495485900270263</v>
      </c>
      <c r="H5" s="721">
        <v>0.13495485900270263</v>
      </c>
      <c r="I5" s="721">
        <v>0.13495485900270263</v>
      </c>
      <c r="J5" s="721">
        <v>0.13495485900270263</v>
      </c>
      <c r="K5" s="721">
        <v>0.13495485900270263</v>
      </c>
      <c r="L5" s="639">
        <v>0.13495485900270263</v>
      </c>
      <c r="N5" s="1124">
        <v>3</v>
      </c>
      <c r="O5" s="668">
        <v>8.9969906001801742E-2</v>
      </c>
      <c r="P5" s="721">
        <v>8.9969906001801742E-2</v>
      </c>
      <c r="Q5" s="721">
        <v>8.9969906001801742E-2</v>
      </c>
      <c r="R5" s="721">
        <v>8.9969906001801742E-2</v>
      </c>
      <c r="S5" s="721">
        <v>8.9969906001801742E-2</v>
      </c>
      <c r="T5" s="721">
        <v>8.9969906001801742E-2</v>
      </c>
      <c r="U5" s="721">
        <v>8.9969906001801742E-2</v>
      </c>
      <c r="V5" s="721">
        <v>8.9969906001801742E-2</v>
      </c>
      <c r="W5" s="721">
        <v>8.9969906001801742E-2</v>
      </c>
      <c r="X5" s="721">
        <v>8.9969906001801742E-2</v>
      </c>
      <c r="Y5" s="639">
        <v>8.9969906001801742E-2</v>
      </c>
      <c r="AA5" s="1125">
        <v>3</v>
      </c>
      <c r="AB5" s="668">
        <f>IF(ISNUMBER(System!$C6),PlotData!B6+ Querkraft!$E$2*$AF$1*B5,PlotData!$CB$3)</f>
        <v>48.027625239379567</v>
      </c>
      <c r="AC5" s="721">
        <f>IF(ISNUMBER(System!$C6),PlotData!C6+ Querkraft!$E$2*$AF$1*C5,PlotData!$CB$3)</f>
        <v>52.027625239379567</v>
      </c>
      <c r="AD5" s="721">
        <f>IF(ISNUMBER(System!$C6),PlotData!D6+ Querkraft!$E$2*$AF$1*D5,PlotData!$CB$3)</f>
        <v>56.027625239379567</v>
      </c>
      <c r="AE5" s="721">
        <f>IF(ISNUMBER(System!$C6),PlotData!E6+ Querkraft!$E$2*$AF$1*E5,PlotData!$CB$3)</f>
        <v>60.027625239379567</v>
      </c>
      <c r="AF5" s="721">
        <f>IF(ISNUMBER(System!$C6),PlotData!F6+Querkraft!$E$2* $AF$1*F5,PlotData!$CB$3)</f>
        <v>64.027625239379574</v>
      </c>
      <c r="AG5" s="721">
        <f>IF(ISNUMBER(System!$C6),PlotData!G6+ Querkraft!$E$2*$AF$1*G5,PlotData!$CB$3)</f>
        <v>68.027625239379574</v>
      </c>
      <c r="AH5" s="721">
        <f>IF(ISNUMBER(System!$C6),PlotData!H6+Querkraft!$E$2* $AF$1*H5,PlotData!$CB$3)</f>
        <v>72.027625239379574</v>
      </c>
      <c r="AI5" s="721">
        <f>IF(ISNUMBER(System!$C6),PlotData!I6+ Querkraft!$E$2*$AF$1*I5,PlotData!$CB$3)</f>
        <v>76.027625239379574</v>
      </c>
      <c r="AJ5" s="721">
        <f>IF(ISNUMBER(System!$C6),PlotData!J6+Querkraft!$E$2*$AF$1*J5,PlotData!$CB$3)</f>
        <v>80.027625239379574</v>
      </c>
      <c r="AK5" s="721">
        <f>IF(ISNUMBER(System!$C6),PlotData!K6+ Querkraft!$E$2*$AF$1*K5,PlotData!$CB$3)</f>
        <v>84.027625239379574</v>
      </c>
      <c r="AL5" s="639">
        <f>IF(ISNUMBER(System!$C6),PlotData!L6+ Querkraft!$E$2*$AF$1*L5,PlotData!$CB$3)</f>
        <v>88.027625239379574</v>
      </c>
      <c r="AM5" s="668">
        <f>IF(ISNUMBER(System!$C6),PlotData!L6,PlotData!$CB$3)</f>
        <v>60</v>
      </c>
      <c r="AN5" s="721">
        <f>IF(ISNUMBER(System!$C6),PlotData!B6,PlotData!$CB$3)</f>
        <v>20</v>
      </c>
      <c r="AO5" s="639">
        <f>IF(ISNUMBER(System!$C6),AB5,PlotData!$CB$3)</f>
        <v>48.027625239379567</v>
      </c>
      <c r="AQ5" s="1124">
        <v>3</v>
      </c>
      <c r="AR5" s="1146">
        <f>IF(ISNUMBER(System!$C6),PlotData!O6+ Querkraft!$E$2*$AF$1*O5,PlotData!$CB$4)</f>
        <v>-21.314916507080291</v>
      </c>
      <c r="AS5" s="721">
        <f>IF(ISNUMBER(System!$C6),PlotData!P6+Querkraft!$E$2* $AF$1*P5,PlotData!$CB$4)</f>
        <v>-27.314916507080291</v>
      </c>
      <c r="AT5" s="721">
        <f>IF(ISNUMBER(System!$C6),PlotData!Q6+Querkraft!$E$2*$AF$1*Q5,PlotData!$CB$4)</f>
        <v>-33.314916507080291</v>
      </c>
      <c r="AU5" s="721">
        <f>IF(ISNUMBER(System!$C6),PlotData!R6+ Querkraft!$E$2*$AF$1*R5,PlotData!$CB$4)</f>
        <v>-39.314916507080291</v>
      </c>
      <c r="AV5" s="721">
        <f>IF(ISNUMBER(System!$C6),PlotData!S6+ Querkraft!$E$2*$AF$1*S5,PlotData!$CB$4)</f>
        <v>-45.314916507080291</v>
      </c>
      <c r="AW5" s="721">
        <f>IF(ISNUMBER(System!$C6),PlotData!T6+ Querkraft!$E$2*$AF$1*T5,PlotData!$CB$4)</f>
        <v>-51.314916507080291</v>
      </c>
      <c r="AX5" s="721">
        <f>IF(ISNUMBER(System!$C6),PlotData!U6+ Querkraft!$E$2*$AF$1*U5,PlotData!$CB$4)</f>
        <v>-57.314916507080291</v>
      </c>
      <c r="AY5" s="721">
        <f>IF(ISNUMBER(System!$C6),PlotData!V6+ Querkraft!$E$2*$AF$1*V5,PlotData!$CB$4)</f>
        <v>-63.314916507080291</v>
      </c>
      <c r="AZ5" s="721">
        <f>IF(ISNUMBER(System!$C6),PlotData!W6+ Querkraft!$E$2*$AF$1*W5,PlotData!$CB$4)</f>
        <v>-69.314916507080284</v>
      </c>
      <c r="BA5" s="721">
        <f>IF(ISNUMBER(System!$C6),PlotData!X6+Querkraft!$E$2* $AF$1*X5,PlotData!$CB$4)</f>
        <v>-75.314916507080284</v>
      </c>
      <c r="BB5" s="639">
        <f>IF(ISNUMBER(System!$C6),PlotData!Y6+Querkraft!$E$2*$AF$1*Y5,PlotData!$CB$4)</f>
        <v>-81.314916507080284</v>
      </c>
      <c r="BC5" s="668">
        <f>IF(ISNUMBER(System!$C6),PlotData!Y6, PlotData!CB$4)</f>
        <v>-100</v>
      </c>
      <c r="BD5" s="721">
        <f>IF(ISNUMBER(System!$C6),PlotData!O6, PlotData!$CB$4)</f>
        <v>-40</v>
      </c>
      <c r="BE5" s="639">
        <f>IF(ISNUMBER(System!$C6), AR5,PlotData!$CB$4)</f>
        <v>-21.314916507080291</v>
      </c>
      <c r="BG5" s="668" t="s">
        <v>269</v>
      </c>
      <c r="BH5" s="721">
        <f>1/Querkraft!$G$2</f>
        <v>1</v>
      </c>
      <c r="BI5" s="639"/>
    </row>
    <row r="6" spans="1:61" x14ac:dyDescent="0.25">
      <c r="A6" s="1124">
        <v>4</v>
      </c>
      <c r="B6" s="668">
        <v>5.259972409611121E-2</v>
      </c>
      <c r="C6" s="721">
        <v>5.259972409611121E-2</v>
      </c>
      <c r="D6" s="721">
        <v>5.259972409611121E-2</v>
      </c>
      <c r="E6" s="721">
        <v>5.259972409611121E-2</v>
      </c>
      <c r="F6" s="721">
        <v>5.259972409611121E-2</v>
      </c>
      <c r="G6" s="721">
        <v>5.259972409611121E-2</v>
      </c>
      <c r="H6" s="721">
        <v>5.259972409611121E-2</v>
      </c>
      <c r="I6" s="721">
        <v>5.259972409611121E-2</v>
      </c>
      <c r="J6" s="721">
        <v>5.259972409611121E-2</v>
      </c>
      <c r="K6" s="721">
        <v>5.259972409611121E-2</v>
      </c>
      <c r="L6" s="639">
        <v>5.259972409611121E-2</v>
      </c>
      <c r="N6" s="1124">
        <v>4</v>
      </c>
      <c r="O6" s="668">
        <v>-0.12273268955759281</v>
      </c>
      <c r="P6" s="721">
        <v>-0.12273268955759281</v>
      </c>
      <c r="Q6" s="721">
        <v>-0.12273268955759281</v>
      </c>
      <c r="R6" s="721">
        <v>-0.12273268955759281</v>
      </c>
      <c r="S6" s="721">
        <v>-0.12273268955759281</v>
      </c>
      <c r="T6" s="721">
        <v>-0.12273268955759281</v>
      </c>
      <c r="U6" s="721">
        <v>-0.12273268955759281</v>
      </c>
      <c r="V6" s="721">
        <v>-0.12273268955759281</v>
      </c>
      <c r="W6" s="721">
        <v>-0.12273268955759281</v>
      </c>
      <c r="X6" s="721">
        <v>-0.12273268955759281</v>
      </c>
      <c r="Y6" s="639">
        <v>-0.12273268955759281</v>
      </c>
      <c r="AA6" s="1125">
        <v>4</v>
      </c>
      <c r="AB6" s="668">
        <f>IF(ISNUMBER(System!$C7),PlotData!B7+ Querkraft!$E$2*$AF$1*B6,PlotData!$CB$3)</f>
        <v>30.923988699295698</v>
      </c>
      <c r="AC6" s="721">
        <f>IF(ISNUMBER(System!$C7),PlotData!C7+ Querkraft!$E$2*$AF$1*C6,PlotData!$CB$3)</f>
        <v>23.923988699295698</v>
      </c>
      <c r="AD6" s="721">
        <f>IF(ISNUMBER(System!$C7),PlotData!D7+ Querkraft!$E$2*$AF$1*D6,PlotData!$CB$3)</f>
        <v>16.923988699295698</v>
      </c>
      <c r="AE6" s="721">
        <f>IF(ISNUMBER(System!$C7),PlotData!E7+ Querkraft!$E$2*$AF$1*E6,PlotData!$CB$3)</f>
        <v>9.9239886992957</v>
      </c>
      <c r="AF6" s="721">
        <f>IF(ISNUMBER(System!$C7),PlotData!F7+Querkraft!$E$2* $AF$1*F6,PlotData!$CB$3)</f>
        <v>2.9239886992957</v>
      </c>
      <c r="AG6" s="721">
        <f>IF(ISNUMBER(System!$C7),PlotData!G7+ Querkraft!$E$2*$AF$1*G6,PlotData!$CB$3)</f>
        <v>-4.0760113007043</v>
      </c>
      <c r="AH6" s="721">
        <f>IF(ISNUMBER(System!$C7),PlotData!H7+Querkraft!$E$2* $AF$1*H6,PlotData!$CB$3)</f>
        <v>-11.0760113007043</v>
      </c>
      <c r="AI6" s="721">
        <f>IF(ISNUMBER(System!$C7),PlotData!I7+ Querkraft!$E$2*$AF$1*I6,PlotData!$CB$3)</f>
        <v>-18.076011300704302</v>
      </c>
      <c r="AJ6" s="721">
        <f>IF(ISNUMBER(System!$C7),PlotData!J7+Querkraft!$E$2*$AF$1*J6,PlotData!$CB$3)</f>
        <v>-25.076011300704302</v>
      </c>
      <c r="AK6" s="721">
        <f>IF(ISNUMBER(System!$C7),PlotData!K7+ Querkraft!$E$2*$AF$1*K6,PlotData!$CB$3)</f>
        <v>-32.076011300704302</v>
      </c>
      <c r="AL6" s="639">
        <f>IF(ISNUMBER(System!$C7),PlotData!L7+ Querkraft!$E$2*$AF$1*L6,PlotData!$CB$3)</f>
        <v>-39.076011300704302</v>
      </c>
      <c r="AM6" s="668">
        <f>IF(ISNUMBER(System!$C7),PlotData!L7,PlotData!$CB$3)</f>
        <v>-50</v>
      </c>
      <c r="AN6" s="721">
        <f>IF(ISNUMBER(System!$C7),PlotData!B7,PlotData!$CB$3)</f>
        <v>20</v>
      </c>
      <c r="AO6" s="639">
        <f>IF(ISNUMBER(System!$C7),AB6,PlotData!$CB$3)</f>
        <v>30.923988699295698</v>
      </c>
      <c r="AQ6" s="1124">
        <v>4</v>
      </c>
      <c r="AR6" s="1146">
        <f>IF(ISNUMBER(System!$C7),PlotData!O7+ Querkraft!$E$2*$AF$1*O6,PlotData!$CB$4)</f>
        <v>-65.489306965023303</v>
      </c>
      <c r="AS6" s="721">
        <f>IF(ISNUMBER(System!$C7),PlotData!P7+Querkraft!$E$2* $AF$1*P6,PlotData!$CB$4)</f>
        <v>-68.489306965023303</v>
      </c>
      <c r="AT6" s="721">
        <f>IF(ISNUMBER(System!$C7),PlotData!Q7+Querkraft!$E$2*$AF$1*Q6,PlotData!$CB$4)</f>
        <v>-71.489306965023303</v>
      </c>
      <c r="AU6" s="721">
        <f>IF(ISNUMBER(System!$C7),PlotData!R7+ Querkraft!$E$2*$AF$1*R6,PlotData!$CB$4)</f>
        <v>-74.489306965023303</v>
      </c>
      <c r="AV6" s="721">
        <f>IF(ISNUMBER(System!$C7),PlotData!S7+ Querkraft!$E$2*$AF$1*S6,PlotData!$CB$4)</f>
        <v>-77.489306965023303</v>
      </c>
      <c r="AW6" s="721">
        <f>IF(ISNUMBER(System!$C7),PlotData!T7+ Querkraft!$E$2*$AF$1*T6,PlotData!$CB$4)</f>
        <v>-80.489306965023303</v>
      </c>
      <c r="AX6" s="721">
        <f>IF(ISNUMBER(System!$C7),PlotData!U7+ Querkraft!$E$2*$AF$1*U6,PlotData!$CB$4)</f>
        <v>-83.489306965023303</v>
      </c>
      <c r="AY6" s="721">
        <f>IF(ISNUMBER(System!$C7),PlotData!V7+ Querkraft!$E$2*$AF$1*V6,PlotData!$CB$4)</f>
        <v>-86.489306965023303</v>
      </c>
      <c r="AZ6" s="721">
        <f>IF(ISNUMBER(System!$C7),PlotData!W7+ Querkraft!$E$2*$AF$1*W6,PlotData!$CB$4)</f>
        <v>-89.489306965023303</v>
      </c>
      <c r="BA6" s="721">
        <f>IF(ISNUMBER(System!$C7),PlotData!X7+Querkraft!$E$2* $AF$1*X6,PlotData!$CB$4)</f>
        <v>-92.489306965023303</v>
      </c>
      <c r="BB6" s="639">
        <f>IF(ISNUMBER(System!$C7),PlotData!Y7+Querkraft!$E$2*$AF$1*Y6,PlotData!$CB$4)</f>
        <v>-95.489306965023303</v>
      </c>
      <c r="BC6" s="668">
        <f>IF(ISNUMBER(System!$C7),PlotData!Y7, PlotData!CB$4)</f>
        <v>-70</v>
      </c>
      <c r="BD6" s="721">
        <f>IF(ISNUMBER(System!$C7),PlotData!O7, PlotData!$CB$4)</f>
        <v>-40</v>
      </c>
      <c r="BE6" s="639">
        <f>IF(ISNUMBER(System!$C7), AR6,PlotData!$CB$4)</f>
        <v>-65.489306965023303</v>
      </c>
      <c r="BG6" s="668" t="s">
        <v>471</v>
      </c>
      <c r="BH6" s="721">
        <f>BH2-BH4</f>
        <v>-143.58249491473265</v>
      </c>
      <c r="BI6" s="639">
        <f>BH3+BH4</f>
        <v>136.69819891454716</v>
      </c>
    </row>
    <row r="7" spans="1:61" x14ac:dyDescent="0.25">
      <c r="A7" s="1124">
        <v>5</v>
      </c>
      <c r="B7" s="668">
        <v>-1.8649230714395709E-2</v>
      </c>
      <c r="C7" s="721">
        <v>-1.8649230714395709E-2</v>
      </c>
      <c r="D7" s="721">
        <v>-1.8649230714395709E-2</v>
      </c>
      <c r="E7" s="721">
        <v>-1.8649230714395709E-2</v>
      </c>
      <c r="F7" s="721">
        <v>-1.8649230714395709E-2</v>
      </c>
      <c r="G7" s="721">
        <v>-1.8649230714395709E-2</v>
      </c>
      <c r="H7" s="721">
        <v>-1.8649230714395709E-2</v>
      </c>
      <c r="I7" s="721">
        <v>-1.8649230714395709E-2</v>
      </c>
      <c r="J7" s="721">
        <v>-1.8649230714395709E-2</v>
      </c>
      <c r="K7" s="721">
        <v>-1.8649230714395709E-2</v>
      </c>
      <c r="L7" s="639">
        <v>-1.8649230714395709E-2</v>
      </c>
      <c r="N7" s="1124">
        <v>5</v>
      </c>
      <c r="O7" s="668">
        <v>-1.5985054898053463E-2</v>
      </c>
      <c r="P7" s="721">
        <v>-1.5985054898053463E-2</v>
      </c>
      <c r="Q7" s="721">
        <v>-1.5985054898053463E-2</v>
      </c>
      <c r="R7" s="721">
        <v>-1.5985054898053463E-2</v>
      </c>
      <c r="S7" s="721">
        <v>-1.5985054898053463E-2</v>
      </c>
      <c r="T7" s="721">
        <v>-1.5985054898053463E-2</v>
      </c>
      <c r="U7" s="721">
        <v>-1.5985054898053463E-2</v>
      </c>
      <c r="V7" s="721">
        <v>-1.5985054898053463E-2</v>
      </c>
      <c r="W7" s="721">
        <v>-1.5985054898053463E-2</v>
      </c>
      <c r="X7" s="721">
        <v>-1.5985054898053463E-2</v>
      </c>
      <c r="Y7" s="639">
        <v>-1.5985054898053463E-2</v>
      </c>
      <c r="AA7" s="1125">
        <v>5</v>
      </c>
      <c r="AB7" s="668">
        <f>IF(ISNUMBER(System!$C8),PlotData!B8+ Querkraft!$E$2*$AF$1*B7,PlotData!$CB$3)</f>
        <v>16.126900110685586</v>
      </c>
      <c r="AC7" s="721">
        <f>IF(ISNUMBER(System!$C8),PlotData!C8+ Querkraft!$E$2*$AF$1*C7,PlotData!$CB$3)</f>
        <v>4.1269001106855869</v>
      </c>
      <c r="AD7" s="721">
        <f>IF(ISNUMBER(System!$C8),PlotData!D8+ Querkraft!$E$2*$AF$1*D7,PlotData!$CB$3)</f>
        <v>-7.8730998893144131</v>
      </c>
      <c r="AE7" s="721">
        <f>IF(ISNUMBER(System!$C8),PlotData!E8+ Querkraft!$E$2*$AF$1*E7,PlotData!$CB$3)</f>
        <v>-19.873099889314414</v>
      </c>
      <c r="AF7" s="721">
        <f>IF(ISNUMBER(System!$C8),PlotData!F8+Querkraft!$E$2* $AF$1*F7,PlotData!$CB$3)</f>
        <v>-31.873099889314414</v>
      </c>
      <c r="AG7" s="721">
        <f>IF(ISNUMBER(System!$C8),PlotData!G8+ Querkraft!$E$2*$AF$1*G7,PlotData!$CB$3)</f>
        <v>-43.87309988931441</v>
      </c>
      <c r="AH7" s="721">
        <f>IF(ISNUMBER(System!$C8),PlotData!H8+Querkraft!$E$2* $AF$1*H7,PlotData!$CB$3)</f>
        <v>-55.87309988931441</v>
      </c>
      <c r="AI7" s="721">
        <f>IF(ISNUMBER(System!$C8),PlotData!I8+ Querkraft!$E$2*$AF$1*I7,PlotData!$CB$3)</f>
        <v>-67.873099889314418</v>
      </c>
      <c r="AJ7" s="721">
        <f>IF(ISNUMBER(System!$C8),PlotData!J8+Querkraft!$E$2*$AF$1*J7,PlotData!$CB$3)</f>
        <v>-79.873099889314418</v>
      </c>
      <c r="AK7" s="721">
        <f>IF(ISNUMBER(System!$C8),PlotData!K8+ Querkraft!$E$2*$AF$1*K7,PlotData!$CB$3)</f>
        <v>-91.873099889314418</v>
      </c>
      <c r="AL7" s="639">
        <f>IF(ISNUMBER(System!$C8),PlotData!L8+ Querkraft!$E$2*$AF$1*L7,PlotData!$CB$3)</f>
        <v>-103.87309988931442</v>
      </c>
      <c r="AM7" s="668">
        <f>IF(ISNUMBER(System!$C8),PlotData!L8,PlotData!$CB$3)</f>
        <v>-100</v>
      </c>
      <c r="AN7" s="721">
        <f>IF(ISNUMBER(System!$C8),PlotData!B8,PlotData!$CB$3)</f>
        <v>20</v>
      </c>
      <c r="AO7" s="639">
        <f>IF(ISNUMBER(System!$C8),AB7,PlotData!$CB$3)</f>
        <v>16.126900110685586</v>
      </c>
      <c r="AQ7" s="1124">
        <v>5</v>
      </c>
      <c r="AR7" s="1146">
        <f>IF(ISNUMBER(System!$C8),PlotData!O8+ Querkraft!$E$2*$AF$1*O7,PlotData!$CB$4)</f>
        <v>-43.319799905126636</v>
      </c>
      <c r="AS7" s="721">
        <f>IF(ISNUMBER(System!$C8),PlotData!P8+Querkraft!$E$2* $AF$1*P7,PlotData!$CB$4)</f>
        <v>-29.31979990512664</v>
      </c>
      <c r="AT7" s="721">
        <f>IF(ISNUMBER(System!$C8),PlotData!Q8+Querkraft!$E$2*$AF$1*Q7,PlotData!$CB$4)</f>
        <v>-15.31979990512664</v>
      </c>
      <c r="AU7" s="721">
        <f>IF(ISNUMBER(System!$C8),PlotData!R8+ Querkraft!$E$2*$AF$1*R7,PlotData!$CB$4)</f>
        <v>-1.3197999051266396</v>
      </c>
      <c r="AV7" s="721">
        <f>IF(ISNUMBER(System!$C8),PlotData!S8+ Querkraft!$E$2*$AF$1*S7,PlotData!$CB$4)</f>
        <v>12.68020009487336</v>
      </c>
      <c r="AW7" s="721">
        <f>IF(ISNUMBER(System!$C8),PlotData!T8+ Querkraft!$E$2*$AF$1*T7,PlotData!$CB$4)</f>
        <v>26.68020009487336</v>
      </c>
      <c r="AX7" s="721">
        <f>IF(ISNUMBER(System!$C8),PlotData!U8+ Querkraft!$E$2*$AF$1*U7,PlotData!$CB$4)</f>
        <v>40.680200094873364</v>
      </c>
      <c r="AY7" s="721">
        <f>IF(ISNUMBER(System!$C8),PlotData!V8+ Querkraft!$E$2*$AF$1*V7,PlotData!$CB$4)</f>
        <v>54.680200094873364</v>
      </c>
      <c r="AZ7" s="721">
        <f>IF(ISNUMBER(System!$C8),PlotData!W8+ Querkraft!$E$2*$AF$1*W7,PlotData!$CB$4)</f>
        <v>68.680200094873356</v>
      </c>
      <c r="BA7" s="721">
        <f>IF(ISNUMBER(System!$C8),PlotData!X8+Querkraft!$E$2* $AF$1*X7,PlotData!$CB$4)</f>
        <v>82.680200094873356</v>
      </c>
      <c r="BB7" s="639">
        <f>IF(ISNUMBER(System!$C8),PlotData!Y8+Querkraft!$E$2*$AF$1*Y7,PlotData!$CB$4)</f>
        <v>96.680200094873356</v>
      </c>
      <c r="BC7" s="668">
        <f>IF(ISNUMBER(System!$C8),PlotData!Y8, PlotData!CB$4)</f>
        <v>100</v>
      </c>
      <c r="BD7" s="721">
        <f>IF(ISNUMBER(System!$C8),PlotData!O8, PlotData!$CB$4)</f>
        <v>-40</v>
      </c>
      <c r="BE7" s="639">
        <f>IF(ISNUMBER(System!$C8), AR7,PlotData!$CB$4)</f>
        <v>-43.319799905126636</v>
      </c>
      <c r="BG7" s="668" t="s">
        <v>472</v>
      </c>
      <c r="BH7" s="721">
        <f>BH2+BH4</f>
        <v>128.62300978451162</v>
      </c>
      <c r="BI7" s="639">
        <f>BH3+BH4</f>
        <v>136.69819891454716</v>
      </c>
    </row>
    <row r="8" spans="1:61" x14ac:dyDescent="0.25">
      <c r="A8" s="1124">
        <v>6</v>
      </c>
      <c r="B8" s="668"/>
      <c r="C8" s="721"/>
      <c r="D8" s="721"/>
      <c r="E8" s="721"/>
      <c r="F8" s="721"/>
      <c r="G8" s="721"/>
      <c r="H8" s="721"/>
      <c r="I8" s="721"/>
      <c r="J8" s="721"/>
      <c r="K8" s="721"/>
      <c r="L8" s="639"/>
      <c r="N8" s="1124">
        <v>6</v>
      </c>
      <c r="O8" s="668"/>
      <c r="P8" s="721"/>
      <c r="Q8" s="721"/>
      <c r="R8" s="721"/>
      <c r="S8" s="721"/>
      <c r="T8" s="721"/>
      <c r="U8" s="721"/>
      <c r="V8" s="721"/>
      <c r="W8" s="721"/>
      <c r="X8" s="721"/>
      <c r="Y8" s="639"/>
      <c r="AA8" s="1125">
        <v>6</v>
      </c>
      <c r="AB8" s="668">
        <f>IF(ISNUMBER(System!$C9),PlotData!B9+ Querkraft!$E$2*$AF$1*B8,PlotData!$CB$3)</f>
        <v>0</v>
      </c>
      <c r="AC8" s="721">
        <f>IF(ISNUMBER(System!$C9),PlotData!C9+ Querkraft!$E$2*$AF$1*C8,PlotData!$CB$3)</f>
        <v>0</v>
      </c>
      <c r="AD8" s="721">
        <f>IF(ISNUMBER(System!$C9),PlotData!D9+ Querkraft!$E$2*$AF$1*D8,PlotData!$CB$3)</f>
        <v>0</v>
      </c>
      <c r="AE8" s="721">
        <f>IF(ISNUMBER(System!$C9),PlotData!E9+ Querkraft!$E$2*$AF$1*E8,PlotData!$CB$3)</f>
        <v>0</v>
      </c>
      <c r="AF8" s="721">
        <f>IF(ISNUMBER(System!$C9),PlotData!F9+Querkraft!$E$2* $AF$1*F8,PlotData!$CB$3)</f>
        <v>0</v>
      </c>
      <c r="AG8" s="721">
        <f>IF(ISNUMBER(System!$C9),PlotData!G9+ Querkraft!$E$2*$AF$1*G8,PlotData!$CB$3)</f>
        <v>0</v>
      </c>
      <c r="AH8" s="721">
        <f>IF(ISNUMBER(System!$C9),PlotData!H9+Querkraft!$E$2* $AF$1*H8,PlotData!$CB$3)</f>
        <v>0</v>
      </c>
      <c r="AI8" s="721">
        <f>IF(ISNUMBER(System!$C9),PlotData!I9+ Querkraft!$E$2*$AF$1*I8,PlotData!$CB$3)</f>
        <v>0</v>
      </c>
      <c r="AJ8" s="721">
        <f>IF(ISNUMBER(System!$C9),PlotData!J9+Querkraft!$E$2*$AF$1*J8,PlotData!$CB$3)</f>
        <v>0</v>
      </c>
      <c r="AK8" s="721">
        <f>IF(ISNUMBER(System!$C9),PlotData!K9+ Querkraft!$E$2*$AF$1*K8,PlotData!$CB$3)</f>
        <v>0</v>
      </c>
      <c r="AL8" s="639">
        <f>IF(ISNUMBER(System!$C9),PlotData!L9+ Querkraft!$E$2*$AF$1*L8,PlotData!$CB$3)</f>
        <v>0</v>
      </c>
      <c r="AM8" s="668">
        <f>IF(ISNUMBER(System!$C9),PlotData!L9,PlotData!$CB$3)</f>
        <v>0</v>
      </c>
      <c r="AN8" s="721">
        <f>IF(ISNUMBER(System!$C9),PlotData!B9,PlotData!$CB$3)</f>
        <v>0</v>
      </c>
      <c r="AO8" s="639">
        <f>IF(ISNUMBER(System!$C9),AB8,PlotData!$CB$3)</f>
        <v>0</v>
      </c>
      <c r="AQ8" s="1124">
        <v>6</v>
      </c>
      <c r="AR8" s="1146">
        <f>IF(ISNUMBER(System!$C9),PlotData!O9+ Querkraft!$E$2*$AF$1*O8,PlotData!$CB$4)</f>
        <v>0</v>
      </c>
      <c r="AS8" s="721">
        <f>IF(ISNUMBER(System!$C9),PlotData!P9+Querkraft!$E$2* $AF$1*P8,PlotData!$CB$4)</f>
        <v>0</v>
      </c>
      <c r="AT8" s="721">
        <f>IF(ISNUMBER(System!$C9),PlotData!Q9+Querkraft!$E$2*$AF$1*Q8,PlotData!$CB$4)</f>
        <v>0</v>
      </c>
      <c r="AU8" s="721">
        <f>IF(ISNUMBER(System!$C9),PlotData!R9+ Querkraft!$E$2*$AF$1*R8,PlotData!$CB$4)</f>
        <v>0</v>
      </c>
      <c r="AV8" s="721">
        <f>IF(ISNUMBER(System!$C9),PlotData!S9+ Querkraft!$E$2*$AF$1*S8,PlotData!$CB$4)</f>
        <v>0</v>
      </c>
      <c r="AW8" s="721">
        <f>IF(ISNUMBER(System!$C9),PlotData!T9+ Querkraft!$E$2*$AF$1*T8,PlotData!$CB$4)</f>
        <v>0</v>
      </c>
      <c r="AX8" s="721">
        <f>IF(ISNUMBER(System!$C9),PlotData!U9+ Querkraft!$E$2*$AF$1*U8,PlotData!$CB$4)</f>
        <v>0</v>
      </c>
      <c r="AY8" s="721">
        <f>IF(ISNUMBER(System!$C9),PlotData!V9+ Querkraft!$E$2*$AF$1*V8,PlotData!$CB$4)</f>
        <v>0</v>
      </c>
      <c r="AZ8" s="721">
        <f>IF(ISNUMBER(System!$C9),PlotData!W9+ Querkraft!$E$2*$AF$1*W8,PlotData!$CB$4)</f>
        <v>0</v>
      </c>
      <c r="BA8" s="721">
        <f>IF(ISNUMBER(System!$C9),PlotData!X9+Querkraft!$E$2* $AF$1*X8,PlotData!$CB$4)</f>
        <v>0</v>
      </c>
      <c r="BB8" s="639">
        <f>IF(ISNUMBER(System!$C9),PlotData!Y9+Querkraft!$E$2*$AF$1*Y8,PlotData!$CB$4)</f>
        <v>0</v>
      </c>
      <c r="BC8" s="668">
        <f>IF(ISNUMBER(System!$C9),PlotData!Y9, PlotData!CB$4)</f>
        <v>0</v>
      </c>
      <c r="BD8" s="721">
        <f>IF(ISNUMBER(System!$C9),PlotData!O9, PlotData!$CB$4)</f>
        <v>0</v>
      </c>
      <c r="BE8" s="639">
        <f>IF(ISNUMBER(System!$C9), AR8,PlotData!$CB$4)</f>
        <v>0</v>
      </c>
      <c r="BG8" s="668" t="s">
        <v>473</v>
      </c>
      <c r="BH8" s="721">
        <f>BH7</f>
        <v>128.62300978451162</v>
      </c>
      <c r="BI8" s="639">
        <f>BH3-BH4</f>
        <v>-135.50730578469711</v>
      </c>
    </row>
    <row r="9" spans="1:61" ht="13.8" thickBot="1" x14ac:dyDescent="0.3">
      <c r="A9" s="1124">
        <v>7</v>
      </c>
      <c r="B9" s="668"/>
      <c r="C9" s="721"/>
      <c r="D9" s="721"/>
      <c r="E9" s="721"/>
      <c r="F9" s="721"/>
      <c r="G9" s="721"/>
      <c r="H9" s="721"/>
      <c r="I9" s="721"/>
      <c r="J9" s="721"/>
      <c r="K9" s="721"/>
      <c r="L9" s="639"/>
      <c r="N9" s="1124">
        <v>7</v>
      </c>
      <c r="O9" s="668"/>
      <c r="P9" s="721"/>
      <c r="Q9" s="721"/>
      <c r="R9" s="721"/>
      <c r="S9" s="721"/>
      <c r="T9" s="721"/>
      <c r="U9" s="721"/>
      <c r="V9" s="721"/>
      <c r="W9" s="721"/>
      <c r="X9" s="721"/>
      <c r="Y9" s="639"/>
      <c r="AA9" s="1125">
        <v>7</v>
      </c>
      <c r="AB9" s="668">
        <f>IF(ISNUMBER(System!$C10),PlotData!B10+ Querkraft!$E$2*$AF$1*B9,PlotData!$CB$3)</f>
        <v>0</v>
      </c>
      <c r="AC9" s="721">
        <f>IF(ISNUMBER(System!$C10),PlotData!C10+ Querkraft!$E$2*$AF$1*C9,PlotData!$CB$3)</f>
        <v>0</v>
      </c>
      <c r="AD9" s="721">
        <f>IF(ISNUMBER(System!$C10),PlotData!D10+ Querkraft!$E$2*$AF$1*D9,PlotData!$CB$3)</f>
        <v>0</v>
      </c>
      <c r="AE9" s="721">
        <f>IF(ISNUMBER(System!$C10),PlotData!E10+ Querkraft!$E$2*$AF$1*E9,PlotData!$CB$3)</f>
        <v>0</v>
      </c>
      <c r="AF9" s="721">
        <f>IF(ISNUMBER(System!$C10),PlotData!F10+Querkraft!$E$2* $AF$1*F9,PlotData!$CB$3)</f>
        <v>0</v>
      </c>
      <c r="AG9" s="721">
        <f>IF(ISNUMBER(System!$C10),PlotData!G10+ Querkraft!$E$2*$AF$1*G9,PlotData!$CB$3)</f>
        <v>0</v>
      </c>
      <c r="AH9" s="721">
        <f>IF(ISNUMBER(System!$C10),PlotData!H10+Querkraft!$E$2* $AF$1*H9,PlotData!$CB$3)</f>
        <v>0</v>
      </c>
      <c r="AI9" s="721">
        <f>IF(ISNUMBER(System!$C10),PlotData!I10+ Querkraft!$E$2*$AF$1*I9,PlotData!$CB$3)</f>
        <v>0</v>
      </c>
      <c r="AJ9" s="721">
        <f>IF(ISNUMBER(System!$C10),PlotData!J10+Querkraft!$E$2*$AF$1*J9,PlotData!$CB$3)</f>
        <v>0</v>
      </c>
      <c r="AK9" s="721">
        <f>IF(ISNUMBER(System!$C10),PlotData!K10+ Querkraft!$E$2*$AF$1*K9,PlotData!$CB$3)</f>
        <v>0</v>
      </c>
      <c r="AL9" s="639">
        <f>IF(ISNUMBER(System!$C10),PlotData!L10+ Querkraft!$E$2*$AF$1*L9,PlotData!$CB$3)</f>
        <v>0</v>
      </c>
      <c r="AM9" s="668">
        <f>IF(ISNUMBER(System!$C10),PlotData!L10,PlotData!$CB$3)</f>
        <v>0</v>
      </c>
      <c r="AN9" s="721">
        <f>IF(ISNUMBER(System!$C10),PlotData!B10,PlotData!$CB$3)</f>
        <v>0</v>
      </c>
      <c r="AO9" s="639">
        <f>IF(ISNUMBER(System!$C10),AB9,PlotData!$CB$3)</f>
        <v>0</v>
      </c>
      <c r="AQ9" s="1124">
        <v>7</v>
      </c>
      <c r="AR9" s="1146">
        <f>IF(ISNUMBER(System!$C10),PlotData!O10+ Querkraft!$E$2*$AF$1*O9,PlotData!$CB$4)</f>
        <v>0</v>
      </c>
      <c r="AS9" s="721">
        <f>IF(ISNUMBER(System!$C10),PlotData!P10+Querkraft!$E$2* $AF$1*P9,PlotData!$CB$4)</f>
        <v>0</v>
      </c>
      <c r="AT9" s="721">
        <f>IF(ISNUMBER(System!$C10),PlotData!Q10+Querkraft!$E$2*$AF$1*Q9,PlotData!$CB$4)</f>
        <v>0</v>
      </c>
      <c r="AU9" s="721">
        <f>IF(ISNUMBER(System!$C10),PlotData!R10+ Querkraft!$E$2*$AF$1*R9,PlotData!$CB$4)</f>
        <v>0</v>
      </c>
      <c r="AV9" s="721">
        <f>IF(ISNUMBER(System!$C10),PlotData!S10+ Querkraft!$E$2*$AF$1*S9,PlotData!$CB$4)</f>
        <v>0</v>
      </c>
      <c r="AW9" s="721">
        <f>IF(ISNUMBER(System!$C10),PlotData!T10+ Querkraft!$E$2*$AF$1*T9,PlotData!$CB$4)</f>
        <v>0</v>
      </c>
      <c r="AX9" s="721">
        <f>IF(ISNUMBER(System!$C10),PlotData!U10+ Querkraft!$E$2*$AF$1*U9,PlotData!$CB$4)</f>
        <v>0</v>
      </c>
      <c r="AY9" s="721">
        <f>IF(ISNUMBER(System!$C10),PlotData!V10+ Querkraft!$E$2*$AF$1*V9,PlotData!$CB$4)</f>
        <v>0</v>
      </c>
      <c r="AZ9" s="721">
        <f>IF(ISNUMBER(System!$C10),PlotData!W10+ Querkraft!$E$2*$AF$1*W9,PlotData!$CB$4)</f>
        <v>0</v>
      </c>
      <c r="BA9" s="721">
        <f>IF(ISNUMBER(System!$C10),PlotData!X10+Querkraft!$E$2* $AF$1*X9,PlotData!$CB$4)</f>
        <v>0</v>
      </c>
      <c r="BB9" s="639">
        <f>IF(ISNUMBER(System!$C10),PlotData!Y10+Querkraft!$E$2*$AF$1*Y9,PlotData!$CB$4)</f>
        <v>0</v>
      </c>
      <c r="BC9" s="668">
        <f>IF(ISNUMBER(System!$C10),PlotData!Y10, PlotData!CB$4)</f>
        <v>0</v>
      </c>
      <c r="BD9" s="721">
        <f>IF(ISNUMBER(System!$C10),PlotData!O10, PlotData!$CB$4)</f>
        <v>0</v>
      </c>
      <c r="BE9" s="639">
        <f>IF(ISNUMBER(System!$C10), AR9,PlotData!$CB$4)</f>
        <v>0</v>
      </c>
      <c r="BG9" s="669" t="s">
        <v>474</v>
      </c>
      <c r="BH9" s="1137">
        <f>BH6</f>
        <v>-143.58249491473265</v>
      </c>
      <c r="BI9" s="646">
        <f>BI8</f>
        <v>-135.50730578469711</v>
      </c>
    </row>
    <row r="10" spans="1:61" x14ac:dyDescent="0.25">
      <c r="A10" s="1124">
        <v>8</v>
      </c>
      <c r="B10" s="668"/>
      <c r="C10" s="721"/>
      <c r="D10" s="721"/>
      <c r="E10" s="721"/>
      <c r="F10" s="721"/>
      <c r="G10" s="721"/>
      <c r="H10" s="721"/>
      <c r="I10" s="721"/>
      <c r="J10" s="721"/>
      <c r="K10" s="721"/>
      <c r="L10" s="639"/>
      <c r="N10" s="1124">
        <v>8</v>
      </c>
      <c r="O10" s="668"/>
      <c r="P10" s="721"/>
      <c r="Q10" s="721"/>
      <c r="R10" s="721"/>
      <c r="S10" s="721"/>
      <c r="T10" s="721"/>
      <c r="U10" s="721"/>
      <c r="V10" s="721"/>
      <c r="W10" s="721"/>
      <c r="X10" s="721"/>
      <c r="Y10" s="639"/>
      <c r="AA10" s="1125">
        <v>8</v>
      </c>
      <c r="AB10" s="668">
        <f>IF(ISNUMBER(System!$C11),PlotData!B11+ Querkraft!$E$2*$AF$1*B10,PlotData!$CB$3)</f>
        <v>0</v>
      </c>
      <c r="AC10" s="721">
        <f>IF(ISNUMBER(System!$C11),PlotData!C11+ Querkraft!$E$2*$AF$1*C10,PlotData!$CB$3)</f>
        <v>0</v>
      </c>
      <c r="AD10" s="721">
        <f>IF(ISNUMBER(System!$C11),PlotData!D11+ Querkraft!$E$2*$AF$1*D10,PlotData!$CB$3)</f>
        <v>0</v>
      </c>
      <c r="AE10" s="721">
        <f>IF(ISNUMBER(System!$C11),PlotData!E11+ Querkraft!$E$2*$AF$1*E10,PlotData!$CB$3)</f>
        <v>0</v>
      </c>
      <c r="AF10" s="721">
        <f>IF(ISNUMBER(System!$C11),PlotData!F11+Querkraft!$E$2* $AF$1*F10,PlotData!$CB$3)</f>
        <v>0</v>
      </c>
      <c r="AG10" s="721">
        <f>IF(ISNUMBER(System!$C11),PlotData!G11+ Querkraft!$E$2*$AF$1*G10,PlotData!$CB$3)</f>
        <v>0</v>
      </c>
      <c r="AH10" s="721">
        <f>IF(ISNUMBER(System!$C11),PlotData!H11+Querkraft!$E$2* $AF$1*H10,PlotData!$CB$3)</f>
        <v>0</v>
      </c>
      <c r="AI10" s="721">
        <f>IF(ISNUMBER(System!$C11),PlotData!I11+ Querkraft!$E$2*$AF$1*I10,PlotData!$CB$3)</f>
        <v>0</v>
      </c>
      <c r="AJ10" s="721">
        <f>IF(ISNUMBER(System!$C11),PlotData!J11+Querkraft!$E$2*$AF$1*J10,PlotData!$CB$3)</f>
        <v>0</v>
      </c>
      <c r="AK10" s="721">
        <f>IF(ISNUMBER(System!$C11),PlotData!K11+ Querkraft!$E$2*$AF$1*K10,PlotData!$CB$3)</f>
        <v>0</v>
      </c>
      <c r="AL10" s="639">
        <f>IF(ISNUMBER(System!$C11),PlotData!L11+ Querkraft!$E$2*$AF$1*L10,PlotData!$CB$3)</f>
        <v>0</v>
      </c>
      <c r="AM10" s="668">
        <f>IF(ISNUMBER(System!$C11),PlotData!L11,PlotData!$CB$3)</f>
        <v>0</v>
      </c>
      <c r="AN10" s="721">
        <f>IF(ISNUMBER(System!$C11),PlotData!B11,PlotData!$CB$3)</f>
        <v>0</v>
      </c>
      <c r="AO10" s="639">
        <f>IF(ISNUMBER(System!$C11),AB10,PlotData!$CB$3)</f>
        <v>0</v>
      </c>
      <c r="AQ10" s="1124">
        <v>8</v>
      </c>
      <c r="AR10" s="1146">
        <f>IF(ISNUMBER(System!$C11),PlotData!O11+ Querkraft!$E$2*$AF$1*O10,PlotData!$CB$4)</f>
        <v>0</v>
      </c>
      <c r="AS10" s="721">
        <f>IF(ISNUMBER(System!$C11),PlotData!P11+Querkraft!$E$2* $AF$1*P10,PlotData!$CB$4)</f>
        <v>0</v>
      </c>
      <c r="AT10" s="721">
        <f>IF(ISNUMBER(System!$C11),PlotData!Q11+Querkraft!$E$2*$AF$1*Q10,PlotData!$CB$4)</f>
        <v>0</v>
      </c>
      <c r="AU10" s="721">
        <f>IF(ISNUMBER(System!$C11),PlotData!R11+ Querkraft!$E$2*$AF$1*R10,PlotData!$CB$4)</f>
        <v>0</v>
      </c>
      <c r="AV10" s="721">
        <f>IF(ISNUMBER(System!$C11),PlotData!S11+ Querkraft!$E$2*$AF$1*S10,PlotData!$CB$4)</f>
        <v>0</v>
      </c>
      <c r="AW10" s="721">
        <f>IF(ISNUMBER(System!$C11),PlotData!T11+ Querkraft!$E$2*$AF$1*T10,PlotData!$CB$4)</f>
        <v>0</v>
      </c>
      <c r="AX10" s="721">
        <f>IF(ISNUMBER(System!$C11),PlotData!U11+ Querkraft!$E$2*$AF$1*U10,PlotData!$CB$4)</f>
        <v>0</v>
      </c>
      <c r="AY10" s="721">
        <f>IF(ISNUMBER(System!$C11),PlotData!V11+ Querkraft!$E$2*$AF$1*V10,PlotData!$CB$4)</f>
        <v>0</v>
      </c>
      <c r="AZ10" s="721">
        <f>IF(ISNUMBER(System!$C11),PlotData!W11+ Querkraft!$E$2*$AF$1*W10,PlotData!$CB$4)</f>
        <v>0</v>
      </c>
      <c r="BA10" s="721">
        <f>IF(ISNUMBER(System!$C11),PlotData!X11+Querkraft!$E$2* $AF$1*X10,PlotData!$CB$4)</f>
        <v>0</v>
      </c>
      <c r="BB10" s="639">
        <f>IF(ISNUMBER(System!$C11),PlotData!Y11+Querkraft!$E$2*$AF$1*Y10,PlotData!$CB$4)</f>
        <v>0</v>
      </c>
      <c r="BC10" s="668">
        <f>IF(ISNUMBER(System!$C11),PlotData!Y11, PlotData!CB$4)</f>
        <v>0</v>
      </c>
      <c r="BD10" s="721">
        <f>IF(ISNUMBER(System!$C11),PlotData!O11, PlotData!$CB$4)</f>
        <v>0</v>
      </c>
      <c r="BE10" s="639">
        <f>IF(ISNUMBER(System!$C11), AR10,PlotData!$CB$4)</f>
        <v>0</v>
      </c>
    </row>
    <row r="11" spans="1:61" x14ac:dyDescent="0.25">
      <c r="A11" s="1124">
        <v>9</v>
      </c>
      <c r="B11" s="668"/>
      <c r="C11" s="721"/>
      <c r="D11" s="721"/>
      <c r="E11" s="721"/>
      <c r="F11" s="721"/>
      <c r="G11" s="721"/>
      <c r="H11" s="721"/>
      <c r="I11" s="721"/>
      <c r="J11" s="721"/>
      <c r="K11" s="721"/>
      <c r="L11" s="639"/>
      <c r="N11" s="1124">
        <v>9</v>
      </c>
      <c r="O11" s="668"/>
      <c r="P11" s="721"/>
      <c r="Q11" s="721"/>
      <c r="R11" s="721"/>
      <c r="S11" s="721"/>
      <c r="T11" s="721"/>
      <c r="U11" s="721"/>
      <c r="V11" s="721"/>
      <c r="W11" s="721"/>
      <c r="X11" s="721"/>
      <c r="Y11" s="639"/>
      <c r="AA11" s="1125">
        <v>9</v>
      </c>
      <c r="AB11" s="668">
        <f>IF(ISNUMBER(System!$C12),PlotData!B12+ Querkraft!$E$2*$AF$1*B11,PlotData!$CB$3)</f>
        <v>0</v>
      </c>
      <c r="AC11" s="721">
        <f>IF(ISNUMBER(System!$C12),PlotData!C12+ Querkraft!$E$2*$AF$1*C11,PlotData!$CB$3)</f>
        <v>0</v>
      </c>
      <c r="AD11" s="721">
        <f>IF(ISNUMBER(System!$C12),PlotData!D12+ Querkraft!$E$2*$AF$1*D11,PlotData!$CB$3)</f>
        <v>0</v>
      </c>
      <c r="AE11" s="721">
        <f>IF(ISNUMBER(System!$C12),PlotData!E12+ Querkraft!$E$2*$AF$1*E11,PlotData!$CB$3)</f>
        <v>0</v>
      </c>
      <c r="AF11" s="721">
        <f>IF(ISNUMBER(System!$C12),PlotData!F12+Querkraft!$E$2* $AF$1*F11,PlotData!$CB$3)</f>
        <v>0</v>
      </c>
      <c r="AG11" s="721">
        <f>IF(ISNUMBER(System!$C12),PlotData!G12+ Querkraft!$E$2*$AF$1*G11,PlotData!$CB$3)</f>
        <v>0</v>
      </c>
      <c r="AH11" s="721">
        <f>IF(ISNUMBER(System!$C12),PlotData!H12+Querkraft!$E$2* $AF$1*H11,PlotData!$CB$3)</f>
        <v>0</v>
      </c>
      <c r="AI11" s="721">
        <f>IF(ISNUMBER(System!$C12),PlotData!I12+ Querkraft!$E$2*$AF$1*I11,PlotData!$CB$3)</f>
        <v>0</v>
      </c>
      <c r="AJ11" s="721">
        <f>IF(ISNUMBER(System!$C12),PlotData!J12+Querkraft!$E$2*$AF$1*J11,PlotData!$CB$3)</f>
        <v>0</v>
      </c>
      <c r="AK11" s="721">
        <f>IF(ISNUMBER(System!$C12),PlotData!K12+ Querkraft!$E$2*$AF$1*K11,PlotData!$CB$3)</f>
        <v>0</v>
      </c>
      <c r="AL11" s="639">
        <f>IF(ISNUMBER(System!$C12),PlotData!L12+ Querkraft!$E$2*$AF$1*L11,PlotData!$CB$3)</f>
        <v>0</v>
      </c>
      <c r="AM11" s="668">
        <f>IF(ISNUMBER(System!$C12),PlotData!L12,PlotData!$CB$3)</f>
        <v>0</v>
      </c>
      <c r="AN11" s="721">
        <f>IF(ISNUMBER(System!$C12),PlotData!B12,PlotData!$CB$3)</f>
        <v>0</v>
      </c>
      <c r="AO11" s="639">
        <f>IF(ISNUMBER(System!$C12),AB11,PlotData!$CB$3)</f>
        <v>0</v>
      </c>
      <c r="AQ11" s="1124">
        <v>9</v>
      </c>
      <c r="AR11" s="1146">
        <f>IF(ISNUMBER(System!$C12),PlotData!O12+ Querkraft!$E$2*$AF$1*O11,PlotData!$CB$4)</f>
        <v>0</v>
      </c>
      <c r="AS11" s="721">
        <f>IF(ISNUMBER(System!$C12),PlotData!P12+Querkraft!$E$2* $AF$1*P11,PlotData!$CB$4)</f>
        <v>0</v>
      </c>
      <c r="AT11" s="721">
        <f>IF(ISNUMBER(System!$C12),PlotData!Q12+Querkraft!$E$2*$AF$1*Q11,PlotData!$CB$4)</f>
        <v>0</v>
      </c>
      <c r="AU11" s="721">
        <f>IF(ISNUMBER(System!$C12),PlotData!R12+ Querkraft!$E$2*$AF$1*R11,PlotData!$CB$4)</f>
        <v>0</v>
      </c>
      <c r="AV11" s="721">
        <f>IF(ISNUMBER(System!$C12),PlotData!S12+ Querkraft!$E$2*$AF$1*S11,PlotData!$CB$4)</f>
        <v>0</v>
      </c>
      <c r="AW11" s="721">
        <f>IF(ISNUMBER(System!$C12),PlotData!T12+ Querkraft!$E$2*$AF$1*T11,PlotData!$CB$4)</f>
        <v>0</v>
      </c>
      <c r="AX11" s="721">
        <f>IF(ISNUMBER(System!$C12),PlotData!U12+ Querkraft!$E$2*$AF$1*U11,PlotData!$CB$4)</f>
        <v>0</v>
      </c>
      <c r="AY11" s="721">
        <f>IF(ISNUMBER(System!$C12),PlotData!V12+ Querkraft!$E$2*$AF$1*V11,PlotData!$CB$4)</f>
        <v>0</v>
      </c>
      <c r="AZ11" s="721">
        <f>IF(ISNUMBER(System!$C12),PlotData!W12+ Querkraft!$E$2*$AF$1*W11,PlotData!$CB$4)</f>
        <v>0</v>
      </c>
      <c r="BA11" s="721">
        <f>IF(ISNUMBER(System!$C12),PlotData!X12+Querkraft!$E$2* $AF$1*X11,PlotData!$CB$4)</f>
        <v>0</v>
      </c>
      <c r="BB11" s="639">
        <f>IF(ISNUMBER(System!$C12),PlotData!Y12+Querkraft!$E$2*$AF$1*Y11,PlotData!$CB$4)</f>
        <v>0</v>
      </c>
      <c r="BC11" s="668">
        <f>IF(ISNUMBER(System!$C12),PlotData!Y12, PlotData!CB$4)</f>
        <v>0</v>
      </c>
      <c r="BD11" s="721">
        <f>IF(ISNUMBER(System!$C12),PlotData!O12, PlotData!$CB$4)</f>
        <v>0</v>
      </c>
      <c r="BE11" s="639">
        <f>IF(ISNUMBER(System!$C12), AR11,PlotData!$CB$4)</f>
        <v>0</v>
      </c>
    </row>
    <row r="12" spans="1:61" x14ac:dyDescent="0.25">
      <c r="A12" s="1124">
        <v>10</v>
      </c>
      <c r="B12" s="668"/>
      <c r="C12" s="721"/>
      <c r="D12" s="721"/>
      <c r="E12" s="721"/>
      <c r="F12" s="721"/>
      <c r="G12" s="721"/>
      <c r="H12" s="721"/>
      <c r="I12" s="721"/>
      <c r="J12" s="721"/>
      <c r="K12" s="721"/>
      <c r="L12" s="639"/>
      <c r="N12" s="1124">
        <v>10</v>
      </c>
      <c r="O12" s="668"/>
      <c r="P12" s="721"/>
      <c r="Q12" s="721"/>
      <c r="R12" s="721"/>
      <c r="S12" s="721"/>
      <c r="T12" s="721"/>
      <c r="U12" s="721"/>
      <c r="V12" s="721"/>
      <c r="W12" s="721"/>
      <c r="X12" s="721"/>
      <c r="Y12" s="639"/>
      <c r="AA12" s="1125">
        <v>10</v>
      </c>
      <c r="AB12" s="668">
        <f>IF(ISNUMBER(System!$C13),PlotData!B13+ Querkraft!$E$2*$AF$1*B12,PlotData!$CB$3)</f>
        <v>0</v>
      </c>
      <c r="AC12" s="721">
        <f>IF(ISNUMBER(System!$C13),PlotData!C13+ Querkraft!$E$2*$AF$1*C12,PlotData!$CB$3)</f>
        <v>0</v>
      </c>
      <c r="AD12" s="721">
        <f>IF(ISNUMBER(System!$C13),PlotData!D13+ Querkraft!$E$2*$AF$1*D12,PlotData!$CB$3)</f>
        <v>0</v>
      </c>
      <c r="AE12" s="721">
        <f>IF(ISNUMBER(System!$C13),PlotData!E13+ Querkraft!$E$2*$AF$1*E12,PlotData!$CB$3)</f>
        <v>0</v>
      </c>
      <c r="AF12" s="721">
        <f>IF(ISNUMBER(System!$C13),PlotData!F13+Querkraft!$E$2* $AF$1*F12,PlotData!$CB$3)</f>
        <v>0</v>
      </c>
      <c r="AG12" s="721">
        <f>IF(ISNUMBER(System!$C13),PlotData!G13+ Querkraft!$E$2*$AF$1*G12,PlotData!$CB$3)</f>
        <v>0</v>
      </c>
      <c r="AH12" s="721">
        <f>IF(ISNUMBER(System!$C13),PlotData!H13+Querkraft!$E$2* $AF$1*H12,PlotData!$CB$3)</f>
        <v>0</v>
      </c>
      <c r="AI12" s="721">
        <f>IF(ISNUMBER(System!$C13),PlotData!I13+ Querkraft!$E$2*$AF$1*I12,PlotData!$CB$3)</f>
        <v>0</v>
      </c>
      <c r="AJ12" s="721">
        <f>IF(ISNUMBER(System!$C13),PlotData!J13+Querkraft!$E$2*$AF$1*J12,PlotData!$CB$3)</f>
        <v>0</v>
      </c>
      <c r="AK12" s="721">
        <f>IF(ISNUMBER(System!$C13),PlotData!K13+ Querkraft!$E$2*$AF$1*K12,PlotData!$CB$3)</f>
        <v>0</v>
      </c>
      <c r="AL12" s="639">
        <f>IF(ISNUMBER(System!$C13),PlotData!L13+ Querkraft!$E$2*$AF$1*L12,PlotData!$CB$3)</f>
        <v>0</v>
      </c>
      <c r="AM12" s="668">
        <f>IF(ISNUMBER(System!$C13),PlotData!L13,PlotData!$CB$3)</f>
        <v>0</v>
      </c>
      <c r="AN12" s="721">
        <f>IF(ISNUMBER(System!$C13),PlotData!B13,PlotData!$CB$3)</f>
        <v>0</v>
      </c>
      <c r="AO12" s="639">
        <f>IF(ISNUMBER(System!$C13),AB12,PlotData!$CB$3)</f>
        <v>0</v>
      </c>
      <c r="AQ12" s="1124">
        <v>10</v>
      </c>
      <c r="AR12" s="1146">
        <f>IF(ISNUMBER(System!$C13),PlotData!O13+ Querkraft!$E$2*$AF$1*O12,PlotData!$CB$4)</f>
        <v>0</v>
      </c>
      <c r="AS12" s="721">
        <f>IF(ISNUMBER(System!$C13),PlotData!P13+Querkraft!$E$2* $AF$1*P12,PlotData!$CB$4)</f>
        <v>0</v>
      </c>
      <c r="AT12" s="721">
        <f>IF(ISNUMBER(System!$C13),PlotData!Q13+Querkraft!$E$2*$AF$1*Q12,PlotData!$CB$4)</f>
        <v>0</v>
      </c>
      <c r="AU12" s="721">
        <f>IF(ISNUMBER(System!$C13),PlotData!R13+ Querkraft!$E$2*$AF$1*R12,PlotData!$CB$4)</f>
        <v>0</v>
      </c>
      <c r="AV12" s="721">
        <f>IF(ISNUMBER(System!$C13),PlotData!S13+ Querkraft!$E$2*$AF$1*S12,PlotData!$CB$4)</f>
        <v>0</v>
      </c>
      <c r="AW12" s="721">
        <f>IF(ISNUMBER(System!$C13),PlotData!T13+ Querkraft!$E$2*$AF$1*T12,PlotData!$CB$4)</f>
        <v>0</v>
      </c>
      <c r="AX12" s="721">
        <f>IF(ISNUMBER(System!$C13),PlotData!U13+ Querkraft!$E$2*$AF$1*U12,PlotData!$CB$4)</f>
        <v>0</v>
      </c>
      <c r="AY12" s="721">
        <f>IF(ISNUMBER(System!$C13),PlotData!V13+ Querkraft!$E$2*$AF$1*V12,PlotData!$CB$4)</f>
        <v>0</v>
      </c>
      <c r="AZ12" s="721">
        <f>IF(ISNUMBER(System!$C13),PlotData!W13+ Querkraft!$E$2*$AF$1*W12,PlotData!$CB$4)</f>
        <v>0</v>
      </c>
      <c r="BA12" s="721">
        <f>IF(ISNUMBER(System!$C13),PlotData!X13+Querkraft!$E$2* $AF$1*X12,PlotData!$CB$4)</f>
        <v>0</v>
      </c>
      <c r="BB12" s="639">
        <f>IF(ISNUMBER(System!$C13),PlotData!Y13+Querkraft!$E$2*$AF$1*Y12,PlotData!$CB$4)</f>
        <v>0</v>
      </c>
      <c r="BC12" s="668">
        <f>IF(ISNUMBER(System!$C13),PlotData!Y13, PlotData!CB$4)</f>
        <v>0</v>
      </c>
      <c r="BD12" s="721">
        <f>IF(ISNUMBER(System!$C13),PlotData!O13, PlotData!$CB$4)</f>
        <v>0</v>
      </c>
      <c r="BE12" s="639">
        <f>IF(ISNUMBER(System!$C13), AR12,PlotData!$CB$4)</f>
        <v>0</v>
      </c>
    </row>
    <row r="13" spans="1:61" x14ac:dyDescent="0.25">
      <c r="A13" s="1124">
        <v>11</v>
      </c>
      <c r="B13" s="668"/>
      <c r="C13" s="721"/>
      <c r="D13" s="721"/>
      <c r="E13" s="721"/>
      <c r="F13" s="721"/>
      <c r="G13" s="721"/>
      <c r="H13" s="721"/>
      <c r="I13" s="721"/>
      <c r="J13" s="721"/>
      <c r="K13" s="721"/>
      <c r="L13" s="639"/>
      <c r="N13" s="1124">
        <v>11</v>
      </c>
      <c r="O13" s="668"/>
      <c r="P13" s="721"/>
      <c r="Q13" s="721"/>
      <c r="R13" s="721"/>
      <c r="S13" s="721"/>
      <c r="T13" s="721"/>
      <c r="U13" s="721"/>
      <c r="V13" s="721"/>
      <c r="W13" s="721"/>
      <c r="X13" s="721"/>
      <c r="Y13" s="639"/>
      <c r="AA13" s="1125">
        <v>11</v>
      </c>
      <c r="AB13" s="668">
        <f>IF(ISNUMBER(System!$C14),PlotData!B14+ Querkraft!$E$2*$AF$1*B13,PlotData!$CB$3)</f>
        <v>0</v>
      </c>
      <c r="AC13" s="721">
        <f>IF(ISNUMBER(System!$C14),PlotData!C14+ Querkraft!$E$2*$AF$1*C13,PlotData!$CB$3)</f>
        <v>0</v>
      </c>
      <c r="AD13" s="721">
        <f>IF(ISNUMBER(System!$C14),PlotData!D14+ Querkraft!$E$2*$AF$1*D13,PlotData!$CB$3)</f>
        <v>0</v>
      </c>
      <c r="AE13" s="721">
        <f>IF(ISNUMBER(System!$C14),PlotData!E14+ Querkraft!$E$2*$AF$1*E13,PlotData!$CB$3)</f>
        <v>0</v>
      </c>
      <c r="AF13" s="721">
        <f>IF(ISNUMBER(System!$C14),PlotData!F14+Querkraft!$E$2* $AF$1*F13,PlotData!$CB$3)</f>
        <v>0</v>
      </c>
      <c r="AG13" s="721">
        <f>IF(ISNUMBER(System!$C14),PlotData!G14+ Querkraft!$E$2*$AF$1*G13,PlotData!$CB$3)</f>
        <v>0</v>
      </c>
      <c r="AH13" s="721">
        <f>IF(ISNUMBER(System!$C14),PlotData!H14+Querkraft!$E$2* $AF$1*H13,PlotData!$CB$3)</f>
        <v>0</v>
      </c>
      <c r="AI13" s="721">
        <f>IF(ISNUMBER(System!$C14),PlotData!I14+ Querkraft!$E$2*$AF$1*I13,PlotData!$CB$3)</f>
        <v>0</v>
      </c>
      <c r="AJ13" s="721">
        <f>IF(ISNUMBER(System!$C14),PlotData!J14+Querkraft!$E$2*$AF$1*J13,PlotData!$CB$3)</f>
        <v>0</v>
      </c>
      <c r="AK13" s="721">
        <f>IF(ISNUMBER(System!$C14),PlotData!K14+ Querkraft!$E$2*$AF$1*K13,PlotData!$CB$3)</f>
        <v>0</v>
      </c>
      <c r="AL13" s="639">
        <f>IF(ISNUMBER(System!$C14),PlotData!L14+ Querkraft!$E$2*$AF$1*L13,PlotData!$CB$3)</f>
        <v>0</v>
      </c>
      <c r="AM13" s="668">
        <f>IF(ISNUMBER(System!$C14),PlotData!L14,PlotData!$CB$3)</f>
        <v>0</v>
      </c>
      <c r="AN13" s="721">
        <f>IF(ISNUMBER(System!$C14),PlotData!B14,PlotData!$CB$3)</f>
        <v>0</v>
      </c>
      <c r="AO13" s="639">
        <f>IF(ISNUMBER(System!$C14),AB13,PlotData!$CB$3)</f>
        <v>0</v>
      </c>
      <c r="AQ13" s="1124">
        <v>11</v>
      </c>
      <c r="AR13" s="1146">
        <f>IF(ISNUMBER(System!$C14),PlotData!O14+ Querkraft!$E$2*$AF$1*O13,PlotData!$CB$4)</f>
        <v>0</v>
      </c>
      <c r="AS13" s="721">
        <f>IF(ISNUMBER(System!$C14),PlotData!P14+Querkraft!$E$2* $AF$1*P13,PlotData!$CB$4)</f>
        <v>0</v>
      </c>
      <c r="AT13" s="721">
        <f>IF(ISNUMBER(System!$C14),PlotData!Q14+Querkraft!$E$2*$AF$1*Q13,PlotData!$CB$4)</f>
        <v>0</v>
      </c>
      <c r="AU13" s="721">
        <f>IF(ISNUMBER(System!$C14),PlotData!R14+ Querkraft!$E$2*$AF$1*R13,PlotData!$CB$4)</f>
        <v>0</v>
      </c>
      <c r="AV13" s="721">
        <f>IF(ISNUMBER(System!$C14),PlotData!S14+ Querkraft!$E$2*$AF$1*S13,PlotData!$CB$4)</f>
        <v>0</v>
      </c>
      <c r="AW13" s="721">
        <f>IF(ISNUMBER(System!$C14),PlotData!T14+ Querkraft!$E$2*$AF$1*T13,PlotData!$CB$4)</f>
        <v>0</v>
      </c>
      <c r="AX13" s="721">
        <f>IF(ISNUMBER(System!$C14),PlotData!U14+ Querkraft!$E$2*$AF$1*U13,PlotData!$CB$4)</f>
        <v>0</v>
      </c>
      <c r="AY13" s="721">
        <f>IF(ISNUMBER(System!$C14),PlotData!V14+ Querkraft!$E$2*$AF$1*V13,PlotData!$CB$4)</f>
        <v>0</v>
      </c>
      <c r="AZ13" s="721">
        <f>IF(ISNUMBER(System!$C14),PlotData!W14+ Querkraft!$E$2*$AF$1*W13,PlotData!$CB$4)</f>
        <v>0</v>
      </c>
      <c r="BA13" s="721">
        <f>IF(ISNUMBER(System!$C14),PlotData!X14+Querkraft!$E$2* $AF$1*X13,PlotData!$CB$4)</f>
        <v>0</v>
      </c>
      <c r="BB13" s="639">
        <f>IF(ISNUMBER(System!$C14),PlotData!Y14+Querkraft!$E$2*$AF$1*Y13,PlotData!$CB$4)</f>
        <v>0</v>
      </c>
      <c r="BC13" s="668">
        <f>IF(ISNUMBER(System!$C14),PlotData!Y14, PlotData!CB$4)</f>
        <v>0</v>
      </c>
      <c r="BD13" s="721">
        <f>IF(ISNUMBER(System!$C14),PlotData!O14, PlotData!$CB$4)</f>
        <v>0</v>
      </c>
      <c r="BE13" s="639">
        <f>IF(ISNUMBER(System!$C14), AR13,PlotData!$CB$4)</f>
        <v>0</v>
      </c>
    </row>
    <row r="14" spans="1:61" x14ac:dyDescent="0.25">
      <c r="A14" s="1124">
        <v>12</v>
      </c>
      <c r="B14" s="668"/>
      <c r="C14" s="721"/>
      <c r="D14" s="721"/>
      <c r="E14" s="721"/>
      <c r="F14" s="721"/>
      <c r="G14" s="721"/>
      <c r="H14" s="721"/>
      <c r="I14" s="721"/>
      <c r="J14" s="721"/>
      <c r="K14" s="721"/>
      <c r="L14" s="639"/>
      <c r="N14" s="1124">
        <v>12</v>
      </c>
      <c r="O14" s="668"/>
      <c r="P14" s="721"/>
      <c r="Q14" s="721"/>
      <c r="R14" s="721"/>
      <c r="S14" s="721"/>
      <c r="T14" s="721"/>
      <c r="U14" s="721"/>
      <c r="V14" s="721"/>
      <c r="W14" s="721"/>
      <c r="X14" s="721"/>
      <c r="Y14" s="639"/>
      <c r="AA14" s="1125">
        <v>12</v>
      </c>
      <c r="AB14" s="668">
        <f>IF(ISNUMBER(System!$C15),PlotData!B15+ Querkraft!$E$2*$AF$1*B14,PlotData!$CB$3)</f>
        <v>0</v>
      </c>
      <c r="AC14" s="721">
        <f>IF(ISNUMBER(System!$C15),PlotData!C15+ Querkraft!$E$2*$AF$1*C14,PlotData!$CB$3)</f>
        <v>0</v>
      </c>
      <c r="AD14" s="721">
        <f>IF(ISNUMBER(System!$C15),PlotData!D15+ Querkraft!$E$2*$AF$1*D14,PlotData!$CB$3)</f>
        <v>0</v>
      </c>
      <c r="AE14" s="721">
        <f>IF(ISNUMBER(System!$C15),PlotData!E15+ Querkraft!$E$2*$AF$1*E14,PlotData!$CB$3)</f>
        <v>0</v>
      </c>
      <c r="AF14" s="721">
        <f>IF(ISNUMBER(System!$C15),PlotData!F15+Querkraft!$E$2* $AF$1*F14,PlotData!$CB$3)</f>
        <v>0</v>
      </c>
      <c r="AG14" s="721">
        <f>IF(ISNUMBER(System!$C15),PlotData!G15+ Querkraft!$E$2*$AF$1*G14,PlotData!$CB$3)</f>
        <v>0</v>
      </c>
      <c r="AH14" s="721">
        <f>IF(ISNUMBER(System!$C15),PlotData!H15+Querkraft!$E$2* $AF$1*H14,PlotData!$CB$3)</f>
        <v>0</v>
      </c>
      <c r="AI14" s="721">
        <f>IF(ISNUMBER(System!$C15),PlotData!I15+ Querkraft!$E$2*$AF$1*I14,PlotData!$CB$3)</f>
        <v>0</v>
      </c>
      <c r="AJ14" s="721">
        <f>IF(ISNUMBER(System!$C15),PlotData!J15+Querkraft!$E$2*$AF$1*J14,PlotData!$CB$3)</f>
        <v>0</v>
      </c>
      <c r="AK14" s="721">
        <f>IF(ISNUMBER(System!$C15),PlotData!K15+ Querkraft!$E$2*$AF$1*K14,PlotData!$CB$3)</f>
        <v>0</v>
      </c>
      <c r="AL14" s="639">
        <f>IF(ISNUMBER(System!$C15),PlotData!L15+ Querkraft!$E$2*$AF$1*L14,PlotData!$CB$3)</f>
        <v>0</v>
      </c>
      <c r="AM14" s="668">
        <f>IF(ISNUMBER(System!$C15),PlotData!L15,PlotData!$CB$3)</f>
        <v>0</v>
      </c>
      <c r="AN14" s="721">
        <f>IF(ISNUMBER(System!$C15),PlotData!B15,PlotData!$CB$3)</f>
        <v>0</v>
      </c>
      <c r="AO14" s="639">
        <f>IF(ISNUMBER(System!$C15),AB14,PlotData!$CB$3)</f>
        <v>0</v>
      </c>
      <c r="AQ14" s="1124">
        <v>12</v>
      </c>
      <c r="AR14" s="1146">
        <f>IF(ISNUMBER(System!$C15),PlotData!O15+ Querkraft!$E$2*$AF$1*O14,PlotData!$CB$4)</f>
        <v>0</v>
      </c>
      <c r="AS14" s="721">
        <f>IF(ISNUMBER(System!$C15),PlotData!P15+Querkraft!$E$2* $AF$1*P14,PlotData!$CB$4)</f>
        <v>0</v>
      </c>
      <c r="AT14" s="721">
        <f>IF(ISNUMBER(System!$C15),PlotData!Q15+Querkraft!$E$2*$AF$1*Q14,PlotData!$CB$4)</f>
        <v>0</v>
      </c>
      <c r="AU14" s="721">
        <f>IF(ISNUMBER(System!$C15),PlotData!R15+ Querkraft!$E$2*$AF$1*R14,PlotData!$CB$4)</f>
        <v>0</v>
      </c>
      <c r="AV14" s="721">
        <f>IF(ISNUMBER(System!$C15),PlotData!S15+ Querkraft!$E$2*$AF$1*S14,PlotData!$CB$4)</f>
        <v>0</v>
      </c>
      <c r="AW14" s="721">
        <f>IF(ISNUMBER(System!$C15),PlotData!T15+ Querkraft!$E$2*$AF$1*T14,PlotData!$CB$4)</f>
        <v>0</v>
      </c>
      <c r="AX14" s="721">
        <f>IF(ISNUMBER(System!$C15),PlotData!U15+ Querkraft!$E$2*$AF$1*U14,PlotData!$CB$4)</f>
        <v>0</v>
      </c>
      <c r="AY14" s="721">
        <f>IF(ISNUMBER(System!$C15),PlotData!V15+ Querkraft!$E$2*$AF$1*V14,PlotData!$CB$4)</f>
        <v>0</v>
      </c>
      <c r="AZ14" s="721">
        <f>IF(ISNUMBER(System!$C15),PlotData!W15+ Querkraft!$E$2*$AF$1*W14,PlotData!$CB$4)</f>
        <v>0</v>
      </c>
      <c r="BA14" s="721">
        <f>IF(ISNUMBER(System!$C15),PlotData!X15+Querkraft!$E$2* $AF$1*X14,PlotData!$CB$4)</f>
        <v>0</v>
      </c>
      <c r="BB14" s="639">
        <f>IF(ISNUMBER(System!$C15),PlotData!Y15+Querkraft!$E$2*$AF$1*Y14,PlotData!$CB$4)</f>
        <v>0</v>
      </c>
      <c r="BC14" s="668">
        <f>IF(ISNUMBER(System!$C15),PlotData!Y15, PlotData!CB$4)</f>
        <v>0</v>
      </c>
      <c r="BD14" s="721">
        <f>IF(ISNUMBER(System!$C15),PlotData!O15, PlotData!$CB$4)</f>
        <v>0</v>
      </c>
      <c r="BE14" s="639">
        <f>IF(ISNUMBER(System!$C15), AR14,PlotData!$CB$4)</f>
        <v>0</v>
      </c>
    </row>
    <row r="15" spans="1:61" x14ac:dyDescent="0.25">
      <c r="A15" s="1124">
        <v>13</v>
      </c>
      <c r="B15" s="668"/>
      <c r="C15" s="721"/>
      <c r="D15" s="721"/>
      <c r="E15" s="721"/>
      <c r="F15" s="721"/>
      <c r="G15" s="721"/>
      <c r="H15" s="721"/>
      <c r="I15" s="721"/>
      <c r="J15" s="721"/>
      <c r="K15" s="721"/>
      <c r="L15" s="639"/>
      <c r="N15" s="1124">
        <v>13</v>
      </c>
      <c r="O15" s="668"/>
      <c r="P15" s="721"/>
      <c r="Q15" s="721"/>
      <c r="R15" s="721"/>
      <c r="S15" s="721"/>
      <c r="T15" s="721"/>
      <c r="U15" s="721"/>
      <c r="V15" s="721"/>
      <c r="W15" s="721"/>
      <c r="X15" s="721"/>
      <c r="Y15" s="639"/>
      <c r="AA15" s="1125">
        <v>13</v>
      </c>
      <c r="AB15" s="668">
        <f>IF(ISNUMBER(System!$C16),PlotData!B16+ Querkraft!$E$2*$AF$1*B15,PlotData!$CB$3)</f>
        <v>0</v>
      </c>
      <c r="AC15" s="721">
        <f>IF(ISNUMBER(System!$C16),PlotData!C16+ Querkraft!$E$2*$AF$1*C15,PlotData!$CB$3)</f>
        <v>0</v>
      </c>
      <c r="AD15" s="721">
        <f>IF(ISNUMBER(System!$C16),PlotData!D16+ Querkraft!$E$2*$AF$1*D15,PlotData!$CB$3)</f>
        <v>0</v>
      </c>
      <c r="AE15" s="721">
        <f>IF(ISNUMBER(System!$C16),PlotData!E16+ Querkraft!$E$2*$AF$1*E15,PlotData!$CB$3)</f>
        <v>0</v>
      </c>
      <c r="AF15" s="721">
        <f>IF(ISNUMBER(System!$C16),PlotData!F16+Querkraft!$E$2* $AF$1*F15,PlotData!$CB$3)</f>
        <v>0</v>
      </c>
      <c r="AG15" s="721">
        <f>IF(ISNUMBER(System!$C16),PlotData!G16+ Querkraft!$E$2*$AF$1*G15,PlotData!$CB$3)</f>
        <v>0</v>
      </c>
      <c r="AH15" s="721">
        <f>IF(ISNUMBER(System!$C16),PlotData!H16+Querkraft!$E$2* $AF$1*H15,PlotData!$CB$3)</f>
        <v>0</v>
      </c>
      <c r="AI15" s="721">
        <f>IF(ISNUMBER(System!$C16),PlotData!I16+ Querkraft!$E$2*$AF$1*I15,PlotData!$CB$3)</f>
        <v>0</v>
      </c>
      <c r="AJ15" s="721">
        <f>IF(ISNUMBER(System!$C16),PlotData!J16+Querkraft!$E$2*$AF$1*J15,PlotData!$CB$3)</f>
        <v>0</v>
      </c>
      <c r="AK15" s="721">
        <f>IF(ISNUMBER(System!$C16),PlotData!K16+ Querkraft!$E$2*$AF$1*K15,PlotData!$CB$3)</f>
        <v>0</v>
      </c>
      <c r="AL15" s="639">
        <f>IF(ISNUMBER(System!$C16),PlotData!L16+ Querkraft!$E$2*$AF$1*L15,PlotData!$CB$3)</f>
        <v>0</v>
      </c>
      <c r="AM15" s="668">
        <f>IF(ISNUMBER(System!$C16),PlotData!L16,PlotData!$CB$3)</f>
        <v>0</v>
      </c>
      <c r="AN15" s="721">
        <f>IF(ISNUMBER(System!$C16),PlotData!B16,PlotData!$CB$3)</f>
        <v>0</v>
      </c>
      <c r="AO15" s="639">
        <f>IF(ISNUMBER(System!$C16),AB15,PlotData!$CB$3)</f>
        <v>0</v>
      </c>
      <c r="AQ15" s="1124">
        <v>13</v>
      </c>
      <c r="AR15" s="1146">
        <f>IF(ISNUMBER(System!$C16),PlotData!O16+ Querkraft!$E$2*$AF$1*O15,PlotData!$CB$4)</f>
        <v>0</v>
      </c>
      <c r="AS15" s="721">
        <f>IF(ISNUMBER(System!$C16),PlotData!P16+Querkraft!$E$2* $AF$1*P15,PlotData!$CB$4)</f>
        <v>0</v>
      </c>
      <c r="AT15" s="721">
        <f>IF(ISNUMBER(System!$C16),PlotData!Q16+Querkraft!$E$2*$AF$1*Q15,PlotData!$CB$4)</f>
        <v>0</v>
      </c>
      <c r="AU15" s="721">
        <f>IF(ISNUMBER(System!$C16),PlotData!R16+ Querkraft!$E$2*$AF$1*R15,PlotData!$CB$4)</f>
        <v>0</v>
      </c>
      <c r="AV15" s="721">
        <f>IF(ISNUMBER(System!$C16),PlotData!S16+ Querkraft!$E$2*$AF$1*S15,PlotData!$CB$4)</f>
        <v>0</v>
      </c>
      <c r="AW15" s="721">
        <f>IF(ISNUMBER(System!$C16),PlotData!T16+ Querkraft!$E$2*$AF$1*T15,PlotData!$CB$4)</f>
        <v>0</v>
      </c>
      <c r="AX15" s="721">
        <f>IF(ISNUMBER(System!$C16),PlotData!U16+ Querkraft!$E$2*$AF$1*U15,PlotData!$CB$4)</f>
        <v>0</v>
      </c>
      <c r="AY15" s="721">
        <f>IF(ISNUMBER(System!$C16),PlotData!V16+ Querkraft!$E$2*$AF$1*V15,PlotData!$CB$4)</f>
        <v>0</v>
      </c>
      <c r="AZ15" s="721">
        <f>IF(ISNUMBER(System!$C16),PlotData!W16+ Querkraft!$E$2*$AF$1*W15,PlotData!$CB$4)</f>
        <v>0</v>
      </c>
      <c r="BA15" s="721">
        <f>IF(ISNUMBER(System!$C16),PlotData!X16+Querkraft!$E$2* $AF$1*X15,PlotData!$CB$4)</f>
        <v>0</v>
      </c>
      <c r="BB15" s="639">
        <f>IF(ISNUMBER(System!$C16),PlotData!Y16+Querkraft!$E$2*$AF$1*Y15,PlotData!$CB$4)</f>
        <v>0</v>
      </c>
      <c r="BC15" s="668">
        <f>IF(ISNUMBER(System!$C16),PlotData!Y16, PlotData!CB$4)</f>
        <v>0</v>
      </c>
      <c r="BD15" s="721">
        <f>IF(ISNUMBER(System!$C16),PlotData!O16, PlotData!$CB$4)</f>
        <v>0</v>
      </c>
      <c r="BE15" s="639">
        <f>IF(ISNUMBER(System!$C16), AR15,PlotData!$CB$4)</f>
        <v>0</v>
      </c>
    </row>
    <row r="16" spans="1:61" x14ac:dyDescent="0.25">
      <c r="A16" s="1124">
        <v>14</v>
      </c>
      <c r="B16" s="668"/>
      <c r="C16" s="721"/>
      <c r="D16" s="721"/>
      <c r="E16" s="721"/>
      <c r="F16" s="721"/>
      <c r="G16" s="721"/>
      <c r="H16" s="721"/>
      <c r="I16" s="721"/>
      <c r="J16" s="721"/>
      <c r="K16" s="721"/>
      <c r="L16" s="639"/>
      <c r="N16" s="1124">
        <v>14</v>
      </c>
      <c r="O16" s="668"/>
      <c r="P16" s="721"/>
      <c r="Q16" s="721"/>
      <c r="R16" s="721"/>
      <c r="S16" s="721"/>
      <c r="T16" s="721"/>
      <c r="U16" s="721"/>
      <c r="V16" s="721"/>
      <c r="W16" s="721"/>
      <c r="X16" s="721"/>
      <c r="Y16" s="639"/>
      <c r="AA16" s="1125">
        <v>14</v>
      </c>
      <c r="AB16" s="668">
        <f>IF(ISNUMBER(System!$C17),PlotData!B17+ Querkraft!$E$2*$AF$1*B16,PlotData!$CB$3)</f>
        <v>0</v>
      </c>
      <c r="AC16" s="721">
        <f>IF(ISNUMBER(System!$C17),PlotData!C17+ Querkraft!$E$2*$AF$1*C16,PlotData!$CB$3)</f>
        <v>0</v>
      </c>
      <c r="AD16" s="721">
        <f>IF(ISNUMBER(System!$C17),PlotData!D17+ Querkraft!$E$2*$AF$1*D16,PlotData!$CB$3)</f>
        <v>0</v>
      </c>
      <c r="AE16" s="721">
        <f>IF(ISNUMBER(System!$C17),PlotData!E17+ Querkraft!$E$2*$AF$1*E16,PlotData!$CB$3)</f>
        <v>0</v>
      </c>
      <c r="AF16" s="721">
        <f>IF(ISNUMBER(System!$C17),PlotData!F17+Querkraft!$E$2* $AF$1*F16,PlotData!$CB$3)</f>
        <v>0</v>
      </c>
      <c r="AG16" s="721">
        <f>IF(ISNUMBER(System!$C17),PlotData!G17+ Querkraft!$E$2*$AF$1*G16,PlotData!$CB$3)</f>
        <v>0</v>
      </c>
      <c r="AH16" s="721">
        <f>IF(ISNUMBER(System!$C17),PlotData!H17+Querkraft!$E$2* $AF$1*H16,PlotData!$CB$3)</f>
        <v>0</v>
      </c>
      <c r="AI16" s="721">
        <f>IF(ISNUMBER(System!$C17),PlotData!I17+ Querkraft!$E$2*$AF$1*I16,PlotData!$CB$3)</f>
        <v>0</v>
      </c>
      <c r="AJ16" s="721">
        <f>IF(ISNUMBER(System!$C17),PlotData!J17+Querkraft!$E$2*$AF$1*J16,PlotData!$CB$3)</f>
        <v>0</v>
      </c>
      <c r="AK16" s="721">
        <f>IF(ISNUMBER(System!$C17),PlotData!K17+ Querkraft!$E$2*$AF$1*K16,PlotData!$CB$3)</f>
        <v>0</v>
      </c>
      <c r="AL16" s="639">
        <f>IF(ISNUMBER(System!$C17),PlotData!L17+ Querkraft!$E$2*$AF$1*L16,PlotData!$CB$3)</f>
        <v>0</v>
      </c>
      <c r="AM16" s="668">
        <f>IF(ISNUMBER(System!$C17),PlotData!L17,PlotData!$CB$3)</f>
        <v>0</v>
      </c>
      <c r="AN16" s="721">
        <f>IF(ISNUMBER(System!$C17),PlotData!B17,PlotData!$CB$3)</f>
        <v>0</v>
      </c>
      <c r="AO16" s="639">
        <f>IF(ISNUMBER(System!$C17),AB16,PlotData!$CB$3)</f>
        <v>0</v>
      </c>
      <c r="AQ16" s="1124">
        <v>14</v>
      </c>
      <c r="AR16" s="1146">
        <f>IF(ISNUMBER(System!$C17),PlotData!O17+ Querkraft!$E$2*$AF$1*O16,PlotData!$CB$4)</f>
        <v>0</v>
      </c>
      <c r="AS16" s="721">
        <f>IF(ISNUMBER(System!$C17),PlotData!P17+Querkraft!$E$2* $AF$1*P16,PlotData!$CB$4)</f>
        <v>0</v>
      </c>
      <c r="AT16" s="721">
        <f>IF(ISNUMBER(System!$C17),PlotData!Q17+Querkraft!$E$2*$AF$1*Q16,PlotData!$CB$4)</f>
        <v>0</v>
      </c>
      <c r="AU16" s="721">
        <f>IF(ISNUMBER(System!$C17),PlotData!R17+ Querkraft!$E$2*$AF$1*R16,PlotData!$CB$4)</f>
        <v>0</v>
      </c>
      <c r="AV16" s="721">
        <f>IF(ISNUMBER(System!$C17),PlotData!S17+ Querkraft!$E$2*$AF$1*S16,PlotData!$CB$4)</f>
        <v>0</v>
      </c>
      <c r="AW16" s="721">
        <f>IF(ISNUMBER(System!$C17),PlotData!T17+ Querkraft!$E$2*$AF$1*T16,PlotData!$CB$4)</f>
        <v>0</v>
      </c>
      <c r="AX16" s="721">
        <f>IF(ISNUMBER(System!$C17),PlotData!U17+ Querkraft!$E$2*$AF$1*U16,PlotData!$CB$4)</f>
        <v>0</v>
      </c>
      <c r="AY16" s="721">
        <f>IF(ISNUMBER(System!$C17),PlotData!V17+ Querkraft!$E$2*$AF$1*V16,PlotData!$CB$4)</f>
        <v>0</v>
      </c>
      <c r="AZ16" s="721">
        <f>IF(ISNUMBER(System!$C17),PlotData!W17+ Querkraft!$E$2*$AF$1*W16,PlotData!$CB$4)</f>
        <v>0</v>
      </c>
      <c r="BA16" s="721">
        <f>IF(ISNUMBER(System!$C17),PlotData!X17+Querkraft!$E$2* $AF$1*X16,PlotData!$CB$4)</f>
        <v>0</v>
      </c>
      <c r="BB16" s="639">
        <f>IF(ISNUMBER(System!$C17),PlotData!Y17+Querkraft!$E$2*$AF$1*Y16,PlotData!$CB$4)</f>
        <v>0</v>
      </c>
      <c r="BC16" s="668">
        <f>IF(ISNUMBER(System!$C17),PlotData!Y17, PlotData!CB$4)</f>
        <v>0</v>
      </c>
      <c r="BD16" s="721">
        <f>IF(ISNUMBER(System!$C17),PlotData!O17, PlotData!$CB$4)</f>
        <v>0</v>
      </c>
      <c r="BE16" s="639">
        <f>IF(ISNUMBER(System!$C17), AR16,PlotData!$CB$4)</f>
        <v>0</v>
      </c>
    </row>
    <row r="17" spans="1:57" x14ac:dyDescent="0.25">
      <c r="A17" s="1124">
        <v>15</v>
      </c>
      <c r="B17" s="668"/>
      <c r="C17" s="721"/>
      <c r="D17" s="721"/>
      <c r="E17" s="721"/>
      <c r="F17" s="721"/>
      <c r="G17" s="721"/>
      <c r="H17" s="721"/>
      <c r="I17" s="721"/>
      <c r="J17" s="721"/>
      <c r="K17" s="721"/>
      <c r="L17" s="639"/>
      <c r="N17" s="1124">
        <v>15</v>
      </c>
      <c r="O17" s="668"/>
      <c r="P17" s="721"/>
      <c r="Q17" s="721"/>
      <c r="R17" s="721"/>
      <c r="S17" s="721"/>
      <c r="T17" s="721"/>
      <c r="U17" s="721"/>
      <c r="V17" s="721"/>
      <c r="W17" s="721"/>
      <c r="X17" s="721"/>
      <c r="Y17" s="639"/>
      <c r="AA17" s="1125">
        <v>15</v>
      </c>
      <c r="AB17" s="668">
        <f>IF(ISNUMBER(System!$C18),PlotData!B18+ Querkraft!$E$2*$AF$1*B17,PlotData!$CB$3)</f>
        <v>0</v>
      </c>
      <c r="AC17" s="721">
        <f>IF(ISNUMBER(System!$C18),PlotData!C18+ Querkraft!$E$2*$AF$1*C17,PlotData!$CB$3)</f>
        <v>0</v>
      </c>
      <c r="AD17" s="721">
        <f>IF(ISNUMBER(System!$C18),PlotData!D18+ Querkraft!$E$2*$AF$1*D17,PlotData!$CB$3)</f>
        <v>0</v>
      </c>
      <c r="AE17" s="721">
        <f>IF(ISNUMBER(System!$C18),PlotData!E18+ Querkraft!$E$2*$AF$1*E17,PlotData!$CB$3)</f>
        <v>0</v>
      </c>
      <c r="AF17" s="721">
        <f>IF(ISNUMBER(System!$C18),PlotData!F18+Querkraft!$E$2* $AF$1*F17,PlotData!$CB$3)</f>
        <v>0</v>
      </c>
      <c r="AG17" s="721">
        <f>IF(ISNUMBER(System!$C18),PlotData!G18+ Querkraft!$E$2*$AF$1*G17,PlotData!$CB$3)</f>
        <v>0</v>
      </c>
      <c r="AH17" s="721">
        <f>IF(ISNUMBER(System!$C18),PlotData!H18+Querkraft!$E$2* $AF$1*H17,PlotData!$CB$3)</f>
        <v>0</v>
      </c>
      <c r="AI17" s="721">
        <f>IF(ISNUMBER(System!$C18),PlotData!I18+ Querkraft!$E$2*$AF$1*I17,PlotData!$CB$3)</f>
        <v>0</v>
      </c>
      <c r="AJ17" s="721">
        <f>IF(ISNUMBER(System!$C18),PlotData!J18+Querkraft!$E$2*$AF$1*J17,PlotData!$CB$3)</f>
        <v>0</v>
      </c>
      <c r="AK17" s="721">
        <f>IF(ISNUMBER(System!$C18),PlotData!K18+ Querkraft!$E$2*$AF$1*K17,PlotData!$CB$3)</f>
        <v>0</v>
      </c>
      <c r="AL17" s="639">
        <f>IF(ISNUMBER(System!$C18),PlotData!L18+ Querkraft!$E$2*$AF$1*L17,PlotData!$CB$3)</f>
        <v>0</v>
      </c>
      <c r="AM17" s="668">
        <f>IF(ISNUMBER(System!$C18),PlotData!L18,PlotData!$CB$3)</f>
        <v>0</v>
      </c>
      <c r="AN17" s="721">
        <f>IF(ISNUMBER(System!$C18),PlotData!B18,PlotData!$CB$3)</f>
        <v>0</v>
      </c>
      <c r="AO17" s="639">
        <f>IF(ISNUMBER(System!$C18),AB17,PlotData!$CB$3)</f>
        <v>0</v>
      </c>
      <c r="AQ17" s="1124">
        <v>15</v>
      </c>
      <c r="AR17" s="1146">
        <f>IF(ISNUMBER(System!$C18),PlotData!O18+ Querkraft!$E$2*$AF$1*O17,PlotData!$CB$4)</f>
        <v>0</v>
      </c>
      <c r="AS17" s="721">
        <f>IF(ISNUMBER(System!$C18),PlotData!P18+Querkraft!$E$2* $AF$1*P17,PlotData!$CB$4)</f>
        <v>0</v>
      </c>
      <c r="AT17" s="721">
        <f>IF(ISNUMBER(System!$C18),PlotData!Q18+Querkraft!$E$2*$AF$1*Q17,PlotData!$CB$4)</f>
        <v>0</v>
      </c>
      <c r="AU17" s="721">
        <f>IF(ISNUMBER(System!$C18),PlotData!R18+ Querkraft!$E$2*$AF$1*R17,PlotData!$CB$4)</f>
        <v>0</v>
      </c>
      <c r="AV17" s="721">
        <f>IF(ISNUMBER(System!$C18),PlotData!S18+ Querkraft!$E$2*$AF$1*S17,PlotData!$CB$4)</f>
        <v>0</v>
      </c>
      <c r="AW17" s="721">
        <f>IF(ISNUMBER(System!$C18),PlotData!T18+ Querkraft!$E$2*$AF$1*T17,PlotData!$CB$4)</f>
        <v>0</v>
      </c>
      <c r="AX17" s="721">
        <f>IF(ISNUMBER(System!$C18),PlotData!U18+ Querkraft!$E$2*$AF$1*U17,PlotData!$CB$4)</f>
        <v>0</v>
      </c>
      <c r="AY17" s="721">
        <f>IF(ISNUMBER(System!$C18),PlotData!V18+ Querkraft!$E$2*$AF$1*V17,PlotData!$CB$4)</f>
        <v>0</v>
      </c>
      <c r="AZ17" s="721">
        <f>IF(ISNUMBER(System!$C18),PlotData!W18+ Querkraft!$E$2*$AF$1*W17,PlotData!$CB$4)</f>
        <v>0</v>
      </c>
      <c r="BA17" s="721">
        <f>IF(ISNUMBER(System!$C18),PlotData!X18+Querkraft!$E$2* $AF$1*X17,PlotData!$CB$4)</f>
        <v>0</v>
      </c>
      <c r="BB17" s="639">
        <f>IF(ISNUMBER(System!$C18),PlotData!Y18+Querkraft!$E$2*$AF$1*Y17,PlotData!$CB$4)</f>
        <v>0</v>
      </c>
      <c r="BC17" s="668">
        <f>IF(ISNUMBER(System!$C18),PlotData!Y18, PlotData!CB$4)</f>
        <v>0</v>
      </c>
      <c r="BD17" s="721">
        <f>IF(ISNUMBER(System!$C18),PlotData!O18, PlotData!$CB$4)</f>
        <v>0</v>
      </c>
      <c r="BE17" s="639">
        <f>IF(ISNUMBER(System!$C18), AR17,PlotData!$CB$4)</f>
        <v>0</v>
      </c>
    </row>
    <row r="18" spans="1:57" x14ac:dyDescent="0.25">
      <c r="A18" s="1124">
        <v>16</v>
      </c>
      <c r="B18" s="668"/>
      <c r="C18" s="721"/>
      <c r="D18" s="721"/>
      <c r="E18" s="721"/>
      <c r="F18" s="721"/>
      <c r="G18" s="721"/>
      <c r="H18" s="721"/>
      <c r="I18" s="721"/>
      <c r="J18" s="721"/>
      <c r="K18" s="721"/>
      <c r="L18" s="639"/>
      <c r="N18" s="1124">
        <v>16</v>
      </c>
      <c r="O18" s="668"/>
      <c r="P18" s="721"/>
      <c r="Q18" s="721"/>
      <c r="R18" s="721"/>
      <c r="S18" s="721"/>
      <c r="T18" s="721"/>
      <c r="U18" s="721"/>
      <c r="V18" s="721"/>
      <c r="W18" s="721"/>
      <c r="X18" s="721"/>
      <c r="Y18" s="639"/>
      <c r="AA18" s="1125">
        <v>16</v>
      </c>
      <c r="AB18" s="668">
        <f>IF(ISNUMBER(System!$C19),PlotData!B19+ Querkraft!$E$2*$AF$1*B18,PlotData!$CB$3)</f>
        <v>0</v>
      </c>
      <c r="AC18" s="721">
        <f>IF(ISNUMBER(System!$C19),PlotData!C19+ Querkraft!$E$2*$AF$1*C18,PlotData!$CB$3)</f>
        <v>0</v>
      </c>
      <c r="AD18" s="721">
        <f>IF(ISNUMBER(System!$C19),PlotData!D19+ Querkraft!$E$2*$AF$1*D18,PlotData!$CB$3)</f>
        <v>0</v>
      </c>
      <c r="AE18" s="721">
        <f>IF(ISNUMBER(System!$C19),PlotData!E19+ Querkraft!$E$2*$AF$1*E18,PlotData!$CB$3)</f>
        <v>0</v>
      </c>
      <c r="AF18" s="721">
        <f>IF(ISNUMBER(System!$C19),PlotData!F19+Querkraft!$E$2* $AF$1*F18,PlotData!$CB$3)</f>
        <v>0</v>
      </c>
      <c r="AG18" s="721">
        <f>IF(ISNUMBER(System!$C19),PlotData!G19+ Querkraft!$E$2*$AF$1*G18,PlotData!$CB$3)</f>
        <v>0</v>
      </c>
      <c r="AH18" s="721">
        <f>IF(ISNUMBER(System!$C19),PlotData!H19+Querkraft!$E$2* $AF$1*H18,PlotData!$CB$3)</f>
        <v>0</v>
      </c>
      <c r="AI18" s="721">
        <f>IF(ISNUMBER(System!$C19),PlotData!I19+ Querkraft!$E$2*$AF$1*I18,PlotData!$CB$3)</f>
        <v>0</v>
      </c>
      <c r="AJ18" s="721">
        <f>IF(ISNUMBER(System!$C19),PlotData!J19+Querkraft!$E$2*$AF$1*J18,PlotData!$CB$3)</f>
        <v>0</v>
      </c>
      <c r="AK18" s="721">
        <f>IF(ISNUMBER(System!$C19),PlotData!K19+ Querkraft!$E$2*$AF$1*K18,PlotData!$CB$3)</f>
        <v>0</v>
      </c>
      <c r="AL18" s="639">
        <f>IF(ISNUMBER(System!$C19),PlotData!L19+ Querkraft!$E$2*$AF$1*L18,PlotData!$CB$3)</f>
        <v>0</v>
      </c>
      <c r="AM18" s="668">
        <f>IF(ISNUMBER(System!$C19),PlotData!L19,PlotData!$CB$3)</f>
        <v>0</v>
      </c>
      <c r="AN18" s="721">
        <f>IF(ISNUMBER(System!$C19),PlotData!B19,PlotData!$CB$3)</f>
        <v>0</v>
      </c>
      <c r="AO18" s="639">
        <f>IF(ISNUMBER(System!$C19),AB18,PlotData!$CB$3)</f>
        <v>0</v>
      </c>
      <c r="AQ18" s="1124">
        <v>16</v>
      </c>
      <c r="AR18" s="1146">
        <f>IF(ISNUMBER(System!$C19),PlotData!O19+ Querkraft!$E$2*$AF$1*O18,PlotData!$CB$4)</f>
        <v>0</v>
      </c>
      <c r="AS18" s="721">
        <f>IF(ISNUMBER(System!$C19),PlotData!P19+Querkraft!$E$2* $AF$1*P18,PlotData!$CB$4)</f>
        <v>0</v>
      </c>
      <c r="AT18" s="721">
        <f>IF(ISNUMBER(System!$C19),PlotData!Q19+Querkraft!$E$2*$AF$1*Q18,PlotData!$CB$4)</f>
        <v>0</v>
      </c>
      <c r="AU18" s="721">
        <f>IF(ISNUMBER(System!$C19),PlotData!R19+ Querkraft!$E$2*$AF$1*R18,PlotData!$CB$4)</f>
        <v>0</v>
      </c>
      <c r="AV18" s="721">
        <f>IF(ISNUMBER(System!$C19),PlotData!S19+ Querkraft!$E$2*$AF$1*S18,PlotData!$CB$4)</f>
        <v>0</v>
      </c>
      <c r="AW18" s="721">
        <f>IF(ISNUMBER(System!$C19),PlotData!T19+ Querkraft!$E$2*$AF$1*T18,PlotData!$CB$4)</f>
        <v>0</v>
      </c>
      <c r="AX18" s="721">
        <f>IF(ISNUMBER(System!$C19),PlotData!U19+ Querkraft!$E$2*$AF$1*U18,PlotData!$CB$4)</f>
        <v>0</v>
      </c>
      <c r="AY18" s="721">
        <f>IF(ISNUMBER(System!$C19),PlotData!V19+ Querkraft!$E$2*$AF$1*V18,PlotData!$CB$4)</f>
        <v>0</v>
      </c>
      <c r="AZ18" s="721">
        <f>IF(ISNUMBER(System!$C19),PlotData!W19+ Querkraft!$E$2*$AF$1*W18,PlotData!$CB$4)</f>
        <v>0</v>
      </c>
      <c r="BA18" s="721">
        <f>IF(ISNUMBER(System!$C19),PlotData!X19+Querkraft!$E$2* $AF$1*X18,PlotData!$CB$4)</f>
        <v>0</v>
      </c>
      <c r="BB18" s="639">
        <f>IF(ISNUMBER(System!$C19),PlotData!Y19+Querkraft!$E$2*$AF$1*Y18,PlotData!$CB$4)</f>
        <v>0</v>
      </c>
      <c r="BC18" s="668">
        <f>IF(ISNUMBER(System!$C19),PlotData!Y19, PlotData!CB$4)</f>
        <v>0</v>
      </c>
      <c r="BD18" s="721">
        <f>IF(ISNUMBER(System!$C19),PlotData!O19, PlotData!$CB$4)</f>
        <v>0</v>
      </c>
      <c r="BE18" s="639">
        <f>IF(ISNUMBER(System!$C19), AR18,PlotData!$CB$4)</f>
        <v>0</v>
      </c>
    </row>
    <row r="19" spans="1:57" x14ac:dyDescent="0.25">
      <c r="A19" s="1124">
        <v>17</v>
      </c>
      <c r="B19" s="668"/>
      <c r="C19" s="721"/>
      <c r="D19" s="721"/>
      <c r="E19" s="721"/>
      <c r="F19" s="721"/>
      <c r="G19" s="721"/>
      <c r="H19" s="721"/>
      <c r="I19" s="721"/>
      <c r="J19" s="721"/>
      <c r="K19" s="721"/>
      <c r="L19" s="639"/>
      <c r="N19" s="1124">
        <v>17</v>
      </c>
      <c r="O19" s="668"/>
      <c r="P19" s="721"/>
      <c r="Q19" s="721"/>
      <c r="R19" s="721"/>
      <c r="S19" s="721"/>
      <c r="T19" s="721"/>
      <c r="U19" s="721"/>
      <c r="V19" s="721"/>
      <c r="W19" s="721"/>
      <c r="X19" s="721"/>
      <c r="Y19" s="639"/>
      <c r="AA19" s="1125">
        <v>17</v>
      </c>
      <c r="AB19" s="668">
        <f>IF(ISNUMBER(System!$C20),PlotData!B20+ Querkraft!$E$2*$AF$1*B19,PlotData!$CB$3)</f>
        <v>0</v>
      </c>
      <c r="AC19" s="721">
        <f>IF(ISNUMBER(System!$C20),PlotData!C20+ Querkraft!$E$2*$AF$1*C19,PlotData!$CB$3)</f>
        <v>0</v>
      </c>
      <c r="AD19" s="721">
        <f>IF(ISNUMBER(System!$C20),PlotData!D20+ Querkraft!$E$2*$AF$1*D19,PlotData!$CB$3)</f>
        <v>0</v>
      </c>
      <c r="AE19" s="721">
        <f>IF(ISNUMBER(System!$C20),PlotData!E20+ Querkraft!$E$2*$AF$1*E19,PlotData!$CB$3)</f>
        <v>0</v>
      </c>
      <c r="AF19" s="721">
        <f>IF(ISNUMBER(System!$C20),PlotData!F20+Querkraft!$E$2* $AF$1*F19,PlotData!$CB$3)</f>
        <v>0</v>
      </c>
      <c r="AG19" s="721">
        <f>IF(ISNUMBER(System!$C20),PlotData!G20+ Querkraft!$E$2*$AF$1*G19,PlotData!$CB$3)</f>
        <v>0</v>
      </c>
      <c r="AH19" s="721">
        <f>IF(ISNUMBER(System!$C20),PlotData!H20+Querkraft!$E$2* $AF$1*H19,PlotData!$CB$3)</f>
        <v>0</v>
      </c>
      <c r="AI19" s="721">
        <f>IF(ISNUMBER(System!$C20),PlotData!I20+ Querkraft!$E$2*$AF$1*I19,PlotData!$CB$3)</f>
        <v>0</v>
      </c>
      <c r="AJ19" s="721">
        <f>IF(ISNUMBER(System!$C20),PlotData!J20+Querkraft!$E$2*$AF$1*J19,PlotData!$CB$3)</f>
        <v>0</v>
      </c>
      <c r="AK19" s="721">
        <f>IF(ISNUMBER(System!$C20),PlotData!K20+ Querkraft!$E$2*$AF$1*K19,PlotData!$CB$3)</f>
        <v>0</v>
      </c>
      <c r="AL19" s="639">
        <f>IF(ISNUMBER(System!$C20),PlotData!L20+ Querkraft!$E$2*$AF$1*L19,PlotData!$CB$3)</f>
        <v>0</v>
      </c>
      <c r="AM19" s="668">
        <f>IF(ISNUMBER(System!$C20),PlotData!L20,PlotData!$CB$3)</f>
        <v>0</v>
      </c>
      <c r="AN19" s="721">
        <f>IF(ISNUMBER(System!$C20),PlotData!B20,PlotData!$CB$3)</f>
        <v>0</v>
      </c>
      <c r="AO19" s="639">
        <f>IF(ISNUMBER(System!$C20),AB19,PlotData!$CB$3)</f>
        <v>0</v>
      </c>
      <c r="AQ19" s="1124">
        <v>17</v>
      </c>
      <c r="AR19" s="1146">
        <f>IF(ISNUMBER(System!$C20),PlotData!O20+ Querkraft!$E$2*$AF$1*O19,PlotData!$CB$4)</f>
        <v>0</v>
      </c>
      <c r="AS19" s="721">
        <f>IF(ISNUMBER(System!$C20),PlotData!P20+Querkraft!$E$2* $AF$1*P19,PlotData!$CB$4)</f>
        <v>0</v>
      </c>
      <c r="AT19" s="721">
        <f>IF(ISNUMBER(System!$C20),PlotData!Q20+Querkraft!$E$2*$AF$1*Q19,PlotData!$CB$4)</f>
        <v>0</v>
      </c>
      <c r="AU19" s="721">
        <f>IF(ISNUMBER(System!$C20),PlotData!R20+ Querkraft!$E$2*$AF$1*R19,PlotData!$CB$4)</f>
        <v>0</v>
      </c>
      <c r="AV19" s="721">
        <f>IF(ISNUMBER(System!$C20),PlotData!S20+ Querkraft!$E$2*$AF$1*S19,PlotData!$CB$4)</f>
        <v>0</v>
      </c>
      <c r="AW19" s="721">
        <f>IF(ISNUMBER(System!$C20),PlotData!T20+ Querkraft!$E$2*$AF$1*T19,PlotData!$CB$4)</f>
        <v>0</v>
      </c>
      <c r="AX19" s="721">
        <f>IF(ISNUMBER(System!$C20),PlotData!U20+ Querkraft!$E$2*$AF$1*U19,PlotData!$CB$4)</f>
        <v>0</v>
      </c>
      <c r="AY19" s="721">
        <f>IF(ISNUMBER(System!$C20),PlotData!V20+ Querkraft!$E$2*$AF$1*V19,PlotData!$CB$4)</f>
        <v>0</v>
      </c>
      <c r="AZ19" s="721">
        <f>IF(ISNUMBER(System!$C20),PlotData!W20+ Querkraft!$E$2*$AF$1*W19,PlotData!$CB$4)</f>
        <v>0</v>
      </c>
      <c r="BA19" s="721">
        <f>IF(ISNUMBER(System!$C20),PlotData!X20+Querkraft!$E$2* $AF$1*X19,PlotData!$CB$4)</f>
        <v>0</v>
      </c>
      <c r="BB19" s="639">
        <f>IF(ISNUMBER(System!$C20),PlotData!Y20+Querkraft!$E$2*$AF$1*Y19,PlotData!$CB$4)</f>
        <v>0</v>
      </c>
      <c r="BC19" s="668">
        <f>IF(ISNUMBER(System!$C20),PlotData!Y20, PlotData!CB$4)</f>
        <v>0</v>
      </c>
      <c r="BD19" s="721">
        <f>IF(ISNUMBER(System!$C20),PlotData!O20, PlotData!$CB$4)</f>
        <v>0</v>
      </c>
      <c r="BE19" s="639">
        <f>IF(ISNUMBER(System!$C20), AR19,PlotData!$CB$4)</f>
        <v>0</v>
      </c>
    </row>
    <row r="20" spans="1:57" x14ac:dyDescent="0.25">
      <c r="A20" s="1124">
        <v>18</v>
      </c>
      <c r="B20" s="668"/>
      <c r="C20" s="721"/>
      <c r="D20" s="721"/>
      <c r="E20" s="721"/>
      <c r="F20" s="721"/>
      <c r="G20" s="721"/>
      <c r="H20" s="721"/>
      <c r="I20" s="721"/>
      <c r="J20" s="721"/>
      <c r="K20" s="721"/>
      <c r="L20" s="639"/>
      <c r="N20" s="1124">
        <v>18</v>
      </c>
      <c r="O20" s="668"/>
      <c r="P20" s="721"/>
      <c r="Q20" s="721"/>
      <c r="R20" s="721"/>
      <c r="S20" s="721"/>
      <c r="T20" s="721"/>
      <c r="U20" s="721"/>
      <c r="V20" s="721"/>
      <c r="W20" s="721"/>
      <c r="X20" s="721"/>
      <c r="Y20" s="639"/>
      <c r="AA20" s="1125">
        <v>18</v>
      </c>
      <c r="AB20" s="668">
        <f>IF(ISNUMBER(System!$C21),PlotData!B21+ Querkraft!$E$2*$AF$1*B20,PlotData!$CB$3)</f>
        <v>0</v>
      </c>
      <c r="AC20" s="721">
        <f>IF(ISNUMBER(System!$C21),PlotData!C21+ Querkraft!$E$2*$AF$1*C20,PlotData!$CB$3)</f>
        <v>0</v>
      </c>
      <c r="AD20" s="721">
        <f>IF(ISNUMBER(System!$C21),PlotData!D21+ Querkraft!$E$2*$AF$1*D20,PlotData!$CB$3)</f>
        <v>0</v>
      </c>
      <c r="AE20" s="721">
        <f>IF(ISNUMBER(System!$C21),PlotData!E21+ Querkraft!$E$2*$AF$1*E20,PlotData!$CB$3)</f>
        <v>0</v>
      </c>
      <c r="AF20" s="721">
        <f>IF(ISNUMBER(System!$C21),PlotData!F21+Querkraft!$E$2* $AF$1*F20,PlotData!$CB$3)</f>
        <v>0</v>
      </c>
      <c r="AG20" s="721">
        <f>IF(ISNUMBER(System!$C21),PlotData!G21+ Querkraft!$E$2*$AF$1*G20,PlotData!$CB$3)</f>
        <v>0</v>
      </c>
      <c r="AH20" s="721">
        <f>IF(ISNUMBER(System!$C21),PlotData!H21+Querkraft!$E$2* $AF$1*H20,PlotData!$CB$3)</f>
        <v>0</v>
      </c>
      <c r="AI20" s="721">
        <f>IF(ISNUMBER(System!$C21),PlotData!I21+ Querkraft!$E$2*$AF$1*I20,PlotData!$CB$3)</f>
        <v>0</v>
      </c>
      <c r="AJ20" s="721">
        <f>IF(ISNUMBER(System!$C21),PlotData!J21+Querkraft!$E$2*$AF$1*J20,PlotData!$CB$3)</f>
        <v>0</v>
      </c>
      <c r="AK20" s="721">
        <f>IF(ISNUMBER(System!$C21),PlotData!K21+ Querkraft!$E$2*$AF$1*K20,PlotData!$CB$3)</f>
        <v>0</v>
      </c>
      <c r="AL20" s="639">
        <f>IF(ISNUMBER(System!$C21),PlotData!L21+ Querkraft!$E$2*$AF$1*L20,PlotData!$CB$3)</f>
        <v>0</v>
      </c>
      <c r="AM20" s="668">
        <f>IF(ISNUMBER(System!$C21),PlotData!L21,PlotData!$CB$3)</f>
        <v>0</v>
      </c>
      <c r="AN20" s="721">
        <f>IF(ISNUMBER(System!$C21),PlotData!B21,PlotData!$CB$3)</f>
        <v>0</v>
      </c>
      <c r="AO20" s="639">
        <f>IF(ISNUMBER(System!$C21),AB20,PlotData!$CB$3)</f>
        <v>0</v>
      </c>
      <c r="AQ20" s="1124">
        <v>18</v>
      </c>
      <c r="AR20" s="1146">
        <f>IF(ISNUMBER(System!$C21),PlotData!O21+ Querkraft!$E$2*$AF$1*O20,PlotData!$CB$4)</f>
        <v>0</v>
      </c>
      <c r="AS20" s="721">
        <f>IF(ISNUMBER(System!$C21),PlotData!P21+Querkraft!$E$2* $AF$1*P20,PlotData!$CB$4)</f>
        <v>0</v>
      </c>
      <c r="AT20" s="721">
        <f>IF(ISNUMBER(System!$C21),PlotData!Q21+Querkraft!$E$2*$AF$1*Q20,PlotData!$CB$4)</f>
        <v>0</v>
      </c>
      <c r="AU20" s="721">
        <f>IF(ISNUMBER(System!$C21),PlotData!R21+ Querkraft!$E$2*$AF$1*R20,PlotData!$CB$4)</f>
        <v>0</v>
      </c>
      <c r="AV20" s="721">
        <f>IF(ISNUMBER(System!$C21),PlotData!S21+ Querkraft!$E$2*$AF$1*S20,PlotData!$CB$4)</f>
        <v>0</v>
      </c>
      <c r="AW20" s="721">
        <f>IF(ISNUMBER(System!$C21),PlotData!T21+ Querkraft!$E$2*$AF$1*T20,PlotData!$CB$4)</f>
        <v>0</v>
      </c>
      <c r="AX20" s="721">
        <f>IF(ISNUMBER(System!$C21),PlotData!U21+ Querkraft!$E$2*$AF$1*U20,PlotData!$CB$4)</f>
        <v>0</v>
      </c>
      <c r="AY20" s="721">
        <f>IF(ISNUMBER(System!$C21),PlotData!V21+ Querkraft!$E$2*$AF$1*V20,PlotData!$CB$4)</f>
        <v>0</v>
      </c>
      <c r="AZ20" s="721">
        <f>IF(ISNUMBER(System!$C21),PlotData!W21+ Querkraft!$E$2*$AF$1*W20,PlotData!$CB$4)</f>
        <v>0</v>
      </c>
      <c r="BA20" s="721">
        <f>IF(ISNUMBER(System!$C21),PlotData!X21+Querkraft!$E$2* $AF$1*X20,PlotData!$CB$4)</f>
        <v>0</v>
      </c>
      <c r="BB20" s="639">
        <f>IF(ISNUMBER(System!$C21),PlotData!Y21+Querkraft!$E$2*$AF$1*Y20,PlotData!$CB$4)</f>
        <v>0</v>
      </c>
      <c r="BC20" s="668">
        <f>IF(ISNUMBER(System!$C21),PlotData!Y21, PlotData!CB$4)</f>
        <v>0</v>
      </c>
      <c r="BD20" s="721">
        <f>IF(ISNUMBER(System!$C21),PlotData!O21, PlotData!$CB$4)</f>
        <v>0</v>
      </c>
      <c r="BE20" s="639">
        <f>IF(ISNUMBER(System!$C21), AR20,PlotData!$CB$4)</f>
        <v>0</v>
      </c>
    </row>
    <row r="21" spans="1:57" x14ac:dyDescent="0.25">
      <c r="A21" s="1147">
        <v>19</v>
      </c>
      <c r="B21" s="1132"/>
      <c r="C21" s="1133"/>
      <c r="D21" s="1133"/>
      <c r="E21" s="1133"/>
      <c r="F21" s="1133"/>
      <c r="G21" s="1133"/>
      <c r="H21" s="1133"/>
      <c r="I21" s="1133"/>
      <c r="J21" s="1133"/>
      <c r="K21" s="1133"/>
      <c r="L21" s="1134"/>
      <c r="N21" s="1124">
        <v>19</v>
      </c>
      <c r="O21" s="668"/>
      <c r="P21" s="721"/>
      <c r="Q21" s="721"/>
      <c r="R21" s="721"/>
      <c r="S21" s="721"/>
      <c r="T21" s="721"/>
      <c r="U21" s="721"/>
      <c r="V21" s="721"/>
      <c r="W21" s="721"/>
      <c r="X21" s="721"/>
      <c r="Y21" s="639"/>
      <c r="AA21" s="1125">
        <v>19</v>
      </c>
      <c r="AB21" s="668">
        <f>IF(ISNUMBER(System!$C22),PlotData!B22+ Querkraft!$E$2*$AF$1*B21,PlotData!$CB$3)</f>
        <v>0</v>
      </c>
      <c r="AC21" s="721">
        <f>IF(ISNUMBER(System!$C22),PlotData!C22+ Querkraft!$E$2*$AF$1*C21,PlotData!$CB$3)</f>
        <v>0</v>
      </c>
      <c r="AD21" s="721">
        <f>IF(ISNUMBER(System!$C22),PlotData!D22+ Querkraft!$E$2*$AF$1*D21,PlotData!$CB$3)</f>
        <v>0</v>
      </c>
      <c r="AE21" s="721">
        <f>IF(ISNUMBER(System!$C22),PlotData!E22+ Querkraft!$E$2*$AF$1*E21,PlotData!$CB$3)</f>
        <v>0</v>
      </c>
      <c r="AF21" s="721">
        <f>IF(ISNUMBER(System!$C22),PlotData!F22+Querkraft!$E$2* $AF$1*F21,PlotData!$CB$3)</f>
        <v>0</v>
      </c>
      <c r="AG21" s="721">
        <f>IF(ISNUMBER(System!$C22),PlotData!G22+ Querkraft!$E$2*$AF$1*G21,PlotData!$CB$3)</f>
        <v>0</v>
      </c>
      <c r="AH21" s="721">
        <f>IF(ISNUMBER(System!$C22),PlotData!H22+Querkraft!$E$2* $AF$1*H21,PlotData!$CB$3)</f>
        <v>0</v>
      </c>
      <c r="AI21" s="721">
        <f>IF(ISNUMBER(System!$C22),PlotData!I22+ Querkraft!$E$2*$AF$1*I21,PlotData!$CB$3)</f>
        <v>0</v>
      </c>
      <c r="AJ21" s="721">
        <f>IF(ISNUMBER(System!$C22),PlotData!J22+Querkraft!$E$2*$AF$1*J21,PlotData!$CB$3)</f>
        <v>0</v>
      </c>
      <c r="AK21" s="721">
        <f>IF(ISNUMBER(System!$C22),PlotData!K22+ Querkraft!$E$2*$AF$1*K21,PlotData!$CB$3)</f>
        <v>0</v>
      </c>
      <c r="AL21" s="639">
        <f>IF(ISNUMBER(System!$C22),PlotData!L22+ Querkraft!$E$2*$AF$1*L21,PlotData!$CB$3)</f>
        <v>0</v>
      </c>
      <c r="AM21" s="668">
        <f>IF(ISNUMBER(System!$C22),PlotData!L22,PlotData!$CB$3)</f>
        <v>0</v>
      </c>
      <c r="AN21" s="721">
        <f>IF(ISNUMBER(System!$C22),PlotData!B22,PlotData!$CB$3)</f>
        <v>0</v>
      </c>
      <c r="AO21" s="639">
        <f>IF(ISNUMBER(System!$C22),AB21,PlotData!$CB$3)</f>
        <v>0</v>
      </c>
      <c r="AQ21" s="1124">
        <v>19</v>
      </c>
      <c r="AR21" s="1146">
        <f>IF(ISNUMBER(System!$C22),PlotData!O22+ Querkraft!$E$2*$AF$1*O21,PlotData!$CB$4)</f>
        <v>0</v>
      </c>
      <c r="AS21" s="721">
        <f>IF(ISNUMBER(System!$C22),PlotData!P22+Querkraft!$E$2* $AF$1*P21,PlotData!$CB$4)</f>
        <v>0</v>
      </c>
      <c r="AT21" s="721">
        <f>IF(ISNUMBER(System!$C22),PlotData!Q22+Querkraft!$E$2*$AF$1*Q21,PlotData!$CB$4)</f>
        <v>0</v>
      </c>
      <c r="AU21" s="721">
        <f>IF(ISNUMBER(System!$C22),PlotData!R22+ Querkraft!$E$2*$AF$1*R21,PlotData!$CB$4)</f>
        <v>0</v>
      </c>
      <c r="AV21" s="721">
        <f>IF(ISNUMBER(System!$C22),PlotData!S22+ Querkraft!$E$2*$AF$1*S21,PlotData!$CB$4)</f>
        <v>0</v>
      </c>
      <c r="AW21" s="721">
        <f>IF(ISNUMBER(System!$C22),PlotData!T22+ Querkraft!$E$2*$AF$1*T21,PlotData!$CB$4)</f>
        <v>0</v>
      </c>
      <c r="AX21" s="721">
        <f>IF(ISNUMBER(System!$C22),PlotData!U22+ Querkraft!$E$2*$AF$1*U21,PlotData!$CB$4)</f>
        <v>0</v>
      </c>
      <c r="AY21" s="721">
        <f>IF(ISNUMBER(System!$C22),PlotData!V22+ Querkraft!$E$2*$AF$1*V21,PlotData!$CB$4)</f>
        <v>0</v>
      </c>
      <c r="AZ21" s="721">
        <f>IF(ISNUMBER(System!$C22),PlotData!W22+ Querkraft!$E$2*$AF$1*W21,PlotData!$CB$4)</f>
        <v>0</v>
      </c>
      <c r="BA21" s="721">
        <f>IF(ISNUMBER(System!$C22),PlotData!X22+Querkraft!$E$2* $AF$1*X21,PlotData!$CB$4)</f>
        <v>0</v>
      </c>
      <c r="BB21" s="639">
        <f>IF(ISNUMBER(System!$C22),PlotData!Y22+Querkraft!$E$2*$AF$1*Y21,PlotData!$CB$4)</f>
        <v>0</v>
      </c>
      <c r="BC21" s="668">
        <f>IF(ISNUMBER(System!$C22),PlotData!Y22, PlotData!CB$4)</f>
        <v>0</v>
      </c>
      <c r="BD21" s="721">
        <f>IF(ISNUMBER(System!$C22),PlotData!O22, PlotData!$CB$4)</f>
        <v>0</v>
      </c>
      <c r="BE21" s="639">
        <f>IF(ISNUMBER(System!$C22), AR21,PlotData!$CB$4)</f>
        <v>0</v>
      </c>
    </row>
    <row r="22" spans="1:57" x14ac:dyDescent="0.25">
      <c r="A22" s="1124">
        <v>20</v>
      </c>
      <c r="B22" s="668"/>
      <c r="C22" s="721"/>
      <c r="D22" s="721"/>
      <c r="E22" s="721"/>
      <c r="F22" s="721"/>
      <c r="G22" s="721"/>
      <c r="H22" s="721"/>
      <c r="I22" s="721"/>
      <c r="J22" s="721"/>
      <c r="K22" s="721"/>
      <c r="L22" s="639"/>
      <c r="N22" s="1147">
        <v>20</v>
      </c>
      <c r="O22" s="1132"/>
      <c r="P22" s="1133"/>
      <c r="Q22" s="1133"/>
      <c r="R22" s="1133"/>
      <c r="S22" s="1133"/>
      <c r="T22" s="1133"/>
      <c r="U22" s="1133"/>
      <c r="V22" s="1133"/>
      <c r="W22" s="1133"/>
      <c r="X22" s="1133"/>
      <c r="Y22" s="1134"/>
      <c r="AA22" s="1135">
        <v>20</v>
      </c>
      <c r="AB22" s="668">
        <f>IF(ISNUMBER(System!$C23),PlotData!B23+ Querkraft!$E$2*$AF$1*B22,PlotData!$CB$3)</f>
        <v>0</v>
      </c>
      <c r="AC22" s="721">
        <f>IF(ISNUMBER(System!$C23),PlotData!C23+ Querkraft!$E$2*$AF$1*C22,PlotData!$CB$3)</f>
        <v>0</v>
      </c>
      <c r="AD22" s="721">
        <f>IF(ISNUMBER(System!$C23),PlotData!D23+ Querkraft!$E$2*$AF$1*D22,PlotData!$CB$3)</f>
        <v>0</v>
      </c>
      <c r="AE22" s="721">
        <f>IF(ISNUMBER(System!$C23),PlotData!E23+ Querkraft!$E$2*$AF$1*E22,PlotData!$CB$3)</f>
        <v>0</v>
      </c>
      <c r="AF22" s="721">
        <f>IF(ISNUMBER(System!$C23),PlotData!F23+Querkraft!$E$2* $AF$1*F22,PlotData!$CB$3)</f>
        <v>0</v>
      </c>
      <c r="AG22" s="721">
        <f>IF(ISNUMBER(System!$C23),PlotData!G23+ Querkraft!$E$2*$AF$1*G22,PlotData!$CB$3)</f>
        <v>0</v>
      </c>
      <c r="AH22" s="721">
        <f>IF(ISNUMBER(System!$C23),PlotData!H23+Querkraft!$E$2* $AF$1*H22,PlotData!$CB$3)</f>
        <v>0</v>
      </c>
      <c r="AI22" s="721">
        <f>IF(ISNUMBER(System!$C23),PlotData!I23+ Querkraft!$E$2*$AF$1*I22,PlotData!$CB$3)</f>
        <v>0</v>
      </c>
      <c r="AJ22" s="721">
        <f>IF(ISNUMBER(System!$C23),PlotData!J23+Querkraft!$E$2*$AF$1*J22,PlotData!$CB$3)</f>
        <v>0</v>
      </c>
      <c r="AK22" s="721">
        <f>IF(ISNUMBER(System!$C23),PlotData!K23+ Querkraft!$E$2*$AF$1*K22,PlotData!$CB$3)</f>
        <v>0</v>
      </c>
      <c r="AL22" s="639">
        <f>IF(ISNUMBER(System!$C23),PlotData!L23+ Querkraft!$E$2*$AF$1*L22,PlotData!$CB$3)</f>
        <v>0</v>
      </c>
      <c r="AM22" s="668">
        <f>IF(ISNUMBER(System!$C23),PlotData!L23,PlotData!$CB$3)</f>
        <v>0</v>
      </c>
      <c r="AN22" s="721">
        <f>IF(ISNUMBER(System!$C23),PlotData!B23,PlotData!$CB$3)</f>
        <v>0</v>
      </c>
      <c r="AO22" s="639">
        <f>IF(ISNUMBER(System!$C23),AB22,PlotData!$CB$3)</f>
        <v>0</v>
      </c>
      <c r="AQ22" s="1147">
        <v>20</v>
      </c>
      <c r="AR22" s="1146">
        <f>IF(ISNUMBER(System!$C23),PlotData!O23+ Querkraft!$E$2*$AF$1*O22,PlotData!$CB$4)</f>
        <v>0</v>
      </c>
      <c r="AS22" s="721">
        <f>IF(ISNUMBER(System!$C23),PlotData!P23+Querkraft!$E$2* $AF$1*P22,PlotData!$CB$4)</f>
        <v>0</v>
      </c>
      <c r="AT22" s="721">
        <f>IF(ISNUMBER(System!$C23),PlotData!Q23+Querkraft!$E$2*$AF$1*Q22,PlotData!$CB$4)</f>
        <v>0</v>
      </c>
      <c r="AU22" s="721">
        <f>IF(ISNUMBER(System!$C23),PlotData!R23+ Querkraft!$E$2*$AF$1*R22,PlotData!$CB$4)</f>
        <v>0</v>
      </c>
      <c r="AV22" s="721">
        <f>IF(ISNUMBER(System!$C23),PlotData!S23+ Querkraft!$E$2*$AF$1*S22,PlotData!$CB$4)</f>
        <v>0</v>
      </c>
      <c r="AW22" s="721">
        <f>IF(ISNUMBER(System!$C23),PlotData!T23+ Querkraft!$E$2*$AF$1*T22,PlotData!$CB$4)</f>
        <v>0</v>
      </c>
      <c r="AX22" s="721">
        <f>IF(ISNUMBER(System!$C23),PlotData!U23+ Querkraft!$E$2*$AF$1*U22,PlotData!$CB$4)</f>
        <v>0</v>
      </c>
      <c r="AY22" s="721">
        <f>IF(ISNUMBER(System!$C23),PlotData!V23+ Querkraft!$E$2*$AF$1*V22,PlotData!$CB$4)</f>
        <v>0</v>
      </c>
      <c r="AZ22" s="721">
        <f>IF(ISNUMBER(System!$C23),PlotData!W23+ Querkraft!$E$2*$AF$1*W22,PlotData!$CB$4)</f>
        <v>0</v>
      </c>
      <c r="BA22" s="721">
        <f>IF(ISNUMBER(System!$C23),PlotData!X23+Querkraft!$E$2* $AF$1*X22,PlotData!$CB$4)</f>
        <v>0</v>
      </c>
      <c r="BB22" s="639">
        <f>IF(ISNUMBER(System!$C23),PlotData!Y23+Querkraft!$E$2*$AF$1*Y22,PlotData!$CB$4)</f>
        <v>0</v>
      </c>
      <c r="BC22" s="668">
        <f>IF(ISNUMBER(System!$C23),PlotData!Y23, PlotData!CB$4)</f>
        <v>0</v>
      </c>
      <c r="BD22" s="721">
        <f>IF(ISNUMBER(System!$C23),PlotData!O23, PlotData!$CB$4)</f>
        <v>0</v>
      </c>
      <c r="BE22" s="639">
        <f>IF(ISNUMBER(System!$C23), AR22,PlotData!$CB$4)</f>
        <v>0</v>
      </c>
    </row>
    <row r="23" spans="1:57" x14ac:dyDescent="0.25">
      <c r="A23" s="1124">
        <v>21</v>
      </c>
      <c r="B23" s="668"/>
      <c r="C23" s="721"/>
      <c r="D23" s="721"/>
      <c r="E23" s="721"/>
      <c r="F23" s="721"/>
      <c r="G23" s="721"/>
      <c r="H23" s="721"/>
      <c r="I23" s="721"/>
      <c r="J23" s="721"/>
      <c r="K23" s="721"/>
      <c r="L23" s="639"/>
      <c r="N23" s="1124">
        <v>21</v>
      </c>
      <c r="O23" s="668"/>
      <c r="P23" s="721"/>
      <c r="Q23" s="721"/>
      <c r="R23" s="721"/>
      <c r="S23" s="721"/>
      <c r="T23" s="721"/>
      <c r="U23" s="721"/>
      <c r="V23" s="721"/>
      <c r="W23" s="721"/>
      <c r="X23" s="721"/>
      <c r="Y23" s="639"/>
      <c r="AA23" s="1125">
        <v>21</v>
      </c>
      <c r="AB23" s="668">
        <f>IF(ISNUMBER(System!$C24),PlotData!B24+ Querkraft!$E$2*$AF$1*B23,PlotData!$CB$3)</f>
        <v>0</v>
      </c>
      <c r="AC23" s="721">
        <f>IF(ISNUMBER(System!$C24),PlotData!C24+ Querkraft!$E$2*$AF$1*C23,PlotData!$CB$3)</f>
        <v>0</v>
      </c>
      <c r="AD23" s="721">
        <f>IF(ISNUMBER(System!$C24),PlotData!D24+ Querkraft!$E$2*$AF$1*D23,PlotData!$CB$3)</f>
        <v>0</v>
      </c>
      <c r="AE23" s="721">
        <f>IF(ISNUMBER(System!$C24),PlotData!E24+ Querkraft!$E$2*$AF$1*E23,PlotData!$CB$3)</f>
        <v>0</v>
      </c>
      <c r="AF23" s="721">
        <f>IF(ISNUMBER(System!$C24),PlotData!F24+Querkraft!$E$2* $AF$1*F23,PlotData!$CB$3)</f>
        <v>0</v>
      </c>
      <c r="AG23" s="721">
        <f>IF(ISNUMBER(System!$C24),PlotData!G24+ Querkraft!$E$2*$AF$1*G23,PlotData!$CB$3)</f>
        <v>0</v>
      </c>
      <c r="AH23" s="721">
        <f>IF(ISNUMBER(System!$C24),PlotData!H24+Querkraft!$E$2* $AF$1*H23,PlotData!$CB$3)</f>
        <v>0</v>
      </c>
      <c r="AI23" s="721">
        <f>IF(ISNUMBER(System!$C24),PlotData!I24+ Querkraft!$E$2*$AF$1*I23,PlotData!$CB$3)</f>
        <v>0</v>
      </c>
      <c r="AJ23" s="721">
        <f>IF(ISNUMBER(System!$C24),PlotData!J24+Querkraft!$E$2*$AF$1*J23,PlotData!$CB$3)</f>
        <v>0</v>
      </c>
      <c r="AK23" s="721">
        <f>IF(ISNUMBER(System!$C24),PlotData!K24+ Querkraft!$E$2*$AF$1*K23,PlotData!$CB$3)</f>
        <v>0</v>
      </c>
      <c r="AL23" s="639">
        <f>IF(ISNUMBER(System!$C24),PlotData!L24+ Querkraft!$E$2*$AF$1*L23,PlotData!$CB$3)</f>
        <v>0</v>
      </c>
      <c r="AM23" s="668">
        <f>IF(ISNUMBER(System!$C24),PlotData!L24,PlotData!$CB$3)</f>
        <v>0</v>
      </c>
      <c r="AN23" s="721">
        <f>IF(ISNUMBER(System!$C24),PlotData!B24,PlotData!$CB$3)</f>
        <v>0</v>
      </c>
      <c r="AO23" s="639">
        <f>IF(ISNUMBER(System!$C24),AB23,PlotData!$CB$3)</f>
        <v>0</v>
      </c>
      <c r="AQ23" s="1124">
        <v>21</v>
      </c>
      <c r="AR23" s="1146">
        <f>IF(ISNUMBER(System!$C24),PlotData!O24+ Querkraft!$E$2*$AF$1*O23,PlotData!$CB$4)</f>
        <v>0</v>
      </c>
      <c r="AS23" s="721">
        <f>IF(ISNUMBER(System!$C24),PlotData!P24+Querkraft!$E$2* $AF$1*P23,PlotData!$CB$4)</f>
        <v>0</v>
      </c>
      <c r="AT23" s="721">
        <f>IF(ISNUMBER(System!$C24),PlotData!Q24+Querkraft!$E$2*$AF$1*Q23,PlotData!$CB$4)</f>
        <v>0</v>
      </c>
      <c r="AU23" s="721">
        <f>IF(ISNUMBER(System!$C24),PlotData!R24+ Querkraft!$E$2*$AF$1*R23,PlotData!$CB$4)</f>
        <v>0</v>
      </c>
      <c r="AV23" s="721">
        <f>IF(ISNUMBER(System!$C24),PlotData!S24+ Querkraft!$E$2*$AF$1*S23,PlotData!$CB$4)</f>
        <v>0</v>
      </c>
      <c r="AW23" s="721">
        <f>IF(ISNUMBER(System!$C24),PlotData!T24+ Querkraft!$E$2*$AF$1*T23,PlotData!$CB$4)</f>
        <v>0</v>
      </c>
      <c r="AX23" s="721">
        <f>IF(ISNUMBER(System!$C24),PlotData!U24+ Querkraft!$E$2*$AF$1*U23,PlotData!$CB$4)</f>
        <v>0</v>
      </c>
      <c r="AY23" s="721">
        <f>IF(ISNUMBER(System!$C24),PlotData!V24+ Querkraft!$E$2*$AF$1*V23,PlotData!$CB$4)</f>
        <v>0</v>
      </c>
      <c r="AZ23" s="721">
        <f>IF(ISNUMBER(System!$C24),PlotData!W24+ Querkraft!$E$2*$AF$1*W23,PlotData!$CB$4)</f>
        <v>0</v>
      </c>
      <c r="BA23" s="721">
        <f>IF(ISNUMBER(System!$C24),PlotData!X24+Querkraft!$E$2* $AF$1*X23,PlotData!$CB$4)</f>
        <v>0</v>
      </c>
      <c r="BB23" s="639">
        <f>IF(ISNUMBER(System!$C24),PlotData!Y24+Querkraft!$E$2*$AF$1*Y23,PlotData!$CB$4)</f>
        <v>0</v>
      </c>
      <c r="BC23" s="668">
        <f>IF(ISNUMBER(System!$C24),PlotData!Y24, PlotData!CB$4)</f>
        <v>0</v>
      </c>
      <c r="BD23" s="721">
        <f>IF(ISNUMBER(System!$C24),PlotData!O24, PlotData!$CB$4)</f>
        <v>0</v>
      </c>
      <c r="BE23" s="639">
        <f>IF(ISNUMBER(System!$C24), AR23,PlotData!$CB$4)</f>
        <v>0</v>
      </c>
    </row>
    <row r="24" spans="1:57" x14ac:dyDescent="0.25">
      <c r="A24" s="1124">
        <v>22</v>
      </c>
      <c r="B24" s="668"/>
      <c r="C24" s="721"/>
      <c r="D24" s="721"/>
      <c r="E24" s="721"/>
      <c r="F24" s="721"/>
      <c r="G24" s="721"/>
      <c r="H24" s="721"/>
      <c r="I24" s="721"/>
      <c r="J24" s="721"/>
      <c r="K24" s="721"/>
      <c r="L24" s="639"/>
      <c r="N24" s="1124">
        <v>22</v>
      </c>
      <c r="O24" s="668"/>
      <c r="P24" s="721"/>
      <c r="Q24" s="721"/>
      <c r="R24" s="721"/>
      <c r="S24" s="721"/>
      <c r="T24" s="721"/>
      <c r="U24" s="721"/>
      <c r="V24" s="721"/>
      <c r="W24" s="721"/>
      <c r="X24" s="721"/>
      <c r="Y24" s="639"/>
      <c r="AA24" s="1125">
        <v>22</v>
      </c>
      <c r="AB24" s="668">
        <f>IF(ISNUMBER(System!$C25),PlotData!B25+ Querkraft!$E$2*$AF$1*B24,PlotData!$CB$3)</f>
        <v>0</v>
      </c>
      <c r="AC24" s="721">
        <f>IF(ISNUMBER(System!$C25),PlotData!C25+ Querkraft!$E$2*$AF$1*C24,PlotData!$CB$3)</f>
        <v>0</v>
      </c>
      <c r="AD24" s="721">
        <f>IF(ISNUMBER(System!$C25),PlotData!D25+ Querkraft!$E$2*$AF$1*D24,PlotData!$CB$3)</f>
        <v>0</v>
      </c>
      <c r="AE24" s="721">
        <f>IF(ISNUMBER(System!$C25),PlotData!E25+ Querkraft!$E$2*$AF$1*E24,PlotData!$CB$3)</f>
        <v>0</v>
      </c>
      <c r="AF24" s="721">
        <f>IF(ISNUMBER(System!$C25),PlotData!F25+Querkraft!$E$2* $AF$1*F24,PlotData!$CB$3)</f>
        <v>0</v>
      </c>
      <c r="AG24" s="721">
        <f>IF(ISNUMBER(System!$C25),PlotData!G25+ Querkraft!$E$2*$AF$1*G24,PlotData!$CB$3)</f>
        <v>0</v>
      </c>
      <c r="AH24" s="721">
        <f>IF(ISNUMBER(System!$C25),PlotData!H25+Querkraft!$E$2* $AF$1*H24,PlotData!$CB$3)</f>
        <v>0</v>
      </c>
      <c r="AI24" s="721">
        <f>IF(ISNUMBER(System!$C25),PlotData!I25+ Querkraft!$E$2*$AF$1*I24,PlotData!$CB$3)</f>
        <v>0</v>
      </c>
      <c r="AJ24" s="721">
        <f>IF(ISNUMBER(System!$C25),PlotData!J25+Querkraft!$E$2*$AF$1*J24,PlotData!$CB$3)</f>
        <v>0</v>
      </c>
      <c r="AK24" s="721">
        <f>IF(ISNUMBER(System!$C25),PlotData!K25+ Querkraft!$E$2*$AF$1*K24,PlotData!$CB$3)</f>
        <v>0</v>
      </c>
      <c r="AL24" s="639">
        <f>IF(ISNUMBER(System!$C25),PlotData!L25+ Querkraft!$E$2*$AF$1*L24,PlotData!$CB$3)</f>
        <v>0</v>
      </c>
      <c r="AM24" s="668">
        <f>IF(ISNUMBER(System!$C25),PlotData!L25,PlotData!$CB$3)</f>
        <v>0</v>
      </c>
      <c r="AN24" s="721">
        <f>IF(ISNUMBER(System!$C25),PlotData!B25,PlotData!$CB$3)</f>
        <v>0</v>
      </c>
      <c r="AO24" s="639">
        <f>IF(ISNUMBER(System!$C25),AB24,PlotData!$CB$3)</f>
        <v>0</v>
      </c>
      <c r="AQ24" s="1124">
        <v>22</v>
      </c>
      <c r="AR24" s="1146">
        <f>IF(ISNUMBER(System!$C25),PlotData!O25+ Querkraft!$E$2*$AF$1*O24,PlotData!$CB$4)</f>
        <v>0</v>
      </c>
      <c r="AS24" s="721">
        <f>IF(ISNUMBER(System!$C25),PlotData!P25+Querkraft!$E$2* $AF$1*P24,PlotData!$CB$4)</f>
        <v>0</v>
      </c>
      <c r="AT24" s="721">
        <f>IF(ISNUMBER(System!$C25),PlotData!Q25+Querkraft!$E$2*$AF$1*Q24,PlotData!$CB$4)</f>
        <v>0</v>
      </c>
      <c r="AU24" s="721">
        <f>IF(ISNUMBER(System!$C25),PlotData!R25+ Querkraft!$E$2*$AF$1*R24,PlotData!$CB$4)</f>
        <v>0</v>
      </c>
      <c r="AV24" s="721">
        <f>IF(ISNUMBER(System!$C25),PlotData!S25+ Querkraft!$E$2*$AF$1*S24,PlotData!$CB$4)</f>
        <v>0</v>
      </c>
      <c r="AW24" s="721">
        <f>IF(ISNUMBER(System!$C25),PlotData!T25+ Querkraft!$E$2*$AF$1*T24,PlotData!$CB$4)</f>
        <v>0</v>
      </c>
      <c r="AX24" s="721">
        <f>IF(ISNUMBER(System!$C25),PlotData!U25+ Querkraft!$E$2*$AF$1*U24,PlotData!$CB$4)</f>
        <v>0</v>
      </c>
      <c r="AY24" s="721">
        <f>IF(ISNUMBER(System!$C25),PlotData!V25+ Querkraft!$E$2*$AF$1*V24,PlotData!$CB$4)</f>
        <v>0</v>
      </c>
      <c r="AZ24" s="721">
        <f>IF(ISNUMBER(System!$C25),PlotData!W25+ Querkraft!$E$2*$AF$1*W24,PlotData!$CB$4)</f>
        <v>0</v>
      </c>
      <c r="BA24" s="721">
        <f>IF(ISNUMBER(System!$C25),PlotData!X25+Querkraft!$E$2* $AF$1*X24,PlotData!$CB$4)</f>
        <v>0</v>
      </c>
      <c r="BB24" s="639">
        <f>IF(ISNUMBER(System!$C25),PlotData!Y25+Querkraft!$E$2*$AF$1*Y24,PlotData!$CB$4)</f>
        <v>0</v>
      </c>
      <c r="BC24" s="668">
        <f>IF(ISNUMBER(System!$C25),PlotData!Y25, PlotData!CB$4)</f>
        <v>0</v>
      </c>
      <c r="BD24" s="721">
        <f>IF(ISNUMBER(System!$C25),PlotData!O25, PlotData!$CB$4)</f>
        <v>0</v>
      </c>
      <c r="BE24" s="639">
        <f>IF(ISNUMBER(System!$C25), AR24,PlotData!$CB$4)</f>
        <v>0</v>
      </c>
    </row>
    <row r="25" spans="1:57" x14ac:dyDescent="0.25">
      <c r="A25" s="1124">
        <v>23</v>
      </c>
      <c r="B25" s="668"/>
      <c r="C25" s="721"/>
      <c r="D25" s="721"/>
      <c r="E25" s="721"/>
      <c r="F25" s="721"/>
      <c r="G25" s="721"/>
      <c r="H25" s="721"/>
      <c r="I25" s="721"/>
      <c r="J25" s="721"/>
      <c r="K25" s="721"/>
      <c r="L25" s="639"/>
      <c r="N25" s="1124">
        <v>23</v>
      </c>
      <c r="O25" s="668"/>
      <c r="P25" s="721"/>
      <c r="Q25" s="721"/>
      <c r="R25" s="721"/>
      <c r="S25" s="721"/>
      <c r="T25" s="721"/>
      <c r="U25" s="721"/>
      <c r="V25" s="721"/>
      <c r="W25" s="721"/>
      <c r="X25" s="721"/>
      <c r="Y25" s="639"/>
      <c r="AA25" s="1125">
        <v>23</v>
      </c>
      <c r="AB25" s="668">
        <f>IF(ISNUMBER(System!$C26),PlotData!B26+ Querkraft!$E$2*$AF$1*B25,PlotData!$CB$3)</f>
        <v>0</v>
      </c>
      <c r="AC25" s="721">
        <f>IF(ISNUMBER(System!$C26),PlotData!C26+ Querkraft!$E$2*$AF$1*C25,PlotData!$CB$3)</f>
        <v>0</v>
      </c>
      <c r="AD25" s="721">
        <f>IF(ISNUMBER(System!$C26),PlotData!D26+ Querkraft!$E$2*$AF$1*D25,PlotData!$CB$3)</f>
        <v>0</v>
      </c>
      <c r="AE25" s="721">
        <f>IF(ISNUMBER(System!$C26),PlotData!E26+ Querkraft!$E$2*$AF$1*E25,PlotData!$CB$3)</f>
        <v>0</v>
      </c>
      <c r="AF25" s="721">
        <f>IF(ISNUMBER(System!$C26),PlotData!F26+Querkraft!$E$2* $AF$1*F25,PlotData!$CB$3)</f>
        <v>0</v>
      </c>
      <c r="AG25" s="721">
        <f>IF(ISNUMBER(System!$C26),PlotData!G26+ Querkraft!$E$2*$AF$1*G25,PlotData!$CB$3)</f>
        <v>0</v>
      </c>
      <c r="AH25" s="721">
        <f>IF(ISNUMBER(System!$C26),PlotData!H26+Querkraft!$E$2* $AF$1*H25,PlotData!$CB$3)</f>
        <v>0</v>
      </c>
      <c r="AI25" s="721">
        <f>IF(ISNUMBER(System!$C26),PlotData!I26+ Querkraft!$E$2*$AF$1*I25,PlotData!$CB$3)</f>
        <v>0</v>
      </c>
      <c r="AJ25" s="721">
        <f>IF(ISNUMBER(System!$C26),PlotData!J26+Querkraft!$E$2*$AF$1*J25,PlotData!$CB$3)</f>
        <v>0</v>
      </c>
      <c r="AK25" s="721">
        <f>IF(ISNUMBER(System!$C26),PlotData!K26+ Querkraft!$E$2*$AF$1*K25,PlotData!$CB$3)</f>
        <v>0</v>
      </c>
      <c r="AL25" s="639">
        <f>IF(ISNUMBER(System!$C26),PlotData!L26+ Querkraft!$E$2*$AF$1*L25,PlotData!$CB$3)</f>
        <v>0</v>
      </c>
      <c r="AM25" s="668">
        <f>IF(ISNUMBER(System!$C26),PlotData!L26,PlotData!$CB$3)</f>
        <v>0</v>
      </c>
      <c r="AN25" s="721">
        <f>IF(ISNUMBER(System!$C26),PlotData!B26,PlotData!$CB$3)</f>
        <v>0</v>
      </c>
      <c r="AO25" s="639">
        <f>IF(ISNUMBER(System!$C26),AB25,PlotData!$CB$3)</f>
        <v>0</v>
      </c>
      <c r="AQ25" s="1124">
        <v>23</v>
      </c>
      <c r="AR25" s="1146">
        <f>IF(ISNUMBER(System!$C26),PlotData!O26+ Querkraft!$E$2*$AF$1*O25,PlotData!$CB$4)</f>
        <v>0</v>
      </c>
      <c r="AS25" s="721">
        <f>IF(ISNUMBER(System!$C26),PlotData!P26+Querkraft!$E$2* $AF$1*P25,PlotData!$CB$4)</f>
        <v>0</v>
      </c>
      <c r="AT25" s="721">
        <f>IF(ISNUMBER(System!$C26),PlotData!Q26+Querkraft!$E$2*$AF$1*Q25,PlotData!$CB$4)</f>
        <v>0</v>
      </c>
      <c r="AU25" s="721">
        <f>IF(ISNUMBER(System!$C26),PlotData!R26+ Querkraft!$E$2*$AF$1*R25,PlotData!$CB$4)</f>
        <v>0</v>
      </c>
      <c r="AV25" s="721">
        <f>IF(ISNUMBER(System!$C26),PlotData!S26+ Querkraft!$E$2*$AF$1*S25,PlotData!$CB$4)</f>
        <v>0</v>
      </c>
      <c r="AW25" s="721">
        <f>IF(ISNUMBER(System!$C26),PlotData!T26+ Querkraft!$E$2*$AF$1*T25,PlotData!$CB$4)</f>
        <v>0</v>
      </c>
      <c r="AX25" s="721">
        <f>IF(ISNUMBER(System!$C26),PlotData!U26+ Querkraft!$E$2*$AF$1*U25,PlotData!$CB$4)</f>
        <v>0</v>
      </c>
      <c r="AY25" s="721">
        <f>IF(ISNUMBER(System!$C26),PlotData!V26+ Querkraft!$E$2*$AF$1*V25,PlotData!$CB$4)</f>
        <v>0</v>
      </c>
      <c r="AZ25" s="721">
        <f>IF(ISNUMBER(System!$C26),PlotData!W26+ Querkraft!$E$2*$AF$1*W25,PlotData!$CB$4)</f>
        <v>0</v>
      </c>
      <c r="BA25" s="721">
        <f>IF(ISNUMBER(System!$C26),PlotData!X26+Querkraft!$E$2* $AF$1*X25,PlotData!$CB$4)</f>
        <v>0</v>
      </c>
      <c r="BB25" s="639">
        <f>IF(ISNUMBER(System!$C26),PlotData!Y26+Querkraft!$E$2*$AF$1*Y25,PlotData!$CB$4)</f>
        <v>0</v>
      </c>
      <c r="BC25" s="668">
        <f>IF(ISNUMBER(System!$C26),PlotData!Y26, PlotData!CB$4)</f>
        <v>0</v>
      </c>
      <c r="BD25" s="721">
        <f>IF(ISNUMBER(System!$C26),PlotData!O26, PlotData!$CB$4)</f>
        <v>0</v>
      </c>
      <c r="BE25" s="639">
        <f>IF(ISNUMBER(System!$C26), AR25,PlotData!$CB$4)</f>
        <v>0</v>
      </c>
    </row>
    <row r="26" spans="1:57" x14ac:dyDescent="0.25">
      <c r="A26" s="1124">
        <v>24</v>
      </c>
      <c r="B26" s="668"/>
      <c r="C26" s="721"/>
      <c r="D26" s="721"/>
      <c r="E26" s="721"/>
      <c r="F26" s="721"/>
      <c r="G26" s="721"/>
      <c r="H26" s="721"/>
      <c r="I26" s="721"/>
      <c r="J26" s="721"/>
      <c r="K26" s="721"/>
      <c r="L26" s="639"/>
      <c r="N26" s="1124">
        <v>24</v>
      </c>
      <c r="O26" s="668"/>
      <c r="P26" s="721"/>
      <c r="Q26" s="721"/>
      <c r="R26" s="721"/>
      <c r="S26" s="721"/>
      <c r="T26" s="721"/>
      <c r="U26" s="721"/>
      <c r="V26" s="721"/>
      <c r="W26" s="721"/>
      <c r="X26" s="721"/>
      <c r="Y26" s="639"/>
      <c r="AA26" s="1125">
        <v>24</v>
      </c>
      <c r="AB26" s="668">
        <f>IF(ISNUMBER(System!$C27),PlotData!B27+ Querkraft!$E$2*$AF$1*B26,PlotData!$CB$3)</f>
        <v>0</v>
      </c>
      <c r="AC26" s="721">
        <f>IF(ISNUMBER(System!$C27),PlotData!C27+ Querkraft!$E$2*$AF$1*C26,PlotData!$CB$3)</f>
        <v>0</v>
      </c>
      <c r="AD26" s="721">
        <f>IF(ISNUMBER(System!$C27),PlotData!D27+ Querkraft!$E$2*$AF$1*D26,PlotData!$CB$3)</f>
        <v>0</v>
      </c>
      <c r="AE26" s="721">
        <f>IF(ISNUMBER(System!$C27),PlotData!E27+ Querkraft!$E$2*$AF$1*E26,PlotData!$CB$3)</f>
        <v>0</v>
      </c>
      <c r="AF26" s="721">
        <f>IF(ISNUMBER(System!$C27),PlotData!F27+Querkraft!$E$2* $AF$1*F26,PlotData!$CB$3)</f>
        <v>0</v>
      </c>
      <c r="AG26" s="721">
        <f>IF(ISNUMBER(System!$C27),PlotData!G27+ Querkraft!$E$2*$AF$1*G26,PlotData!$CB$3)</f>
        <v>0</v>
      </c>
      <c r="AH26" s="721">
        <f>IF(ISNUMBER(System!$C27),PlotData!H27+Querkraft!$E$2* $AF$1*H26,PlotData!$CB$3)</f>
        <v>0</v>
      </c>
      <c r="AI26" s="721">
        <f>IF(ISNUMBER(System!$C27),PlotData!I27+ Querkraft!$E$2*$AF$1*I26,PlotData!$CB$3)</f>
        <v>0</v>
      </c>
      <c r="AJ26" s="721">
        <f>IF(ISNUMBER(System!$C27),PlotData!J27+Querkraft!$E$2*$AF$1*J26,PlotData!$CB$3)</f>
        <v>0</v>
      </c>
      <c r="AK26" s="721">
        <f>IF(ISNUMBER(System!$C27),PlotData!K27+ Querkraft!$E$2*$AF$1*K26,PlotData!$CB$3)</f>
        <v>0</v>
      </c>
      <c r="AL26" s="639">
        <f>IF(ISNUMBER(System!$C27),PlotData!L27+ Querkraft!$E$2*$AF$1*L26,PlotData!$CB$3)</f>
        <v>0</v>
      </c>
      <c r="AM26" s="668">
        <f>IF(ISNUMBER(System!$C27),PlotData!L27,PlotData!$CB$3)</f>
        <v>0</v>
      </c>
      <c r="AN26" s="721">
        <f>IF(ISNUMBER(System!$C27),PlotData!B27,PlotData!$CB$3)</f>
        <v>0</v>
      </c>
      <c r="AO26" s="639">
        <f>IF(ISNUMBER(System!$C27),AB26,PlotData!$CB$3)</f>
        <v>0</v>
      </c>
      <c r="AQ26" s="1124">
        <v>24</v>
      </c>
      <c r="AR26" s="1146">
        <f>IF(ISNUMBER(System!$C27),PlotData!O27+ Querkraft!$E$2*$AF$1*O26,PlotData!$CB$4)</f>
        <v>0</v>
      </c>
      <c r="AS26" s="721">
        <f>IF(ISNUMBER(System!$C27),PlotData!P27+Querkraft!$E$2* $AF$1*P26,PlotData!$CB$4)</f>
        <v>0</v>
      </c>
      <c r="AT26" s="721">
        <f>IF(ISNUMBER(System!$C27),PlotData!Q27+Querkraft!$E$2*$AF$1*Q26,PlotData!$CB$4)</f>
        <v>0</v>
      </c>
      <c r="AU26" s="721">
        <f>IF(ISNUMBER(System!$C27),PlotData!R27+ Querkraft!$E$2*$AF$1*R26,PlotData!$CB$4)</f>
        <v>0</v>
      </c>
      <c r="AV26" s="721">
        <f>IF(ISNUMBER(System!$C27),PlotData!S27+ Querkraft!$E$2*$AF$1*S26,PlotData!$CB$4)</f>
        <v>0</v>
      </c>
      <c r="AW26" s="721">
        <f>IF(ISNUMBER(System!$C27),PlotData!T27+ Querkraft!$E$2*$AF$1*T26,PlotData!$CB$4)</f>
        <v>0</v>
      </c>
      <c r="AX26" s="721">
        <f>IF(ISNUMBER(System!$C27),PlotData!U27+ Querkraft!$E$2*$AF$1*U26,PlotData!$CB$4)</f>
        <v>0</v>
      </c>
      <c r="AY26" s="721">
        <f>IF(ISNUMBER(System!$C27),PlotData!V27+ Querkraft!$E$2*$AF$1*V26,PlotData!$CB$4)</f>
        <v>0</v>
      </c>
      <c r="AZ26" s="721">
        <f>IF(ISNUMBER(System!$C27),PlotData!W27+ Querkraft!$E$2*$AF$1*W26,PlotData!$CB$4)</f>
        <v>0</v>
      </c>
      <c r="BA26" s="721">
        <f>IF(ISNUMBER(System!$C27),PlotData!X27+Querkraft!$E$2* $AF$1*X26,PlotData!$CB$4)</f>
        <v>0</v>
      </c>
      <c r="BB26" s="639">
        <f>IF(ISNUMBER(System!$C27),PlotData!Y27+Querkraft!$E$2*$AF$1*Y26,PlotData!$CB$4)</f>
        <v>0</v>
      </c>
      <c r="BC26" s="668">
        <f>IF(ISNUMBER(System!$C27),PlotData!Y27, PlotData!CB$4)</f>
        <v>0</v>
      </c>
      <c r="BD26" s="721">
        <f>IF(ISNUMBER(System!$C27),PlotData!O27, PlotData!$CB$4)</f>
        <v>0</v>
      </c>
      <c r="BE26" s="639">
        <f>IF(ISNUMBER(System!$C27), AR26,PlotData!$CB$4)</f>
        <v>0</v>
      </c>
    </row>
    <row r="27" spans="1:57" x14ac:dyDescent="0.25">
      <c r="A27" s="1124">
        <v>25</v>
      </c>
      <c r="B27" s="668"/>
      <c r="C27" s="721"/>
      <c r="D27" s="721"/>
      <c r="E27" s="721"/>
      <c r="F27" s="721"/>
      <c r="G27" s="721"/>
      <c r="H27" s="721"/>
      <c r="I27" s="721"/>
      <c r="J27" s="721"/>
      <c r="K27" s="721"/>
      <c r="L27" s="639"/>
      <c r="N27" s="1124">
        <v>25</v>
      </c>
      <c r="O27" s="668"/>
      <c r="P27" s="721"/>
      <c r="Q27" s="721"/>
      <c r="R27" s="721"/>
      <c r="S27" s="721"/>
      <c r="T27" s="721"/>
      <c r="U27" s="721"/>
      <c r="V27" s="721"/>
      <c r="W27" s="721"/>
      <c r="X27" s="721"/>
      <c r="Y27" s="639"/>
      <c r="AA27" s="1125">
        <v>25</v>
      </c>
      <c r="AB27" s="668">
        <f>IF(ISNUMBER(System!$C28),PlotData!B28+ Querkraft!$E$2*$AF$1*B27,PlotData!$CB$3)</f>
        <v>0</v>
      </c>
      <c r="AC27" s="721">
        <f>IF(ISNUMBER(System!$C28),PlotData!C28+ Querkraft!$E$2*$AF$1*C27,PlotData!$CB$3)</f>
        <v>0</v>
      </c>
      <c r="AD27" s="721">
        <f>IF(ISNUMBER(System!$C28),PlotData!D28+ Querkraft!$E$2*$AF$1*D27,PlotData!$CB$3)</f>
        <v>0</v>
      </c>
      <c r="AE27" s="721">
        <f>IF(ISNUMBER(System!$C28),PlotData!E28+ Querkraft!$E$2*$AF$1*E27,PlotData!$CB$3)</f>
        <v>0</v>
      </c>
      <c r="AF27" s="721">
        <f>IF(ISNUMBER(System!$C28),PlotData!F28+Querkraft!$E$2* $AF$1*F27,PlotData!$CB$3)</f>
        <v>0</v>
      </c>
      <c r="AG27" s="721">
        <f>IF(ISNUMBER(System!$C28),PlotData!G28+ Querkraft!$E$2*$AF$1*G27,PlotData!$CB$3)</f>
        <v>0</v>
      </c>
      <c r="AH27" s="721">
        <f>IF(ISNUMBER(System!$C28),PlotData!H28+Querkraft!$E$2* $AF$1*H27,PlotData!$CB$3)</f>
        <v>0</v>
      </c>
      <c r="AI27" s="721">
        <f>IF(ISNUMBER(System!$C28),PlotData!I28+ Querkraft!$E$2*$AF$1*I27,PlotData!$CB$3)</f>
        <v>0</v>
      </c>
      <c r="AJ27" s="721">
        <f>IF(ISNUMBER(System!$C28),PlotData!J28+Querkraft!$E$2*$AF$1*J27,PlotData!$CB$3)</f>
        <v>0</v>
      </c>
      <c r="AK27" s="721">
        <f>IF(ISNUMBER(System!$C28),PlotData!K28+ Querkraft!$E$2*$AF$1*K27,PlotData!$CB$3)</f>
        <v>0</v>
      </c>
      <c r="AL27" s="639">
        <f>IF(ISNUMBER(System!$C28),PlotData!L28+ Querkraft!$E$2*$AF$1*L27,PlotData!$CB$3)</f>
        <v>0</v>
      </c>
      <c r="AM27" s="668">
        <f>IF(ISNUMBER(System!$C28),PlotData!L28,PlotData!$CB$3)</f>
        <v>0</v>
      </c>
      <c r="AN27" s="721">
        <f>IF(ISNUMBER(System!$C28),PlotData!B28,PlotData!$CB$3)</f>
        <v>0</v>
      </c>
      <c r="AO27" s="639">
        <f>IF(ISNUMBER(System!$C28),AB27,PlotData!$CB$3)</f>
        <v>0</v>
      </c>
      <c r="AQ27" s="1124">
        <v>25</v>
      </c>
      <c r="AR27" s="1146">
        <f>IF(ISNUMBER(System!$C28),PlotData!O28+ Querkraft!$E$2*$AF$1*O27,PlotData!$CB$4)</f>
        <v>0</v>
      </c>
      <c r="AS27" s="721">
        <f>IF(ISNUMBER(System!$C28),PlotData!P28+Querkraft!$E$2* $AF$1*P27,PlotData!$CB$4)</f>
        <v>0</v>
      </c>
      <c r="AT27" s="721">
        <f>IF(ISNUMBER(System!$C28),PlotData!Q28+Querkraft!$E$2*$AF$1*Q27,PlotData!$CB$4)</f>
        <v>0</v>
      </c>
      <c r="AU27" s="721">
        <f>IF(ISNUMBER(System!$C28),PlotData!R28+ Querkraft!$E$2*$AF$1*R27,PlotData!$CB$4)</f>
        <v>0</v>
      </c>
      <c r="AV27" s="721">
        <f>IF(ISNUMBER(System!$C28),PlotData!S28+ Querkraft!$E$2*$AF$1*S27,PlotData!$CB$4)</f>
        <v>0</v>
      </c>
      <c r="AW27" s="721">
        <f>IF(ISNUMBER(System!$C28),PlotData!T28+ Querkraft!$E$2*$AF$1*T27,PlotData!$CB$4)</f>
        <v>0</v>
      </c>
      <c r="AX27" s="721">
        <f>IF(ISNUMBER(System!$C28),PlotData!U28+ Querkraft!$E$2*$AF$1*U27,PlotData!$CB$4)</f>
        <v>0</v>
      </c>
      <c r="AY27" s="721">
        <f>IF(ISNUMBER(System!$C28),PlotData!V28+ Querkraft!$E$2*$AF$1*V27,PlotData!$CB$4)</f>
        <v>0</v>
      </c>
      <c r="AZ27" s="721">
        <f>IF(ISNUMBER(System!$C28),PlotData!W28+ Querkraft!$E$2*$AF$1*W27,PlotData!$CB$4)</f>
        <v>0</v>
      </c>
      <c r="BA27" s="721">
        <f>IF(ISNUMBER(System!$C28),PlotData!X28+Querkraft!$E$2* $AF$1*X27,PlotData!$CB$4)</f>
        <v>0</v>
      </c>
      <c r="BB27" s="639">
        <f>IF(ISNUMBER(System!$C28),PlotData!Y28+Querkraft!$E$2*$AF$1*Y27,PlotData!$CB$4)</f>
        <v>0</v>
      </c>
      <c r="BC27" s="668">
        <f>IF(ISNUMBER(System!$C28),PlotData!Y28, PlotData!CB$4)</f>
        <v>0</v>
      </c>
      <c r="BD27" s="721">
        <f>IF(ISNUMBER(System!$C28),PlotData!O28, PlotData!$CB$4)</f>
        <v>0</v>
      </c>
      <c r="BE27" s="639">
        <f>IF(ISNUMBER(System!$C28), AR27,PlotData!$CB$4)</f>
        <v>0</v>
      </c>
    </row>
    <row r="28" spans="1:57" x14ac:dyDescent="0.25">
      <c r="A28" s="1124">
        <v>26</v>
      </c>
      <c r="B28" s="668"/>
      <c r="C28" s="721"/>
      <c r="D28" s="721"/>
      <c r="E28" s="721"/>
      <c r="F28" s="721"/>
      <c r="G28" s="721"/>
      <c r="H28" s="721"/>
      <c r="I28" s="721"/>
      <c r="J28" s="721"/>
      <c r="K28" s="721"/>
      <c r="L28" s="639"/>
      <c r="N28" s="1124">
        <v>26</v>
      </c>
      <c r="O28" s="668"/>
      <c r="P28" s="721"/>
      <c r="Q28" s="721"/>
      <c r="R28" s="721"/>
      <c r="S28" s="721"/>
      <c r="T28" s="721"/>
      <c r="U28" s="721"/>
      <c r="V28" s="721"/>
      <c r="W28" s="721"/>
      <c r="X28" s="721"/>
      <c r="Y28" s="639"/>
      <c r="AA28" s="1125">
        <v>26</v>
      </c>
      <c r="AB28" s="668">
        <f>IF(ISNUMBER(System!$C29),PlotData!B29+ Querkraft!$E$2*$AF$1*B28,PlotData!$CB$3)</f>
        <v>0</v>
      </c>
      <c r="AC28" s="721">
        <f>IF(ISNUMBER(System!$C29),PlotData!C29+ Querkraft!$E$2*$AF$1*C28,PlotData!$CB$3)</f>
        <v>0</v>
      </c>
      <c r="AD28" s="721">
        <f>IF(ISNUMBER(System!$C29),PlotData!D29+ Querkraft!$E$2*$AF$1*D28,PlotData!$CB$3)</f>
        <v>0</v>
      </c>
      <c r="AE28" s="721">
        <f>IF(ISNUMBER(System!$C29),PlotData!E29+ Querkraft!$E$2*$AF$1*E28,PlotData!$CB$3)</f>
        <v>0</v>
      </c>
      <c r="AF28" s="721">
        <f>IF(ISNUMBER(System!$C29),PlotData!F29+Querkraft!$E$2* $AF$1*F28,PlotData!$CB$3)</f>
        <v>0</v>
      </c>
      <c r="AG28" s="721">
        <f>IF(ISNUMBER(System!$C29),PlotData!G29+ Querkraft!$E$2*$AF$1*G28,PlotData!$CB$3)</f>
        <v>0</v>
      </c>
      <c r="AH28" s="721">
        <f>IF(ISNUMBER(System!$C29),PlotData!H29+Querkraft!$E$2* $AF$1*H28,PlotData!$CB$3)</f>
        <v>0</v>
      </c>
      <c r="AI28" s="721">
        <f>IF(ISNUMBER(System!$C29),PlotData!I29+ Querkraft!$E$2*$AF$1*I28,PlotData!$CB$3)</f>
        <v>0</v>
      </c>
      <c r="AJ28" s="721">
        <f>IF(ISNUMBER(System!$C29),PlotData!J29+Querkraft!$E$2*$AF$1*J28,PlotData!$CB$3)</f>
        <v>0</v>
      </c>
      <c r="AK28" s="721">
        <f>IF(ISNUMBER(System!$C29),PlotData!K29+ Querkraft!$E$2*$AF$1*K28,PlotData!$CB$3)</f>
        <v>0</v>
      </c>
      <c r="AL28" s="639">
        <f>IF(ISNUMBER(System!$C29),PlotData!L29+ Querkraft!$E$2*$AF$1*L28,PlotData!$CB$3)</f>
        <v>0</v>
      </c>
      <c r="AM28" s="668">
        <f>IF(ISNUMBER(System!$C29),PlotData!L29,PlotData!$CB$3)</f>
        <v>0</v>
      </c>
      <c r="AN28" s="721">
        <f>IF(ISNUMBER(System!$C29),PlotData!B29,PlotData!$CB$3)</f>
        <v>0</v>
      </c>
      <c r="AO28" s="639">
        <f>IF(ISNUMBER(System!$C29),AB28,PlotData!$CB$3)</f>
        <v>0</v>
      </c>
      <c r="AQ28" s="1124">
        <v>26</v>
      </c>
      <c r="AR28" s="1146">
        <f>IF(ISNUMBER(System!$C29),PlotData!O29+ Querkraft!$E$2*$AF$1*O28,PlotData!$CB$4)</f>
        <v>0</v>
      </c>
      <c r="AS28" s="721">
        <f>IF(ISNUMBER(System!$C29),PlotData!P29+Querkraft!$E$2* $AF$1*P28,PlotData!$CB$4)</f>
        <v>0</v>
      </c>
      <c r="AT28" s="721">
        <f>IF(ISNUMBER(System!$C29),PlotData!Q29+Querkraft!$E$2*$AF$1*Q28,PlotData!$CB$4)</f>
        <v>0</v>
      </c>
      <c r="AU28" s="721">
        <f>IF(ISNUMBER(System!$C29),PlotData!R29+ Querkraft!$E$2*$AF$1*R28,PlotData!$CB$4)</f>
        <v>0</v>
      </c>
      <c r="AV28" s="721">
        <f>IF(ISNUMBER(System!$C29),PlotData!S29+ Querkraft!$E$2*$AF$1*S28,PlotData!$CB$4)</f>
        <v>0</v>
      </c>
      <c r="AW28" s="721">
        <f>IF(ISNUMBER(System!$C29),PlotData!T29+ Querkraft!$E$2*$AF$1*T28,PlotData!$CB$4)</f>
        <v>0</v>
      </c>
      <c r="AX28" s="721">
        <f>IF(ISNUMBER(System!$C29),PlotData!U29+ Querkraft!$E$2*$AF$1*U28,PlotData!$CB$4)</f>
        <v>0</v>
      </c>
      <c r="AY28" s="721">
        <f>IF(ISNUMBER(System!$C29),PlotData!V29+ Querkraft!$E$2*$AF$1*V28,PlotData!$CB$4)</f>
        <v>0</v>
      </c>
      <c r="AZ28" s="721">
        <f>IF(ISNUMBER(System!$C29),PlotData!W29+ Querkraft!$E$2*$AF$1*W28,PlotData!$CB$4)</f>
        <v>0</v>
      </c>
      <c r="BA28" s="721">
        <f>IF(ISNUMBER(System!$C29),PlotData!X29+Querkraft!$E$2* $AF$1*X28,PlotData!$CB$4)</f>
        <v>0</v>
      </c>
      <c r="BB28" s="639">
        <f>IF(ISNUMBER(System!$C29),PlotData!Y29+Querkraft!$E$2*$AF$1*Y28,PlotData!$CB$4)</f>
        <v>0</v>
      </c>
      <c r="BC28" s="668">
        <f>IF(ISNUMBER(System!$C29),PlotData!Y29, PlotData!CB$4)</f>
        <v>0</v>
      </c>
      <c r="BD28" s="721">
        <f>IF(ISNUMBER(System!$C29),PlotData!O29, PlotData!$CB$4)</f>
        <v>0</v>
      </c>
      <c r="BE28" s="639">
        <f>IF(ISNUMBER(System!$C29), AR28,PlotData!$CB$4)</f>
        <v>0</v>
      </c>
    </row>
    <row r="29" spans="1:57" x14ac:dyDescent="0.25">
      <c r="A29" s="1124">
        <v>27</v>
      </c>
      <c r="B29" s="668"/>
      <c r="C29" s="721"/>
      <c r="D29" s="721"/>
      <c r="E29" s="721"/>
      <c r="F29" s="721"/>
      <c r="G29" s="721"/>
      <c r="H29" s="721"/>
      <c r="I29" s="721"/>
      <c r="J29" s="721"/>
      <c r="K29" s="721"/>
      <c r="L29" s="639"/>
      <c r="N29" s="1124">
        <v>27</v>
      </c>
      <c r="O29" s="668"/>
      <c r="P29" s="721"/>
      <c r="Q29" s="721"/>
      <c r="R29" s="721"/>
      <c r="S29" s="721"/>
      <c r="T29" s="721"/>
      <c r="U29" s="721"/>
      <c r="V29" s="721"/>
      <c r="W29" s="721"/>
      <c r="X29" s="721"/>
      <c r="Y29" s="639"/>
      <c r="AA29" s="1125">
        <v>27</v>
      </c>
      <c r="AB29" s="668">
        <f>IF(ISNUMBER(System!$C30),PlotData!B30+ Querkraft!$E$2*$AF$1*B29,PlotData!$CB$3)</f>
        <v>0</v>
      </c>
      <c r="AC29" s="721">
        <f>IF(ISNUMBER(System!$C30),PlotData!C30+ Querkraft!$E$2*$AF$1*C29,PlotData!$CB$3)</f>
        <v>0</v>
      </c>
      <c r="AD29" s="721">
        <f>IF(ISNUMBER(System!$C30),PlotData!D30+ Querkraft!$E$2*$AF$1*D29,PlotData!$CB$3)</f>
        <v>0</v>
      </c>
      <c r="AE29" s="721">
        <f>IF(ISNUMBER(System!$C30),PlotData!E30+ Querkraft!$E$2*$AF$1*E29,PlotData!$CB$3)</f>
        <v>0</v>
      </c>
      <c r="AF29" s="721">
        <f>IF(ISNUMBER(System!$C30),PlotData!F30+Querkraft!$E$2* $AF$1*F29,PlotData!$CB$3)</f>
        <v>0</v>
      </c>
      <c r="AG29" s="721">
        <f>IF(ISNUMBER(System!$C30),PlotData!G30+ Querkraft!$E$2*$AF$1*G29,PlotData!$CB$3)</f>
        <v>0</v>
      </c>
      <c r="AH29" s="721">
        <f>IF(ISNUMBER(System!$C30),PlotData!H30+Querkraft!$E$2* $AF$1*H29,PlotData!$CB$3)</f>
        <v>0</v>
      </c>
      <c r="AI29" s="721">
        <f>IF(ISNUMBER(System!$C30),PlotData!I30+ Querkraft!$E$2*$AF$1*I29,PlotData!$CB$3)</f>
        <v>0</v>
      </c>
      <c r="AJ29" s="721">
        <f>IF(ISNUMBER(System!$C30),PlotData!J30+Querkraft!$E$2*$AF$1*J29,PlotData!$CB$3)</f>
        <v>0</v>
      </c>
      <c r="AK29" s="721">
        <f>IF(ISNUMBER(System!$C30),PlotData!K30+ Querkraft!$E$2*$AF$1*K29,PlotData!$CB$3)</f>
        <v>0</v>
      </c>
      <c r="AL29" s="639">
        <f>IF(ISNUMBER(System!$C30),PlotData!L30+ Querkraft!$E$2*$AF$1*L29,PlotData!$CB$3)</f>
        <v>0</v>
      </c>
      <c r="AM29" s="668">
        <f>IF(ISNUMBER(System!$C30),PlotData!L30,PlotData!$CB$3)</f>
        <v>0</v>
      </c>
      <c r="AN29" s="721">
        <f>IF(ISNUMBER(System!$C30),PlotData!B30,PlotData!$CB$3)</f>
        <v>0</v>
      </c>
      <c r="AO29" s="639">
        <f>IF(ISNUMBER(System!$C30),AB29,PlotData!$CB$3)</f>
        <v>0</v>
      </c>
      <c r="AQ29" s="1124">
        <v>27</v>
      </c>
      <c r="AR29" s="1146">
        <f>IF(ISNUMBER(System!$C30),PlotData!O30+ Querkraft!$E$2*$AF$1*O29,PlotData!$CB$4)</f>
        <v>0</v>
      </c>
      <c r="AS29" s="721">
        <f>IF(ISNUMBER(System!$C30),PlotData!P30+Querkraft!$E$2* $AF$1*P29,PlotData!$CB$4)</f>
        <v>0</v>
      </c>
      <c r="AT29" s="721">
        <f>IF(ISNUMBER(System!$C30),PlotData!Q30+Querkraft!$E$2*$AF$1*Q29,PlotData!$CB$4)</f>
        <v>0</v>
      </c>
      <c r="AU29" s="721">
        <f>IF(ISNUMBER(System!$C30),PlotData!R30+ Querkraft!$E$2*$AF$1*R29,PlotData!$CB$4)</f>
        <v>0</v>
      </c>
      <c r="AV29" s="721">
        <f>IF(ISNUMBER(System!$C30),PlotData!S30+ Querkraft!$E$2*$AF$1*S29,PlotData!$CB$4)</f>
        <v>0</v>
      </c>
      <c r="AW29" s="721">
        <f>IF(ISNUMBER(System!$C30),PlotData!T30+ Querkraft!$E$2*$AF$1*T29,PlotData!$CB$4)</f>
        <v>0</v>
      </c>
      <c r="AX29" s="721">
        <f>IF(ISNUMBER(System!$C30),PlotData!U30+ Querkraft!$E$2*$AF$1*U29,PlotData!$CB$4)</f>
        <v>0</v>
      </c>
      <c r="AY29" s="721">
        <f>IF(ISNUMBER(System!$C30),PlotData!V30+ Querkraft!$E$2*$AF$1*V29,PlotData!$CB$4)</f>
        <v>0</v>
      </c>
      <c r="AZ29" s="721">
        <f>IF(ISNUMBER(System!$C30),PlotData!W30+ Querkraft!$E$2*$AF$1*W29,PlotData!$CB$4)</f>
        <v>0</v>
      </c>
      <c r="BA29" s="721">
        <f>IF(ISNUMBER(System!$C30),PlotData!X30+Querkraft!$E$2* $AF$1*X29,PlotData!$CB$4)</f>
        <v>0</v>
      </c>
      <c r="BB29" s="639">
        <f>IF(ISNUMBER(System!$C30),PlotData!Y30+Querkraft!$E$2*$AF$1*Y29,PlotData!$CB$4)</f>
        <v>0</v>
      </c>
      <c r="BC29" s="668">
        <f>IF(ISNUMBER(System!$C30),PlotData!Y30, PlotData!CB$4)</f>
        <v>0</v>
      </c>
      <c r="BD29" s="721">
        <f>IF(ISNUMBER(System!$C30),PlotData!O30, PlotData!$CB$4)</f>
        <v>0</v>
      </c>
      <c r="BE29" s="639">
        <f>IF(ISNUMBER(System!$C30), AR29,PlotData!$CB$4)</f>
        <v>0</v>
      </c>
    </row>
    <row r="30" spans="1:57" x14ac:dyDescent="0.25">
      <c r="A30" s="1124">
        <v>28</v>
      </c>
      <c r="B30" s="668"/>
      <c r="C30" s="721"/>
      <c r="D30" s="721"/>
      <c r="E30" s="721"/>
      <c r="F30" s="721"/>
      <c r="G30" s="721"/>
      <c r="H30" s="721"/>
      <c r="I30" s="721"/>
      <c r="J30" s="721"/>
      <c r="K30" s="721"/>
      <c r="L30" s="639"/>
      <c r="N30" s="1124">
        <v>28</v>
      </c>
      <c r="O30" s="668"/>
      <c r="P30" s="721"/>
      <c r="Q30" s="721"/>
      <c r="R30" s="721"/>
      <c r="S30" s="721"/>
      <c r="T30" s="721"/>
      <c r="U30" s="721"/>
      <c r="V30" s="721"/>
      <c r="W30" s="721"/>
      <c r="X30" s="721"/>
      <c r="Y30" s="639"/>
      <c r="AA30" s="1125">
        <v>28</v>
      </c>
      <c r="AB30" s="668">
        <f>IF(ISNUMBER(System!$C31),PlotData!B31+ Querkraft!$E$2*$AF$1*B30,PlotData!$CB$3)</f>
        <v>0</v>
      </c>
      <c r="AC30" s="721">
        <f>IF(ISNUMBER(System!$C31),PlotData!C31+ Querkraft!$E$2*$AF$1*C30,PlotData!$CB$3)</f>
        <v>0</v>
      </c>
      <c r="AD30" s="721">
        <f>IF(ISNUMBER(System!$C31),PlotData!D31+ Querkraft!$E$2*$AF$1*D30,PlotData!$CB$3)</f>
        <v>0</v>
      </c>
      <c r="AE30" s="721">
        <f>IF(ISNUMBER(System!$C31),PlotData!E31+ Querkraft!$E$2*$AF$1*E30,PlotData!$CB$3)</f>
        <v>0</v>
      </c>
      <c r="AF30" s="721">
        <f>IF(ISNUMBER(System!$C31),PlotData!F31+Querkraft!$E$2* $AF$1*F30,PlotData!$CB$3)</f>
        <v>0</v>
      </c>
      <c r="AG30" s="721">
        <f>IF(ISNUMBER(System!$C31),PlotData!G31+ Querkraft!$E$2*$AF$1*G30,PlotData!$CB$3)</f>
        <v>0</v>
      </c>
      <c r="AH30" s="721">
        <f>IF(ISNUMBER(System!$C31),PlotData!H31+Querkraft!$E$2* $AF$1*H30,PlotData!$CB$3)</f>
        <v>0</v>
      </c>
      <c r="AI30" s="721">
        <f>IF(ISNUMBER(System!$C31),PlotData!I31+ Querkraft!$E$2*$AF$1*I30,PlotData!$CB$3)</f>
        <v>0</v>
      </c>
      <c r="AJ30" s="721">
        <f>IF(ISNUMBER(System!$C31),PlotData!J31+Querkraft!$E$2*$AF$1*J30,PlotData!$CB$3)</f>
        <v>0</v>
      </c>
      <c r="AK30" s="721">
        <f>IF(ISNUMBER(System!$C31),PlotData!K31+ Querkraft!$E$2*$AF$1*K30,PlotData!$CB$3)</f>
        <v>0</v>
      </c>
      <c r="AL30" s="639">
        <f>IF(ISNUMBER(System!$C31),PlotData!L31+ Querkraft!$E$2*$AF$1*L30,PlotData!$CB$3)</f>
        <v>0</v>
      </c>
      <c r="AM30" s="668">
        <f>IF(ISNUMBER(System!$C31),PlotData!L31,PlotData!$CB$3)</f>
        <v>0</v>
      </c>
      <c r="AN30" s="721">
        <f>IF(ISNUMBER(System!$C31),PlotData!B31,PlotData!$CB$3)</f>
        <v>0</v>
      </c>
      <c r="AO30" s="639">
        <f>IF(ISNUMBER(System!$C31),AB30,PlotData!$CB$3)</f>
        <v>0</v>
      </c>
      <c r="AQ30" s="1124">
        <v>28</v>
      </c>
      <c r="AR30" s="1146">
        <f>IF(ISNUMBER(System!$C31),PlotData!O31+ Querkraft!$E$2*$AF$1*O30,PlotData!$CB$4)</f>
        <v>0</v>
      </c>
      <c r="AS30" s="721">
        <f>IF(ISNUMBER(System!$C31),PlotData!P31+Querkraft!$E$2* $AF$1*P30,PlotData!$CB$4)</f>
        <v>0</v>
      </c>
      <c r="AT30" s="721">
        <f>IF(ISNUMBER(System!$C31),PlotData!Q31+Querkraft!$E$2*$AF$1*Q30,PlotData!$CB$4)</f>
        <v>0</v>
      </c>
      <c r="AU30" s="721">
        <f>IF(ISNUMBER(System!$C31),PlotData!R31+ Querkraft!$E$2*$AF$1*R30,PlotData!$CB$4)</f>
        <v>0</v>
      </c>
      <c r="AV30" s="721">
        <f>IF(ISNUMBER(System!$C31),PlotData!S31+ Querkraft!$E$2*$AF$1*S30,PlotData!$CB$4)</f>
        <v>0</v>
      </c>
      <c r="AW30" s="721">
        <f>IF(ISNUMBER(System!$C31),PlotData!T31+ Querkraft!$E$2*$AF$1*T30,PlotData!$CB$4)</f>
        <v>0</v>
      </c>
      <c r="AX30" s="721">
        <f>IF(ISNUMBER(System!$C31),PlotData!U31+ Querkraft!$E$2*$AF$1*U30,PlotData!$CB$4)</f>
        <v>0</v>
      </c>
      <c r="AY30" s="721">
        <f>IF(ISNUMBER(System!$C31),PlotData!V31+ Querkraft!$E$2*$AF$1*V30,PlotData!$CB$4)</f>
        <v>0</v>
      </c>
      <c r="AZ30" s="721">
        <f>IF(ISNUMBER(System!$C31),PlotData!W31+ Querkraft!$E$2*$AF$1*W30,PlotData!$CB$4)</f>
        <v>0</v>
      </c>
      <c r="BA30" s="721">
        <f>IF(ISNUMBER(System!$C31),PlotData!X31+Querkraft!$E$2* $AF$1*X30,PlotData!$CB$4)</f>
        <v>0</v>
      </c>
      <c r="BB30" s="639">
        <f>IF(ISNUMBER(System!$C31),PlotData!Y31+Querkraft!$E$2*$AF$1*Y30,PlotData!$CB$4)</f>
        <v>0</v>
      </c>
      <c r="BC30" s="668">
        <f>IF(ISNUMBER(System!$C31),PlotData!Y31, PlotData!CB$4)</f>
        <v>0</v>
      </c>
      <c r="BD30" s="721">
        <f>IF(ISNUMBER(System!$C31),PlotData!O31, PlotData!$CB$4)</f>
        <v>0</v>
      </c>
      <c r="BE30" s="639">
        <f>IF(ISNUMBER(System!$C31), AR30,PlotData!$CB$4)</f>
        <v>0</v>
      </c>
    </row>
    <row r="31" spans="1:57" x14ac:dyDescent="0.25">
      <c r="A31" s="1124">
        <v>29</v>
      </c>
      <c r="B31" s="668"/>
      <c r="C31" s="721"/>
      <c r="D31" s="721"/>
      <c r="E31" s="721"/>
      <c r="F31" s="721"/>
      <c r="G31" s="721"/>
      <c r="H31" s="721"/>
      <c r="I31" s="721"/>
      <c r="J31" s="721"/>
      <c r="K31" s="721"/>
      <c r="L31" s="639"/>
      <c r="N31" s="1124">
        <v>29</v>
      </c>
      <c r="O31" s="668"/>
      <c r="P31" s="721"/>
      <c r="Q31" s="721"/>
      <c r="R31" s="721"/>
      <c r="S31" s="721"/>
      <c r="T31" s="721"/>
      <c r="U31" s="721"/>
      <c r="V31" s="721"/>
      <c r="W31" s="721"/>
      <c r="X31" s="721"/>
      <c r="Y31" s="639"/>
      <c r="AA31" s="1125">
        <v>29</v>
      </c>
      <c r="AB31" s="668">
        <f>IF(ISNUMBER(System!$C32),PlotData!B32+ Querkraft!$E$2*$AF$1*B31,PlotData!$CB$3)</f>
        <v>0</v>
      </c>
      <c r="AC31" s="721">
        <f>IF(ISNUMBER(System!$C32),PlotData!C32+ Querkraft!$E$2*$AF$1*C31,PlotData!$CB$3)</f>
        <v>0</v>
      </c>
      <c r="AD31" s="721">
        <f>IF(ISNUMBER(System!$C32),PlotData!D32+ Querkraft!$E$2*$AF$1*D31,PlotData!$CB$3)</f>
        <v>0</v>
      </c>
      <c r="AE31" s="721">
        <f>IF(ISNUMBER(System!$C32),PlotData!E32+ Querkraft!$E$2*$AF$1*E31,PlotData!$CB$3)</f>
        <v>0</v>
      </c>
      <c r="AF31" s="721">
        <f>IF(ISNUMBER(System!$C32),PlotData!F32+Querkraft!$E$2* $AF$1*F31,PlotData!$CB$3)</f>
        <v>0</v>
      </c>
      <c r="AG31" s="721">
        <f>IF(ISNUMBER(System!$C32),PlotData!G32+ Querkraft!$E$2*$AF$1*G31,PlotData!$CB$3)</f>
        <v>0</v>
      </c>
      <c r="AH31" s="721">
        <f>IF(ISNUMBER(System!$C32),PlotData!H32+Querkraft!$E$2* $AF$1*H31,PlotData!$CB$3)</f>
        <v>0</v>
      </c>
      <c r="AI31" s="721">
        <f>IF(ISNUMBER(System!$C32),PlotData!I32+ Querkraft!$E$2*$AF$1*I31,PlotData!$CB$3)</f>
        <v>0</v>
      </c>
      <c r="AJ31" s="721">
        <f>IF(ISNUMBER(System!$C32),PlotData!J32+Querkraft!$E$2*$AF$1*J31,PlotData!$CB$3)</f>
        <v>0</v>
      </c>
      <c r="AK31" s="721">
        <f>IF(ISNUMBER(System!$C32),PlotData!K32+ Querkraft!$E$2*$AF$1*K31,PlotData!$CB$3)</f>
        <v>0</v>
      </c>
      <c r="AL31" s="639">
        <f>IF(ISNUMBER(System!$C32),PlotData!L32+ Querkraft!$E$2*$AF$1*L31,PlotData!$CB$3)</f>
        <v>0</v>
      </c>
      <c r="AM31" s="668">
        <f>IF(ISNUMBER(System!$C32),PlotData!L32,PlotData!$CB$3)</f>
        <v>0</v>
      </c>
      <c r="AN31" s="721">
        <f>IF(ISNUMBER(System!$C32),PlotData!B32,PlotData!$CB$3)</f>
        <v>0</v>
      </c>
      <c r="AO31" s="639">
        <f>IF(ISNUMBER(System!$C32),AB31,PlotData!$CB$3)</f>
        <v>0</v>
      </c>
      <c r="AQ31" s="1124">
        <v>29</v>
      </c>
      <c r="AR31" s="1146">
        <f>IF(ISNUMBER(System!$C32),PlotData!O32+ Querkraft!$E$2*$AF$1*O31,PlotData!$CB$4)</f>
        <v>0</v>
      </c>
      <c r="AS31" s="721">
        <f>IF(ISNUMBER(System!$C32),PlotData!P32+Querkraft!$E$2* $AF$1*P31,PlotData!$CB$4)</f>
        <v>0</v>
      </c>
      <c r="AT31" s="721">
        <f>IF(ISNUMBER(System!$C32),PlotData!Q32+Querkraft!$E$2*$AF$1*Q31,PlotData!$CB$4)</f>
        <v>0</v>
      </c>
      <c r="AU31" s="721">
        <f>IF(ISNUMBER(System!$C32),PlotData!R32+ Querkraft!$E$2*$AF$1*R31,PlotData!$CB$4)</f>
        <v>0</v>
      </c>
      <c r="AV31" s="721">
        <f>IF(ISNUMBER(System!$C32),PlotData!S32+ Querkraft!$E$2*$AF$1*S31,PlotData!$CB$4)</f>
        <v>0</v>
      </c>
      <c r="AW31" s="721">
        <f>IF(ISNUMBER(System!$C32),PlotData!T32+ Querkraft!$E$2*$AF$1*T31,PlotData!$CB$4)</f>
        <v>0</v>
      </c>
      <c r="AX31" s="721">
        <f>IF(ISNUMBER(System!$C32),PlotData!U32+ Querkraft!$E$2*$AF$1*U31,PlotData!$CB$4)</f>
        <v>0</v>
      </c>
      <c r="AY31" s="721">
        <f>IF(ISNUMBER(System!$C32),PlotData!V32+ Querkraft!$E$2*$AF$1*V31,PlotData!$CB$4)</f>
        <v>0</v>
      </c>
      <c r="AZ31" s="721">
        <f>IF(ISNUMBER(System!$C32),PlotData!W32+ Querkraft!$E$2*$AF$1*W31,PlotData!$CB$4)</f>
        <v>0</v>
      </c>
      <c r="BA31" s="721">
        <f>IF(ISNUMBER(System!$C32),PlotData!X32+Querkraft!$E$2* $AF$1*X31,PlotData!$CB$4)</f>
        <v>0</v>
      </c>
      <c r="BB31" s="639">
        <f>IF(ISNUMBER(System!$C32),PlotData!Y32+Querkraft!$E$2*$AF$1*Y31,PlotData!$CB$4)</f>
        <v>0</v>
      </c>
      <c r="BC31" s="668">
        <f>IF(ISNUMBER(System!$C32),PlotData!Y32, PlotData!CB$4)</f>
        <v>0</v>
      </c>
      <c r="BD31" s="721">
        <f>IF(ISNUMBER(System!$C32),PlotData!O32, PlotData!$CB$4)</f>
        <v>0</v>
      </c>
      <c r="BE31" s="639">
        <f>IF(ISNUMBER(System!$C32), AR31,PlotData!$CB$4)</f>
        <v>0</v>
      </c>
    </row>
    <row r="32" spans="1:57" x14ac:dyDescent="0.25">
      <c r="A32" s="1124">
        <v>30</v>
      </c>
      <c r="B32" s="668"/>
      <c r="C32" s="721"/>
      <c r="D32" s="721"/>
      <c r="E32" s="721"/>
      <c r="F32" s="721"/>
      <c r="G32" s="721"/>
      <c r="H32" s="721"/>
      <c r="I32" s="721"/>
      <c r="J32" s="721"/>
      <c r="K32" s="721"/>
      <c r="L32" s="639"/>
      <c r="N32" s="1124">
        <v>30</v>
      </c>
      <c r="O32" s="668"/>
      <c r="P32" s="721"/>
      <c r="Q32" s="721"/>
      <c r="R32" s="721"/>
      <c r="S32" s="721"/>
      <c r="T32" s="721"/>
      <c r="U32" s="721"/>
      <c r="V32" s="721"/>
      <c r="W32" s="721"/>
      <c r="X32" s="721"/>
      <c r="Y32" s="639"/>
      <c r="AA32" s="1125">
        <v>30</v>
      </c>
      <c r="AB32" s="668">
        <f>IF(ISNUMBER(System!$C33),PlotData!B33+ Querkraft!$E$2*$AF$1*B32,PlotData!$CB$3)</f>
        <v>0</v>
      </c>
      <c r="AC32" s="721">
        <f>IF(ISNUMBER(System!$C33),PlotData!C33+ Querkraft!$E$2*$AF$1*C32,PlotData!$CB$3)</f>
        <v>0</v>
      </c>
      <c r="AD32" s="721">
        <f>IF(ISNUMBER(System!$C33),PlotData!D33+ Querkraft!$E$2*$AF$1*D32,PlotData!$CB$3)</f>
        <v>0</v>
      </c>
      <c r="AE32" s="721">
        <f>IF(ISNUMBER(System!$C33),PlotData!E33+ Querkraft!$E$2*$AF$1*E32,PlotData!$CB$3)</f>
        <v>0</v>
      </c>
      <c r="AF32" s="721">
        <f>IF(ISNUMBER(System!$C33),PlotData!F33+Querkraft!$E$2* $AF$1*F32,PlotData!$CB$3)</f>
        <v>0</v>
      </c>
      <c r="AG32" s="721">
        <f>IF(ISNUMBER(System!$C33),PlotData!G33+ Querkraft!$E$2*$AF$1*G32,PlotData!$CB$3)</f>
        <v>0</v>
      </c>
      <c r="AH32" s="721">
        <f>IF(ISNUMBER(System!$C33),PlotData!H33+Querkraft!$E$2* $AF$1*H32,PlotData!$CB$3)</f>
        <v>0</v>
      </c>
      <c r="AI32" s="721">
        <f>IF(ISNUMBER(System!$C33),PlotData!I33+ Querkraft!$E$2*$AF$1*I32,PlotData!$CB$3)</f>
        <v>0</v>
      </c>
      <c r="AJ32" s="721">
        <f>IF(ISNUMBER(System!$C33),PlotData!J33+Querkraft!$E$2*$AF$1*J32,PlotData!$CB$3)</f>
        <v>0</v>
      </c>
      <c r="AK32" s="721">
        <f>IF(ISNUMBER(System!$C33),PlotData!K33+ Querkraft!$E$2*$AF$1*K32,PlotData!$CB$3)</f>
        <v>0</v>
      </c>
      <c r="AL32" s="639">
        <f>IF(ISNUMBER(System!$C33),PlotData!L33+ Querkraft!$E$2*$AF$1*L32,PlotData!$CB$3)</f>
        <v>0</v>
      </c>
      <c r="AM32" s="668">
        <f>IF(ISNUMBER(System!$C33),PlotData!L33,PlotData!$CB$3)</f>
        <v>0</v>
      </c>
      <c r="AN32" s="721">
        <f>IF(ISNUMBER(System!$C33),PlotData!B33,PlotData!$CB$3)</f>
        <v>0</v>
      </c>
      <c r="AO32" s="639">
        <f>IF(ISNUMBER(System!$C33),AB32,PlotData!$CB$3)</f>
        <v>0</v>
      </c>
      <c r="AQ32" s="1124">
        <v>30</v>
      </c>
      <c r="AR32" s="1146">
        <f>IF(ISNUMBER(System!$C33),PlotData!O33+ Querkraft!$E$2*$AF$1*O32,PlotData!$CB$4)</f>
        <v>0</v>
      </c>
      <c r="AS32" s="721">
        <f>IF(ISNUMBER(System!$C33),PlotData!P33+Querkraft!$E$2* $AF$1*P32,PlotData!$CB$4)</f>
        <v>0</v>
      </c>
      <c r="AT32" s="721">
        <f>IF(ISNUMBER(System!$C33),PlotData!Q33+Querkraft!$E$2*$AF$1*Q32,PlotData!$CB$4)</f>
        <v>0</v>
      </c>
      <c r="AU32" s="721">
        <f>IF(ISNUMBER(System!$C33),PlotData!R33+ Querkraft!$E$2*$AF$1*R32,PlotData!$CB$4)</f>
        <v>0</v>
      </c>
      <c r="AV32" s="721">
        <f>IF(ISNUMBER(System!$C33),PlotData!S33+ Querkraft!$E$2*$AF$1*S32,PlotData!$CB$4)</f>
        <v>0</v>
      </c>
      <c r="AW32" s="721">
        <f>IF(ISNUMBER(System!$C33),PlotData!T33+ Querkraft!$E$2*$AF$1*T32,PlotData!$CB$4)</f>
        <v>0</v>
      </c>
      <c r="AX32" s="721">
        <f>IF(ISNUMBER(System!$C33),PlotData!U33+ Querkraft!$E$2*$AF$1*U32,PlotData!$CB$4)</f>
        <v>0</v>
      </c>
      <c r="AY32" s="721">
        <f>IF(ISNUMBER(System!$C33),PlotData!V33+ Querkraft!$E$2*$AF$1*V32,PlotData!$CB$4)</f>
        <v>0</v>
      </c>
      <c r="AZ32" s="721">
        <f>IF(ISNUMBER(System!$C33),PlotData!W33+ Querkraft!$E$2*$AF$1*W32,PlotData!$CB$4)</f>
        <v>0</v>
      </c>
      <c r="BA32" s="721">
        <f>IF(ISNUMBER(System!$C33),PlotData!X33+Querkraft!$E$2* $AF$1*X32,PlotData!$CB$4)</f>
        <v>0</v>
      </c>
      <c r="BB32" s="639">
        <f>IF(ISNUMBER(System!$C33),PlotData!Y33+Querkraft!$E$2*$AF$1*Y32,PlotData!$CB$4)</f>
        <v>0</v>
      </c>
      <c r="BC32" s="668">
        <f>IF(ISNUMBER(System!$C33),PlotData!Y33, PlotData!CB$4)</f>
        <v>0</v>
      </c>
      <c r="BD32" s="721">
        <f>IF(ISNUMBER(System!$C33),PlotData!O33, PlotData!$CB$4)</f>
        <v>0</v>
      </c>
      <c r="BE32" s="639">
        <f>IF(ISNUMBER(System!$C33), AR32,PlotData!$CB$4)</f>
        <v>0</v>
      </c>
    </row>
    <row r="33" spans="1:57" x14ac:dyDescent="0.25">
      <c r="A33" s="1124">
        <v>31</v>
      </c>
      <c r="B33" s="668"/>
      <c r="C33" s="721"/>
      <c r="D33" s="721"/>
      <c r="E33" s="721"/>
      <c r="F33" s="721"/>
      <c r="G33" s="721"/>
      <c r="H33" s="721"/>
      <c r="I33" s="721"/>
      <c r="J33" s="721"/>
      <c r="K33" s="721"/>
      <c r="L33" s="639"/>
      <c r="N33" s="1124">
        <v>31</v>
      </c>
      <c r="O33" s="668"/>
      <c r="P33" s="721"/>
      <c r="Q33" s="721"/>
      <c r="R33" s="721"/>
      <c r="S33" s="721"/>
      <c r="T33" s="721"/>
      <c r="U33" s="721"/>
      <c r="V33" s="721"/>
      <c r="W33" s="721"/>
      <c r="X33" s="721"/>
      <c r="Y33" s="639"/>
      <c r="AA33" s="1125">
        <v>31</v>
      </c>
      <c r="AB33" s="668">
        <f>IF(ISNUMBER(System!$C34),PlotData!B34+ Querkraft!$E$2*$AF$1*B33,PlotData!$CB$3)</f>
        <v>0</v>
      </c>
      <c r="AC33" s="721">
        <f>IF(ISNUMBER(System!$C34),PlotData!C34+ Querkraft!$E$2*$AF$1*C33,PlotData!$CB$3)</f>
        <v>0</v>
      </c>
      <c r="AD33" s="721">
        <f>IF(ISNUMBER(System!$C34),PlotData!D34+ Querkraft!$E$2*$AF$1*D33,PlotData!$CB$3)</f>
        <v>0</v>
      </c>
      <c r="AE33" s="721">
        <f>IF(ISNUMBER(System!$C34),PlotData!E34+ Querkraft!$E$2*$AF$1*E33,PlotData!$CB$3)</f>
        <v>0</v>
      </c>
      <c r="AF33" s="721">
        <f>IF(ISNUMBER(System!$C34),PlotData!F34+Querkraft!$E$2* $AF$1*F33,PlotData!$CB$3)</f>
        <v>0</v>
      </c>
      <c r="AG33" s="721">
        <f>IF(ISNUMBER(System!$C34),PlotData!G34+ Querkraft!$E$2*$AF$1*G33,PlotData!$CB$3)</f>
        <v>0</v>
      </c>
      <c r="AH33" s="721">
        <f>IF(ISNUMBER(System!$C34),PlotData!H34+Querkraft!$E$2* $AF$1*H33,PlotData!$CB$3)</f>
        <v>0</v>
      </c>
      <c r="AI33" s="721">
        <f>IF(ISNUMBER(System!$C34),PlotData!I34+ Querkraft!$E$2*$AF$1*I33,PlotData!$CB$3)</f>
        <v>0</v>
      </c>
      <c r="AJ33" s="721">
        <f>IF(ISNUMBER(System!$C34),PlotData!J34+Querkraft!$E$2*$AF$1*J33,PlotData!$CB$3)</f>
        <v>0</v>
      </c>
      <c r="AK33" s="721">
        <f>IF(ISNUMBER(System!$C34),PlotData!K34+ Querkraft!$E$2*$AF$1*K33,PlotData!$CB$3)</f>
        <v>0</v>
      </c>
      <c r="AL33" s="639">
        <f>IF(ISNUMBER(System!$C34),PlotData!L34+ Querkraft!$E$2*$AF$1*L33,PlotData!$CB$3)</f>
        <v>0</v>
      </c>
      <c r="AM33" s="668">
        <f>IF(ISNUMBER(System!$C34),PlotData!L34,PlotData!$CB$3)</f>
        <v>0</v>
      </c>
      <c r="AN33" s="721">
        <f>IF(ISNUMBER(System!$C34),PlotData!B34,PlotData!$CB$3)</f>
        <v>0</v>
      </c>
      <c r="AO33" s="639">
        <f>IF(ISNUMBER(System!$C34),AB33,PlotData!$CB$3)</f>
        <v>0</v>
      </c>
      <c r="AQ33" s="1124">
        <v>31</v>
      </c>
      <c r="AR33" s="1146">
        <f>IF(ISNUMBER(System!$C34),PlotData!O34+ Querkraft!$E$2*$AF$1*O33,PlotData!$CB$4)</f>
        <v>0</v>
      </c>
      <c r="AS33" s="721">
        <f>IF(ISNUMBER(System!$C34),PlotData!P34+Querkraft!$E$2* $AF$1*P33,PlotData!$CB$4)</f>
        <v>0</v>
      </c>
      <c r="AT33" s="721">
        <f>IF(ISNUMBER(System!$C34),PlotData!Q34+Querkraft!$E$2*$AF$1*Q33,PlotData!$CB$4)</f>
        <v>0</v>
      </c>
      <c r="AU33" s="721">
        <f>IF(ISNUMBER(System!$C34),PlotData!R34+ Querkraft!$E$2*$AF$1*R33,PlotData!$CB$4)</f>
        <v>0</v>
      </c>
      <c r="AV33" s="721">
        <f>IF(ISNUMBER(System!$C34),PlotData!S34+ Querkraft!$E$2*$AF$1*S33,PlotData!$CB$4)</f>
        <v>0</v>
      </c>
      <c r="AW33" s="721">
        <f>IF(ISNUMBER(System!$C34),PlotData!T34+ Querkraft!$E$2*$AF$1*T33,PlotData!$CB$4)</f>
        <v>0</v>
      </c>
      <c r="AX33" s="721">
        <f>IF(ISNUMBER(System!$C34),PlotData!U34+ Querkraft!$E$2*$AF$1*U33,PlotData!$CB$4)</f>
        <v>0</v>
      </c>
      <c r="AY33" s="721">
        <f>IF(ISNUMBER(System!$C34),PlotData!V34+ Querkraft!$E$2*$AF$1*V33,PlotData!$CB$4)</f>
        <v>0</v>
      </c>
      <c r="AZ33" s="721">
        <f>IF(ISNUMBER(System!$C34),PlotData!W34+ Querkraft!$E$2*$AF$1*W33,PlotData!$CB$4)</f>
        <v>0</v>
      </c>
      <c r="BA33" s="721">
        <f>IF(ISNUMBER(System!$C34),PlotData!X34+Querkraft!$E$2* $AF$1*X33,PlotData!$CB$4)</f>
        <v>0</v>
      </c>
      <c r="BB33" s="639">
        <f>IF(ISNUMBER(System!$C34),PlotData!Y34+Querkraft!$E$2*$AF$1*Y33,PlotData!$CB$4)</f>
        <v>0</v>
      </c>
      <c r="BC33" s="668">
        <f>IF(ISNUMBER(System!$C34),PlotData!Y34, PlotData!CB$4)</f>
        <v>0</v>
      </c>
      <c r="BD33" s="721">
        <f>IF(ISNUMBER(System!$C34),PlotData!O34, PlotData!$CB$4)</f>
        <v>0</v>
      </c>
      <c r="BE33" s="639">
        <f>IF(ISNUMBER(System!$C34), AR33,PlotData!$CB$4)</f>
        <v>0</v>
      </c>
    </row>
    <row r="34" spans="1:57" x14ac:dyDescent="0.25">
      <c r="A34" s="1124">
        <v>32</v>
      </c>
      <c r="B34" s="668"/>
      <c r="C34" s="721"/>
      <c r="D34" s="721"/>
      <c r="E34" s="721"/>
      <c r="F34" s="721"/>
      <c r="G34" s="721"/>
      <c r="H34" s="721"/>
      <c r="I34" s="721"/>
      <c r="J34" s="721"/>
      <c r="K34" s="721"/>
      <c r="L34" s="639"/>
      <c r="N34" s="1124">
        <v>32</v>
      </c>
      <c r="O34" s="668"/>
      <c r="P34" s="721"/>
      <c r="Q34" s="721"/>
      <c r="R34" s="721"/>
      <c r="S34" s="721"/>
      <c r="T34" s="721"/>
      <c r="U34" s="721"/>
      <c r="V34" s="721"/>
      <c r="W34" s="721"/>
      <c r="X34" s="721"/>
      <c r="Y34" s="639"/>
      <c r="AA34" s="1125">
        <v>32</v>
      </c>
      <c r="AB34" s="668">
        <f>IF(ISNUMBER(System!$C35),PlotData!B35+ Querkraft!$E$2*$AF$1*B34,PlotData!$CB$3)</f>
        <v>0</v>
      </c>
      <c r="AC34" s="721">
        <f>IF(ISNUMBER(System!$C35),PlotData!C35+ Querkraft!$E$2*$AF$1*C34,PlotData!$CB$3)</f>
        <v>0</v>
      </c>
      <c r="AD34" s="721">
        <f>IF(ISNUMBER(System!$C35),PlotData!D35+ Querkraft!$E$2*$AF$1*D34,PlotData!$CB$3)</f>
        <v>0</v>
      </c>
      <c r="AE34" s="721">
        <f>IF(ISNUMBER(System!$C35),PlotData!E35+ Querkraft!$E$2*$AF$1*E34,PlotData!$CB$3)</f>
        <v>0</v>
      </c>
      <c r="AF34" s="721">
        <f>IF(ISNUMBER(System!$C35),PlotData!F35+Querkraft!$E$2* $AF$1*F34,PlotData!$CB$3)</f>
        <v>0</v>
      </c>
      <c r="AG34" s="721">
        <f>IF(ISNUMBER(System!$C35),PlotData!G35+ Querkraft!$E$2*$AF$1*G34,PlotData!$CB$3)</f>
        <v>0</v>
      </c>
      <c r="AH34" s="721">
        <f>IF(ISNUMBER(System!$C35),PlotData!H35+Querkraft!$E$2* $AF$1*H34,PlotData!$CB$3)</f>
        <v>0</v>
      </c>
      <c r="AI34" s="721">
        <f>IF(ISNUMBER(System!$C35),PlotData!I35+ Querkraft!$E$2*$AF$1*I34,PlotData!$CB$3)</f>
        <v>0</v>
      </c>
      <c r="AJ34" s="721">
        <f>IF(ISNUMBER(System!$C35),PlotData!J35+Querkraft!$E$2*$AF$1*J34,PlotData!$CB$3)</f>
        <v>0</v>
      </c>
      <c r="AK34" s="721">
        <f>IF(ISNUMBER(System!$C35),PlotData!K35+ Querkraft!$E$2*$AF$1*K34,PlotData!$CB$3)</f>
        <v>0</v>
      </c>
      <c r="AL34" s="639">
        <f>IF(ISNUMBER(System!$C35),PlotData!L35+ Querkraft!$E$2*$AF$1*L34,PlotData!$CB$3)</f>
        <v>0</v>
      </c>
      <c r="AM34" s="668">
        <f>IF(ISNUMBER(System!$C35),PlotData!L35,PlotData!$CB$3)</f>
        <v>0</v>
      </c>
      <c r="AN34" s="721">
        <f>IF(ISNUMBER(System!$C35),PlotData!B35,PlotData!$CB$3)</f>
        <v>0</v>
      </c>
      <c r="AO34" s="639">
        <f>IF(ISNUMBER(System!$C35),AB34,PlotData!$CB$3)</f>
        <v>0</v>
      </c>
      <c r="AQ34" s="1124">
        <v>32</v>
      </c>
      <c r="AR34" s="1146">
        <f>IF(ISNUMBER(System!$C35),PlotData!O35+ Querkraft!$E$2*$AF$1*O34,PlotData!$CB$4)</f>
        <v>0</v>
      </c>
      <c r="AS34" s="721">
        <f>IF(ISNUMBER(System!$C35),PlotData!P35+Querkraft!$E$2* $AF$1*P34,PlotData!$CB$4)</f>
        <v>0</v>
      </c>
      <c r="AT34" s="721">
        <f>IF(ISNUMBER(System!$C35),PlotData!Q35+Querkraft!$E$2*$AF$1*Q34,PlotData!$CB$4)</f>
        <v>0</v>
      </c>
      <c r="AU34" s="721">
        <f>IF(ISNUMBER(System!$C35),PlotData!R35+ Querkraft!$E$2*$AF$1*R34,PlotData!$CB$4)</f>
        <v>0</v>
      </c>
      <c r="AV34" s="721">
        <f>IF(ISNUMBER(System!$C35),PlotData!S35+ Querkraft!$E$2*$AF$1*S34,PlotData!$CB$4)</f>
        <v>0</v>
      </c>
      <c r="AW34" s="721">
        <f>IF(ISNUMBER(System!$C35),PlotData!T35+ Querkraft!$E$2*$AF$1*T34,PlotData!$CB$4)</f>
        <v>0</v>
      </c>
      <c r="AX34" s="721">
        <f>IF(ISNUMBER(System!$C35),PlotData!U35+ Querkraft!$E$2*$AF$1*U34,PlotData!$CB$4)</f>
        <v>0</v>
      </c>
      <c r="AY34" s="721">
        <f>IF(ISNUMBER(System!$C35),PlotData!V35+ Querkraft!$E$2*$AF$1*V34,PlotData!$CB$4)</f>
        <v>0</v>
      </c>
      <c r="AZ34" s="721">
        <f>IF(ISNUMBER(System!$C35),PlotData!W35+ Querkraft!$E$2*$AF$1*W34,PlotData!$CB$4)</f>
        <v>0</v>
      </c>
      <c r="BA34" s="721">
        <f>IF(ISNUMBER(System!$C35),PlotData!X35+Querkraft!$E$2* $AF$1*X34,PlotData!$CB$4)</f>
        <v>0</v>
      </c>
      <c r="BB34" s="639">
        <f>IF(ISNUMBER(System!$C35),PlotData!Y35+Querkraft!$E$2*$AF$1*Y34,PlotData!$CB$4)</f>
        <v>0</v>
      </c>
      <c r="BC34" s="668">
        <f>IF(ISNUMBER(System!$C35),PlotData!Y35, PlotData!CB$4)</f>
        <v>0</v>
      </c>
      <c r="BD34" s="721">
        <f>IF(ISNUMBER(System!$C35),PlotData!O35, PlotData!$CB$4)</f>
        <v>0</v>
      </c>
      <c r="BE34" s="639">
        <f>IF(ISNUMBER(System!$C35), AR34,PlotData!$CB$4)</f>
        <v>0</v>
      </c>
    </row>
    <row r="35" spans="1:57" x14ac:dyDescent="0.25">
      <c r="A35" s="1124">
        <v>33</v>
      </c>
      <c r="B35" s="668"/>
      <c r="C35" s="721"/>
      <c r="D35" s="721"/>
      <c r="E35" s="721"/>
      <c r="F35" s="721"/>
      <c r="G35" s="721"/>
      <c r="H35" s="721"/>
      <c r="I35" s="721"/>
      <c r="J35" s="721"/>
      <c r="K35" s="721"/>
      <c r="L35" s="639"/>
      <c r="N35" s="1124">
        <v>33</v>
      </c>
      <c r="O35" s="668"/>
      <c r="P35" s="721"/>
      <c r="Q35" s="721"/>
      <c r="R35" s="721"/>
      <c r="S35" s="721"/>
      <c r="T35" s="721"/>
      <c r="U35" s="721"/>
      <c r="V35" s="721"/>
      <c r="W35" s="721"/>
      <c r="X35" s="721"/>
      <c r="Y35" s="639"/>
      <c r="AA35" s="1125">
        <v>33</v>
      </c>
      <c r="AB35" s="668">
        <f>IF(ISNUMBER(System!$C36),PlotData!B36+ Querkraft!$E$2*$AF$1*B35,PlotData!$CB$3)</f>
        <v>0</v>
      </c>
      <c r="AC35" s="721">
        <f>IF(ISNUMBER(System!$C36),PlotData!C36+ Querkraft!$E$2*$AF$1*C35,PlotData!$CB$3)</f>
        <v>0</v>
      </c>
      <c r="AD35" s="721">
        <f>IF(ISNUMBER(System!$C36),PlotData!D36+ Querkraft!$E$2*$AF$1*D35,PlotData!$CB$3)</f>
        <v>0</v>
      </c>
      <c r="AE35" s="721">
        <f>IF(ISNUMBER(System!$C36),PlotData!E36+ Querkraft!$E$2*$AF$1*E35,PlotData!$CB$3)</f>
        <v>0</v>
      </c>
      <c r="AF35" s="721">
        <f>IF(ISNUMBER(System!$C36),PlotData!F36+Querkraft!$E$2* $AF$1*F35,PlotData!$CB$3)</f>
        <v>0</v>
      </c>
      <c r="AG35" s="721">
        <f>IF(ISNUMBER(System!$C36),PlotData!G36+ Querkraft!$E$2*$AF$1*G35,PlotData!$CB$3)</f>
        <v>0</v>
      </c>
      <c r="AH35" s="721">
        <f>IF(ISNUMBER(System!$C36),PlotData!H36+Querkraft!$E$2* $AF$1*H35,PlotData!$CB$3)</f>
        <v>0</v>
      </c>
      <c r="AI35" s="721">
        <f>IF(ISNUMBER(System!$C36),PlotData!I36+ Querkraft!$E$2*$AF$1*I35,PlotData!$CB$3)</f>
        <v>0</v>
      </c>
      <c r="AJ35" s="721">
        <f>IF(ISNUMBER(System!$C36),PlotData!J36+Querkraft!$E$2*$AF$1*J35,PlotData!$CB$3)</f>
        <v>0</v>
      </c>
      <c r="AK35" s="721">
        <f>IF(ISNUMBER(System!$C36),PlotData!K36+ Querkraft!$E$2*$AF$1*K35,PlotData!$CB$3)</f>
        <v>0</v>
      </c>
      <c r="AL35" s="639">
        <f>IF(ISNUMBER(System!$C36),PlotData!L36+ Querkraft!$E$2*$AF$1*L35,PlotData!$CB$3)</f>
        <v>0</v>
      </c>
      <c r="AM35" s="668">
        <f>IF(ISNUMBER(System!$C36),PlotData!L36,PlotData!$CB$3)</f>
        <v>0</v>
      </c>
      <c r="AN35" s="721">
        <f>IF(ISNUMBER(System!$C36),PlotData!B36,PlotData!$CB$3)</f>
        <v>0</v>
      </c>
      <c r="AO35" s="639">
        <f>IF(ISNUMBER(System!$C36),AB35,PlotData!$CB$3)</f>
        <v>0</v>
      </c>
      <c r="AQ35" s="1124">
        <v>33</v>
      </c>
      <c r="AR35" s="1146">
        <f>IF(ISNUMBER(System!$C36),PlotData!O36+ Querkraft!$E$2*$AF$1*O35,PlotData!$CB$4)</f>
        <v>0</v>
      </c>
      <c r="AS35" s="721">
        <f>IF(ISNUMBER(System!$C36),PlotData!P36+Querkraft!$E$2* $AF$1*P35,PlotData!$CB$4)</f>
        <v>0</v>
      </c>
      <c r="AT35" s="721">
        <f>IF(ISNUMBER(System!$C36),PlotData!Q36+Querkraft!$E$2*$AF$1*Q35,PlotData!$CB$4)</f>
        <v>0</v>
      </c>
      <c r="AU35" s="721">
        <f>IF(ISNUMBER(System!$C36),PlotData!R36+ Querkraft!$E$2*$AF$1*R35,PlotData!$CB$4)</f>
        <v>0</v>
      </c>
      <c r="AV35" s="721">
        <f>IF(ISNUMBER(System!$C36),PlotData!S36+ Querkraft!$E$2*$AF$1*S35,PlotData!$CB$4)</f>
        <v>0</v>
      </c>
      <c r="AW35" s="721">
        <f>IF(ISNUMBER(System!$C36),PlotData!T36+ Querkraft!$E$2*$AF$1*T35,PlotData!$CB$4)</f>
        <v>0</v>
      </c>
      <c r="AX35" s="721">
        <f>IF(ISNUMBER(System!$C36),PlotData!U36+ Querkraft!$E$2*$AF$1*U35,PlotData!$CB$4)</f>
        <v>0</v>
      </c>
      <c r="AY35" s="721">
        <f>IF(ISNUMBER(System!$C36),PlotData!V36+ Querkraft!$E$2*$AF$1*V35,PlotData!$CB$4)</f>
        <v>0</v>
      </c>
      <c r="AZ35" s="721">
        <f>IF(ISNUMBER(System!$C36),PlotData!W36+ Querkraft!$E$2*$AF$1*W35,PlotData!$CB$4)</f>
        <v>0</v>
      </c>
      <c r="BA35" s="721">
        <f>IF(ISNUMBER(System!$C36),PlotData!X36+Querkraft!$E$2* $AF$1*X35,PlotData!$CB$4)</f>
        <v>0</v>
      </c>
      <c r="BB35" s="639">
        <f>IF(ISNUMBER(System!$C36),PlotData!Y36+Querkraft!$E$2*$AF$1*Y35,PlotData!$CB$4)</f>
        <v>0</v>
      </c>
      <c r="BC35" s="668">
        <f>IF(ISNUMBER(System!$C36),PlotData!Y36, PlotData!CB$4)</f>
        <v>0</v>
      </c>
      <c r="BD35" s="721">
        <f>IF(ISNUMBER(System!$C36),PlotData!O36, PlotData!$CB$4)</f>
        <v>0</v>
      </c>
      <c r="BE35" s="639">
        <f>IF(ISNUMBER(System!$C36), AR35,PlotData!$CB$4)</f>
        <v>0</v>
      </c>
    </row>
    <row r="36" spans="1:57" x14ac:dyDescent="0.25">
      <c r="A36" s="1124">
        <v>34</v>
      </c>
      <c r="B36" s="668"/>
      <c r="C36" s="721"/>
      <c r="D36" s="721"/>
      <c r="E36" s="721"/>
      <c r="F36" s="721"/>
      <c r="G36" s="721"/>
      <c r="H36" s="721"/>
      <c r="I36" s="721"/>
      <c r="J36" s="721"/>
      <c r="K36" s="721"/>
      <c r="L36" s="639"/>
      <c r="N36" s="1124">
        <v>34</v>
      </c>
      <c r="O36" s="668"/>
      <c r="P36" s="721"/>
      <c r="Q36" s="721"/>
      <c r="R36" s="721"/>
      <c r="S36" s="721"/>
      <c r="T36" s="721"/>
      <c r="U36" s="721"/>
      <c r="V36" s="721"/>
      <c r="W36" s="721"/>
      <c r="X36" s="721"/>
      <c r="Y36" s="639"/>
      <c r="AA36" s="1125">
        <v>34</v>
      </c>
      <c r="AB36" s="668">
        <f>IF(ISNUMBER(System!$C37),PlotData!B37+ Querkraft!$E$2*$AF$1*B36,PlotData!$CB$3)</f>
        <v>0</v>
      </c>
      <c r="AC36" s="721">
        <f>IF(ISNUMBER(System!$C37),PlotData!C37+ Querkraft!$E$2*$AF$1*C36,PlotData!$CB$3)</f>
        <v>0</v>
      </c>
      <c r="AD36" s="721">
        <f>IF(ISNUMBER(System!$C37),PlotData!D37+ Querkraft!$E$2*$AF$1*D36,PlotData!$CB$3)</f>
        <v>0</v>
      </c>
      <c r="AE36" s="721">
        <f>IF(ISNUMBER(System!$C37),PlotData!E37+ Querkraft!$E$2*$AF$1*E36,PlotData!$CB$3)</f>
        <v>0</v>
      </c>
      <c r="AF36" s="721">
        <f>IF(ISNUMBER(System!$C37),PlotData!F37+Querkraft!$E$2* $AF$1*F36,PlotData!$CB$3)</f>
        <v>0</v>
      </c>
      <c r="AG36" s="721">
        <f>IF(ISNUMBER(System!$C37),PlotData!G37+ Querkraft!$E$2*$AF$1*G36,PlotData!$CB$3)</f>
        <v>0</v>
      </c>
      <c r="AH36" s="721">
        <f>IF(ISNUMBER(System!$C37),PlotData!H37+Querkraft!$E$2* $AF$1*H36,PlotData!$CB$3)</f>
        <v>0</v>
      </c>
      <c r="AI36" s="721">
        <f>IF(ISNUMBER(System!$C37),PlotData!I37+ Querkraft!$E$2*$AF$1*I36,PlotData!$CB$3)</f>
        <v>0</v>
      </c>
      <c r="AJ36" s="721">
        <f>IF(ISNUMBER(System!$C37),PlotData!J37+Querkraft!$E$2*$AF$1*J36,PlotData!$CB$3)</f>
        <v>0</v>
      </c>
      <c r="AK36" s="721">
        <f>IF(ISNUMBER(System!$C37),PlotData!K37+ Querkraft!$E$2*$AF$1*K36,PlotData!$CB$3)</f>
        <v>0</v>
      </c>
      <c r="AL36" s="639">
        <f>IF(ISNUMBER(System!$C37),PlotData!L37+ Querkraft!$E$2*$AF$1*L36,PlotData!$CB$3)</f>
        <v>0</v>
      </c>
      <c r="AM36" s="668">
        <f>IF(ISNUMBER(System!$C37),PlotData!L37,PlotData!$CB$3)</f>
        <v>0</v>
      </c>
      <c r="AN36" s="721">
        <f>IF(ISNUMBER(System!$C37),PlotData!B37,PlotData!$CB$3)</f>
        <v>0</v>
      </c>
      <c r="AO36" s="639">
        <f>IF(ISNUMBER(System!$C37),AB36,PlotData!$CB$3)</f>
        <v>0</v>
      </c>
      <c r="AQ36" s="1124">
        <v>34</v>
      </c>
      <c r="AR36" s="1146">
        <f>IF(ISNUMBER(System!$C37),PlotData!O37+ Querkraft!$E$2*$AF$1*O36,PlotData!$CB$4)</f>
        <v>0</v>
      </c>
      <c r="AS36" s="721">
        <f>IF(ISNUMBER(System!$C37),PlotData!P37+Querkraft!$E$2* $AF$1*P36,PlotData!$CB$4)</f>
        <v>0</v>
      </c>
      <c r="AT36" s="721">
        <f>IF(ISNUMBER(System!$C37),PlotData!Q37+Querkraft!$E$2*$AF$1*Q36,PlotData!$CB$4)</f>
        <v>0</v>
      </c>
      <c r="AU36" s="721">
        <f>IF(ISNUMBER(System!$C37),PlotData!R37+ Querkraft!$E$2*$AF$1*R36,PlotData!$CB$4)</f>
        <v>0</v>
      </c>
      <c r="AV36" s="721">
        <f>IF(ISNUMBER(System!$C37),PlotData!S37+ Querkraft!$E$2*$AF$1*S36,PlotData!$CB$4)</f>
        <v>0</v>
      </c>
      <c r="AW36" s="721">
        <f>IF(ISNUMBER(System!$C37),PlotData!T37+ Querkraft!$E$2*$AF$1*T36,PlotData!$CB$4)</f>
        <v>0</v>
      </c>
      <c r="AX36" s="721">
        <f>IF(ISNUMBER(System!$C37),PlotData!U37+ Querkraft!$E$2*$AF$1*U36,PlotData!$CB$4)</f>
        <v>0</v>
      </c>
      <c r="AY36" s="721">
        <f>IF(ISNUMBER(System!$C37),PlotData!V37+ Querkraft!$E$2*$AF$1*V36,PlotData!$CB$4)</f>
        <v>0</v>
      </c>
      <c r="AZ36" s="721">
        <f>IF(ISNUMBER(System!$C37),PlotData!W37+ Querkraft!$E$2*$AF$1*W36,PlotData!$CB$4)</f>
        <v>0</v>
      </c>
      <c r="BA36" s="721">
        <f>IF(ISNUMBER(System!$C37),PlotData!X37+Querkraft!$E$2* $AF$1*X36,PlotData!$CB$4)</f>
        <v>0</v>
      </c>
      <c r="BB36" s="639">
        <f>IF(ISNUMBER(System!$C37),PlotData!Y37+Querkraft!$E$2*$AF$1*Y36,PlotData!$CB$4)</f>
        <v>0</v>
      </c>
      <c r="BC36" s="668">
        <f>IF(ISNUMBER(System!$C37),PlotData!Y37, PlotData!CB$4)</f>
        <v>0</v>
      </c>
      <c r="BD36" s="721">
        <f>IF(ISNUMBER(System!$C37),PlotData!O37, PlotData!$CB$4)</f>
        <v>0</v>
      </c>
      <c r="BE36" s="639">
        <f>IF(ISNUMBER(System!$C37), AR36,PlotData!$CB$4)</f>
        <v>0</v>
      </c>
    </row>
    <row r="37" spans="1:57" x14ac:dyDescent="0.25">
      <c r="A37" s="1124">
        <v>35</v>
      </c>
      <c r="B37" s="668"/>
      <c r="C37" s="721"/>
      <c r="D37" s="721"/>
      <c r="E37" s="721"/>
      <c r="F37" s="721"/>
      <c r="G37" s="721"/>
      <c r="H37" s="721"/>
      <c r="I37" s="721"/>
      <c r="J37" s="721"/>
      <c r="K37" s="721"/>
      <c r="L37" s="639"/>
      <c r="N37" s="1124">
        <v>35</v>
      </c>
      <c r="O37" s="668"/>
      <c r="P37" s="721"/>
      <c r="Q37" s="721"/>
      <c r="R37" s="721"/>
      <c r="S37" s="721"/>
      <c r="T37" s="721"/>
      <c r="U37" s="721"/>
      <c r="V37" s="721"/>
      <c r="W37" s="721"/>
      <c r="X37" s="721"/>
      <c r="Y37" s="639"/>
      <c r="AA37" s="1125">
        <v>35</v>
      </c>
      <c r="AB37" s="668">
        <f>IF(ISNUMBER(System!$C38),PlotData!B38+ Querkraft!$E$2*$AF$1*B37,PlotData!$CB$3)</f>
        <v>0</v>
      </c>
      <c r="AC37" s="721">
        <f>IF(ISNUMBER(System!$C38),PlotData!C38+ Querkraft!$E$2*$AF$1*C37,PlotData!$CB$3)</f>
        <v>0</v>
      </c>
      <c r="AD37" s="721">
        <f>IF(ISNUMBER(System!$C38),PlotData!D38+ Querkraft!$E$2*$AF$1*D37,PlotData!$CB$3)</f>
        <v>0</v>
      </c>
      <c r="AE37" s="721">
        <f>IF(ISNUMBER(System!$C38),PlotData!E38+ Querkraft!$E$2*$AF$1*E37,PlotData!$CB$3)</f>
        <v>0</v>
      </c>
      <c r="AF37" s="721">
        <f>IF(ISNUMBER(System!$C38),PlotData!F38+Querkraft!$E$2* $AF$1*F37,PlotData!$CB$3)</f>
        <v>0</v>
      </c>
      <c r="AG37" s="721">
        <f>IF(ISNUMBER(System!$C38),PlotData!G38+ Querkraft!$E$2*$AF$1*G37,PlotData!$CB$3)</f>
        <v>0</v>
      </c>
      <c r="AH37" s="721">
        <f>IF(ISNUMBER(System!$C38),PlotData!H38+Querkraft!$E$2* $AF$1*H37,PlotData!$CB$3)</f>
        <v>0</v>
      </c>
      <c r="AI37" s="721">
        <f>IF(ISNUMBER(System!$C38),PlotData!I38+ Querkraft!$E$2*$AF$1*I37,PlotData!$CB$3)</f>
        <v>0</v>
      </c>
      <c r="AJ37" s="721">
        <f>IF(ISNUMBER(System!$C38),PlotData!J38+Querkraft!$E$2*$AF$1*J37,PlotData!$CB$3)</f>
        <v>0</v>
      </c>
      <c r="AK37" s="721">
        <f>IF(ISNUMBER(System!$C38),PlotData!K38+ Querkraft!$E$2*$AF$1*K37,PlotData!$CB$3)</f>
        <v>0</v>
      </c>
      <c r="AL37" s="639">
        <f>IF(ISNUMBER(System!$C38),PlotData!L38+ Querkraft!$E$2*$AF$1*L37,PlotData!$CB$3)</f>
        <v>0</v>
      </c>
      <c r="AM37" s="668">
        <f>IF(ISNUMBER(System!$C38),PlotData!L38,PlotData!$CB$3)</f>
        <v>0</v>
      </c>
      <c r="AN37" s="721">
        <f>IF(ISNUMBER(System!$C38),PlotData!B38,PlotData!$CB$3)</f>
        <v>0</v>
      </c>
      <c r="AO37" s="639">
        <f>IF(ISNUMBER(System!$C38),AB37,PlotData!$CB$3)</f>
        <v>0</v>
      </c>
      <c r="AQ37" s="1124">
        <v>35</v>
      </c>
      <c r="AR37" s="1146">
        <f>IF(ISNUMBER(System!$C38),PlotData!O38+ Querkraft!$E$2*$AF$1*O37,PlotData!$CB$4)</f>
        <v>0</v>
      </c>
      <c r="AS37" s="721">
        <f>IF(ISNUMBER(System!$C38),PlotData!P38+Querkraft!$E$2* $AF$1*P37,PlotData!$CB$4)</f>
        <v>0</v>
      </c>
      <c r="AT37" s="721">
        <f>IF(ISNUMBER(System!$C38),PlotData!Q38+Querkraft!$E$2*$AF$1*Q37,PlotData!$CB$4)</f>
        <v>0</v>
      </c>
      <c r="AU37" s="721">
        <f>IF(ISNUMBER(System!$C38),PlotData!R38+ Querkraft!$E$2*$AF$1*R37,PlotData!$CB$4)</f>
        <v>0</v>
      </c>
      <c r="AV37" s="721">
        <f>IF(ISNUMBER(System!$C38),PlotData!S38+ Querkraft!$E$2*$AF$1*S37,PlotData!$CB$4)</f>
        <v>0</v>
      </c>
      <c r="AW37" s="721">
        <f>IF(ISNUMBER(System!$C38),PlotData!T38+ Querkraft!$E$2*$AF$1*T37,PlotData!$CB$4)</f>
        <v>0</v>
      </c>
      <c r="AX37" s="721">
        <f>IF(ISNUMBER(System!$C38),PlotData!U38+ Querkraft!$E$2*$AF$1*U37,PlotData!$CB$4)</f>
        <v>0</v>
      </c>
      <c r="AY37" s="721">
        <f>IF(ISNUMBER(System!$C38),PlotData!V38+ Querkraft!$E$2*$AF$1*V37,PlotData!$CB$4)</f>
        <v>0</v>
      </c>
      <c r="AZ37" s="721">
        <f>IF(ISNUMBER(System!$C38),PlotData!W38+ Querkraft!$E$2*$AF$1*W37,PlotData!$CB$4)</f>
        <v>0</v>
      </c>
      <c r="BA37" s="721">
        <f>IF(ISNUMBER(System!$C38),PlotData!X38+Querkraft!$E$2* $AF$1*X37,PlotData!$CB$4)</f>
        <v>0</v>
      </c>
      <c r="BB37" s="639">
        <f>IF(ISNUMBER(System!$C38),PlotData!Y38+Querkraft!$E$2*$AF$1*Y37,PlotData!$CB$4)</f>
        <v>0</v>
      </c>
      <c r="BC37" s="668">
        <f>IF(ISNUMBER(System!$C38),PlotData!Y38, PlotData!CB$4)</f>
        <v>0</v>
      </c>
      <c r="BD37" s="721">
        <f>IF(ISNUMBER(System!$C38),PlotData!O38, PlotData!$CB$4)</f>
        <v>0</v>
      </c>
      <c r="BE37" s="639">
        <f>IF(ISNUMBER(System!$C38), AR37,PlotData!$CB$4)</f>
        <v>0</v>
      </c>
    </row>
    <row r="38" spans="1:57" x14ac:dyDescent="0.25">
      <c r="A38" s="1124">
        <v>36</v>
      </c>
      <c r="B38" s="668"/>
      <c r="C38" s="721"/>
      <c r="D38" s="721"/>
      <c r="E38" s="721"/>
      <c r="F38" s="721"/>
      <c r="G38" s="721"/>
      <c r="H38" s="721"/>
      <c r="I38" s="721"/>
      <c r="J38" s="721"/>
      <c r="K38" s="721"/>
      <c r="L38" s="639"/>
      <c r="N38" s="1124">
        <v>36</v>
      </c>
      <c r="O38" s="668"/>
      <c r="P38" s="721"/>
      <c r="Q38" s="721"/>
      <c r="R38" s="721"/>
      <c r="S38" s="721"/>
      <c r="T38" s="721"/>
      <c r="U38" s="721"/>
      <c r="V38" s="721"/>
      <c r="W38" s="721"/>
      <c r="X38" s="721"/>
      <c r="Y38" s="639"/>
      <c r="AA38" s="1125">
        <v>36</v>
      </c>
      <c r="AB38" s="668">
        <f>IF(ISNUMBER(System!$C39),PlotData!B39+ Querkraft!$E$2*$AF$1*B38,PlotData!$CB$3)</f>
        <v>0</v>
      </c>
      <c r="AC38" s="721">
        <f>IF(ISNUMBER(System!$C39),PlotData!C39+ Querkraft!$E$2*$AF$1*C38,PlotData!$CB$3)</f>
        <v>0</v>
      </c>
      <c r="AD38" s="721">
        <f>IF(ISNUMBER(System!$C39),PlotData!D39+ Querkraft!$E$2*$AF$1*D38,PlotData!$CB$3)</f>
        <v>0</v>
      </c>
      <c r="AE38" s="721">
        <f>IF(ISNUMBER(System!$C39),PlotData!E39+ Querkraft!$E$2*$AF$1*E38,PlotData!$CB$3)</f>
        <v>0</v>
      </c>
      <c r="AF38" s="721">
        <f>IF(ISNUMBER(System!$C39),PlotData!F39+Querkraft!$E$2* $AF$1*F38,PlotData!$CB$3)</f>
        <v>0</v>
      </c>
      <c r="AG38" s="721">
        <f>IF(ISNUMBER(System!$C39),PlotData!G39+ Querkraft!$E$2*$AF$1*G38,PlotData!$CB$3)</f>
        <v>0</v>
      </c>
      <c r="AH38" s="721">
        <f>IF(ISNUMBER(System!$C39),PlotData!H39+Querkraft!$E$2* $AF$1*H38,PlotData!$CB$3)</f>
        <v>0</v>
      </c>
      <c r="AI38" s="721">
        <f>IF(ISNUMBER(System!$C39),PlotData!I39+ Querkraft!$E$2*$AF$1*I38,PlotData!$CB$3)</f>
        <v>0</v>
      </c>
      <c r="AJ38" s="721">
        <f>IF(ISNUMBER(System!$C39),PlotData!J39+Querkraft!$E$2*$AF$1*J38,PlotData!$CB$3)</f>
        <v>0</v>
      </c>
      <c r="AK38" s="721">
        <f>IF(ISNUMBER(System!$C39),PlotData!K39+ Querkraft!$E$2*$AF$1*K38,PlotData!$CB$3)</f>
        <v>0</v>
      </c>
      <c r="AL38" s="639">
        <f>IF(ISNUMBER(System!$C39),PlotData!L39+ Querkraft!$E$2*$AF$1*L38,PlotData!$CB$3)</f>
        <v>0</v>
      </c>
      <c r="AM38" s="668">
        <f>IF(ISNUMBER(System!$C39),PlotData!L39,PlotData!$CB$3)</f>
        <v>0</v>
      </c>
      <c r="AN38" s="721">
        <f>IF(ISNUMBER(System!$C39),PlotData!B39,PlotData!$CB$3)</f>
        <v>0</v>
      </c>
      <c r="AO38" s="639">
        <f>IF(ISNUMBER(System!$C39),AB38,PlotData!$CB$3)</f>
        <v>0</v>
      </c>
      <c r="AQ38" s="1124">
        <v>36</v>
      </c>
      <c r="AR38" s="1146">
        <f>IF(ISNUMBER(System!$C39),PlotData!O39+ Querkraft!$E$2*$AF$1*O38,PlotData!$CB$4)</f>
        <v>0</v>
      </c>
      <c r="AS38" s="721">
        <f>IF(ISNUMBER(System!$C39),PlotData!P39+Querkraft!$E$2* $AF$1*P38,PlotData!$CB$4)</f>
        <v>0</v>
      </c>
      <c r="AT38" s="721">
        <f>IF(ISNUMBER(System!$C39),PlotData!Q39+Querkraft!$E$2*$AF$1*Q38,PlotData!$CB$4)</f>
        <v>0</v>
      </c>
      <c r="AU38" s="721">
        <f>IF(ISNUMBER(System!$C39),PlotData!R39+ Querkraft!$E$2*$AF$1*R38,PlotData!$CB$4)</f>
        <v>0</v>
      </c>
      <c r="AV38" s="721">
        <f>IF(ISNUMBER(System!$C39),PlotData!S39+ Querkraft!$E$2*$AF$1*S38,PlotData!$CB$4)</f>
        <v>0</v>
      </c>
      <c r="AW38" s="721">
        <f>IF(ISNUMBER(System!$C39),PlotData!T39+ Querkraft!$E$2*$AF$1*T38,PlotData!$CB$4)</f>
        <v>0</v>
      </c>
      <c r="AX38" s="721">
        <f>IF(ISNUMBER(System!$C39),PlotData!U39+ Querkraft!$E$2*$AF$1*U38,PlotData!$CB$4)</f>
        <v>0</v>
      </c>
      <c r="AY38" s="721">
        <f>IF(ISNUMBER(System!$C39),PlotData!V39+ Querkraft!$E$2*$AF$1*V38,PlotData!$CB$4)</f>
        <v>0</v>
      </c>
      <c r="AZ38" s="721">
        <f>IF(ISNUMBER(System!$C39),PlotData!W39+ Querkraft!$E$2*$AF$1*W38,PlotData!$CB$4)</f>
        <v>0</v>
      </c>
      <c r="BA38" s="721">
        <f>IF(ISNUMBER(System!$C39),PlotData!X39+Querkraft!$E$2* $AF$1*X38,PlotData!$CB$4)</f>
        <v>0</v>
      </c>
      <c r="BB38" s="639">
        <f>IF(ISNUMBER(System!$C39),PlotData!Y39+Querkraft!$E$2*$AF$1*Y38,PlotData!$CB$4)</f>
        <v>0</v>
      </c>
      <c r="BC38" s="668">
        <f>IF(ISNUMBER(System!$C39),PlotData!Y39, PlotData!CB$4)</f>
        <v>0</v>
      </c>
      <c r="BD38" s="721">
        <f>IF(ISNUMBER(System!$C39),PlotData!O39, PlotData!$CB$4)</f>
        <v>0</v>
      </c>
      <c r="BE38" s="639">
        <f>IF(ISNUMBER(System!$C39), AR38,PlotData!$CB$4)</f>
        <v>0</v>
      </c>
    </row>
    <row r="39" spans="1:57" x14ac:dyDescent="0.25">
      <c r="A39" s="1124">
        <v>37</v>
      </c>
      <c r="B39" s="668"/>
      <c r="C39" s="721"/>
      <c r="D39" s="721"/>
      <c r="E39" s="721"/>
      <c r="F39" s="721"/>
      <c r="G39" s="721"/>
      <c r="H39" s="721"/>
      <c r="I39" s="721"/>
      <c r="J39" s="721"/>
      <c r="K39" s="721"/>
      <c r="L39" s="639"/>
      <c r="N39" s="1124">
        <v>37</v>
      </c>
      <c r="O39" s="668"/>
      <c r="P39" s="721"/>
      <c r="Q39" s="721"/>
      <c r="R39" s="721"/>
      <c r="S39" s="721"/>
      <c r="T39" s="721"/>
      <c r="U39" s="721"/>
      <c r="V39" s="721"/>
      <c r="W39" s="721"/>
      <c r="X39" s="721"/>
      <c r="Y39" s="639"/>
      <c r="AA39" s="1125">
        <v>37</v>
      </c>
      <c r="AB39" s="668">
        <f>IF(ISNUMBER(System!$C40),PlotData!B40+ Querkraft!$E$2*$AF$1*B39,PlotData!$CB$3)</f>
        <v>0</v>
      </c>
      <c r="AC39" s="721">
        <f>IF(ISNUMBER(System!$C40),PlotData!C40+ Querkraft!$E$2*$AF$1*C39,PlotData!$CB$3)</f>
        <v>0</v>
      </c>
      <c r="AD39" s="721">
        <f>IF(ISNUMBER(System!$C40),PlotData!D40+ Querkraft!$E$2*$AF$1*D39,PlotData!$CB$3)</f>
        <v>0</v>
      </c>
      <c r="AE39" s="721">
        <f>IF(ISNUMBER(System!$C40),PlotData!E40+ Querkraft!$E$2*$AF$1*E39,PlotData!$CB$3)</f>
        <v>0</v>
      </c>
      <c r="AF39" s="721">
        <f>IF(ISNUMBER(System!$C40),PlotData!F40+Querkraft!$E$2* $AF$1*F39,PlotData!$CB$3)</f>
        <v>0</v>
      </c>
      <c r="AG39" s="721">
        <f>IF(ISNUMBER(System!$C40),PlotData!G40+ Querkraft!$E$2*$AF$1*G39,PlotData!$CB$3)</f>
        <v>0</v>
      </c>
      <c r="AH39" s="721">
        <f>IF(ISNUMBER(System!$C40),PlotData!H40+Querkraft!$E$2* $AF$1*H39,PlotData!$CB$3)</f>
        <v>0</v>
      </c>
      <c r="AI39" s="721">
        <f>IF(ISNUMBER(System!$C40),PlotData!I40+ Querkraft!$E$2*$AF$1*I39,PlotData!$CB$3)</f>
        <v>0</v>
      </c>
      <c r="AJ39" s="721">
        <f>IF(ISNUMBER(System!$C40),PlotData!J40+Querkraft!$E$2*$AF$1*J39,PlotData!$CB$3)</f>
        <v>0</v>
      </c>
      <c r="AK39" s="721">
        <f>IF(ISNUMBER(System!$C40),PlotData!K40+ Querkraft!$E$2*$AF$1*K39,PlotData!$CB$3)</f>
        <v>0</v>
      </c>
      <c r="AL39" s="639">
        <f>IF(ISNUMBER(System!$C40),PlotData!L40+ Querkraft!$E$2*$AF$1*L39,PlotData!$CB$3)</f>
        <v>0</v>
      </c>
      <c r="AM39" s="668">
        <f>IF(ISNUMBER(System!$C40),PlotData!L40,PlotData!$CB$3)</f>
        <v>0</v>
      </c>
      <c r="AN39" s="721">
        <f>IF(ISNUMBER(System!$C40),PlotData!B40,PlotData!$CB$3)</f>
        <v>0</v>
      </c>
      <c r="AO39" s="639">
        <f>IF(ISNUMBER(System!$C40),AB39,PlotData!$CB$3)</f>
        <v>0</v>
      </c>
      <c r="AQ39" s="1124">
        <v>37</v>
      </c>
      <c r="AR39" s="1146">
        <f>IF(ISNUMBER(System!$C40),PlotData!O40+ Querkraft!$E$2*$AF$1*O39,PlotData!$CB$4)</f>
        <v>0</v>
      </c>
      <c r="AS39" s="721">
        <f>IF(ISNUMBER(System!$C40),PlotData!P40+Querkraft!$E$2* $AF$1*P39,PlotData!$CB$4)</f>
        <v>0</v>
      </c>
      <c r="AT39" s="721">
        <f>IF(ISNUMBER(System!$C40),PlotData!Q40+Querkraft!$E$2*$AF$1*Q39,PlotData!$CB$4)</f>
        <v>0</v>
      </c>
      <c r="AU39" s="721">
        <f>IF(ISNUMBER(System!$C40),PlotData!R40+ Querkraft!$E$2*$AF$1*R39,PlotData!$CB$4)</f>
        <v>0</v>
      </c>
      <c r="AV39" s="721">
        <f>IF(ISNUMBER(System!$C40),PlotData!S40+ Querkraft!$E$2*$AF$1*S39,PlotData!$CB$4)</f>
        <v>0</v>
      </c>
      <c r="AW39" s="721">
        <f>IF(ISNUMBER(System!$C40),PlotData!T40+ Querkraft!$E$2*$AF$1*T39,PlotData!$CB$4)</f>
        <v>0</v>
      </c>
      <c r="AX39" s="721">
        <f>IF(ISNUMBER(System!$C40),PlotData!U40+ Querkraft!$E$2*$AF$1*U39,PlotData!$CB$4)</f>
        <v>0</v>
      </c>
      <c r="AY39" s="721">
        <f>IF(ISNUMBER(System!$C40),PlotData!V40+ Querkraft!$E$2*$AF$1*V39,PlotData!$CB$4)</f>
        <v>0</v>
      </c>
      <c r="AZ39" s="721">
        <f>IF(ISNUMBER(System!$C40),PlotData!W40+ Querkraft!$E$2*$AF$1*W39,PlotData!$CB$4)</f>
        <v>0</v>
      </c>
      <c r="BA39" s="721">
        <f>IF(ISNUMBER(System!$C40),PlotData!X40+Querkraft!$E$2* $AF$1*X39,PlotData!$CB$4)</f>
        <v>0</v>
      </c>
      <c r="BB39" s="639">
        <f>IF(ISNUMBER(System!$C40),PlotData!Y40+Querkraft!$E$2*$AF$1*Y39,PlotData!$CB$4)</f>
        <v>0</v>
      </c>
      <c r="BC39" s="668">
        <f>IF(ISNUMBER(System!$C40),PlotData!Y40, PlotData!CB$4)</f>
        <v>0</v>
      </c>
      <c r="BD39" s="721">
        <f>IF(ISNUMBER(System!$C40),PlotData!O40, PlotData!$CB$4)</f>
        <v>0</v>
      </c>
      <c r="BE39" s="639">
        <f>IF(ISNUMBER(System!$C40), AR39,PlotData!$CB$4)</f>
        <v>0</v>
      </c>
    </row>
    <row r="40" spans="1:57" x14ac:dyDescent="0.25">
      <c r="A40" s="1124">
        <v>38</v>
      </c>
      <c r="B40" s="668"/>
      <c r="C40" s="721"/>
      <c r="D40" s="721"/>
      <c r="E40" s="721"/>
      <c r="F40" s="721"/>
      <c r="G40" s="721"/>
      <c r="H40" s="721"/>
      <c r="I40" s="721"/>
      <c r="J40" s="721"/>
      <c r="K40" s="721"/>
      <c r="L40" s="639"/>
      <c r="N40" s="1124">
        <v>38</v>
      </c>
      <c r="O40" s="668"/>
      <c r="P40" s="721"/>
      <c r="Q40" s="721"/>
      <c r="R40" s="721"/>
      <c r="S40" s="721"/>
      <c r="T40" s="721"/>
      <c r="U40" s="721"/>
      <c r="V40" s="721"/>
      <c r="W40" s="721"/>
      <c r="X40" s="721"/>
      <c r="Y40" s="639"/>
      <c r="AA40" s="1125">
        <v>38</v>
      </c>
      <c r="AB40" s="668">
        <f>IF(ISNUMBER(System!$C41),PlotData!B41+ Querkraft!$E$2*$AF$1*B40,PlotData!$CB$3)</f>
        <v>0</v>
      </c>
      <c r="AC40" s="721">
        <f>IF(ISNUMBER(System!$C41),PlotData!C41+ Querkraft!$E$2*$AF$1*C40,PlotData!$CB$3)</f>
        <v>0</v>
      </c>
      <c r="AD40" s="721">
        <f>IF(ISNUMBER(System!$C41),PlotData!D41+ Querkraft!$E$2*$AF$1*D40,PlotData!$CB$3)</f>
        <v>0</v>
      </c>
      <c r="AE40" s="721">
        <f>IF(ISNUMBER(System!$C41),PlotData!E41+ Querkraft!$E$2*$AF$1*E40,PlotData!$CB$3)</f>
        <v>0</v>
      </c>
      <c r="AF40" s="721">
        <f>IF(ISNUMBER(System!$C41),PlotData!F41+Querkraft!$E$2* $AF$1*F40,PlotData!$CB$3)</f>
        <v>0</v>
      </c>
      <c r="AG40" s="721">
        <f>IF(ISNUMBER(System!$C41),PlotData!G41+ Querkraft!$E$2*$AF$1*G40,PlotData!$CB$3)</f>
        <v>0</v>
      </c>
      <c r="AH40" s="721">
        <f>IF(ISNUMBER(System!$C41),PlotData!H41+Querkraft!$E$2* $AF$1*H40,PlotData!$CB$3)</f>
        <v>0</v>
      </c>
      <c r="AI40" s="721">
        <f>IF(ISNUMBER(System!$C41),PlotData!I41+ Querkraft!$E$2*$AF$1*I40,PlotData!$CB$3)</f>
        <v>0</v>
      </c>
      <c r="AJ40" s="721">
        <f>IF(ISNUMBER(System!$C41),PlotData!J41+Querkraft!$E$2*$AF$1*J40,PlotData!$CB$3)</f>
        <v>0</v>
      </c>
      <c r="AK40" s="721">
        <f>IF(ISNUMBER(System!$C41),PlotData!K41+ Querkraft!$E$2*$AF$1*K40,PlotData!$CB$3)</f>
        <v>0</v>
      </c>
      <c r="AL40" s="639">
        <f>IF(ISNUMBER(System!$C41),PlotData!L41+ Querkraft!$E$2*$AF$1*L40,PlotData!$CB$3)</f>
        <v>0</v>
      </c>
      <c r="AM40" s="668">
        <f>IF(ISNUMBER(System!$C41),PlotData!L41,PlotData!$CB$3)</f>
        <v>0</v>
      </c>
      <c r="AN40" s="721">
        <f>IF(ISNUMBER(System!$C41),PlotData!B41,PlotData!$CB$3)</f>
        <v>0</v>
      </c>
      <c r="AO40" s="639">
        <f>IF(ISNUMBER(System!$C41),AB40,PlotData!$CB$3)</f>
        <v>0</v>
      </c>
      <c r="AQ40" s="1124">
        <v>38</v>
      </c>
      <c r="AR40" s="1146">
        <f>IF(ISNUMBER(System!$C41),PlotData!O41+ Querkraft!$E$2*$AF$1*O40,PlotData!$CB$4)</f>
        <v>0</v>
      </c>
      <c r="AS40" s="721">
        <f>IF(ISNUMBER(System!$C41),PlotData!P41+Querkraft!$E$2* $AF$1*P40,PlotData!$CB$4)</f>
        <v>0</v>
      </c>
      <c r="AT40" s="721">
        <f>IF(ISNUMBER(System!$C41),PlotData!Q41+Querkraft!$E$2*$AF$1*Q40,PlotData!$CB$4)</f>
        <v>0</v>
      </c>
      <c r="AU40" s="721">
        <f>IF(ISNUMBER(System!$C41),PlotData!R41+ Querkraft!$E$2*$AF$1*R40,PlotData!$CB$4)</f>
        <v>0</v>
      </c>
      <c r="AV40" s="721">
        <f>IF(ISNUMBER(System!$C41),PlotData!S41+ Querkraft!$E$2*$AF$1*S40,PlotData!$CB$4)</f>
        <v>0</v>
      </c>
      <c r="AW40" s="721">
        <f>IF(ISNUMBER(System!$C41),PlotData!T41+ Querkraft!$E$2*$AF$1*T40,PlotData!$CB$4)</f>
        <v>0</v>
      </c>
      <c r="AX40" s="721">
        <f>IF(ISNUMBER(System!$C41),PlotData!U41+ Querkraft!$E$2*$AF$1*U40,PlotData!$CB$4)</f>
        <v>0</v>
      </c>
      <c r="AY40" s="721">
        <f>IF(ISNUMBER(System!$C41),PlotData!V41+ Querkraft!$E$2*$AF$1*V40,PlotData!$CB$4)</f>
        <v>0</v>
      </c>
      <c r="AZ40" s="721">
        <f>IF(ISNUMBER(System!$C41),PlotData!W41+ Querkraft!$E$2*$AF$1*W40,PlotData!$CB$4)</f>
        <v>0</v>
      </c>
      <c r="BA40" s="721">
        <f>IF(ISNUMBER(System!$C41),PlotData!X41+Querkraft!$E$2* $AF$1*X40,PlotData!$CB$4)</f>
        <v>0</v>
      </c>
      <c r="BB40" s="639">
        <f>IF(ISNUMBER(System!$C41),PlotData!Y41+Querkraft!$E$2*$AF$1*Y40,PlotData!$CB$4)</f>
        <v>0</v>
      </c>
      <c r="BC40" s="668">
        <f>IF(ISNUMBER(System!$C41),PlotData!Y41, PlotData!CB$4)</f>
        <v>0</v>
      </c>
      <c r="BD40" s="721">
        <f>IF(ISNUMBER(System!$C41),PlotData!O41, PlotData!$CB$4)</f>
        <v>0</v>
      </c>
      <c r="BE40" s="639">
        <f>IF(ISNUMBER(System!$C41), AR40,PlotData!$CB$4)</f>
        <v>0</v>
      </c>
    </row>
    <row r="41" spans="1:57" x14ac:dyDescent="0.25">
      <c r="A41" s="1124">
        <v>39</v>
      </c>
      <c r="B41" s="668"/>
      <c r="C41" s="721"/>
      <c r="D41" s="721"/>
      <c r="E41" s="721"/>
      <c r="F41" s="721"/>
      <c r="G41" s="721"/>
      <c r="H41" s="721"/>
      <c r="I41" s="721"/>
      <c r="J41" s="721"/>
      <c r="K41" s="721"/>
      <c r="L41" s="639"/>
      <c r="N41" s="1124">
        <v>39</v>
      </c>
      <c r="O41" s="668"/>
      <c r="P41" s="721"/>
      <c r="Q41" s="721"/>
      <c r="R41" s="721"/>
      <c r="S41" s="721"/>
      <c r="T41" s="721"/>
      <c r="U41" s="721"/>
      <c r="V41" s="721"/>
      <c r="W41" s="721"/>
      <c r="X41" s="721"/>
      <c r="Y41" s="639"/>
      <c r="AA41" s="1125">
        <v>39</v>
      </c>
      <c r="AB41" s="668">
        <f>IF(ISNUMBER(System!$C42),PlotData!B42+ Querkraft!$E$2*$AF$1*B41,PlotData!$CB$3)</f>
        <v>0</v>
      </c>
      <c r="AC41" s="721">
        <f>IF(ISNUMBER(System!$C42),PlotData!C42+ Querkraft!$E$2*$AF$1*C41,PlotData!$CB$3)</f>
        <v>0</v>
      </c>
      <c r="AD41" s="721">
        <f>IF(ISNUMBER(System!$C42),PlotData!D42+ Querkraft!$E$2*$AF$1*D41,PlotData!$CB$3)</f>
        <v>0</v>
      </c>
      <c r="AE41" s="721">
        <f>IF(ISNUMBER(System!$C42),PlotData!E42+ Querkraft!$E$2*$AF$1*E41,PlotData!$CB$3)</f>
        <v>0</v>
      </c>
      <c r="AF41" s="721">
        <f>IF(ISNUMBER(System!$C42),PlotData!F42+Querkraft!$E$2* $AF$1*F41,PlotData!$CB$3)</f>
        <v>0</v>
      </c>
      <c r="AG41" s="721">
        <f>IF(ISNUMBER(System!$C42),PlotData!G42+ Querkraft!$E$2*$AF$1*G41,PlotData!$CB$3)</f>
        <v>0</v>
      </c>
      <c r="AH41" s="721">
        <f>IF(ISNUMBER(System!$C42),PlotData!H42+Querkraft!$E$2* $AF$1*H41,PlotData!$CB$3)</f>
        <v>0</v>
      </c>
      <c r="AI41" s="721">
        <f>IF(ISNUMBER(System!$C42),PlotData!I42+ Querkraft!$E$2*$AF$1*I41,PlotData!$CB$3)</f>
        <v>0</v>
      </c>
      <c r="AJ41" s="721">
        <f>IF(ISNUMBER(System!$C42),PlotData!J42+Querkraft!$E$2*$AF$1*J41,PlotData!$CB$3)</f>
        <v>0</v>
      </c>
      <c r="AK41" s="721">
        <f>IF(ISNUMBER(System!$C42),PlotData!K42+ Querkraft!$E$2*$AF$1*K41,PlotData!$CB$3)</f>
        <v>0</v>
      </c>
      <c r="AL41" s="639">
        <f>IF(ISNUMBER(System!$C42),PlotData!L42+ Querkraft!$E$2*$AF$1*L41,PlotData!$CB$3)</f>
        <v>0</v>
      </c>
      <c r="AM41" s="668">
        <f>IF(ISNUMBER(System!$C42),PlotData!L42,PlotData!$CB$3)</f>
        <v>0</v>
      </c>
      <c r="AN41" s="721">
        <f>IF(ISNUMBER(System!$C42),PlotData!B42,PlotData!$CB$3)</f>
        <v>0</v>
      </c>
      <c r="AO41" s="639">
        <f>IF(ISNUMBER(System!$C42),AB41,PlotData!$CB$3)</f>
        <v>0</v>
      </c>
      <c r="AQ41" s="1124">
        <v>39</v>
      </c>
      <c r="AR41" s="1146">
        <f>IF(ISNUMBER(System!$C42),PlotData!O42+ Querkraft!$E$2*$AF$1*O41,PlotData!$CB$4)</f>
        <v>0</v>
      </c>
      <c r="AS41" s="721">
        <f>IF(ISNUMBER(System!$C42),PlotData!P42+Querkraft!$E$2* $AF$1*P41,PlotData!$CB$4)</f>
        <v>0</v>
      </c>
      <c r="AT41" s="721">
        <f>IF(ISNUMBER(System!$C42),PlotData!Q42+Querkraft!$E$2*$AF$1*Q41,PlotData!$CB$4)</f>
        <v>0</v>
      </c>
      <c r="AU41" s="721">
        <f>IF(ISNUMBER(System!$C42),PlotData!R42+ Querkraft!$E$2*$AF$1*R41,PlotData!$CB$4)</f>
        <v>0</v>
      </c>
      <c r="AV41" s="721">
        <f>IF(ISNUMBER(System!$C42),PlotData!S42+ Querkraft!$E$2*$AF$1*S41,PlotData!$CB$4)</f>
        <v>0</v>
      </c>
      <c r="AW41" s="721">
        <f>IF(ISNUMBER(System!$C42),PlotData!T42+ Querkraft!$E$2*$AF$1*T41,PlotData!$CB$4)</f>
        <v>0</v>
      </c>
      <c r="AX41" s="721">
        <f>IF(ISNUMBER(System!$C42),PlotData!U42+ Querkraft!$E$2*$AF$1*U41,PlotData!$CB$4)</f>
        <v>0</v>
      </c>
      <c r="AY41" s="721">
        <f>IF(ISNUMBER(System!$C42),PlotData!V42+ Querkraft!$E$2*$AF$1*V41,PlotData!$CB$4)</f>
        <v>0</v>
      </c>
      <c r="AZ41" s="721">
        <f>IF(ISNUMBER(System!$C42),PlotData!W42+ Querkraft!$E$2*$AF$1*W41,PlotData!$CB$4)</f>
        <v>0</v>
      </c>
      <c r="BA41" s="721">
        <f>IF(ISNUMBER(System!$C42),PlotData!X42+Querkraft!$E$2* $AF$1*X41,PlotData!$CB$4)</f>
        <v>0</v>
      </c>
      <c r="BB41" s="639">
        <f>IF(ISNUMBER(System!$C42),PlotData!Y42+Querkraft!$E$2*$AF$1*Y41,PlotData!$CB$4)</f>
        <v>0</v>
      </c>
      <c r="BC41" s="668">
        <f>IF(ISNUMBER(System!$C42),PlotData!Y42, PlotData!CB$4)</f>
        <v>0</v>
      </c>
      <c r="BD41" s="721">
        <f>IF(ISNUMBER(System!$C42),PlotData!O42, PlotData!$CB$4)</f>
        <v>0</v>
      </c>
      <c r="BE41" s="639">
        <f>IF(ISNUMBER(System!$C42), AR41,PlotData!$CB$4)</f>
        <v>0</v>
      </c>
    </row>
    <row r="42" spans="1:57" ht="13.8" thickBot="1" x14ac:dyDescent="0.3">
      <c r="A42" s="1138">
        <v>40</v>
      </c>
      <c r="B42" s="669"/>
      <c r="C42" s="1137"/>
      <c r="D42" s="1137"/>
      <c r="E42" s="1137"/>
      <c r="F42" s="1137"/>
      <c r="G42" s="1137"/>
      <c r="H42" s="1137"/>
      <c r="I42" s="1137"/>
      <c r="J42" s="1137"/>
      <c r="K42" s="1137"/>
      <c r="L42" s="646"/>
      <c r="N42" s="1138">
        <v>40</v>
      </c>
      <c r="O42" s="669"/>
      <c r="P42" s="1137"/>
      <c r="Q42" s="1137"/>
      <c r="R42" s="1137"/>
      <c r="S42" s="1137"/>
      <c r="T42" s="1137"/>
      <c r="U42" s="1137"/>
      <c r="V42" s="1137"/>
      <c r="W42" s="1137"/>
      <c r="X42" s="1137"/>
      <c r="Y42" s="646"/>
      <c r="AA42" s="1139">
        <v>40</v>
      </c>
      <c r="AB42" s="669">
        <f>IF(ISNUMBER(System!$C43),PlotData!B43+ Querkraft!$E$2*$AF$1*B42,PlotData!$CB$3)</f>
        <v>0</v>
      </c>
      <c r="AC42" s="1137">
        <f>IF(ISNUMBER(System!$C43),PlotData!C43+ Querkraft!$E$2*$AF$1*C42,PlotData!$CB$3)</f>
        <v>0</v>
      </c>
      <c r="AD42" s="1137">
        <f>IF(ISNUMBER(System!$C43),PlotData!D43+ Querkraft!$E$2*$AF$1*D42,PlotData!$CB$3)</f>
        <v>0</v>
      </c>
      <c r="AE42" s="1137">
        <f>IF(ISNUMBER(System!$C43),PlotData!E43+ Querkraft!$E$2*$AF$1*E42,PlotData!$CB$3)</f>
        <v>0</v>
      </c>
      <c r="AF42" s="1137">
        <f>IF(ISNUMBER(System!$C43),PlotData!F43+Querkraft!$E$2* $AF$1*F42,PlotData!$CB$3)</f>
        <v>0</v>
      </c>
      <c r="AG42" s="1137">
        <f>IF(ISNUMBER(System!$C43),PlotData!G43+ Querkraft!$E$2*$AF$1*G42,PlotData!$CB$3)</f>
        <v>0</v>
      </c>
      <c r="AH42" s="1137">
        <f>IF(ISNUMBER(System!$C43),PlotData!H43+Querkraft!$E$2* $AF$1*H42,PlotData!$CB$3)</f>
        <v>0</v>
      </c>
      <c r="AI42" s="1137">
        <f>IF(ISNUMBER(System!$C43),PlotData!I43+ Querkraft!$E$2*$AF$1*I42,PlotData!$CB$3)</f>
        <v>0</v>
      </c>
      <c r="AJ42" s="1137">
        <f>IF(ISNUMBER(System!$C43),PlotData!J43+Querkraft!$E$2*$AF$1*J42,PlotData!$CB$3)</f>
        <v>0</v>
      </c>
      <c r="AK42" s="1137">
        <f>IF(ISNUMBER(System!$C43),PlotData!K43+ Querkraft!$E$2*$AF$1*K42,PlotData!$CB$3)</f>
        <v>0</v>
      </c>
      <c r="AL42" s="646">
        <f>IF(ISNUMBER(System!$C43),PlotData!L43+ Querkraft!$E$2*$AF$1*L42,PlotData!$CB$3)</f>
        <v>0</v>
      </c>
      <c r="AM42" s="669">
        <f>IF(ISNUMBER(System!$C43),PlotData!L43,PlotData!$CB$3)</f>
        <v>0</v>
      </c>
      <c r="AN42" s="1137">
        <f>IF(ISNUMBER(System!$C43),PlotData!B43,PlotData!$CB$3)</f>
        <v>0</v>
      </c>
      <c r="AO42" s="646">
        <f>IF(ISNUMBER(System!$C43),AB42,PlotData!$CB$3)</f>
        <v>0</v>
      </c>
      <c r="AQ42" s="1138">
        <v>40</v>
      </c>
      <c r="AR42" s="1148">
        <f>IF(ISNUMBER(System!$C43),PlotData!O43+ Querkraft!$E$2*$AF$1*O42,PlotData!$CB$4)</f>
        <v>0</v>
      </c>
      <c r="AS42" s="1137">
        <f>IF(ISNUMBER(System!$C43),PlotData!P43+Querkraft!$E$2* $AF$1*P42,PlotData!$CB$4)</f>
        <v>0</v>
      </c>
      <c r="AT42" s="1137">
        <f>IF(ISNUMBER(System!$C43),PlotData!Q43+Querkraft!$E$2*$AF$1*Q42,PlotData!$CB$4)</f>
        <v>0</v>
      </c>
      <c r="AU42" s="1137">
        <f>IF(ISNUMBER(System!$C43),PlotData!R43+ Querkraft!$E$2*$AF$1*R42,PlotData!$CB$4)</f>
        <v>0</v>
      </c>
      <c r="AV42" s="1137">
        <f>IF(ISNUMBER(System!$C43),PlotData!S43+ Querkraft!$E$2*$AF$1*S42,PlotData!$CB$4)</f>
        <v>0</v>
      </c>
      <c r="AW42" s="1137">
        <f>IF(ISNUMBER(System!$C43),PlotData!T43+ Querkraft!$E$2*$AF$1*T42,PlotData!$CB$4)</f>
        <v>0</v>
      </c>
      <c r="AX42" s="1137">
        <f>IF(ISNUMBER(System!$C43),PlotData!U43+ Querkraft!$E$2*$AF$1*U42,PlotData!$CB$4)</f>
        <v>0</v>
      </c>
      <c r="AY42" s="1137">
        <f>IF(ISNUMBER(System!$C43),PlotData!V43+ Querkraft!$E$2*$AF$1*V42,PlotData!$CB$4)</f>
        <v>0</v>
      </c>
      <c r="AZ42" s="1137">
        <f>IF(ISNUMBER(System!$C43),PlotData!W43+ Querkraft!$E$2*$AF$1*W42,PlotData!$CB$4)</f>
        <v>0</v>
      </c>
      <c r="BA42" s="1137">
        <f>IF(ISNUMBER(System!$C43),PlotData!X43+Querkraft!$E$2* $AF$1*X42,PlotData!$CB$4)</f>
        <v>0</v>
      </c>
      <c r="BB42" s="646">
        <f>IF(ISNUMBER(System!$C43),PlotData!Y43+Querkraft!$E$2*$AF$1*Y42,PlotData!$CB$4)</f>
        <v>0</v>
      </c>
      <c r="BC42" s="669">
        <f>IF(ISNUMBER(System!$C43),PlotData!Y43, PlotData!CB$4)</f>
        <v>0</v>
      </c>
      <c r="BD42" s="1137">
        <f>IF(ISNUMBER(System!$C43),PlotData!O43, PlotData!$CB$4)</f>
        <v>0</v>
      </c>
      <c r="BE42" s="646">
        <f>IF(ISNUMBER(System!$C43), AR42,PlotData!$CB$4)</f>
        <v>0</v>
      </c>
    </row>
    <row r="43" spans="1:57" x14ac:dyDescent="0.25">
      <c r="AA43" s="602"/>
    </row>
    <row r="44" spans="1:57" x14ac:dyDescent="0.25">
      <c r="AA44" s="602"/>
    </row>
  </sheetData>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20"/>
  <dimension ref="A1:BI121"/>
  <sheetViews>
    <sheetView topLeftCell="AP1" zoomScale="60" zoomScaleNormal="60" workbookViewId="0">
      <selection activeCell="BB3" sqref="BB3"/>
    </sheetView>
  </sheetViews>
  <sheetFormatPr defaultColWidth="11.44140625" defaultRowHeight="13.2" x14ac:dyDescent="0.25"/>
  <cols>
    <col min="1" max="1" width="6.44140625" style="41" customWidth="1"/>
    <col min="2" max="12" width="11.44140625" style="41"/>
    <col min="13" max="13" width="4.44140625" style="41" customWidth="1"/>
    <col min="14" max="15" width="10.44140625" style="41" customWidth="1"/>
    <col min="16" max="17" width="11.44140625" style="41" customWidth="1"/>
    <col min="18" max="25" width="11.44140625" style="41"/>
    <col min="26" max="26" width="3.44140625" style="844" customWidth="1"/>
    <col min="27" max="41" width="11.44140625" style="41"/>
    <col min="42" max="42" width="3.5546875" style="41" customWidth="1"/>
    <col min="43" max="16384" width="11.44140625" style="41"/>
  </cols>
  <sheetData>
    <row r="1" spans="1:61" ht="27" customHeight="1" thickBot="1" x14ac:dyDescent="0.45">
      <c r="A1" s="1398" t="s">
        <v>477</v>
      </c>
      <c r="B1" s="1398"/>
      <c r="AB1" s="41">
        <f>COLUMN(AB5)</f>
        <v>28</v>
      </c>
      <c r="AC1" s="41" t="s">
        <v>463</v>
      </c>
      <c r="AE1" s="1108" t="s">
        <v>464</v>
      </c>
      <c r="AF1" s="1110">
        <f>Normalkraft!D6</f>
        <v>2.1239397540351503</v>
      </c>
      <c r="AH1" s="1108" t="s">
        <v>178</v>
      </c>
      <c r="AI1" s="1110">
        <f>(MAX(AB3:AL42)+MIN(AB3:AL42))/2</f>
        <v>-8.3498668399682643</v>
      </c>
      <c r="AJ1" s="1108" t="s">
        <v>465</v>
      </c>
      <c r="AK1" s="1110">
        <f>(MAX(AB3:AL42)-MIN(AB3:AL42))/2</f>
        <v>106.0626036783608</v>
      </c>
      <c r="AR1" s="1143">
        <f>COLUMN(AR4)</f>
        <v>44</v>
      </c>
      <c r="AS1" s="1108" t="s">
        <v>222</v>
      </c>
      <c r="AT1" s="1142">
        <f>(MAX(AR3:BB42)+MIN(AR3:BB42))/2</f>
        <v>-19.823602788780555</v>
      </c>
      <c r="AU1" s="1108" t="s">
        <v>466</v>
      </c>
      <c r="AV1" s="1110">
        <f>(MAX(AR3:BB42)-MIN(AR3:BB42))/2</f>
        <v>107.47005663021278</v>
      </c>
      <c r="AW1" s="41" t="s">
        <v>196</v>
      </c>
      <c r="AX1" s="41">
        <f>SQRT(AK1^2+AV1^2)</f>
        <v>150.99367195725182</v>
      </c>
      <c r="BG1" s="41" t="s">
        <v>189</v>
      </c>
    </row>
    <row r="2" spans="1:61" ht="13.8" thickBot="1" x14ac:dyDescent="0.3">
      <c r="A2" s="1102" t="s">
        <v>16</v>
      </c>
      <c r="B2" s="1103">
        <v>0</v>
      </c>
      <c r="C2" s="1104">
        <v>0</v>
      </c>
      <c r="D2" s="1104">
        <v>0.2</v>
      </c>
      <c r="E2" s="1104">
        <v>0.3</v>
      </c>
      <c r="F2" s="1104">
        <v>0.4</v>
      </c>
      <c r="G2" s="1104">
        <v>0.5</v>
      </c>
      <c r="H2" s="1104">
        <v>0.6</v>
      </c>
      <c r="I2" s="1104">
        <v>0.7</v>
      </c>
      <c r="J2" s="1104">
        <v>0.8</v>
      </c>
      <c r="K2" s="1104">
        <v>0.9</v>
      </c>
      <c r="L2" s="1150">
        <v>1</v>
      </c>
      <c r="N2" s="1102" t="s">
        <v>228</v>
      </c>
      <c r="O2" s="1103">
        <v>0</v>
      </c>
      <c r="P2" s="1104">
        <v>0.1</v>
      </c>
      <c r="Q2" s="1104">
        <v>0.2</v>
      </c>
      <c r="R2" s="1104">
        <v>0.3</v>
      </c>
      <c r="S2" s="1104">
        <v>0.4</v>
      </c>
      <c r="T2" s="1104">
        <v>0.5</v>
      </c>
      <c r="U2" s="1104">
        <v>0.6</v>
      </c>
      <c r="V2" s="1104">
        <v>0.7</v>
      </c>
      <c r="W2" s="1104">
        <v>0.8</v>
      </c>
      <c r="X2" s="1104">
        <v>0.9</v>
      </c>
      <c r="Y2" s="1150">
        <v>1</v>
      </c>
      <c r="AA2" s="1106" t="s">
        <v>16</v>
      </c>
      <c r="AB2" s="670">
        <v>0</v>
      </c>
      <c r="AC2" s="1107">
        <v>0.1</v>
      </c>
      <c r="AD2" s="1107">
        <v>0.2</v>
      </c>
      <c r="AE2" s="1107">
        <v>0.3</v>
      </c>
      <c r="AF2" s="1107">
        <v>0.4</v>
      </c>
      <c r="AG2" s="1107">
        <v>0.5</v>
      </c>
      <c r="AH2" s="1107">
        <v>0.6</v>
      </c>
      <c r="AI2" s="1107">
        <v>0.7</v>
      </c>
      <c r="AJ2" s="1107">
        <v>0.8</v>
      </c>
      <c r="AK2" s="1107">
        <v>0.9</v>
      </c>
      <c r="AL2" s="671">
        <v>1</v>
      </c>
      <c r="AM2" s="1151">
        <v>1</v>
      </c>
      <c r="AN2" s="1109">
        <v>0</v>
      </c>
      <c r="AO2" s="1110">
        <v>0</v>
      </c>
      <c r="AQ2" s="1152" t="s">
        <v>228</v>
      </c>
      <c r="AR2" s="670">
        <v>0</v>
      </c>
      <c r="AS2" s="1107">
        <v>0.1</v>
      </c>
      <c r="AT2" s="1107">
        <v>0.2</v>
      </c>
      <c r="AU2" s="1107">
        <v>0.3</v>
      </c>
      <c r="AV2" s="1107">
        <v>0.4</v>
      </c>
      <c r="AW2" s="1107">
        <v>0.5</v>
      </c>
      <c r="AX2" s="1107">
        <v>0.6</v>
      </c>
      <c r="AY2" s="1107">
        <v>0.7</v>
      </c>
      <c r="AZ2" s="1107">
        <v>0.8</v>
      </c>
      <c r="BA2" s="1107">
        <v>0.9</v>
      </c>
      <c r="BB2" s="671">
        <v>1</v>
      </c>
      <c r="BC2" s="1108">
        <v>1</v>
      </c>
      <c r="BD2" s="1109">
        <v>0</v>
      </c>
      <c r="BE2" s="1110">
        <v>0</v>
      </c>
      <c r="BG2" s="745" t="s">
        <v>178</v>
      </c>
      <c r="BH2" s="1117">
        <f>ROUNDUP(PlotN!$AI$1,1)</f>
        <v>-8.4</v>
      </c>
      <c r="BI2" s="632"/>
    </row>
    <row r="3" spans="1:61" x14ac:dyDescent="0.25">
      <c r="A3" s="1116">
        <v>1</v>
      </c>
      <c r="B3" s="745">
        <v>-1.0768964408062962</v>
      </c>
      <c r="C3" s="1117">
        <v>-1.0768964408062962</v>
      </c>
      <c r="D3" s="1117">
        <v>-1.0768964408062962</v>
      </c>
      <c r="E3" s="1117">
        <v>-1.0768964408062962</v>
      </c>
      <c r="F3" s="1117">
        <v>-1.0768964408062962</v>
      </c>
      <c r="G3" s="1117">
        <v>-1.0768964408062962</v>
      </c>
      <c r="H3" s="1117">
        <v>-1.0768964408062962</v>
      </c>
      <c r="I3" s="1117">
        <v>-1.0768964408062962</v>
      </c>
      <c r="J3" s="1117">
        <v>-1.0768964408062962</v>
      </c>
      <c r="K3" s="1117">
        <v>-1.0768964408062962</v>
      </c>
      <c r="L3" s="632">
        <v>-1.0768964408062962</v>
      </c>
      <c r="N3" s="1116">
        <v>1</v>
      </c>
      <c r="O3" s="745">
        <v>1.4358619210750616</v>
      </c>
      <c r="P3" s="1117">
        <v>1.4358619210750616</v>
      </c>
      <c r="Q3" s="1117">
        <v>1.4358619210750616</v>
      </c>
      <c r="R3" s="1117">
        <v>1.4358619210750616</v>
      </c>
      <c r="S3" s="1117">
        <v>1.4358619210750616</v>
      </c>
      <c r="T3" s="1117">
        <v>1.4358619210750616</v>
      </c>
      <c r="U3" s="1117">
        <v>1.4358619210750616</v>
      </c>
      <c r="V3" s="1117">
        <v>1.4358619210750616</v>
      </c>
      <c r="W3" s="1117">
        <v>1.4358619210750616</v>
      </c>
      <c r="X3" s="1117">
        <v>1.4358619210750616</v>
      </c>
      <c r="Y3" s="632">
        <v>1.4358619210750616</v>
      </c>
      <c r="AA3" s="1119">
        <v>1</v>
      </c>
      <c r="AB3" s="746">
        <f>IF(ISNUMBER(System!$C4),PlotData!B4+ Normalkraft!$E$2*$AF$1*B3,PlotData!$CB$3)</f>
        <v>17.712736838392548</v>
      </c>
      <c r="AC3" s="1144">
        <f>IF(ISNUMBER(System!$C4),PlotData!C4+ Normalkraft!$E$2*$AF$1*C3,PlotData!$CB$3)</f>
        <v>25.712736838392548</v>
      </c>
      <c r="AD3" s="1144">
        <f>IF(ISNUMBER(System!$C4),PlotData!D4+ Normalkraft!$E$2*$AF$1*D3,PlotData!$CB$3)</f>
        <v>33.712736838392544</v>
      </c>
      <c r="AE3" s="1144">
        <f>IF(ISNUMBER(System!$C4),PlotData!E4+ Normalkraft!$E$2*$AF$1*E3,PlotData!$CB$3)</f>
        <v>41.712736838392544</v>
      </c>
      <c r="AF3" s="1144">
        <f>IF(ISNUMBER(System!$C4),PlotData!F4+Normalkraft!$E$2* $AF$1*F3,PlotData!$CB$3)</f>
        <v>49.712736838392544</v>
      </c>
      <c r="AG3" s="1144">
        <f>IF(ISNUMBER(System!$C4),PlotData!G4+ Normalkraft!$E$2*$AF$1*G3,PlotData!$CB$3)</f>
        <v>57.712736838392544</v>
      </c>
      <c r="AH3" s="1144">
        <f>IF(ISNUMBER(System!$C4),PlotData!H4+ Normalkraft!$E$2*$AF$1*H3,PlotData!$CB$3)</f>
        <v>65.712736838392544</v>
      </c>
      <c r="AI3" s="1144">
        <f>IF(ISNUMBER(System!$C4),PlotData!I4+ Normalkraft!$E$2*$AF$1*I3,PlotData!$CB$3)</f>
        <v>73.712736838392544</v>
      </c>
      <c r="AJ3" s="1144">
        <f>IF(ISNUMBER(System!$C4),PlotData!J4+ Normalkraft!$E$2*$AF$1*J3,PlotData!$CB$3)</f>
        <v>81.712736838392544</v>
      </c>
      <c r="AK3" s="1144">
        <f>IF(ISNUMBER(System!$C4),PlotData!K4+Normalkraft!$E$2* $AF$1*K3,PlotData!$CB$3)</f>
        <v>89.712736838392544</v>
      </c>
      <c r="AL3" s="747">
        <f>IF(ISNUMBER(System!$C4),PlotData!L4+Normalkraft!$E$2* $AF$1*L3,PlotData!$CB$3)</f>
        <v>97.712736838392544</v>
      </c>
      <c r="AM3" s="745">
        <f>IF(ISNUMBER(System!$C4),PlotData!L4,PlotData!$CB$3)</f>
        <v>100</v>
      </c>
      <c r="AN3" s="1117">
        <f>IF(ISNUMBER(System!$C4),PlotData!B4,PlotData!$CB$3)</f>
        <v>20</v>
      </c>
      <c r="AO3" s="632">
        <f>IF(ISNUMBER(System!$C4),AB3,PlotData!$CB$3)</f>
        <v>17.712736838392548</v>
      </c>
      <c r="AQ3" s="1118">
        <v>1</v>
      </c>
      <c r="AR3" s="745">
        <f>IF(ISNUMBER(System!$C4),PlotData!O4+ Normalkraft!$E$2*$AF$1*O3,PlotData!$CB$4)</f>
        <v>-36.950315784523397</v>
      </c>
      <c r="AS3" s="1117">
        <f>IF(ISNUMBER(System!$C4),PlotData!P4+ Normalkraft!$E$2*$AF$1*P3,PlotData!$CB$4)</f>
        <v>-30.950315784523397</v>
      </c>
      <c r="AT3" s="1117">
        <f>IF(ISNUMBER(System!$C4),PlotData!Q4+ Normalkraft!$E$2*$AF$1*Q3,PlotData!$CB$4)</f>
        <v>-24.950315784523397</v>
      </c>
      <c r="AU3" s="1117">
        <f>IF(ISNUMBER(System!$C4),PlotData!R4+ Normalkraft!$E$2*$AF$1*R3,PlotData!$CB$4)</f>
        <v>-18.950315784523397</v>
      </c>
      <c r="AV3" s="1117">
        <f>IF(ISNUMBER(System!$C4),PlotData!S4+Normalkraft!$E$2* $AF$1*S3,PlotData!$CB$4)</f>
        <v>-12.950315784523395</v>
      </c>
      <c r="AW3" s="1117">
        <f>IF(ISNUMBER(System!$C4),PlotData!T4+ Normalkraft!$E$2*$AF$1*T3,PlotData!$CB$4)</f>
        <v>-6.9503157845233954</v>
      </c>
      <c r="AX3" s="1117">
        <f>IF(ISNUMBER(System!$C4),PlotData!U4+Normalkraft!$E$2* $AF$1*U3,PlotData!$CB$4)</f>
        <v>-0.95031578452339538</v>
      </c>
      <c r="AY3" s="1117">
        <f>IF(ISNUMBER(System!$C4),PlotData!V4+ Normalkraft!$E$2*$AF$1*V3,PlotData!$CB$4)</f>
        <v>5.0496842154766046</v>
      </c>
      <c r="AZ3" s="1117">
        <f>IF(ISNUMBER(System!$C4),PlotData!W4+ Normalkraft!$E$2*$AF$1*W3,PlotData!$CB$4)</f>
        <v>11.049684215476605</v>
      </c>
      <c r="BA3" s="1117">
        <f>IF(ISNUMBER(System!$C4),PlotData!X4+ Normalkraft!$E$2*$AF$1*X3,PlotData!$CB$4)</f>
        <v>17.049684215476603</v>
      </c>
      <c r="BB3" s="632">
        <f>IF(ISNUMBER(System!$C4),PlotData!Y4+Normalkraft!$E$2*$AF$1*Y3,PlotData!$CB$4)</f>
        <v>23.049684215476603</v>
      </c>
      <c r="BC3" s="745">
        <f>IF(ISNUMBER(System!$C4),PlotData!Y4, PlotData!CB$4)</f>
        <v>20</v>
      </c>
      <c r="BD3" s="1117">
        <f>IF(ISNUMBER(System!$C4),PlotData!O4, PlotData!$CB$4)</f>
        <v>-40</v>
      </c>
      <c r="BE3" s="632">
        <f>IF(ISNUMBER(System!$C4), AR3,PlotData!$CB$4)</f>
        <v>-36.950315784523397</v>
      </c>
      <c r="BG3" s="668" t="s">
        <v>179</v>
      </c>
      <c r="BH3" s="721">
        <f>ROUNDUP(PlotN!$AT$1,1)</f>
        <v>-19.900000000000002</v>
      </c>
      <c r="BI3" s="639"/>
    </row>
    <row r="4" spans="1:61" x14ac:dyDescent="0.25">
      <c r="A4" s="1123">
        <v>2</v>
      </c>
      <c r="B4" s="668">
        <v>-23.970401301970664</v>
      </c>
      <c r="C4" s="721">
        <v>-23.970401301970664</v>
      </c>
      <c r="D4" s="721">
        <v>-23.970401301970664</v>
      </c>
      <c r="E4" s="721">
        <v>-23.970401301970664</v>
      </c>
      <c r="F4" s="721">
        <v>-23.970401301970664</v>
      </c>
      <c r="G4" s="721">
        <v>-23.970401301970664</v>
      </c>
      <c r="H4" s="721">
        <v>-23.970401301970664</v>
      </c>
      <c r="I4" s="721">
        <v>-23.970401301970664</v>
      </c>
      <c r="J4" s="721">
        <v>-23.970401301970664</v>
      </c>
      <c r="K4" s="721">
        <v>-23.970401301970664</v>
      </c>
      <c r="L4" s="639">
        <v>-23.970401301970664</v>
      </c>
      <c r="N4" s="1123">
        <v>2</v>
      </c>
      <c r="O4" s="668">
        <v>0</v>
      </c>
      <c r="P4" s="721">
        <v>0</v>
      </c>
      <c r="Q4" s="721">
        <v>0</v>
      </c>
      <c r="R4" s="721">
        <v>0</v>
      </c>
      <c r="S4" s="721">
        <v>0</v>
      </c>
      <c r="T4" s="721">
        <v>0</v>
      </c>
      <c r="U4" s="721">
        <v>0</v>
      </c>
      <c r="V4" s="721">
        <v>0</v>
      </c>
      <c r="W4" s="721">
        <v>0</v>
      </c>
      <c r="X4" s="721">
        <v>0</v>
      </c>
      <c r="Y4" s="639">
        <v>0</v>
      </c>
      <c r="AA4" s="1125">
        <v>2</v>
      </c>
      <c r="AB4" s="668">
        <f>IF(ISNUMBER(System!$C5),PlotData!B5+ Normalkraft!$E$2*$AF$1*B4,PlotData!$CB$3)</f>
        <v>-30.911688245431421</v>
      </c>
      <c r="AC4" s="721">
        <f>IF(ISNUMBER(System!$C5),PlotData!C5+ Normalkraft!$E$2*$AF$1*C4,PlotData!$CB$3)</f>
        <v>-30.911688245431421</v>
      </c>
      <c r="AD4" s="721">
        <f>IF(ISNUMBER(System!$C5),PlotData!D5+ Normalkraft!$E$2*$AF$1*D4,PlotData!$CB$3)</f>
        <v>-30.911688245431421</v>
      </c>
      <c r="AE4" s="721">
        <f>IF(ISNUMBER(System!$C5),PlotData!E5+ Normalkraft!$E$2*$AF$1*E4,PlotData!$CB$3)</f>
        <v>-30.911688245431421</v>
      </c>
      <c r="AF4" s="721">
        <f>IF(ISNUMBER(System!$C5),PlotData!F5+Normalkraft!$E$2* $AF$1*F4,PlotData!$CB$3)</f>
        <v>-30.911688245431421</v>
      </c>
      <c r="AG4" s="721">
        <f>IF(ISNUMBER(System!$C5),PlotData!G5+ Normalkraft!$E$2*$AF$1*G4,PlotData!$CB$3)</f>
        <v>-30.911688245431421</v>
      </c>
      <c r="AH4" s="721">
        <f>IF(ISNUMBER(System!$C5),PlotData!H5+ Normalkraft!$E$2*$AF$1*H4,PlotData!$CB$3)</f>
        <v>-30.911688245431421</v>
      </c>
      <c r="AI4" s="721">
        <f>IF(ISNUMBER(System!$C5),PlotData!I5+ Normalkraft!$E$2*$AF$1*I4,PlotData!$CB$3)</f>
        <v>-30.911688245431421</v>
      </c>
      <c r="AJ4" s="721">
        <f>IF(ISNUMBER(System!$C5),PlotData!J5+ Normalkraft!$E$2*$AF$1*J4,PlotData!$CB$3)</f>
        <v>-30.911688245431421</v>
      </c>
      <c r="AK4" s="721">
        <f>IF(ISNUMBER(System!$C5),PlotData!K5+Normalkraft!$E$2* $AF$1*K4,PlotData!$CB$3)</f>
        <v>-30.911688245431421</v>
      </c>
      <c r="AL4" s="639">
        <f>IF(ISNUMBER(System!$C5),PlotData!L5+Normalkraft!$E$2* $AF$1*L4,PlotData!$CB$3)</f>
        <v>-30.911688245431421</v>
      </c>
      <c r="AM4" s="668">
        <f>IF(ISNUMBER(System!$C5),PlotData!L5,PlotData!$CB$3)</f>
        <v>20</v>
      </c>
      <c r="AN4" s="721">
        <f>IF(ISNUMBER(System!$C5),PlotData!B5,PlotData!$CB$3)</f>
        <v>20</v>
      </c>
      <c r="AO4" s="639">
        <f>IF(ISNUMBER(System!$C5),AB4,PlotData!$CB$3)</f>
        <v>-30.911688245431421</v>
      </c>
      <c r="AQ4" s="1124">
        <v>2</v>
      </c>
      <c r="AR4" s="668">
        <f>IF(ISNUMBER(System!$C5),PlotData!O5+ Normalkraft!$E$2*$AF$1*O4,PlotData!$CB$4)</f>
        <v>-40</v>
      </c>
      <c r="AS4" s="721">
        <f>IF(ISNUMBER(System!$C5),PlotData!P5+ Normalkraft!$E$2*$AF$1*P4,PlotData!$CB$4)</f>
        <v>-34</v>
      </c>
      <c r="AT4" s="721">
        <f>IF(ISNUMBER(System!$C5),PlotData!Q5+ Normalkraft!$E$2*$AF$1*Q4,PlotData!$CB$4)</f>
        <v>-28</v>
      </c>
      <c r="AU4" s="721">
        <f>IF(ISNUMBER(System!$C5),PlotData!R5+ Normalkraft!$E$2*$AF$1*R4,PlotData!$CB$4)</f>
        <v>-22</v>
      </c>
      <c r="AV4" s="721">
        <f>IF(ISNUMBER(System!$C5),PlotData!S5+Normalkraft!$E$2* $AF$1*S4,PlotData!$CB$4)</f>
        <v>-16</v>
      </c>
      <c r="AW4" s="721">
        <f>IF(ISNUMBER(System!$C5),PlotData!T5+ Normalkraft!$E$2*$AF$1*T4,PlotData!$CB$4)</f>
        <v>-10</v>
      </c>
      <c r="AX4" s="721">
        <f>IF(ISNUMBER(System!$C5),PlotData!U5+Normalkraft!$E$2* $AF$1*U4,PlotData!$CB$4)</f>
        <v>-4</v>
      </c>
      <c r="AY4" s="721">
        <f>IF(ISNUMBER(System!$C5),PlotData!V5+ Normalkraft!$E$2*$AF$1*V4,PlotData!$CB$4)</f>
        <v>2</v>
      </c>
      <c r="AZ4" s="721">
        <f>IF(ISNUMBER(System!$C5),PlotData!W5+ Normalkraft!$E$2*$AF$1*W4,PlotData!$CB$4)</f>
        <v>8</v>
      </c>
      <c r="BA4" s="721">
        <f>IF(ISNUMBER(System!$C5),PlotData!X5+ Normalkraft!$E$2*$AF$1*X4,PlotData!$CB$4)</f>
        <v>14</v>
      </c>
      <c r="BB4" s="639">
        <f>IF(ISNUMBER(System!$C5),PlotData!Y5+Normalkraft!$E$2*$AF$1*Y4,PlotData!$CB$4)</f>
        <v>20</v>
      </c>
      <c r="BC4" s="668">
        <f>IF(ISNUMBER(System!$C5),PlotData!Y5, PlotData!CB$4)</f>
        <v>20</v>
      </c>
      <c r="BD4" s="721">
        <f>IF(ISNUMBER(System!$C5),PlotData!O5, PlotData!$CB$4)</f>
        <v>-40</v>
      </c>
      <c r="BE4" s="639">
        <f>IF(ISNUMBER(System!$C5), AR4,PlotData!$CB$4)</f>
        <v>-40</v>
      </c>
      <c r="BG4" s="668" t="s">
        <v>196</v>
      </c>
      <c r="BH4" s="721">
        <f>ROUNDUP(BH5  * PlotN!$AX$1,1)</f>
        <v>151</v>
      </c>
      <c r="BI4" s="639"/>
    </row>
    <row r="5" spans="1:61" x14ac:dyDescent="0.25">
      <c r="A5" s="1123">
        <v>3</v>
      </c>
      <c r="B5" s="668">
        <v>-19.275729949830041</v>
      </c>
      <c r="C5" s="721">
        <v>-19.275729949830041</v>
      </c>
      <c r="D5" s="721">
        <v>-19.275729949830041</v>
      </c>
      <c r="E5" s="721">
        <v>-19.275729949830041</v>
      </c>
      <c r="F5" s="721">
        <v>-19.275729949830041</v>
      </c>
      <c r="G5" s="721">
        <v>-19.275729949830041</v>
      </c>
      <c r="H5" s="721">
        <v>-19.275729949830041</v>
      </c>
      <c r="I5" s="721">
        <v>-19.275729949830041</v>
      </c>
      <c r="J5" s="721">
        <v>-19.275729949830041</v>
      </c>
      <c r="K5" s="721">
        <v>-19.275729949830041</v>
      </c>
      <c r="L5" s="639">
        <v>-19.275729949830041</v>
      </c>
      <c r="N5" s="1123">
        <v>3</v>
      </c>
      <c r="O5" s="668">
        <v>-12.850486633220028</v>
      </c>
      <c r="P5" s="721">
        <v>-12.850486633220028</v>
      </c>
      <c r="Q5" s="721">
        <v>-12.850486633220028</v>
      </c>
      <c r="R5" s="721">
        <v>-12.850486633220028</v>
      </c>
      <c r="S5" s="721">
        <v>-12.850486633220028</v>
      </c>
      <c r="T5" s="721">
        <v>-12.850486633220028</v>
      </c>
      <c r="U5" s="721">
        <v>-12.850486633220028</v>
      </c>
      <c r="V5" s="721">
        <v>-12.850486633220028</v>
      </c>
      <c r="W5" s="721">
        <v>-12.850486633220028</v>
      </c>
      <c r="X5" s="721">
        <v>-12.850486633220028</v>
      </c>
      <c r="Y5" s="639">
        <v>-12.850486633220028</v>
      </c>
      <c r="AA5" s="1125">
        <v>3</v>
      </c>
      <c r="AB5" s="668">
        <f>IF(ISNUMBER(System!$C6),PlotData!B6+ Normalkraft!$E$2*$AF$1*B5,PlotData!$CB$3)</f>
        <v>-20.94048912849</v>
      </c>
      <c r="AC5" s="721">
        <f>IF(ISNUMBER(System!$C6),PlotData!C6+ Normalkraft!$E$2*$AF$1*C5,PlotData!$CB$3)</f>
        <v>-16.94048912849</v>
      </c>
      <c r="AD5" s="721">
        <f>IF(ISNUMBER(System!$C6),PlotData!D6+ Normalkraft!$E$2*$AF$1*D5,PlotData!$CB$3)</f>
        <v>-12.94048912849</v>
      </c>
      <c r="AE5" s="721">
        <f>IF(ISNUMBER(System!$C6),PlotData!E6+ Normalkraft!$E$2*$AF$1*E5,PlotData!$CB$3)</f>
        <v>-8.9404891284900003</v>
      </c>
      <c r="AF5" s="721">
        <f>IF(ISNUMBER(System!$C6),PlotData!F6+Normalkraft!$E$2* $AF$1*F5,PlotData!$CB$3)</f>
        <v>-4.9404891284900003</v>
      </c>
      <c r="AG5" s="721">
        <f>IF(ISNUMBER(System!$C6),PlotData!G6+ Normalkraft!$E$2*$AF$1*G5,PlotData!$CB$3)</f>
        <v>-0.94048912849000033</v>
      </c>
      <c r="AH5" s="721">
        <f>IF(ISNUMBER(System!$C6),PlotData!H6+ Normalkraft!$E$2*$AF$1*H5,PlotData!$CB$3)</f>
        <v>3.0595108715099997</v>
      </c>
      <c r="AI5" s="721">
        <f>IF(ISNUMBER(System!$C6),PlotData!I6+ Normalkraft!$E$2*$AF$1*I5,PlotData!$CB$3)</f>
        <v>7.0595108715099997</v>
      </c>
      <c r="AJ5" s="721">
        <f>IF(ISNUMBER(System!$C6),PlotData!J6+ Normalkraft!$E$2*$AF$1*J5,PlotData!$CB$3)</f>
        <v>11.05951087151</v>
      </c>
      <c r="AK5" s="721">
        <f>IF(ISNUMBER(System!$C6),PlotData!K6+Normalkraft!$E$2* $AF$1*K5,PlotData!$CB$3)</f>
        <v>15.05951087151</v>
      </c>
      <c r="AL5" s="639">
        <f>IF(ISNUMBER(System!$C6),PlotData!L6+Normalkraft!$E$2* $AF$1*L5,PlotData!$CB$3)</f>
        <v>19.05951087151</v>
      </c>
      <c r="AM5" s="668">
        <f>IF(ISNUMBER(System!$C6),PlotData!L6,PlotData!$CB$3)</f>
        <v>60</v>
      </c>
      <c r="AN5" s="721">
        <f>IF(ISNUMBER(System!$C6),PlotData!B6,PlotData!$CB$3)</f>
        <v>20</v>
      </c>
      <c r="AO5" s="639">
        <f>IF(ISNUMBER(System!$C6),AB5,PlotData!$CB$3)</f>
        <v>-20.94048912849</v>
      </c>
      <c r="AQ5" s="1124">
        <v>3</v>
      </c>
      <c r="AR5" s="668">
        <f>IF(ISNUMBER(System!$C6),PlotData!O6+ Normalkraft!$E$2*$AF$1*O5,PlotData!$CB$4)</f>
        <v>-67.293659418993329</v>
      </c>
      <c r="AS5" s="721">
        <f>IF(ISNUMBER(System!$C6),PlotData!P6+ Normalkraft!$E$2*$AF$1*P5,PlotData!$CB$4)</f>
        <v>-73.293659418993329</v>
      </c>
      <c r="AT5" s="721">
        <f>IF(ISNUMBER(System!$C6),PlotData!Q6+ Normalkraft!$E$2*$AF$1*Q5,PlotData!$CB$4)</f>
        <v>-79.293659418993329</v>
      </c>
      <c r="AU5" s="721">
        <f>IF(ISNUMBER(System!$C6),PlotData!R6+ Normalkraft!$E$2*$AF$1*R5,PlotData!$CB$4)</f>
        <v>-85.293659418993329</v>
      </c>
      <c r="AV5" s="721">
        <f>IF(ISNUMBER(System!$C6),PlotData!S6+Normalkraft!$E$2* $AF$1*S5,PlotData!$CB$4)</f>
        <v>-91.293659418993329</v>
      </c>
      <c r="AW5" s="721">
        <f>IF(ISNUMBER(System!$C6),PlotData!T6+ Normalkraft!$E$2*$AF$1*T5,PlotData!$CB$4)</f>
        <v>-97.293659418993329</v>
      </c>
      <c r="AX5" s="721">
        <f>IF(ISNUMBER(System!$C6),PlotData!U6+Normalkraft!$E$2* $AF$1*U5,PlotData!$CB$4)</f>
        <v>-103.29365941899333</v>
      </c>
      <c r="AY5" s="721">
        <f>IF(ISNUMBER(System!$C6),PlotData!V6+ Normalkraft!$E$2*$AF$1*V5,PlotData!$CB$4)</f>
        <v>-109.29365941899333</v>
      </c>
      <c r="AZ5" s="721">
        <f>IF(ISNUMBER(System!$C6),PlotData!W6+ Normalkraft!$E$2*$AF$1*W5,PlotData!$CB$4)</f>
        <v>-115.29365941899333</v>
      </c>
      <c r="BA5" s="721">
        <f>IF(ISNUMBER(System!$C6),PlotData!X6+ Normalkraft!$E$2*$AF$1*X5,PlotData!$CB$4)</f>
        <v>-121.29365941899333</v>
      </c>
      <c r="BB5" s="639">
        <f>IF(ISNUMBER(System!$C6),PlotData!Y6+Normalkraft!$E$2*$AF$1*Y5,PlotData!$CB$4)</f>
        <v>-127.29365941899333</v>
      </c>
      <c r="BC5" s="668">
        <f>IF(ISNUMBER(System!$C6),PlotData!Y6, PlotData!CB$4)</f>
        <v>-100</v>
      </c>
      <c r="BD5" s="721">
        <f>IF(ISNUMBER(System!$C6),PlotData!O6, PlotData!$CB$4)</f>
        <v>-40</v>
      </c>
      <c r="BE5" s="639">
        <f>IF(ISNUMBER(System!$C6), AR5,PlotData!$CB$4)</f>
        <v>-67.293659418993329</v>
      </c>
      <c r="BG5" s="668" t="s">
        <v>269</v>
      </c>
      <c r="BH5" s="721">
        <f>1/Normalkraft!$G$2</f>
        <v>1</v>
      </c>
      <c r="BI5" s="639"/>
    </row>
    <row r="6" spans="1:61" x14ac:dyDescent="0.25">
      <c r="A6" s="1123">
        <v>4</v>
      </c>
      <c r="B6" s="668">
        <v>1.1311801516982571</v>
      </c>
      <c r="C6" s="721">
        <v>1.1311801516982571</v>
      </c>
      <c r="D6" s="721">
        <v>1.1311801516982571</v>
      </c>
      <c r="E6" s="721">
        <v>1.1311801516982571</v>
      </c>
      <c r="F6" s="721">
        <v>1.1311801516982571</v>
      </c>
      <c r="G6" s="721">
        <v>1.1311801516982571</v>
      </c>
      <c r="H6" s="721">
        <v>1.1311801516982571</v>
      </c>
      <c r="I6" s="721">
        <v>1.1311801516982571</v>
      </c>
      <c r="J6" s="721">
        <v>1.1311801516982571</v>
      </c>
      <c r="K6" s="721">
        <v>1.1311801516982571</v>
      </c>
      <c r="L6" s="639">
        <v>1.1311801516982571</v>
      </c>
      <c r="N6" s="1123">
        <v>4</v>
      </c>
      <c r="O6" s="668">
        <v>-2.6394203539625996</v>
      </c>
      <c r="P6" s="721">
        <v>-2.6394203539625996</v>
      </c>
      <c r="Q6" s="721">
        <v>-2.6394203539625996</v>
      </c>
      <c r="R6" s="721">
        <v>-2.6394203539625996</v>
      </c>
      <c r="S6" s="721">
        <v>-2.6394203539625996</v>
      </c>
      <c r="T6" s="721">
        <v>-2.6394203539625996</v>
      </c>
      <c r="U6" s="721">
        <v>-2.6394203539625996</v>
      </c>
      <c r="V6" s="721">
        <v>-2.6394203539625996</v>
      </c>
      <c r="W6" s="721">
        <v>-2.6394203539625996</v>
      </c>
      <c r="X6" s="721">
        <v>-2.6394203539625996</v>
      </c>
      <c r="Y6" s="639">
        <v>-2.6394203539625996</v>
      </c>
      <c r="AA6" s="1125">
        <v>4</v>
      </c>
      <c r="AB6" s="668">
        <f>IF(ISNUMBER(System!$C7),PlotData!B7+ Normalkraft!$E$2*$AF$1*B6,PlotData!$CB$3)</f>
        <v>22.40255849316744</v>
      </c>
      <c r="AC6" s="721">
        <f>IF(ISNUMBER(System!$C7),PlotData!C7+ Normalkraft!$E$2*$AF$1*C6,PlotData!$CB$3)</f>
        <v>15.40255849316744</v>
      </c>
      <c r="AD6" s="721">
        <f>IF(ISNUMBER(System!$C7),PlotData!D7+ Normalkraft!$E$2*$AF$1*D6,PlotData!$CB$3)</f>
        <v>8.4025584931674402</v>
      </c>
      <c r="AE6" s="721">
        <f>IF(ISNUMBER(System!$C7),PlotData!E7+ Normalkraft!$E$2*$AF$1*E6,PlotData!$CB$3)</f>
        <v>1.4025584931674402</v>
      </c>
      <c r="AF6" s="721">
        <f>IF(ISNUMBER(System!$C7),PlotData!F7+Normalkraft!$E$2* $AF$1*F6,PlotData!$CB$3)</f>
        <v>-5.5974415068325598</v>
      </c>
      <c r="AG6" s="721">
        <f>IF(ISNUMBER(System!$C7),PlotData!G7+ Normalkraft!$E$2*$AF$1*G6,PlotData!$CB$3)</f>
        <v>-12.59744150683256</v>
      </c>
      <c r="AH6" s="721">
        <f>IF(ISNUMBER(System!$C7),PlotData!H7+ Normalkraft!$E$2*$AF$1*H6,PlotData!$CB$3)</f>
        <v>-19.59744150683256</v>
      </c>
      <c r="AI6" s="721">
        <f>IF(ISNUMBER(System!$C7),PlotData!I7+ Normalkraft!$E$2*$AF$1*I6,PlotData!$CB$3)</f>
        <v>-26.59744150683256</v>
      </c>
      <c r="AJ6" s="721">
        <f>IF(ISNUMBER(System!$C7),PlotData!J7+ Normalkraft!$E$2*$AF$1*J6,PlotData!$CB$3)</f>
        <v>-33.59744150683256</v>
      </c>
      <c r="AK6" s="721">
        <f>IF(ISNUMBER(System!$C7),PlotData!K7+Normalkraft!$E$2* $AF$1*K6,PlotData!$CB$3)</f>
        <v>-40.59744150683256</v>
      </c>
      <c r="AL6" s="639">
        <f>IF(ISNUMBER(System!$C7),PlotData!L7+Normalkraft!$E$2* $AF$1*L6,PlotData!$CB$3)</f>
        <v>-47.59744150683256</v>
      </c>
      <c r="AM6" s="668">
        <f>IF(ISNUMBER(System!$C7),PlotData!L7,PlotData!$CB$3)</f>
        <v>-50</v>
      </c>
      <c r="AN6" s="721">
        <f>IF(ISNUMBER(System!$C7),PlotData!B7,PlotData!$CB$3)</f>
        <v>20</v>
      </c>
      <c r="AO6" s="639">
        <f>IF(ISNUMBER(System!$C7),AB6,PlotData!$CB$3)</f>
        <v>22.40255849316744</v>
      </c>
      <c r="AQ6" s="1124">
        <v>4</v>
      </c>
      <c r="AR6" s="668">
        <f>IF(ISNUMBER(System!$C7),PlotData!O7+ Normalkraft!$E$2*$AF$1*O6,PlotData!$CB$4)</f>
        <v>-45.605969817390694</v>
      </c>
      <c r="AS6" s="721">
        <f>IF(ISNUMBER(System!$C7),PlotData!P7+ Normalkraft!$E$2*$AF$1*P6,PlotData!$CB$4)</f>
        <v>-48.605969817390694</v>
      </c>
      <c r="AT6" s="721">
        <f>IF(ISNUMBER(System!$C7),PlotData!Q7+ Normalkraft!$E$2*$AF$1*Q6,PlotData!$CB$4)</f>
        <v>-51.605969817390694</v>
      </c>
      <c r="AU6" s="721">
        <f>IF(ISNUMBER(System!$C7),PlotData!R7+ Normalkraft!$E$2*$AF$1*R6,PlotData!$CB$4)</f>
        <v>-54.605969817390694</v>
      </c>
      <c r="AV6" s="721">
        <f>IF(ISNUMBER(System!$C7),PlotData!S7+Normalkraft!$E$2* $AF$1*S6,PlotData!$CB$4)</f>
        <v>-57.605969817390694</v>
      </c>
      <c r="AW6" s="721">
        <f>IF(ISNUMBER(System!$C7),PlotData!T7+ Normalkraft!$E$2*$AF$1*T6,PlotData!$CB$4)</f>
        <v>-60.605969817390694</v>
      </c>
      <c r="AX6" s="721">
        <f>IF(ISNUMBER(System!$C7),PlotData!U7+Normalkraft!$E$2* $AF$1*U6,PlotData!$CB$4)</f>
        <v>-63.605969817390694</v>
      </c>
      <c r="AY6" s="721">
        <f>IF(ISNUMBER(System!$C7),PlotData!V7+ Normalkraft!$E$2*$AF$1*V6,PlotData!$CB$4)</f>
        <v>-66.605969817390687</v>
      </c>
      <c r="AZ6" s="721">
        <f>IF(ISNUMBER(System!$C7),PlotData!W7+ Normalkraft!$E$2*$AF$1*W6,PlotData!$CB$4)</f>
        <v>-69.605969817390687</v>
      </c>
      <c r="BA6" s="721">
        <f>IF(ISNUMBER(System!$C7),PlotData!X7+ Normalkraft!$E$2*$AF$1*X6,PlotData!$CB$4)</f>
        <v>-72.605969817390687</v>
      </c>
      <c r="BB6" s="639">
        <f>IF(ISNUMBER(System!$C7),PlotData!Y7+Normalkraft!$E$2*$AF$1*Y6,PlotData!$CB$4)</f>
        <v>-75.605969817390687</v>
      </c>
      <c r="BC6" s="668">
        <f>IF(ISNUMBER(System!$C7),PlotData!Y7, PlotData!CB$4)</f>
        <v>-70</v>
      </c>
      <c r="BD6" s="721">
        <f>IF(ISNUMBER(System!$C7),PlotData!O7, PlotData!$CB$4)</f>
        <v>-40</v>
      </c>
      <c r="BE6" s="639">
        <f>IF(ISNUMBER(System!$C7), AR6,PlotData!$CB$4)</f>
        <v>-45.605969817390694</v>
      </c>
      <c r="BG6" s="668" t="s">
        <v>471</v>
      </c>
      <c r="BH6" s="721">
        <f>BH2-BH4</f>
        <v>-159.4</v>
      </c>
      <c r="BI6" s="639">
        <f>BH3+BH4</f>
        <v>131.1</v>
      </c>
    </row>
    <row r="7" spans="1:61" x14ac:dyDescent="0.25">
      <c r="A7" s="1123">
        <v>5</v>
      </c>
      <c r="B7" s="668">
        <v>-6.7857247320446143</v>
      </c>
      <c r="C7" s="721">
        <v>-6.7857247320446143</v>
      </c>
      <c r="D7" s="721">
        <v>-6.7857247320446143</v>
      </c>
      <c r="E7" s="721">
        <v>-6.7857247320446143</v>
      </c>
      <c r="F7" s="721">
        <v>-6.7857247320446143</v>
      </c>
      <c r="G7" s="721">
        <v>-6.7857247320446143</v>
      </c>
      <c r="H7" s="721">
        <v>-6.7857247320446143</v>
      </c>
      <c r="I7" s="721">
        <v>-6.7857247320446143</v>
      </c>
      <c r="J7" s="721">
        <v>-6.7857247320446143</v>
      </c>
      <c r="K7" s="721">
        <v>-6.7857247320446143</v>
      </c>
      <c r="L7" s="639">
        <v>-6.7857247320446143</v>
      </c>
      <c r="N7" s="1123">
        <v>5</v>
      </c>
      <c r="O7" s="668">
        <v>-5.8163354846096693</v>
      </c>
      <c r="P7" s="721">
        <v>-5.8163354846096693</v>
      </c>
      <c r="Q7" s="721">
        <v>-5.8163354846096693</v>
      </c>
      <c r="R7" s="721">
        <v>-5.8163354846096693</v>
      </c>
      <c r="S7" s="721">
        <v>-5.8163354846096693</v>
      </c>
      <c r="T7" s="721">
        <v>-5.8163354846096693</v>
      </c>
      <c r="U7" s="721">
        <v>-5.8163354846096693</v>
      </c>
      <c r="V7" s="721">
        <v>-5.8163354846096693</v>
      </c>
      <c r="W7" s="721">
        <v>-5.8163354846096693</v>
      </c>
      <c r="X7" s="721">
        <v>-5.8163354846096693</v>
      </c>
      <c r="Y7" s="639">
        <v>-5.8163354846096693</v>
      </c>
      <c r="AA7" s="1125">
        <v>5</v>
      </c>
      <c r="AB7" s="668">
        <f>IF(ISNUMBER(System!$C8),PlotData!B8+ Normalkraft!$E$2*$AF$1*B7,PlotData!$CB$3)</f>
        <v>5.5875294816709253</v>
      </c>
      <c r="AC7" s="721">
        <f>IF(ISNUMBER(System!$C8),PlotData!C8+ Normalkraft!$E$2*$AF$1*C7,PlotData!$CB$3)</f>
        <v>-6.4124705183290747</v>
      </c>
      <c r="AD7" s="721">
        <f>IF(ISNUMBER(System!$C8),PlotData!D8+ Normalkraft!$E$2*$AF$1*D7,PlotData!$CB$3)</f>
        <v>-18.412470518329073</v>
      </c>
      <c r="AE7" s="721">
        <f>IF(ISNUMBER(System!$C8),PlotData!E8+ Normalkraft!$E$2*$AF$1*E7,PlotData!$CB$3)</f>
        <v>-30.412470518329073</v>
      </c>
      <c r="AF7" s="721">
        <f>IF(ISNUMBER(System!$C8),PlotData!F8+Normalkraft!$E$2* $AF$1*F7,PlotData!$CB$3)</f>
        <v>-42.412470518329073</v>
      </c>
      <c r="AG7" s="721">
        <f>IF(ISNUMBER(System!$C8),PlotData!G8+ Normalkraft!$E$2*$AF$1*G7,PlotData!$CB$3)</f>
        <v>-54.412470518329073</v>
      </c>
      <c r="AH7" s="721">
        <f>IF(ISNUMBER(System!$C8),PlotData!H8+ Normalkraft!$E$2*$AF$1*H7,PlotData!$CB$3)</f>
        <v>-66.412470518329073</v>
      </c>
      <c r="AI7" s="721">
        <f>IF(ISNUMBER(System!$C8),PlotData!I8+ Normalkraft!$E$2*$AF$1*I7,PlotData!$CB$3)</f>
        <v>-78.412470518329073</v>
      </c>
      <c r="AJ7" s="721">
        <f>IF(ISNUMBER(System!$C8),PlotData!J8+ Normalkraft!$E$2*$AF$1*J7,PlotData!$CB$3)</f>
        <v>-90.412470518329073</v>
      </c>
      <c r="AK7" s="721">
        <f>IF(ISNUMBER(System!$C8),PlotData!K8+Normalkraft!$E$2* $AF$1*K7,PlotData!$CB$3)</f>
        <v>-102.41247051832907</v>
      </c>
      <c r="AL7" s="639">
        <f>IF(ISNUMBER(System!$C8),PlotData!L8+Normalkraft!$E$2* $AF$1*L7,PlotData!$CB$3)</f>
        <v>-114.41247051832907</v>
      </c>
      <c r="AM7" s="668">
        <f>IF(ISNUMBER(System!$C8),PlotData!L8,PlotData!$CB$3)</f>
        <v>-100</v>
      </c>
      <c r="AN7" s="721">
        <f>IF(ISNUMBER(System!$C8),PlotData!B8,PlotData!$CB$3)</f>
        <v>20</v>
      </c>
      <c r="AO7" s="639">
        <f>IF(ISNUMBER(System!$C8),AB7,PlotData!$CB$3)</f>
        <v>5.5875294816709253</v>
      </c>
      <c r="AQ7" s="1124">
        <v>5</v>
      </c>
      <c r="AR7" s="668">
        <f>IF(ISNUMBER(System!$C8),PlotData!O8+ Normalkraft!$E$2*$AF$1*O7,PlotData!$CB$4)</f>
        <v>-52.353546158567781</v>
      </c>
      <c r="AS7" s="721">
        <f>IF(ISNUMBER(System!$C8),PlotData!P8+ Normalkraft!$E$2*$AF$1*P7,PlotData!$CB$4)</f>
        <v>-38.353546158567781</v>
      </c>
      <c r="AT7" s="721">
        <f>IF(ISNUMBER(System!$C8),PlotData!Q8+ Normalkraft!$E$2*$AF$1*Q7,PlotData!$CB$4)</f>
        <v>-24.353546158567777</v>
      </c>
      <c r="AU7" s="721">
        <f>IF(ISNUMBER(System!$C8),PlotData!R8+ Normalkraft!$E$2*$AF$1*R7,PlotData!$CB$4)</f>
        <v>-10.353546158567777</v>
      </c>
      <c r="AV7" s="721">
        <f>IF(ISNUMBER(System!$C8),PlotData!S8+Normalkraft!$E$2* $AF$1*S7,PlotData!$CB$4)</f>
        <v>3.6464538414322227</v>
      </c>
      <c r="AW7" s="721">
        <f>IF(ISNUMBER(System!$C8),PlotData!T8+ Normalkraft!$E$2*$AF$1*T7,PlotData!$CB$4)</f>
        <v>17.646453841432223</v>
      </c>
      <c r="AX7" s="721">
        <f>IF(ISNUMBER(System!$C8),PlotData!U8+Normalkraft!$E$2* $AF$1*U7,PlotData!$CB$4)</f>
        <v>31.646453841432223</v>
      </c>
      <c r="AY7" s="721">
        <f>IF(ISNUMBER(System!$C8),PlotData!V8+ Normalkraft!$E$2*$AF$1*V7,PlotData!$CB$4)</f>
        <v>45.646453841432219</v>
      </c>
      <c r="AZ7" s="721">
        <f>IF(ISNUMBER(System!$C8),PlotData!W8+ Normalkraft!$E$2*$AF$1*W7,PlotData!$CB$4)</f>
        <v>59.646453841432219</v>
      </c>
      <c r="BA7" s="721">
        <f>IF(ISNUMBER(System!$C8),PlotData!X8+ Normalkraft!$E$2*$AF$1*X7,PlotData!$CB$4)</f>
        <v>73.646453841432219</v>
      </c>
      <c r="BB7" s="639">
        <f>IF(ISNUMBER(System!$C8),PlotData!Y8+Normalkraft!$E$2*$AF$1*Y7,PlotData!$CB$4)</f>
        <v>87.646453841432219</v>
      </c>
      <c r="BC7" s="668">
        <f>IF(ISNUMBER(System!$C8),PlotData!Y8, PlotData!CB$4)</f>
        <v>100</v>
      </c>
      <c r="BD7" s="721">
        <f>IF(ISNUMBER(System!$C8),PlotData!O8, PlotData!$CB$4)</f>
        <v>-40</v>
      </c>
      <c r="BE7" s="639">
        <f>IF(ISNUMBER(System!$C8), AR7,PlotData!$CB$4)</f>
        <v>-52.353546158567781</v>
      </c>
      <c r="BG7" s="668" t="s">
        <v>472</v>
      </c>
      <c r="BH7" s="721">
        <f>BH2+BH4</f>
        <v>142.6</v>
      </c>
      <c r="BI7" s="639">
        <f>BH3+BH4</f>
        <v>131.1</v>
      </c>
    </row>
    <row r="8" spans="1:61" x14ac:dyDescent="0.25">
      <c r="A8" s="1123">
        <v>6</v>
      </c>
      <c r="B8" s="668"/>
      <c r="C8" s="721"/>
      <c r="D8" s="721"/>
      <c r="E8" s="721"/>
      <c r="F8" s="721"/>
      <c r="G8" s="721"/>
      <c r="H8" s="721"/>
      <c r="I8" s="721"/>
      <c r="J8" s="721"/>
      <c r="K8" s="721"/>
      <c r="L8" s="639"/>
      <c r="N8" s="1123">
        <v>6</v>
      </c>
      <c r="O8" s="668"/>
      <c r="P8" s="721"/>
      <c r="Q8" s="721"/>
      <c r="R8" s="721"/>
      <c r="S8" s="721"/>
      <c r="T8" s="721"/>
      <c r="U8" s="721"/>
      <c r="V8" s="721"/>
      <c r="W8" s="721"/>
      <c r="X8" s="721"/>
      <c r="Y8" s="639"/>
      <c r="AA8" s="1125">
        <v>6</v>
      </c>
      <c r="AB8" s="668">
        <f>IF(ISNUMBER(System!$C9),PlotData!B9+ Normalkraft!$E$2*$AF$1*B8,PlotData!$CB$3)</f>
        <v>0</v>
      </c>
      <c r="AC8" s="721">
        <f>IF(ISNUMBER(System!$C9),PlotData!C9+ Normalkraft!$E$2*$AF$1*C8,PlotData!$CB$3)</f>
        <v>0</v>
      </c>
      <c r="AD8" s="721">
        <f>IF(ISNUMBER(System!$C9),PlotData!D9+ Normalkraft!$E$2*$AF$1*D8,PlotData!$CB$3)</f>
        <v>0</v>
      </c>
      <c r="AE8" s="721">
        <f>IF(ISNUMBER(System!$C9),PlotData!E9+ Normalkraft!$E$2*$AF$1*E8,PlotData!$CB$3)</f>
        <v>0</v>
      </c>
      <c r="AF8" s="721">
        <f>IF(ISNUMBER(System!$C9),PlotData!F9+Normalkraft!$E$2* $AF$1*F8,PlotData!$CB$3)</f>
        <v>0</v>
      </c>
      <c r="AG8" s="721">
        <f>IF(ISNUMBER(System!$C9),PlotData!G9+ Normalkraft!$E$2*$AF$1*G8,PlotData!$CB$3)</f>
        <v>0</v>
      </c>
      <c r="AH8" s="721">
        <f>IF(ISNUMBER(System!$C9),PlotData!H9+ Normalkraft!$E$2*$AF$1*H8,PlotData!$CB$3)</f>
        <v>0</v>
      </c>
      <c r="AI8" s="721">
        <f>IF(ISNUMBER(System!$C9),PlotData!I9+ Normalkraft!$E$2*$AF$1*I8,PlotData!$CB$3)</f>
        <v>0</v>
      </c>
      <c r="AJ8" s="721">
        <f>IF(ISNUMBER(System!$C9),PlotData!J9+ Normalkraft!$E$2*$AF$1*J8,PlotData!$CB$3)</f>
        <v>0</v>
      </c>
      <c r="AK8" s="721">
        <f>IF(ISNUMBER(System!$C9),PlotData!K9+Normalkraft!$E$2* $AF$1*K8,PlotData!$CB$3)</f>
        <v>0</v>
      </c>
      <c r="AL8" s="639">
        <f>IF(ISNUMBER(System!$C9),PlotData!L9+Normalkraft!$E$2* $AF$1*L8,PlotData!$CB$3)</f>
        <v>0</v>
      </c>
      <c r="AM8" s="668">
        <f>IF(ISNUMBER(System!$C9),PlotData!L9,PlotData!$CB$3)</f>
        <v>0</v>
      </c>
      <c r="AN8" s="721">
        <f>IF(ISNUMBER(System!$C9),PlotData!B9,PlotData!$CB$3)</f>
        <v>0</v>
      </c>
      <c r="AO8" s="639">
        <f>IF(ISNUMBER(System!$C9),AB8,PlotData!$CB$3)</f>
        <v>0</v>
      </c>
      <c r="AQ8" s="1124">
        <v>6</v>
      </c>
      <c r="AR8" s="668">
        <f>IF(ISNUMBER(System!$C9),PlotData!O9+ Normalkraft!$E$2*$AF$1*O8,PlotData!$CB$4)</f>
        <v>0</v>
      </c>
      <c r="AS8" s="721">
        <f>IF(ISNUMBER(System!$C9),PlotData!P9+ Normalkraft!$E$2*$AF$1*P8,PlotData!$CB$4)</f>
        <v>0</v>
      </c>
      <c r="AT8" s="721">
        <f>IF(ISNUMBER(System!$C9),PlotData!Q9+ Normalkraft!$E$2*$AF$1*Q8,PlotData!$CB$4)</f>
        <v>0</v>
      </c>
      <c r="AU8" s="721">
        <f>IF(ISNUMBER(System!$C9),PlotData!R9+ Normalkraft!$E$2*$AF$1*R8,PlotData!$CB$4)</f>
        <v>0</v>
      </c>
      <c r="AV8" s="721">
        <f>IF(ISNUMBER(System!$C9),PlotData!S9+Normalkraft!$E$2* $AF$1*S8,PlotData!$CB$4)</f>
        <v>0</v>
      </c>
      <c r="AW8" s="721">
        <f>IF(ISNUMBER(System!$C9),PlotData!T9+ Normalkraft!$E$2*$AF$1*T8,PlotData!$CB$4)</f>
        <v>0</v>
      </c>
      <c r="AX8" s="721">
        <f>IF(ISNUMBER(System!$C9),PlotData!U9+Normalkraft!$E$2* $AF$1*U8,PlotData!$CB$4)</f>
        <v>0</v>
      </c>
      <c r="AY8" s="721">
        <f>IF(ISNUMBER(System!$C9),PlotData!V9+ Normalkraft!$E$2*$AF$1*V8,PlotData!$CB$4)</f>
        <v>0</v>
      </c>
      <c r="AZ8" s="721">
        <f>IF(ISNUMBER(System!$C9),PlotData!W9+ Normalkraft!$E$2*$AF$1*W8,PlotData!$CB$4)</f>
        <v>0</v>
      </c>
      <c r="BA8" s="721">
        <f>IF(ISNUMBER(System!$C9),PlotData!X9+ Normalkraft!$E$2*$AF$1*X8,PlotData!$CB$4)</f>
        <v>0</v>
      </c>
      <c r="BB8" s="639">
        <f>IF(ISNUMBER(System!$C9),PlotData!Y9+Normalkraft!$E$2*$AF$1*Y8,PlotData!$CB$4)</f>
        <v>0</v>
      </c>
      <c r="BC8" s="668">
        <f>IF(ISNUMBER(System!$C9),PlotData!Y9, PlotData!CB$4)</f>
        <v>0</v>
      </c>
      <c r="BD8" s="721">
        <f>IF(ISNUMBER(System!$C9),PlotData!O9, PlotData!$CB$4)</f>
        <v>0</v>
      </c>
      <c r="BE8" s="639">
        <f>IF(ISNUMBER(System!$C9), AR8,PlotData!$CB$4)</f>
        <v>0</v>
      </c>
      <c r="BG8" s="668" t="s">
        <v>473</v>
      </c>
      <c r="BH8" s="721">
        <f>BH7</f>
        <v>142.6</v>
      </c>
      <c r="BI8" s="639">
        <f>BH3-BH4</f>
        <v>-170.9</v>
      </c>
    </row>
    <row r="9" spans="1:61" ht="13.8" thickBot="1" x14ac:dyDescent="0.3">
      <c r="A9" s="1123">
        <v>7</v>
      </c>
      <c r="B9" s="668"/>
      <c r="C9" s="721"/>
      <c r="D9" s="721"/>
      <c r="E9" s="721"/>
      <c r="F9" s="721"/>
      <c r="G9" s="721"/>
      <c r="H9" s="721"/>
      <c r="I9" s="721"/>
      <c r="J9" s="721"/>
      <c r="K9" s="721"/>
      <c r="L9" s="639"/>
      <c r="N9" s="1123">
        <v>7</v>
      </c>
      <c r="O9" s="668"/>
      <c r="P9" s="721"/>
      <c r="Q9" s="721"/>
      <c r="R9" s="721"/>
      <c r="S9" s="721"/>
      <c r="T9" s="721"/>
      <c r="U9" s="721"/>
      <c r="V9" s="721"/>
      <c r="W9" s="721"/>
      <c r="X9" s="721"/>
      <c r="Y9" s="639"/>
      <c r="AA9" s="1125">
        <v>7</v>
      </c>
      <c r="AB9" s="668">
        <f>IF(ISNUMBER(System!$C10),PlotData!B10+ Normalkraft!$E$2*$AF$1*B9,PlotData!$CB$3)</f>
        <v>0</v>
      </c>
      <c r="AC9" s="721">
        <f>IF(ISNUMBER(System!$C10),PlotData!C10+ Normalkraft!$E$2*$AF$1*C9,PlotData!$CB$3)</f>
        <v>0</v>
      </c>
      <c r="AD9" s="721">
        <f>IF(ISNUMBER(System!$C10),PlotData!D10+ Normalkraft!$E$2*$AF$1*D9,PlotData!$CB$3)</f>
        <v>0</v>
      </c>
      <c r="AE9" s="721">
        <f>IF(ISNUMBER(System!$C10),PlotData!E10+ Normalkraft!$E$2*$AF$1*E9,PlotData!$CB$3)</f>
        <v>0</v>
      </c>
      <c r="AF9" s="721">
        <f>IF(ISNUMBER(System!$C10),PlotData!F10+Normalkraft!$E$2* $AF$1*F9,PlotData!$CB$3)</f>
        <v>0</v>
      </c>
      <c r="AG9" s="721">
        <f>IF(ISNUMBER(System!$C10),PlotData!G10+ Normalkraft!$E$2*$AF$1*G9,PlotData!$CB$3)</f>
        <v>0</v>
      </c>
      <c r="AH9" s="721">
        <f>IF(ISNUMBER(System!$C10),PlotData!H10+ Normalkraft!$E$2*$AF$1*H9,PlotData!$CB$3)</f>
        <v>0</v>
      </c>
      <c r="AI9" s="721">
        <f>IF(ISNUMBER(System!$C10),PlotData!I10+ Normalkraft!$E$2*$AF$1*I9,PlotData!$CB$3)</f>
        <v>0</v>
      </c>
      <c r="AJ9" s="721">
        <f>IF(ISNUMBER(System!$C10),PlotData!J10+ Normalkraft!$E$2*$AF$1*J9,PlotData!$CB$3)</f>
        <v>0</v>
      </c>
      <c r="AK9" s="721">
        <f>IF(ISNUMBER(System!$C10),PlotData!K10+Normalkraft!$E$2* $AF$1*K9,PlotData!$CB$3)</f>
        <v>0</v>
      </c>
      <c r="AL9" s="639">
        <f>IF(ISNUMBER(System!$C10),PlotData!L10+Normalkraft!$E$2* $AF$1*L9,PlotData!$CB$3)</f>
        <v>0</v>
      </c>
      <c r="AM9" s="668">
        <f>IF(ISNUMBER(System!$C10),PlotData!L10,PlotData!$CB$3)</f>
        <v>0</v>
      </c>
      <c r="AN9" s="721">
        <f>IF(ISNUMBER(System!$C10),PlotData!B10,PlotData!$CB$3)</f>
        <v>0</v>
      </c>
      <c r="AO9" s="639">
        <f>IF(ISNUMBER(System!$C10),AB9,PlotData!$CB$3)</f>
        <v>0</v>
      </c>
      <c r="AQ9" s="1124">
        <v>7</v>
      </c>
      <c r="AR9" s="668">
        <f>IF(ISNUMBER(System!$C10),PlotData!O10+ Normalkraft!$E$2*$AF$1*O9,PlotData!$CB$4)</f>
        <v>0</v>
      </c>
      <c r="AS9" s="721">
        <f>IF(ISNUMBER(System!$C10),PlotData!P10+ Normalkraft!$E$2*$AF$1*P9,PlotData!$CB$4)</f>
        <v>0</v>
      </c>
      <c r="AT9" s="721">
        <f>IF(ISNUMBER(System!$C10),PlotData!Q10+ Normalkraft!$E$2*$AF$1*Q9,PlotData!$CB$4)</f>
        <v>0</v>
      </c>
      <c r="AU9" s="721">
        <f>IF(ISNUMBER(System!$C10),PlotData!R10+ Normalkraft!$E$2*$AF$1*R9,PlotData!$CB$4)</f>
        <v>0</v>
      </c>
      <c r="AV9" s="721">
        <f>IF(ISNUMBER(System!$C10),PlotData!S10+Normalkraft!$E$2* $AF$1*S9,PlotData!$CB$4)</f>
        <v>0</v>
      </c>
      <c r="AW9" s="721">
        <f>IF(ISNUMBER(System!$C10),PlotData!T10+ Normalkraft!$E$2*$AF$1*T9,PlotData!$CB$4)</f>
        <v>0</v>
      </c>
      <c r="AX9" s="721">
        <f>IF(ISNUMBER(System!$C10),PlotData!U10+Normalkraft!$E$2* $AF$1*U9,PlotData!$CB$4)</f>
        <v>0</v>
      </c>
      <c r="AY9" s="721">
        <f>IF(ISNUMBER(System!$C10),PlotData!V10+ Normalkraft!$E$2*$AF$1*V9,PlotData!$CB$4)</f>
        <v>0</v>
      </c>
      <c r="AZ9" s="721">
        <f>IF(ISNUMBER(System!$C10),PlotData!W10+ Normalkraft!$E$2*$AF$1*W9,PlotData!$CB$4)</f>
        <v>0</v>
      </c>
      <c r="BA9" s="721">
        <f>IF(ISNUMBER(System!$C10),PlotData!X10+ Normalkraft!$E$2*$AF$1*X9,PlotData!$CB$4)</f>
        <v>0</v>
      </c>
      <c r="BB9" s="639">
        <f>IF(ISNUMBER(System!$C10),PlotData!Y10+Normalkraft!$E$2*$AF$1*Y9,PlotData!$CB$4)</f>
        <v>0</v>
      </c>
      <c r="BC9" s="668">
        <f>IF(ISNUMBER(System!$C10),PlotData!Y10, PlotData!CB$4)</f>
        <v>0</v>
      </c>
      <c r="BD9" s="721">
        <f>IF(ISNUMBER(System!$C10),PlotData!O10, PlotData!$CB$4)</f>
        <v>0</v>
      </c>
      <c r="BE9" s="639">
        <f>IF(ISNUMBER(System!$C10), AR9,PlotData!$CB$4)</f>
        <v>0</v>
      </c>
      <c r="BG9" s="669" t="s">
        <v>474</v>
      </c>
      <c r="BH9" s="1137">
        <f>BH6</f>
        <v>-159.4</v>
      </c>
      <c r="BI9" s="646">
        <f>BI8</f>
        <v>-170.9</v>
      </c>
    </row>
    <row r="10" spans="1:61" x14ac:dyDescent="0.25">
      <c r="A10" s="1123">
        <v>8</v>
      </c>
      <c r="B10" s="668"/>
      <c r="C10" s="721"/>
      <c r="D10" s="721"/>
      <c r="E10" s="721"/>
      <c r="F10" s="721"/>
      <c r="G10" s="721"/>
      <c r="H10" s="721"/>
      <c r="I10" s="721"/>
      <c r="J10" s="721"/>
      <c r="K10" s="721"/>
      <c r="L10" s="639"/>
      <c r="N10" s="1123">
        <v>8</v>
      </c>
      <c r="O10" s="668"/>
      <c r="P10" s="721"/>
      <c r="Q10" s="721"/>
      <c r="R10" s="721"/>
      <c r="S10" s="721"/>
      <c r="T10" s="721"/>
      <c r="U10" s="721"/>
      <c r="V10" s="721"/>
      <c r="W10" s="721"/>
      <c r="X10" s="721"/>
      <c r="Y10" s="639"/>
      <c r="AA10" s="1125">
        <v>8</v>
      </c>
      <c r="AB10" s="668">
        <f>IF(ISNUMBER(System!$C11),PlotData!B11+ Normalkraft!$E$2*$AF$1*B10,PlotData!$CB$3)</f>
        <v>0</v>
      </c>
      <c r="AC10" s="721">
        <f>IF(ISNUMBER(System!$C11),PlotData!C11+ Normalkraft!$E$2*$AF$1*C10,PlotData!$CB$3)</f>
        <v>0</v>
      </c>
      <c r="AD10" s="721">
        <f>IF(ISNUMBER(System!$C11),PlotData!D11+ Normalkraft!$E$2*$AF$1*D10,PlotData!$CB$3)</f>
        <v>0</v>
      </c>
      <c r="AE10" s="721">
        <f>IF(ISNUMBER(System!$C11),PlotData!E11+ Normalkraft!$E$2*$AF$1*E10,PlotData!$CB$3)</f>
        <v>0</v>
      </c>
      <c r="AF10" s="721">
        <f>IF(ISNUMBER(System!$C11),PlotData!F11+Normalkraft!$E$2* $AF$1*F10,PlotData!$CB$3)</f>
        <v>0</v>
      </c>
      <c r="AG10" s="721">
        <f>IF(ISNUMBER(System!$C11),PlotData!G11+ Normalkraft!$E$2*$AF$1*G10,PlotData!$CB$3)</f>
        <v>0</v>
      </c>
      <c r="AH10" s="721">
        <f>IF(ISNUMBER(System!$C11),PlotData!H11+ Normalkraft!$E$2*$AF$1*H10,PlotData!$CB$3)</f>
        <v>0</v>
      </c>
      <c r="AI10" s="721">
        <f>IF(ISNUMBER(System!$C11),PlotData!I11+ Normalkraft!$E$2*$AF$1*I10,PlotData!$CB$3)</f>
        <v>0</v>
      </c>
      <c r="AJ10" s="721">
        <f>IF(ISNUMBER(System!$C11),PlotData!J11+ Normalkraft!$E$2*$AF$1*J10,PlotData!$CB$3)</f>
        <v>0</v>
      </c>
      <c r="AK10" s="721">
        <f>IF(ISNUMBER(System!$C11),PlotData!K11+Normalkraft!$E$2* $AF$1*K10,PlotData!$CB$3)</f>
        <v>0</v>
      </c>
      <c r="AL10" s="639">
        <f>IF(ISNUMBER(System!$C11),PlotData!L11+Normalkraft!$E$2* $AF$1*L10,PlotData!$CB$3)</f>
        <v>0</v>
      </c>
      <c r="AM10" s="668">
        <f>IF(ISNUMBER(System!$C11),PlotData!L11,PlotData!$CB$3)</f>
        <v>0</v>
      </c>
      <c r="AN10" s="721">
        <f>IF(ISNUMBER(System!$C11),PlotData!B11,PlotData!$CB$3)</f>
        <v>0</v>
      </c>
      <c r="AO10" s="639">
        <f>IF(ISNUMBER(System!$C11),AB10,PlotData!$CB$3)</f>
        <v>0</v>
      </c>
      <c r="AQ10" s="1124">
        <v>8</v>
      </c>
      <c r="AR10" s="668">
        <f>IF(ISNUMBER(System!$C11),PlotData!O11+ Normalkraft!$E$2*$AF$1*O10,PlotData!$CB$4)</f>
        <v>0</v>
      </c>
      <c r="AS10" s="721">
        <f>IF(ISNUMBER(System!$C11),PlotData!P11+ Normalkraft!$E$2*$AF$1*P10,PlotData!$CB$4)</f>
        <v>0</v>
      </c>
      <c r="AT10" s="721">
        <f>IF(ISNUMBER(System!$C11),PlotData!Q11+ Normalkraft!$E$2*$AF$1*Q10,PlotData!$CB$4)</f>
        <v>0</v>
      </c>
      <c r="AU10" s="721">
        <f>IF(ISNUMBER(System!$C11),PlotData!R11+ Normalkraft!$E$2*$AF$1*R10,PlotData!$CB$4)</f>
        <v>0</v>
      </c>
      <c r="AV10" s="721">
        <f>IF(ISNUMBER(System!$C11),PlotData!S11+Normalkraft!$E$2* $AF$1*S10,PlotData!$CB$4)</f>
        <v>0</v>
      </c>
      <c r="AW10" s="721">
        <f>IF(ISNUMBER(System!$C11),PlotData!T11+ Normalkraft!$E$2*$AF$1*T10,PlotData!$CB$4)</f>
        <v>0</v>
      </c>
      <c r="AX10" s="721">
        <f>IF(ISNUMBER(System!$C11),PlotData!U11+Normalkraft!$E$2* $AF$1*U10,PlotData!$CB$4)</f>
        <v>0</v>
      </c>
      <c r="AY10" s="721">
        <f>IF(ISNUMBER(System!$C11),PlotData!V11+ Normalkraft!$E$2*$AF$1*V10,PlotData!$CB$4)</f>
        <v>0</v>
      </c>
      <c r="AZ10" s="721">
        <f>IF(ISNUMBER(System!$C11),PlotData!W11+ Normalkraft!$E$2*$AF$1*W10,PlotData!$CB$4)</f>
        <v>0</v>
      </c>
      <c r="BA10" s="721">
        <f>IF(ISNUMBER(System!$C11),PlotData!X11+ Normalkraft!$E$2*$AF$1*X10,PlotData!$CB$4)</f>
        <v>0</v>
      </c>
      <c r="BB10" s="639">
        <f>IF(ISNUMBER(System!$C11),PlotData!Y11+Normalkraft!$E$2*$AF$1*Y10,PlotData!$CB$4)</f>
        <v>0</v>
      </c>
      <c r="BC10" s="668">
        <f>IF(ISNUMBER(System!$C11),PlotData!Y11, PlotData!CB$4)</f>
        <v>0</v>
      </c>
      <c r="BD10" s="721">
        <f>IF(ISNUMBER(System!$C11),PlotData!O11, PlotData!$CB$4)</f>
        <v>0</v>
      </c>
      <c r="BE10" s="639">
        <f>IF(ISNUMBER(System!$C11), AR10,PlotData!$CB$4)</f>
        <v>0</v>
      </c>
      <c r="BH10" s="41">
        <f>BH6</f>
        <v>-159.4</v>
      </c>
      <c r="BI10" s="41">
        <f>BI6</f>
        <v>131.1</v>
      </c>
    </row>
    <row r="11" spans="1:61" x14ac:dyDescent="0.25">
      <c r="A11" s="1123">
        <v>9</v>
      </c>
      <c r="B11" s="668"/>
      <c r="C11" s="721"/>
      <c r="D11" s="721"/>
      <c r="E11" s="721"/>
      <c r="F11" s="721"/>
      <c r="G11" s="721"/>
      <c r="H11" s="721"/>
      <c r="I11" s="721"/>
      <c r="J11" s="721"/>
      <c r="K11" s="721"/>
      <c r="L11" s="639"/>
      <c r="N11" s="1123">
        <v>9</v>
      </c>
      <c r="O11" s="668"/>
      <c r="P11" s="721"/>
      <c r="Q11" s="721"/>
      <c r="R11" s="721"/>
      <c r="S11" s="721"/>
      <c r="T11" s="721"/>
      <c r="U11" s="721"/>
      <c r="V11" s="721"/>
      <c r="W11" s="721"/>
      <c r="X11" s="721"/>
      <c r="Y11" s="639"/>
      <c r="AA11" s="1125">
        <v>9</v>
      </c>
      <c r="AB11" s="668">
        <f>IF(ISNUMBER(System!$C12),PlotData!B12+ Normalkraft!$E$2*$AF$1*B11,PlotData!$CB$3)</f>
        <v>0</v>
      </c>
      <c r="AC11" s="721">
        <f>IF(ISNUMBER(System!$C12),PlotData!C12+ Normalkraft!$E$2*$AF$1*C11,PlotData!$CB$3)</f>
        <v>0</v>
      </c>
      <c r="AD11" s="721">
        <f>IF(ISNUMBER(System!$C12),PlotData!D12+ Normalkraft!$E$2*$AF$1*D11,PlotData!$CB$3)</f>
        <v>0</v>
      </c>
      <c r="AE11" s="721">
        <f>IF(ISNUMBER(System!$C12),PlotData!E12+ Normalkraft!$E$2*$AF$1*E11,PlotData!$CB$3)</f>
        <v>0</v>
      </c>
      <c r="AF11" s="721">
        <f>IF(ISNUMBER(System!$C12),PlotData!F12+Normalkraft!$E$2* $AF$1*F11,PlotData!$CB$3)</f>
        <v>0</v>
      </c>
      <c r="AG11" s="721">
        <f>IF(ISNUMBER(System!$C12),PlotData!G12+ Normalkraft!$E$2*$AF$1*G11,PlotData!$CB$3)</f>
        <v>0</v>
      </c>
      <c r="AH11" s="721">
        <f>IF(ISNUMBER(System!$C12),PlotData!H12+ Normalkraft!$E$2*$AF$1*H11,PlotData!$CB$3)</f>
        <v>0</v>
      </c>
      <c r="AI11" s="721">
        <f>IF(ISNUMBER(System!$C12),PlotData!I12+ Normalkraft!$E$2*$AF$1*I11,PlotData!$CB$3)</f>
        <v>0</v>
      </c>
      <c r="AJ11" s="721">
        <f>IF(ISNUMBER(System!$C12),PlotData!J12+ Normalkraft!$E$2*$AF$1*J11,PlotData!$CB$3)</f>
        <v>0</v>
      </c>
      <c r="AK11" s="721">
        <f>IF(ISNUMBER(System!$C12),PlotData!K12+Normalkraft!$E$2* $AF$1*K11,PlotData!$CB$3)</f>
        <v>0</v>
      </c>
      <c r="AL11" s="639">
        <f>IF(ISNUMBER(System!$C12),PlotData!L12+Normalkraft!$E$2* $AF$1*L11,PlotData!$CB$3)</f>
        <v>0</v>
      </c>
      <c r="AM11" s="668">
        <f>IF(ISNUMBER(System!$C12),PlotData!L12,PlotData!$CB$3)</f>
        <v>0</v>
      </c>
      <c r="AN11" s="721">
        <f>IF(ISNUMBER(System!$C12),PlotData!B12,PlotData!$CB$3)</f>
        <v>0</v>
      </c>
      <c r="AO11" s="639">
        <f>IF(ISNUMBER(System!$C12),AB11,PlotData!$CB$3)</f>
        <v>0</v>
      </c>
      <c r="AQ11" s="1124">
        <v>9</v>
      </c>
      <c r="AR11" s="668">
        <f>IF(ISNUMBER(System!$C12),PlotData!O12+ Normalkraft!$E$2*$AF$1*O11,PlotData!$CB$4)</f>
        <v>0</v>
      </c>
      <c r="AS11" s="721">
        <f>IF(ISNUMBER(System!$C12),PlotData!P12+ Normalkraft!$E$2*$AF$1*P11,PlotData!$CB$4)</f>
        <v>0</v>
      </c>
      <c r="AT11" s="721">
        <f>IF(ISNUMBER(System!$C12),PlotData!Q12+ Normalkraft!$E$2*$AF$1*Q11,PlotData!$CB$4)</f>
        <v>0</v>
      </c>
      <c r="AU11" s="721">
        <f>IF(ISNUMBER(System!$C12),PlotData!R12+ Normalkraft!$E$2*$AF$1*R11,PlotData!$CB$4)</f>
        <v>0</v>
      </c>
      <c r="AV11" s="721">
        <f>IF(ISNUMBER(System!$C12),PlotData!S12+Normalkraft!$E$2* $AF$1*S11,PlotData!$CB$4)</f>
        <v>0</v>
      </c>
      <c r="AW11" s="721">
        <f>IF(ISNUMBER(System!$C12),PlotData!T12+ Normalkraft!$E$2*$AF$1*T11,PlotData!$CB$4)</f>
        <v>0</v>
      </c>
      <c r="AX11" s="721">
        <f>IF(ISNUMBER(System!$C12),PlotData!U12+Normalkraft!$E$2* $AF$1*U11,PlotData!$CB$4)</f>
        <v>0</v>
      </c>
      <c r="AY11" s="721">
        <f>IF(ISNUMBER(System!$C12),PlotData!V12+ Normalkraft!$E$2*$AF$1*V11,PlotData!$CB$4)</f>
        <v>0</v>
      </c>
      <c r="AZ11" s="721">
        <f>IF(ISNUMBER(System!$C12),PlotData!W12+ Normalkraft!$E$2*$AF$1*W11,PlotData!$CB$4)</f>
        <v>0</v>
      </c>
      <c r="BA11" s="721">
        <f>IF(ISNUMBER(System!$C12),PlotData!X12+ Normalkraft!$E$2*$AF$1*X11,PlotData!$CB$4)</f>
        <v>0</v>
      </c>
      <c r="BB11" s="639">
        <f>IF(ISNUMBER(System!$C12),PlotData!Y12+Normalkraft!$E$2*$AF$1*Y11,PlotData!$CB$4)</f>
        <v>0</v>
      </c>
      <c r="BC11" s="668">
        <f>IF(ISNUMBER(System!$C12),PlotData!Y12, PlotData!CB$4)</f>
        <v>0</v>
      </c>
      <c r="BD11" s="721">
        <f>IF(ISNUMBER(System!$C12),PlotData!O12, PlotData!$CB$4)</f>
        <v>0</v>
      </c>
      <c r="BE11" s="639">
        <f>IF(ISNUMBER(System!$C12), AR11,PlotData!$CB$4)</f>
        <v>0</v>
      </c>
    </row>
    <row r="12" spans="1:61" x14ac:dyDescent="0.25">
      <c r="A12" s="1123">
        <v>10</v>
      </c>
      <c r="B12" s="668"/>
      <c r="C12" s="721"/>
      <c r="D12" s="721"/>
      <c r="E12" s="721"/>
      <c r="F12" s="721"/>
      <c r="G12" s="721"/>
      <c r="H12" s="721"/>
      <c r="I12" s="721"/>
      <c r="J12" s="721"/>
      <c r="K12" s="721"/>
      <c r="L12" s="639"/>
      <c r="N12" s="1123">
        <v>10</v>
      </c>
      <c r="O12" s="668"/>
      <c r="P12" s="721"/>
      <c r="Q12" s="721"/>
      <c r="R12" s="721"/>
      <c r="S12" s="721"/>
      <c r="T12" s="721"/>
      <c r="U12" s="721"/>
      <c r="V12" s="721"/>
      <c r="W12" s="721"/>
      <c r="X12" s="721"/>
      <c r="Y12" s="639"/>
      <c r="AA12" s="1125">
        <v>10</v>
      </c>
      <c r="AB12" s="668">
        <f>IF(ISNUMBER(System!$C13),PlotData!B13+ Normalkraft!$E$2*$AF$1*B12,PlotData!$CB$3)</f>
        <v>0</v>
      </c>
      <c r="AC12" s="721">
        <f>IF(ISNUMBER(System!$C13),PlotData!C13+ Normalkraft!$E$2*$AF$1*C12,PlotData!$CB$3)</f>
        <v>0</v>
      </c>
      <c r="AD12" s="721">
        <f>IF(ISNUMBER(System!$C13),PlotData!D13+ Normalkraft!$E$2*$AF$1*D12,PlotData!$CB$3)</f>
        <v>0</v>
      </c>
      <c r="AE12" s="721">
        <f>IF(ISNUMBER(System!$C13),PlotData!E13+ Normalkraft!$E$2*$AF$1*E12,PlotData!$CB$3)</f>
        <v>0</v>
      </c>
      <c r="AF12" s="721">
        <f>IF(ISNUMBER(System!$C13),PlotData!F13+Normalkraft!$E$2* $AF$1*F12,PlotData!$CB$3)</f>
        <v>0</v>
      </c>
      <c r="AG12" s="721">
        <f>IF(ISNUMBER(System!$C13),PlotData!G13+ Normalkraft!$E$2*$AF$1*G12,PlotData!$CB$3)</f>
        <v>0</v>
      </c>
      <c r="AH12" s="721">
        <f>IF(ISNUMBER(System!$C13),PlotData!H13+ Normalkraft!$E$2*$AF$1*H12,PlotData!$CB$3)</f>
        <v>0</v>
      </c>
      <c r="AI12" s="721">
        <f>IF(ISNUMBER(System!$C13),PlotData!I13+ Normalkraft!$E$2*$AF$1*I12,PlotData!$CB$3)</f>
        <v>0</v>
      </c>
      <c r="AJ12" s="721">
        <f>IF(ISNUMBER(System!$C13),PlotData!J13+ Normalkraft!$E$2*$AF$1*J12,PlotData!$CB$3)</f>
        <v>0</v>
      </c>
      <c r="AK12" s="721">
        <f>IF(ISNUMBER(System!$C13),PlotData!K13+Normalkraft!$E$2* $AF$1*K12,PlotData!$CB$3)</f>
        <v>0</v>
      </c>
      <c r="AL12" s="639">
        <f>IF(ISNUMBER(System!$C13),PlotData!L13+Normalkraft!$E$2* $AF$1*L12,PlotData!$CB$3)</f>
        <v>0</v>
      </c>
      <c r="AM12" s="668">
        <f>IF(ISNUMBER(System!$C13),PlotData!L13,PlotData!$CB$3)</f>
        <v>0</v>
      </c>
      <c r="AN12" s="721">
        <f>IF(ISNUMBER(System!$C13),PlotData!B13,PlotData!$CB$3)</f>
        <v>0</v>
      </c>
      <c r="AO12" s="639">
        <f>IF(ISNUMBER(System!$C13),AB12,PlotData!$CB$3)</f>
        <v>0</v>
      </c>
      <c r="AQ12" s="1124">
        <v>10</v>
      </c>
      <c r="AR12" s="668">
        <f>IF(ISNUMBER(System!$C13),PlotData!O13+ Normalkraft!$E$2*$AF$1*O12,PlotData!$CB$4)</f>
        <v>0</v>
      </c>
      <c r="AS12" s="721">
        <f>IF(ISNUMBER(System!$C13),PlotData!P13+ Normalkraft!$E$2*$AF$1*P12,PlotData!$CB$4)</f>
        <v>0</v>
      </c>
      <c r="AT12" s="721">
        <f>IF(ISNUMBER(System!$C13),PlotData!Q13+ Normalkraft!$E$2*$AF$1*Q12,PlotData!$CB$4)</f>
        <v>0</v>
      </c>
      <c r="AU12" s="721">
        <f>IF(ISNUMBER(System!$C13),PlotData!R13+ Normalkraft!$E$2*$AF$1*R12,PlotData!$CB$4)</f>
        <v>0</v>
      </c>
      <c r="AV12" s="721">
        <f>IF(ISNUMBER(System!$C13),PlotData!S13+Normalkraft!$E$2* $AF$1*S12,PlotData!$CB$4)</f>
        <v>0</v>
      </c>
      <c r="AW12" s="721">
        <f>IF(ISNUMBER(System!$C13),PlotData!T13+ Normalkraft!$E$2*$AF$1*T12,PlotData!$CB$4)</f>
        <v>0</v>
      </c>
      <c r="AX12" s="721">
        <f>IF(ISNUMBER(System!$C13),PlotData!U13+Normalkraft!$E$2* $AF$1*U12,PlotData!$CB$4)</f>
        <v>0</v>
      </c>
      <c r="AY12" s="721">
        <f>IF(ISNUMBER(System!$C13),PlotData!V13+ Normalkraft!$E$2*$AF$1*V12,PlotData!$CB$4)</f>
        <v>0</v>
      </c>
      <c r="AZ12" s="721">
        <f>IF(ISNUMBER(System!$C13),PlotData!W13+ Normalkraft!$E$2*$AF$1*W12,PlotData!$CB$4)</f>
        <v>0</v>
      </c>
      <c r="BA12" s="721">
        <f>IF(ISNUMBER(System!$C13),PlotData!X13+ Normalkraft!$E$2*$AF$1*X12,PlotData!$CB$4)</f>
        <v>0</v>
      </c>
      <c r="BB12" s="639">
        <f>IF(ISNUMBER(System!$C13),PlotData!Y13+Normalkraft!$E$2*$AF$1*Y12,PlotData!$CB$4)</f>
        <v>0</v>
      </c>
      <c r="BC12" s="668">
        <f>IF(ISNUMBER(System!$C13),PlotData!Y13, PlotData!CB$4)</f>
        <v>0</v>
      </c>
      <c r="BD12" s="721">
        <f>IF(ISNUMBER(System!$C13),PlotData!O13, PlotData!$CB$4)</f>
        <v>0</v>
      </c>
      <c r="BE12" s="639">
        <f>IF(ISNUMBER(System!$C13), AR12,PlotData!$CB$4)</f>
        <v>0</v>
      </c>
    </row>
    <row r="13" spans="1:61" x14ac:dyDescent="0.25">
      <c r="A13" s="1123">
        <v>11</v>
      </c>
      <c r="B13" s="668"/>
      <c r="C13" s="721"/>
      <c r="D13" s="721"/>
      <c r="E13" s="721"/>
      <c r="F13" s="721"/>
      <c r="G13" s="721"/>
      <c r="H13" s="721"/>
      <c r="I13" s="721"/>
      <c r="J13" s="721"/>
      <c r="K13" s="721"/>
      <c r="L13" s="639"/>
      <c r="N13" s="1123">
        <v>11</v>
      </c>
      <c r="O13" s="668"/>
      <c r="P13" s="721"/>
      <c r="Q13" s="721"/>
      <c r="R13" s="721"/>
      <c r="S13" s="721"/>
      <c r="T13" s="721"/>
      <c r="U13" s="721"/>
      <c r="V13" s="721"/>
      <c r="W13" s="721"/>
      <c r="X13" s="721"/>
      <c r="Y13" s="639"/>
      <c r="AA13" s="1125">
        <v>11</v>
      </c>
      <c r="AB13" s="668">
        <f>IF(ISNUMBER(System!$C14),PlotData!B14+ Normalkraft!$E$2*$AF$1*B13,PlotData!$CB$3)</f>
        <v>0</v>
      </c>
      <c r="AC13" s="721">
        <f>IF(ISNUMBER(System!$C14),PlotData!C14+ Normalkraft!$E$2*$AF$1*C13,PlotData!$CB$3)</f>
        <v>0</v>
      </c>
      <c r="AD13" s="721">
        <f>IF(ISNUMBER(System!$C14),PlotData!D14+ Normalkraft!$E$2*$AF$1*D13,PlotData!$CB$3)</f>
        <v>0</v>
      </c>
      <c r="AE13" s="721">
        <f>IF(ISNUMBER(System!$C14),PlotData!E14+ Normalkraft!$E$2*$AF$1*E13,PlotData!$CB$3)</f>
        <v>0</v>
      </c>
      <c r="AF13" s="721">
        <f>IF(ISNUMBER(System!$C14),PlotData!F14+Normalkraft!$E$2* $AF$1*F13,PlotData!$CB$3)</f>
        <v>0</v>
      </c>
      <c r="AG13" s="721">
        <f>IF(ISNUMBER(System!$C14),PlotData!G14+ Normalkraft!$E$2*$AF$1*G13,PlotData!$CB$3)</f>
        <v>0</v>
      </c>
      <c r="AH13" s="721">
        <f>IF(ISNUMBER(System!$C14),PlotData!H14+ Normalkraft!$E$2*$AF$1*H13,PlotData!$CB$3)</f>
        <v>0</v>
      </c>
      <c r="AI13" s="721">
        <f>IF(ISNUMBER(System!$C14),PlotData!I14+ Normalkraft!$E$2*$AF$1*I13,PlotData!$CB$3)</f>
        <v>0</v>
      </c>
      <c r="AJ13" s="721">
        <f>IF(ISNUMBER(System!$C14),PlotData!J14+ Normalkraft!$E$2*$AF$1*J13,PlotData!$CB$3)</f>
        <v>0</v>
      </c>
      <c r="AK13" s="721">
        <f>IF(ISNUMBER(System!$C14),PlotData!K14+Normalkraft!$E$2* $AF$1*K13,PlotData!$CB$3)</f>
        <v>0</v>
      </c>
      <c r="AL13" s="639">
        <f>IF(ISNUMBER(System!$C14),PlotData!L14+Normalkraft!$E$2* $AF$1*L13,PlotData!$CB$3)</f>
        <v>0</v>
      </c>
      <c r="AM13" s="668">
        <f>IF(ISNUMBER(System!$C14),PlotData!L14,PlotData!$CB$3)</f>
        <v>0</v>
      </c>
      <c r="AN13" s="721">
        <f>IF(ISNUMBER(System!$C14),PlotData!B14,PlotData!$CB$3)</f>
        <v>0</v>
      </c>
      <c r="AO13" s="639">
        <f>IF(ISNUMBER(System!$C14),AB13,PlotData!$CB$3)</f>
        <v>0</v>
      </c>
      <c r="AQ13" s="1124">
        <v>11</v>
      </c>
      <c r="AR13" s="668">
        <f>IF(ISNUMBER(System!$C14),PlotData!O14+ Normalkraft!$E$2*$AF$1*O13,PlotData!$CB$4)</f>
        <v>0</v>
      </c>
      <c r="AS13" s="721">
        <f>IF(ISNUMBER(System!$C14),PlotData!P14+ Normalkraft!$E$2*$AF$1*P13,PlotData!$CB$4)</f>
        <v>0</v>
      </c>
      <c r="AT13" s="721">
        <f>IF(ISNUMBER(System!$C14),PlotData!Q14+ Normalkraft!$E$2*$AF$1*Q13,PlotData!$CB$4)</f>
        <v>0</v>
      </c>
      <c r="AU13" s="721">
        <f>IF(ISNUMBER(System!$C14),PlotData!R14+ Normalkraft!$E$2*$AF$1*R13,PlotData!$CB$4)</f>
        <v>0</v>
      </c>
      <c r="AV13" s="721">
        <f>IF(ISNUMBER(System!$C14),PlotData!S14+Normalkraft!$E$2* $AF$1*S13,PlotData!$CB$4)</f>
        <v>0</v>
      </c>
      <c r="AW13" s="721">
        <f>IF(ISNUMBER(System!$C14),PlotData!T14+ Normalkraft!$E$2*$AF$1*T13,PlotData!$CB$4)</f>
        <v>0</v>
      </c>
      <c r="AX13" s="721">
        <f>IF(ISNUMBER(System!$C14),PlotData!U14+Normalkraft!$E$2* $AF$1*U13,PlotData!$CB$4)</f>
        <v>0</v>
      </c>
      <c r="AY13" s="721">
        <f>IF(ISNUMBER(System!$C14),PlotData!V14+ Normalkraft!$E$2*$AF$1*V13,PlotData!$CB$4)</f>
        <v>0</v>
      </c>
      <c r="AZ13" s="721">
        <f>IF(ISNUMBER(System!$C14),PlotData!W14+ Normalkraft!$E$2*$AF$1*W13,PlotData!$CB$4)</f>
        <v>0</v>
      </c>
      <c r="BA13" s="721">
        <f>IF(ISNUMBER(System!$C14),PlotData!X14+ Normalkraft!$E$2*$AF$1*X13,PlotData!$CB$4)</f>
        <v>0</v>
      </c>
      <c r="BB13" s="639">
        <f>IF(ISNUMBER(System!$C14),PlotData!Y14+Normalkraft!$E$2*$AF$1*Y13,PlotData!$CB$4)</f>
        <v>0</v>
      </c>
      <c r="BC13" s="668">
        <f>IF(ISNUMBER(System!$C14),PlotData!Y14, PlotData!CB$4)</f>
        <v>0</v>
      </c>
      <c r="BD13" s="721">
        <f>IF(ISNUMBER(System!$C14),PlotData!O14, PlotData!$CB$4)</f>
        <v>0</v>
      </c>
      <c r="BE13" s="639">
        <f>IF(ISNUMBER(System!$C14), AR13,PlotData!$CB$4)</f>
        <v>0</v>
      </c>
      <c r="BH13" s="41">
        <f>ROUNDUP(BH2,1)</f>
        <v>-8.4</v>
      </c>
    </row>
    <row r="14" spans="1:61" x14ac:dyDescent="0.25">
      <c r="A14" s="1123">
        <v>12</v>
      </c>
      <c r="B14" s="668"/>
      <c r="C14" s="721"/>
      <c r="D14" s="721"/>
      <c r="E14" s="721"/>
      <c r="F14" s="721"/>
      <c r="G14" s="721"/>
      <c r="H14" s="721"/>
      <c r="I14" s="721"/>
      <c r="J14" s="721"/>
      <c r="K14" s="721"/>
      <c r="L14" s="639"/>
      <c r="N14" s="1123">
        <v>12</v>
      </c>
      <c r="O14" s="668"/>
      <c r="P14" s="721"/>
      <c r="Q14" s="721"/>
      <c r="R14" s="721"/>
      <c r="S14" s="721"/>
      <c r="T14" s="721"/>
      <c r="U14" s="721"/>
      <c r="V14" s="721"/>
      <c r="W14" s="721"/>
      <c r="X14" s="721"/>
      <c r="Y14" s="639"/>
      <c r="AA14" s="1125">
        <v>12</v>
      </c>
      <c r="AB14" s="668">
        <f>IF(ISNUMBER(System!$C15),PlotData!B15+ Normalkraft!$E$2*$AF$1*B14,PlotData!$CB$3)</f>
        <v>0</v>
      </c>
      <c r="AC14" s="721">
        <f>IF(ISNUMBER(System!$C15),PlotData!C15+ Normalkraft!$E$2*$AF$1*C14,PlotData!$CB$3)</f>
        <v>0</v>
      </c>
      <c r="AD14" s="721">
        <f>IF(ISNUMBER(System!$C15),PlotData!D15+ Normalkraft!$E$2*$AF$1*D14,PlotData!$CB$3)</f>
        <v>0</v>
      </c>
      <c r="AE14" s="721">
        <f>IF(ISNUMBER(System!$C15),PlotData!E15+ Normalkraft!$E$2*$AF$1*E14,PlotData!$CB$3)</f>
        <v>0</v>
      </c>
      <c r="AF14" s="721">
        <f>IF(ISNUMBER(System!$C15),PlotData!F15+Normalkraft!$E$2* $AF$1*F14,PlotData!$CB$3)</f>
        <v>0</v>
      </c>
      <c r="AG14" s="721">
        <f>IF(ISNUMBER(System!$C15),PlotData!G15+ Normalkraft!$E$2*$AF$1*G14,PlotData!$CB$3)</f>
        <v>0</v>
      </c>
      <c r="AH14" s="721">
        <f>IF(ISNUMBER(System!$C15),PlotData!H15+ Normalkraft!$E$2*$AF$1*H14,PlotData!$CB$3)</f>
        <v>0</v>
      </c>
      <c r="AI14" s="721">
        <f>IF(ISNUMBER(System!$C15),PlotData!I15+ Normalkraft!$E$2*$AF$1*I14,PlotData!$CB$3)</f>
        <v>0</v>
      </c>
      <c r="AJ14" s="721">
        <f>IF(ISNUMBER(System!$C15),PlotData!J15+ Normalkraft!$E$2*$AF$1*J14,PlotData!$CB$3)</f>
        <v>0</v>
      </c>
      <c r="AK14" s="721">
        <f>IF(ISNUMBER(System!$C15),PlotData!K15+Normalkraft!$E$2* $AF$1*K14,PlotData!$CB$3)</f>
        <v>0</v>
      </c>
      <c r="AL14" s="639">
        <f>IF(ISNUMBER(System!$C15),PlotData!L15+Normalkraft!$E$2* $AF$1*L14,PlotData!$CB$3)</f>
        <v>0</v>
      </c>
      <c r="AM14" s="668">
        <f>IF(ISNUMBER(System!$C15),PlotData!L15,PlotData!$CB$3)</f>
        <v>0</v>
      </c>
      <c r="AN14" s="721">
        <f>IF(ISNUMBER(System!$C15),PlotData!B15,PlotData!$CB$3)</f>
        <v>0</v>
      </c>
      <c r="AO14" s="639">
        <f>IF(ISNUMBER(System!$C15),AB14,PlotData!$CB$3)</f>
        <v>0</v>
      </c>
      <c r="AQ14" s="1124">
        <v>12</v>
      </c>
      <c r="AR14" s="668">
        <f>IF(ISNUMBER(System!$C15),PlotData!O15+ Normalkraft!$E$2*$AF$1*O14,PlotData!$CB$4)</f>
        <v>0</v>
      </c>
      <c r="AS14" s="721">
        <f>IF(ISNUMBER(System!$C15),PlotData!P15+ Normalkraft!$E$2*$AF$1*P14,PlotData!$CB$4)</f>
        <v>0</v>
      </c>
      <c r="AT14" s="721">
        <f>IF(ISNUMBER(System!$C15),PlotData!Q15+ Normalkraft!$E$2*$AF$1*Q14,PlotData!$CB$4)</f>
        <v>0</v>
      </c>
      <c r="AU14" s="721">
        <f>IF(ISNUMBER(System!$C15),PlotData!R15+ Normalkraft!$E$2*$AF$1*R14,PlotData!$CB$4)</f>
        <v>0</v>
      </c>
      <c r="AV14" s="721">
        <f>IF(ISNUMBER(System!$C15),PlotData!S15+Normalkraft!$E$2* $AF$1*S14,PlotData!$CB$4)</f>
        <v>0</v>
      </c>
      <c r="AW14" s="721">
        <f>IF(ISNUMBER(System!$C15),PlotData!T15+ Normalkraft!$E$2*$AF$1*T14,PlotData!$CB$4)</f>
        <v>0</v>
      </c>
      <c r="AX14" s="721">
        <f>IF(ISNUMBER(System!$C15),PlotData!U15+Normalkraft!$E$2* $AF$1*U14,PlotData!$CB$4)</f>
        <v>0</v>
      </c>
      <c r="AY14" s="721">
        <f>IF(ISNUMBER(System!$C15),PlotData!V15+ Normalkraft!$E$2*$AF$1*V14,PlotData!$CB$4)</f>
        <v>0</v>
      </c>
      <c r="AZ14" s="721">
        <f>IF(ISNUMBER(System!$C15),PlotData!W15+ Normalkraft!$E$2*$AF$1*W14,PlotData!$CB$4)</f>
        <v>0</v>
      </c>
      <c r="BA14" s="721">
        <f>IF(ISNUMBER(System!$C15),PlotData!X15+ Normalkraft!$E$2*$AF$1*X14,PlotData!$CB$4)</f>
        <v>0</v>
      </c>
      <c r="BB14" s="639">
        <f>IF(ISNUMBER(System!$C15),PlotData!Y15+Normalkraft!$E$2*$AF$1*Y14,PlotData!$CB$4)</f>
        <v>0</v>
      </c>
      <c r="BC14" s="668">
        <f>IF(ISNUMBER(System!$C15),PlotData!Y15, PlotData!CB$4)</f>
        <v>0</v>
      </c>
      <c r="BD14" s="721">
        <f>IF(ISNUMBER(System!$C15),PlotData!O15, PlotData!$CB$4)</f>
        <v>0</v>
      </c>
      <c r="BE14" s="639">
        <f>IF(ISNUMBER(System!$C15), AR14,PlotData!$CB$4)</f>
        <v>0</v>
      </c>
      <c r="BH14" s="41">
        <f>ROUNDUP(BH3,1)</f>
        <v>-19.899999999999999</v>
      </c>
    </row>
    <row r="15" spans="1:61" x14ac:dyDescent="0.25">
      <c r="A15" s="1123">
        <v>13</v>
      </c>
      <c r="B15" s="668"/>
      <c r="C15" s="721"/>
      <c r="D15" s="721"/>
      <c r="E15" s="721"/>
      <c r="F15" s="721"/>
      <c r="G15" s="721"/>
      <c r="H15" s="721"/>
      <c r="I15" s="721"/>
      <c r="J15" s="721"/>
      <c r="K15" s="721"/>
      <c r="L15" s="639"/>
      <c r="N15" s="1123">
        <v>13</v>
      </c>
      <c r="O15" s="668"/>
      <c r="P15" s="721"/>
      <c r="Q15" s="721"/>
      <c r="R15" s="721"/>
      <c r="S15" s="721"/>
      <c r="T15" s="721"/>
      <c r="U15" s="721"/>
      <c r="V15" s="721"/>
      <c r="W15" s="721"/>
      <c r="X15" s="721"/>
      <c r="Y15" s="639"/>
      <c r="AA15" s="1125">
        <v>13</v>
      </c>
      <c r="AB15" s="668">
        <f>IF(ISNUMBER(System!$C16),PlotData!B16+ Normalkraft!$E$2*$AF$1*B15,PlotData!$CB$3)</f>
        <v>0</v>
      </c>
      <c r="AC15" s="721">
        <f>IF(ISNUMBER(System!$C16),PlotData!C16+ Normalkraft!$E$2*$AF$1*C15,PlotData!$CB$3)</f>
        <v>0</v>
      </c>
      <c r="AD15" s="721">
        <f>IF(ISNUMBER(System!$C16),PlotData!D16+ Normalkraft!$E$2*$AF$1*D15,PlotData!$CB$3)</f>
        <v>0</v>
      </c>
      <c r="AE15" s="721">
        <f>IF(ISNUMBER(System!$C16),PlotData!E16+ Normalkraft!$E$2*$AF$1*E15,PlotData!$CB$3)</f>
        <v>0</v>
      </c>
      <c r="AF15" s="721">
        <f>IF(ISNUMBER(System!$C16),PlotData!F16+Normalkraft!$E$2* $AF$1*F15,PlotData!$CB$3)</f>
        <v>0</v>
      </c>
      <c r="AG15" s="721">
        <f>IF(ISNUMBER(System!$C16),PlotData!G16+ Normalkraft!$E$2*$AF$1*G15,PlotData!$CB$3)</f>
        <v>0</v>
      </c>
      <c r="AH15" s="721">
        <f>IF(ISNUMBER(System!$C16),PlotData!H16+ Normalkraft!$E$2*$AF$1*H15,PlotData!$CB$3)</f>
        <v>0</v>
      </c>
      <c r="AI15" s="721">
        <f>IF(ISNUMBER(System!$C16),PlotData!I16+ Normalkraft!$E$2*$AF$1*I15,PlotData!$CB$3)</f>
        <v>0</v>
      </c>
      <c r="AJ15" s="721">
        <f>IF(ISNUMBER(System!$C16),PlotData!J16+ Normalkraft!$E$2*$AF$1*J15,PlotData!$CB$3)</f>
        <v>0</v>
      </c>
      <c r="AK15" s="721">
        <f>IF(ISNUMBER(System!$C16),PlotData!K16+Normalkraft!$E$2* $AF$1*K15,PlotData!$CB$3)</f>
        <v>0</v>
      </c>
      <c r="AL15" s="639">
        <f>IF(ISNUMBER(System!$C16),PlotData!L16+Normalkraft!$E$2* $AF$1*L15,PlotData!$CB$3)</f>
        <v>0</v>
      </c>
      <c r="AM15" s="668">
        <f>IF(ISNUMBER(System!$C16),PlotData!L16,PlotData!$CB$3)</f>
        <v>0</v>
      </c>
      <c r="AN15" s="721">
        <f>IF(ISNUMBER(System!$C16),PlotData!B16,PlotData!$CB$3)</f>
        <v>0</v>
      </c>
      <c r="AO15" s="639">
        <f>IF(ISNUMBER(System!$C16),AB15,PlotData!$CB$3)</f>
        <v>0</v>
      </c>
      <c r="AQ15" s="1124">
        <v>13</v>
      </c>
      <c r="AR15" s="668">
        <f>IF(ISNUMBER(System!$C16),PlotData!O16+ Normalkraft!$E$2*$AF$1*O15,PlotData!$CB$4)</f>
        <v>0</v>
      </c>
      <c r="AS15" s="721">
        <f>IF(ISNUMBER(System!$C16),PlotData!P16+ Normalkraft!$E$2*$AF$1*P15,PlotData!$CB$4)</f>
        <v>0</v>
      </c>
      <c r="AT15" s="721">
        <f>IF(ISNUMBER(System!$C16),PlotData!Q16+ Normalkraft!$E$2*$AF$1*Q15,PlotData!$CB$4)</f>
        <v>0</v>
      </c>
      <c r="AU15" s="721">
        <f>IF(ISNUMBER(System!$C16),PlotData!R16+ Normalkraft!$E$2*$AF$1*R15,PlotData!$CB$4)</f>
        <v>0</v>
      </c>
      <c r="AV15" s="721">
        <f>IF(ISNUMBER(System!$C16),PlotData!S16+Normalkraft!$E$2* $AF$1*S15,PlotData!$CB$4)</f>
        <v>0</v>
      </c>
      <c r="AW15" s="721">
        <f>IF(ISNUMBER(System!$C16),PlotData!T16+ Normalkraft!$E$2*$AF$1*T15,PlotData!$CB$4)</f>
        <v>0</v>
      </c>
      <c r="AX15" s="721">
        <f>IF(ISNUMBER(System!$C16),PlotData!U16+Normalkraft!$E$2* $AF$1*U15,PlotData!$CB$4)</f>
        <v>0</v>
      </c>
      <c r="AY15" s="721">
        <f>IF(ISNUMBER(System!$C16),PlotData!V16+ Normalkraft!$E$2*$AF$1*V15,PlotData!$CB$4)</f>
        <v>0</v>
      </c>
      <c r="AZ15" s="721">
        <f>IF(ISNUMBER(System!$C16),PlotData!W16+ Normalkraft!$E$2*$AF$1*W15,PlotData!$CB$4)</f>
        <v>0</v>
      </c>
      <c r="BA15" s="721">
        <f>IF(ISNUMBER(System!$C16),PlotData!X16+ Normalkraft!$E$2*$AF$1*X15,PlotData!$CB$4)</f>
        <v>0</v>
      </c>
      <c r="BB15" s="639">
        <f>IF(ISNUMBER(System!$C16),PlotData!Y16+Normalkraft!$E$2*$AF$1*Y15,PlotData!$CB$4)</f>
        <v>0</v>
      </c>
      <c r="BC15" s="668">
        <f>IF(ISNUMBER(System!$C16),PlotData!Y16, PlotData!CB$4)</f>
        <v>0</v>
      </c>
      <c r="BD15" s="721">
        <f>IF(ISNUMBER(System!$C16),PlotData!O16, PlotData!$CB$4)</f>
        <v>0</v>
      </c>
      <c r="BE15" s="639">
        <f>IF(ISNUMBER(System!$C16), AR15,PlotData!$CB$4)</f>
        <v>0</v>
      </c>
      <c r="BH15" s="41">
        <f>ROUNDUP(BH4,1)</f>
        <v>151</v>
      </c>
    </row>
    <row r="16" spans="1:61" x14ac:dyDescent="0.25">
      <c r="A16" s="1123">
        <v>14</v>
      </c>
      <c r="B16" s="668"/>
      <c r="C16" s="721"/>
      <c r="D16" s="721"/>
      <c r="E16" s="721"/>
      <c r="F16" s="721"/>
      <c r="G16" s="721"/>
      <c r="H16" s="721"/>
      <c r="I16" s="721"/>
      <c r="J16" s="721"/>
      <c r="K16" s="721"/>
      <c r="L16" s="639"/>
      <c r="N16" s="1123">
        <v>14</v>
      </c>
      <c r="O16" s="668"/>
      <c r="P16" s="721"/>
      <c r="Q16" s="721"/>
      <c r="R16" s="721"/>
      <c r="S16" s="721"/>
      <c r="T16" s="721"/>
      <c r="U16" s="721"/>
      <c r="V16" s="721"/>
      <c r="W16" s="721"/>
      <c r="X16" s="721"/>
      <c r="Y16" s="639"/>
      <c r="AA16" s="1125">
        <v>14</v>
      </c>
      <c r="AB16" s="668">
        <f>IF(ISNUMBER(System!$C17),PlotData!B17+ Normalkraft!$E$2*$AF$1*B16,PlotData!$CB$3)</f>
        <v>0</v>
      </c>
      <c r="AC16" s="721">
        <f>IF(ISNUMBER(System!$C17),PlotData!C17+ Normalkraft!$E$2*$AF$1*C16,PlotData!$CB$3)</f>
        <v>0</v>
      </c>
      <c r="AD16" s="721">
        <f>IF(ISNUMBER(System!$C17),PlotData!D17+ Normalkraft!$E$2*$AF$1*D16,PlotData!$CB$3)</f>
        <v>0</v>
      </c>
      <c r="AE16" s="721">
        <f>IF(ISNUMBER(System!$C17),PlotData!E17+ Normalkraft!$E$2*$AF$1*E16,PlotData!$CB$3)</f>
        <v>0</v>
      </c>
      <c r="AF16" s="721">
        <f>IF(ISNUMBER(System!$C17),PlotData!F17+Normalkraft!$E$2* $AF$1*F16,PlotData!$CB$3)</f>
        <v>0</v>
      </c>
      <c r="AG16" s="721">
        <f>IF(ISNUMBER(System!$C17),PlotData!G17+ Normalkraft!$E$2*$AF$1*G16,PlotData!$CB$3)</f>
        <v>0</v>
      </c>
      <c r="AH16" s="721">
        <f>IF(ISNUMBER(System!$C17),PlotData!H17+ Normalkraft!$E$2*$AF$1*H16,PlotData!$CB$3)</f>
        <v>0</v>
      </c>
      <c r="AI16" s="721">
        <f>IF(ISNUMBER(System!$C17),PlotData!I17+ Normalkraft!$E$2*$AF$1*I16,PlotData!$CB$3)</f>
        <v>0</v>
      </c>
      <c r="AJ16" s="721">
        <f>IF(ISNUMBER(System!$C17),PlotData!J17+ Normalkraft!$E$2*$AF$1*J16,PlotData!$CB$3)</f>
        <v>0</v>
      </c>
      <c r="AK16" s="721">
        <f>IF(ISNUMBER(System!$C17),PlotData!K17+Normalkraft!$E$2* $AF$1*K16,PlotData!$CB$3)</f>
        <v>0</v>
      </c>
      <c r="AL16" s="639">
        <f>IF(ISNUMBER(System!$C17),PlotData!L17+Normalkraft!$E$2* $AF$1*L16,PlotData!$CB$3)</f>
        <v>0</v>
      </c>
      <c r="AM16" s="668">
        <f>IF(ISNUMBER(System!$C17),PlotData!L17,PlotData!$CB$3)</f>
        <v>0</v>
      </c>
      <c r="AN16" s="721">
        <f>IF(ISNUMBER(System!$C17),PlotData!B17,PlotData!$CB$3)</f>
        <v>0</v>
      </c>
      <c r="AO16" s="639">
        <f>IF(ISNUMBER(System!$C17),AB16,PlotData!$CB$3)</f>
        <v>0</v>
      </c>
      <c r="AQ16" s="1124">
        <v>14</v>
      </c>
      <c r="AR16" s="668">
        <f>IF(ISNUMBER(System!$C17),PlotData!O17+ Normalkraft!$E$2*$AF$1*O16,PlotData!$CB$4)</f>
        <v>0</v>
      </c>
      <c r="AS16" s="721">
        <f>IF(ISNUMBER(System!$C17),PlotData!P17+ Normalkraft!$E$2*$AF$1*P16,PlotData!$CB$4)</f>
        <v>0</v>
      </c>
      <c r="AT16" s="721">
        <f>IF(ISNUMBER(System!$C17),PlotData!Q17+ Normalkraft!$E$2*$AF$1*Q16,PlotData!$CB$4)</f>
        <v>0</v>
      </c>
      <c r="AU16" s="721">
        <f>IF(ISNUMBER(System!$C17),PlotData!R17+ Normalkraft!$E$2*$AF$1*R16,PlotData!$CB$4)</f>
        <v>0</v>
      </c>
      <c r="AV16" s="721">
        <f>IF(ISNUMBER(System!$C17),PlotData!S17+Normalkraft!$E$2* $AF$1*S16,PlotData!$CB$4)</f>
        <v>0</v>
      </c>
      <c r="AW16" s="721">
        <f>IF(ISNUMBER(System!$C17),PlotData!T17+ Normalkraft!$E$2*$AF$1*T16,PlotData!$CB$4)</f>
        <v>0</v>
      </c>
      <c r="AX16" s="721">
        <f>IF(ISNUMBER(System!$C17),PlotData!U17+Normalkraft!$E$2* $AF$1*U16,PlotData!$CB$4)</f>
        <v>0</v>
      </c>
      <c r="AY16" s="721">
        <f>IF(ISNUMBER(System!$C17),PlotData!V17+ Normalkraft!$E$2*$AF$1*V16,PlotData!$CB$4)</f>
        <v>0</v>
      </c>
      <c r="AZ16" s="721">
        <f>IF(ISNUMBER(System!$C17),PlotData!W17+ Normalkraft!$E$2*$AF$1*W16,PlotData!$CB$4)</f>
        <v>0</v>
      </c>
      <c r="BA16" s="721">
        <f>IF(ISNUMBER(System!$C17),PlotData!X17+ Normalkraft!$E$2*$AF$1*X16,PlotData!$CB$4)</f>
        <v>0</v>
      </c>
      <c r="BB16" s="639">
        <f>IF(ISNUMBER(System!$C17),PlotData!Y17+Normalkraft!$E$2*$AF$1*Y16,PlotData!$CB$4)</f>
        <v>0</v>
      </c>
      <c r="BC16" s="668">
        <f>IF(ISNUMBER(System!$C17),PlotData!Y17, PlotData!CB$4)</f>
        <v>0</v>
      </c>
      <c r="BD16" s="721">
        <f>IF(ISNUMBER(System!$C17),PlotData!O17, PlotData!$CB$4)</f>
        <v>0</v>
      </c>
      <c r="BE16" s="639">
        <f>IF(ISNUMBER(System!$C17), AR16,PlotData!$CB$4)</f>
        <v>0</v>
      </c>
    </row>
    <row r="17" spans="1:60" x14ac:dyDescent="0.25">
      <c r="A17" s="1123">
        <v>15</v>
      </c>
      <c r="B17" s="668"/>
      <c r="C17" s="721"/>
      <c r="D17" s="721"/>
      <c r="E17" s="721"/>
      <c r="F17" s="721"/>
      <c r="G17" s="721"/>
      <c r="H17" s="721"/>
      <c r="I17" s="721"/>
      <c r="J17" s="721"/>
      <c r="K17" s="721"/>
      <c r="L17" s="639"/>
      <c r="N17" s="1123">
        <v>15</v>
      </c>
      <c r="O17" s="668"/>
      <c r="P17" s="721"/>
      <c r="Q17" s="721"/>
      <c r="R17" s="721"/>
      <c r="S17" s="721"/>
      <c r="T17" s="721"/>
      <c r="U17" s="721"/>
      <c r="V17" s="721"/>
      <c r="W17" s="721"/>
      <c r="X17" s="721"/>
      <c r="Y17" s="639"/>
      <c r="AA17" s="1125">
        <v>15</v>
      </c>
      <c r="AB17" s="668">
        <f>IF(ISNUMBER(System!$C18),PlotData!B18+ Normalkraft!$E$2*$AF$1*B17,PlotData!$CB$3)</f>
        <v>0</v>
      </c>
      <c r="AC17" s="721">
        <f>IF(ISNUMBER(System!$C18),PlotData!C18+ Normalkraft!$E$2*$AF$1*C17,PlotData!$CB$3)</f>
        <v>0</v>
      </c>
      <c r="AD17" s="721">
        <f>IF(ISNUMBER(System!$C18),PlotData!D18+ Normalkraft!$E$2*$AF$1*D17,PlotData!$CB$3)</f>
        <v>0</v>
      </c>
      <c r="AE17" s="721">
        <f>IF(ISNUMBER(System!$C18),PlotData!E18+ Normalkraft!$E$2*$AF$1*E17,PlotData!$CB$3)</f>
        <v>0</v>
      </c>
      <c r="AF17" s="721">
        <f>IF(ISNUMBER(System!$C18),PlotData!F18+Normalkraft!$E$2* $AF$1*F17,PlotData!$CB$3)</f>
        <v>0</v>
      </c>
      <c r="AG17" s="721">
        <f>IF(ISNUMBER(System!$C18),PlotData!G18+ Normalkraft!$E$2*$AF$1*G17,PlotData!$CB$3)</f>
        <v>0</v>
      </c>
      <c r="AH17" s="721">
        <f>IF(ISNUMBER(System!$C18),PlotData!H18+ Normalkraft!$E$2*$AF$1*H17,PlotData!$CB$3)</f>
        <v>0</v>
      </c>
      <c r="AI17" s="721">
        <f>IF(ISNUMBER(System!$C18),PlotData!I18+ Normalkraft!$E$2*$AF$1*I17,PlotData!$CB$3)</f>
        <v>0</v>
      </c>
      <c r="AJ17" s="721">
        <f>IF(ISNUMBER(System!$C18),PlotData!J18+ Normalkraft!$E$2*$AF$1*J17,PlotData!$CB$3)</f>
        <v>0</v>
      </c>
      <c r="AK17" s="721">
        <f>IF(ISNUMBER(System!$C18),PlotData!K18+Normalkraft!$E$2* $AF$1*K17,PlotData!$CB$3)</f>
        <v>0</v>
      </c>
      <c r="AL17" s="639">
        <f>IF(ISNUMBER(System!$C18),PlotData!L18+Normalkraft!$E$2* $AF$1*L17,PlotData!$CB$3)</f>
        <v>0</v>
      </c>
      <c r="AM17" s="668">
        <f>IF(ISNUMBER(System!$C18),PlotData!L18,PlotData!$CB$3)</f>
        <v>0</v>
      </c>
      <c r="AN17" s="721">
        <f>IF(ISNUMBER(System!$C18),PlotData!B18,PlotData!$CB$3)</f>
        <v>0</v>
      </c>
      <c r="AO17" s="639">
        <f>IF(ISNUMBER(System!$C18),AB17,PlotData!$CB$3)</f>
        <v>0</v>
      </c>
      <c r="AQ17" s="1124">
        <v>15</v>
      </c>
      <c r="AR17" s="668">
        <f>IF(ISNUMBER(System!$C18),PlotData!O18+ Normalkraft!$E$2*$AF$1*O17,PlotData!$CB$4)</f>
        <v>0</v>
      </c>
      <c r="AS17" s="721">
        <f>IF(ISNUMBER(System!$C18),PlotData!P18+ Normalkraft!$E$2*$AF$1*P17,PlotData!$CB$4)</f>
        <v>0</v>
      </c>
      <c r="AT17" s="721">
        <f>IF(ISNUMBER(System!$C18),PlotData!Q18+ Normalkraft!$E$2*$AF$1*Q17,PlotData!$CB$4)</f>
        <v>0</v>
      </c>
      <c r="AU17" s="721">
        <f>IF(ISNUMBER(System!$C18),PlotData!R18+ Normalkraft!$E$2*$AF$1*R17,PlotData!$CB$4)</f>
        <v>0</v>
      </c>
      <c r="AV17" s="721">
        <f>IF(ISNUMBER(System!$C18),PlotData!S18+Normalkraft!$E$2* $AF$1*S17,PlotData!$CB$4)</f>
        <v>0</v>
      </c>
      <c r="AW17" s="721">
        <f>IF(ISNUMBER(System!$C18),PlotData!T18+ Normalkraft!$E$2*$AF$1*T17,PlotData!$CB$4)</f>
        <v>0</v>
      </c>
      <c r="AX17" s="721">
        <f>IF(ISNUMBER(System!$C18),PlotData!U18+Normalkraft!$E$2* $AF$1*U17,PlotData!$CB$4)</f>
        <v>0</v>
      </c>
      <c r="AY17" s="721">
        <f>IF(ISNUMBER(System!$C18),PlotData!V18+ Normalkraft!$E$2*$AF$1*V17,PlotData!$CB$4)</f>
        <v>0</v>
      </c>
      <c r="AZ17" s="721">
        <f>IF(ISNUMBER(System!$C18),PlotData!W18+ Normalkraft!$E$2*$AF$1*W17,PlotData!$CB$4)</f>
        <v>0</v>
      </c>
      <c r="BA17" s="721">
        <f>IF(ISNUMBER(System!$C18),PlotData!X18+ Normalkraft!$E$2*$AF$1*X17,PlotData!$CB$4)</f>
        <v>0</v>
      </c>
      <c r="BB17" s="639">
        <f>IF(ISNUMBER(System!$C18),PlotData!Y18+Normalkraft!$E$2*$AF$1*Y17,PlotData!$CB$4)</f>
        <v>0</v>
      </c>
      <c r="BC17" s="668">
        <f>IF(ISNUMBER(System!$C18),PlotData!Y18, PlotData!CB$4)</f>
        <v>0</v>
      </c>
      <c r="BD17" s="721">
        <f>IF(ISNUMBER(System!$C18),PlotData!O18, PlotData!$CB$4)</f>
        <v>0</v>
      </c>
      <c r="BE17" s="639">
        <f>IF(ISNUMBER(System!$C18), AR17,PlotData!$CB$4)</f>
        <v>0</v>
      </c>
    </row>
    <row r="18" spans="1:60" x14ac:dyDescent="0.25">
      <c r="A18" s="1123">
        <v>16</v>
      </c>
      <c r="B18" s="668"/>
      <c r="C18" s="721"/>
      <c r="D18" s="721"/>
      <c r="E18" s="721"/>
      <c r="F18" s="721"/>
      <c r="G18" s="721"/>
      <c r="H18" s="721"/>
      <c r="I18" s="721"/>
      <c r="J18" s="721"/>
      <c r="K18" s="721"/>
      <c r="L18" s="639"/>
      <c r="N18" s="1123">
        <v>16</v>
      </c>
      <c r="O18" s="668"/>
      <c r="P18" s="721"/>
      <c r="Q18" s="721"/>
      <c r="R18" s="721"/>
      <c r="S18" s="721"/>
      <c r="T18" s="721"/>
      <c r="U18" s="721"/>
      <c r="V18" s="721"/>
      <c r="W18" s="721"/>
      <c r="X18" s="721"/>
      <c r="Y18" s="639"/>
      <c r="AA18" s="1125">
        <v>16</v>
      </c>
      <c r="AB18" s="668">
        <f>IF(ISNUMBER(System!$C19),PlotData!B19+ Normalkraft!$E$2*$AF$1*B18,PlotData!$CB$3)</f>
        <v>0</v>
      </c>
      <c r="AC18" s="721">
        <f>IF(ISNUMBER(System!$C19),PlotData!C19+ Normalkraft!$E$2*$AF$1*C18,PlotData!$CB$3)</f>
        <v>0</v>
      </c>
      <c r="AD18" s="721">
        <f>IF(ISNUMBER(System!$C19),PlotData!D19+ Normalkraft!$E$2*$AF$1*D18,PlotData!$CB$3)</f>
        <v>0</v>
      </c>
      <c r="AE18" s="721">
        <f>IF(ISNUMBER(System!$C19),PlotData!E19+ Normalkraft!$E$2*$AF$1*E18,PlotData!$CB$3)</f>
        <v>0</v>
      </c>
      <c r="AF18" s="721">
        <f>IF(ISNUMBER(System!$C19),PlotData!F19+Normalkraft!$E$2* $AF$1*F18,PlotData!$CB$3)</f>
        <v>0</v>
      </c>
      <c r="AG18" s="721">
        <f>IF(ISNUMBER(System!$C19),PlotData!G19+ Normalkraft!$E$2*$AF$1*G18,PlotData!$CB$3)</f>
        <v>0</v>
      </c>
      <c r="AH18" s="721">
        <f>IF(ISNUMBER(System!$C19),PlotData!H19+ Normalkraft!$E$2*$AF$1*H18,PlotData!$CB$3)</f>
        <v>0</v>
      </c>
      <c r="AI18" s="721">
        <f>IF(ISNUMBER(System!$C19),PlotData!I19+ Normalkraft!$E$2*$AF$1*I18,PlotData!$CB$3)</f>
        <v>0</v>
      </c>
      <c r="AJ18" s="721">
        <f>IF(ISNUMBER(System!$C19),PlotData!J19+ Normalkraft!$E$2*$AF$1*J18,PlotData!$CB$3)</f>
        <v>0</v>
      </c>
      <c r="AK18" s="721">
        <f>IF(ISNUMBER(System!$C19),PlotData!K19+Normalkraft!$E$2* $AF$1*K18,PlotData!$CB$3)</f>
        <v>0</v>
      </c>
      <c r="AL18" s="639">
        <f>IF(ISNUMBER(System!$C19),PlotData!L19+Normalkraft!$E$2* $AF$1*L18,PlotData!$CB$3)</f>
        <v>0</v>
      </c>
      <c r="AM18" s="668">
        <f>IF(ISNUMBER(System!$C19),PlotData!L19,PlotData!$CB$3)</f>
        <v>0</v>
      </c>
      <c r="AN18" s="721">
        <f>IF(ISNUMBER(System!$C19),PlotData!B19,PlotData!$CB$3)</f>
        <v>0</v>
      </c>
      <c r="AO18" s="639">
        <f>IF(ISNUMBER(System!$C19),AB18,PlotData!$CB$3)</f>
        <v>0</v>
      </c>
      <c r="AQ18" s="1124">
        <v>16</v>
      </c>
      <c r="AR18" s="668">
        <f>IF(ISNUMBER(System!$C19),PlotData!O19+ Normalkraft!$E$2*$AF$1*O18,PlotData!$CB$4)</f>
        <v>0</v>
      </c>
      <c r="AS18" s="721">
        <f>IF(ISNUMBER(System!$C19),PlotData!P19+ Normalkraft!$E$2*$AF$1*P18,PlotData!$CB$4)</f>
        <v>0</v>
      </c>
      <c r="AT18" s="721">
        <f>IF(ISNUMBER(System!$C19),PlotData!Q19+ Normalkraft!$E$2*$AF$1*Q18,PlotData!$CB$4)</f>
        <v>0</v>
      </c>
      <c r="AU18" s="721">
        <f>IF(ISNUMBER(System!$C19),PlotData!R19+ Normalkraft!$E$2*$AF$1*R18,PlotData!$CB$4)</f>
        <v>0</v>
      </c>
      <c r="AV18" s="721">
        <f>IF(ISNUMBER(System!$C19),PlotData!S19+Normalkraft!$E$2* $AF$1*S18,PlotData!$CB$4)</f>
        <v>0</v>
      </c>
      <c r="AW18" s="721">
        <f>IF(ISNUMBER(System!$C19),PlotData!T19+ Normalkraft!$E$2*$AF$1*T18,PlotData!$CB$4)</f>
        <v>0</v>
      </c>
      <c r="AX18" s="721">
        <f>IF(ISNUMBER(System!$C19),PlotData!U19+Normalkraft!$E$2* $AF$1*U18,PlotData!$CB$4)</f>
        <v>0</v>
      </c>
      <c r="AY18" s="721">
        <f>IF(ISNUMBER(System!$C19),PlotData!V19+ Normalkraft!$E$2*$AF$1*V18,PlotData!$CB$4)</f>
        <v>0</v>
      </c>
      <c r="AZ18" s="721">
        <f>IF(ISNUMBER(System!$C19),PlotData!W19+ Normalkraft!$E$2*$AF$1*W18,PlotData!$CB$4)</f>
        <v>0</v>
      </c>
      <c r="BA18" s="721">
        <f>IF(ISNUMBER(System!$C19),PlotData!X19+ Normalkraft!$E$2*$AF$1*X18,PlotData!$CB$4)</f>
        <v>0</v>
      </c>
      <c r="BB18" s="639">
        <f>IF(ISNUMBER(System!$C19),PlotData!Y19+Normalkraft!$E$2*$AF$1*Y18,PlotData!$CB$4)</f>
        <v>0</v>
      </c>
      <c r="BC18" s="668">
        <f>IF(ISNUMBER(System!$C19),PlotData!Y19, PlotData!CB$4)</f>
        <v>0</v>
      </c>
      <c r="BD18" s="721">
        <f>IF(ISNUMBER(System!$C19),PlotData!O19, PlotData!$CB$4)</f>
        <v>0</v>
      </c>
      <c r="BE18" s="639">
        <f>IF(ISNUMBER(System!$C19), AR18,PlotData!$CB$4)</f>
        <v>0</v>
      </c>
    </row>
    <row r="19" spans="1:60" x14ac:dyDescent="0.25">
      <c r="A19" s="1123">
        <v>17</v>
      </c>
      <c r="B19" s="668"/>
      <c r="C19" s="721"/>
      <c r="D19" s="721"/>
      <c r="E19" s="721"/>
      <c r="F19" s="721"/>
      <c r="G19" s="721"/>
      <c r="H19" s="721"/>
      <c r="I19" s="721"/>
      <c r="J19" s="721"/>
      <c r="K19" s="721"/>
      <c r="L19" s="639"/>
      <c r="N19" s="1123">
        <v>17</v>
      </c>
      <c r="O19" s="668"/>
      <c r="P19" s="721"/>
      <c r="Q19" s="721"/>
      <c r="R19" s="721"/>
      <c r="S19" s="721"/>
      <c r="T19" s="721"/>
      <c r="U19" s="721"/>
      <c r="V19" s="721"/>
      <c r="W19" s="721"/>
      <c r="X19" s="721"/>
      <c r="Y19" s="639"/>
      <c r="AA19" s="1125">
        <v>17</v>
      </c>
      <c r="AB19" s="668">
        <f>IF(ISNUMBER(System!$C20),PlotData!B20+ Normalkraft!$E$2*$AF$1*B19,PlotData!$CB$3)</f>
        <v>0</v>
      </c>
      <c r="AC19" s="721">
        <f>IF(ISNUMBER(System!$C20),PlotData!C20+ Normalkraft!$E$2*$AF$1*C19,PlotData!$CB$3)</f>
        <v>0</v>
      </c>
      <c r="AD19" s="721">
        <f>IF(ISNUMBER(System!$C20),PlotData!D20+ Normalkraft!$E$2*$AF$1*D19,PlotData!$CB$3)</f>
        <v>0</v>
      </c>
      <c r="AE19" s="721">
        <f>IF(ISNUMBER(System!$C20),PlotData!E20+ Normalkraft!$E$2*$AF$1*E19,PlotData!$CB$3)</f>
        <v>0</v>
      </c>
      <c r="AF19" s="721">
        <f>IF(ISNUMBER(System!$C20),PlotData!F20+Normalkraft!$E$2* $AF$1*F19,PlotData!$CB$3)</f>
        <v>0</v>
      </c>
      <c r="AG19" s="721">
        <f>IF(ISNUMBER(System!$C20),PlotData!G20+ Normalkraft!$E$2*$AF$1*G19,PlotData!$CB$3)</f>
        <v>0</v>
      </c>
      <c r="AH19" s="721">
        <f>IF(ISNUMBER(System!$C20),PlotData!H20+ Normalkraft!$E$2*$AF$1*H19,PlotData!$CB$3)</f>
        <v>0</v>
      </c>
      <c r="AI19" s="721">
        <f>IF(ISNUMBER(System!$C20),PlotData!I20+ Normalkraft!$E$2*$AF$1*I19,PlotData!$CB$3)</f>
        <v>0</v>
      </c>
      <c r="AJ19" s="721">
        <f>IF(ISNUMBER(System!$C20),PlotData!J20+ Normalkraft!$E$2*$AF$1*J19,PlotData!$CB$3)</f>
        <v>0</v>
      </c>
      <c r="AK19" s="721">
        <f>IF(ISNUMBER(System!$C20),PlotData!K20+Normalkraft!$E$2* $AF$1*K19,PlotData!$CB$3)</f>
        <v>0</v>
      </c>
      <c r="AL19" s="639">
        <f>IF(ISNUMBER(System!$C20),PlotData!L20+Normalkraft!$E$2* $AF$1*L19,PlotData!$CB$3)</f>
        <v>0</v>
      </c>
      <c r="AM19" s="668">
        <f>IF(ISNUMBER(System!$C20),PlotData!L20,PlotData!$CB$3)</f>
        <v>0</v>
      </c>
      <c r="AN19" s="721">
        <f>IF(ISNUMBER(System!$C20),PlotData!B20,PlotData!$CB$3)</f>
        <v>0</v>
      </c>
      <c r="AO19" s="639">
        <f>IF(ISNUMBER(System!$C20),AB19,PlotData!$CB$3)</f>
        <v>0</v>
      </c>
      <c r="AQ19" s="1124">
        <v>17</v>
      </c>
      <c r="AR19" s="668">
        <f>IF(ISNUMBER(System!$C20),PlotData!O20+ Normalkraft!$E$2*$AF$1*O19,PlotData!$CB$4)</f>
        <v>0</v>
      </c>
      <c r="AS19" s="721">
        <f>IF(ISNUMBER(System!$C20),PlotData!P20+ Normalkraft!$E$2*$AF$1*P19,PlotData!$CB$4)</f>
        <v>0</v>
      </c>
      <c r="AT19" s="721">
        <f>IF(ISNUMBER(System!$C20),PlotData!Q20+ Normalkraft!$E$2*$AF$1*Q19,PlotData!$CB$4)</f>
        <v>0</v>
      </c>
      <c r="AU19" s="721">
        <f>IF(ISNUMBER(System!$C20),PlotData!R20+ Normalkraft!$E$2*$AF$1*R19,PlotData!$CB$4)</f>
        <v>0</v>
      </c>
      <c r="AV19" s="721">
        <f>IF(ISNUMBER(System!$C20),PlotData!S20+Normalkraft!$E$2* $AF$1*S19,PlotData!$CB$4)</f>
        <v>0</v>
      </c>
      <c r="AW19" s="721">
        <f>IF(ISNUMBER(System!$C20),PlotData!T20+ Normalkraft!$E$2*$AF$1*T19,PlotData!$CB$4)</f>
        <v>0</v>
      </c>
      <c r="AX19" s="721">
        <f>IF(ISNUMBER(System!$C20),PlotData!U20+Normalkraft!$E$2* $AF$1*U19,PlotData!$CB$4)</f>
        <v>0</v>
      </c>
      <c r="AY19" s="721">
        <f>IF(ISNUMBER(System!$C20),PlotData!V20+ Normalkraft!$E$2*$AF$1*V19,PlotData!$CB$4)</f>
        <v>0</v>
      </c>
      <c r="AZ19" s="721">
        <f>IF(ISNUMBER(System!$C20),PlotData!W20+ Normalkraft!$E$2*$AF$1*W19,PlotData!$CB$4)</f>
        <v>0</v>
      </c>
      <c r="BA19" s="721">
        <f>IF(ISNUMBER(System!$C20),PlotData!X20+ Normalkraft!$E$2*$AF$1*X19,PlotData!$CB$4)</f>
        <v>0</v>
      </c>
      <c r="BB19" s="639">
        <f>IF(ISNUMBER(System!$C20),PlotData!Y20+Normalkraft!$E$2*$AF$1*Y19,PlotData!$CB$4)</f>
        <v>0</v>
      </c>
      <c r="BC19" s="668">
        <f>IF(ISNUMBER(System!$C20),PlotData!Y20, PlotData!CB$4)</f>
        <v>0</v>
      </c>
      <c r="BD19" s="721">
        <f>IF(ISNUMBER(System!$C20),PlotData!O20, PlotData!$CB$4)</f>
        <v>0</v>
      </c>
      <c r="BE19" s="639">
        <f>IF(ISNUMBER(System!$C20), AR19,PlotData!$CB$4)</f>
        <v>0</v>
      </c>
    </row>
    <row r="20" spans="1:60" x14ac:dyDescent="0.25">
      <c r="A20" s="1123">
        <v>18</v>
      </c>
      <c r="B20" s="668"/>
      <c r="C20" s="721"/>
      <c r="D20" s="721"/>
      <c r="E20" s="721"/>
      <c r="F20" s="721"/>
      <c r="G20" s="721"/>
      <c r="H20" s="721"/>
      <c r="I20" s="721"/>
      <c r="J20" s="721"/>
      <c r="K20" s="721"/>
      <c r="L20" s="639"/>
      <c r="N20" s="1123">
        <v>18</v>
      </c>
      <c r="O20" s="668"/>
      <c r="P20" s="721"/>
      <c r="Q20" s="721"/>
      <c r="R20" s="721"/>
      <c r="S20" s="721"/>
      <c r="T20" s="721"/>
      <c r="U20" s="721"/>
      <c r="V20" s="721"/>
      <c r="W20" s="721"/>
      <c r="X20" s="721"/>
      <c r="Y20" s="639"/>
      <c r="AA20" s="1125">
        <v>18</v>
      </c>
      <c r="AB20" s="668">
        <f>IF(ISNUMBER(System!$C21),PlotData!B21+ Normalkraft!$E$2*$AF$1*B20,PlotData!$CB$3)</f>
        <v>0</v>
      </c>
      <c r="AC20" s="721">
        <f>IF(ISNUMBER(System!$C21),PlotData!C21+ Normalkraft!$E$2*$AF$1*C20,PlotData!$CB$3)</f>
        <v>0</v>
      </c>
      <c r="AD20" s="721">
        <f>IF(ISNUMBER(System!$C21),PlotData!D21+ Normalkraft!$E$2*$AF$1*D20,PlotData!$CB$3)</f>
        <v>0</v>
      </c>
      <c r="AE20" s="721">
        <f>IF(ISNUMBER(System!$C21),PlotData!E21+ Normalkraft!$E$2*$AF$1*E20,PlotData!$CB$3)</f>
        <v>0</v>
      </c>
      <c r="AF20" s="721">
        <f>IF(ISNUMBER(System!$C21),PlotData!F21+Normalkraft!$E$2* $AF$1*F20,PlotData!$CB$3)</f>
        <v>0</v>
      </c>
      <c r="AG20" s="721">
        <f>IF(ISNUMBER(System!$C21),PlotData!G21+ Normalkraft!$E$2*$AF$1*G20,PlotData!$CB$3)</f>
        <v>0</v>
      </c>
      <c r="AH20" s="721">
        <f>IF(ISNUMBER(System!$C21),PlotData!H21+ Normalkraft!$E$2*$AF$1*H20,PlotData!$CB$3)</f>
        <v>0</v>
      </c>
      <c r="AI20" s="721">
        <f>IF(ISNUMBER(System!$C21),PlotData!I21+ Normalkraft!$E$2*$AF$1*I20,PlotData!$CB$3)</f>
        <v>0</v>
      </c>
      <c r="AJ20" s="721">
        <f>IF(ISNUMBER(System!$C21),PlotData!J21+ Normalkraft!$E$2*$AF$1*J20,PlotData!$CB$3)</f>
        <v>0</v>
      </c>
      <c r="AK20" s="721">
        <f>IF(ISNUMBER(System!$C21),PlotData!K21+Normalkraft!$E$2* $AF$1*K20,PlotData!$CB$3)</f>
        <v>0</v>
      </c>
      <c r="AL20" s="639">
        <f>IF(ISNUMBER(System!$C21),PlotData!L21+Normalkraft!$E$2* $AF$1*L20,PlotData!$CB$3)</f>
        <v>0</v>
      </c>
      <c r="AM20" s="668">
        <f>IF(ISNUMBER(System!$C21),PlotData!L21,PlotData!$CB$3)</f>
        <v>0</v>
      </c>
      <c r="AN20" s="721">
        <f>IF(ISNUMBER(System!$C21),PlotData!B21,PlotData!$CB$3)</f>
        <v>0</v>
      </c>
      <c r="AO20" s="639">
        <f>IF(ISNUMBER(System!$C21),AB20,PlotData!$CB$3)</f>
        <v>0</v>
      </c>
      <c r="AQ20" s="1124">
        <v>18</v>
      </c>
      <c r="AR20" s="668">
        <f>IF(ISNUMBER(System!$C21),PlotData!O21+ Normalkraft!$E$2*$AF$1*O20,PlotData!$CB$4)</f>
        <v>0</v>
      </c>
      <c r="AS20" s="721">
        <f>IF(ISNUMBER(System!$C21),PlotData!P21+ Normalkraft!$E$2*$AF$1*P20,PlotData!$CB$4)</f>
        <v>0</v>
      </c>
      <c r="AT20" s="721">
        <f>IF(ISNUMBER(System!$C21),PlotData!Q21+ Normalkraft!$E$2*$AF$1*Q20,PlotData!$CB$4)</f>
        <v>0</v>
      </c>
      <c r="AU20" s="721">
        <f>IF(ISNUMBER(System!$C21),PlotData!R21+ Normalkraft!$E$2*$AF$1*R20,PlotData!$CB$4)</f>
        <v>0</v>
      </c>
      <c r="AV20" s="721">
        <f>IF(ISNUMBER(System!$C21),PlotData!S21+Normalkraft!$E$2* $AF$1*S20,PlotData!$CB$4)</f>
        <v>0</v>
      </c>
      <c r="AW20" s="721">
        <f>IF(ISNUMBER(System!$C21),PlotData!T21+ Normalkraft!$E$2*$AF$1*T20,PlotData!$CB$4)</f>
        <v>0</v>
      </c>
      <c r="AX20" s="721">
        <f>IF(ISNUMBER(System!$C21),PlotData!U21+Normalkraft!$E$2* $AF$1*U20,PlotData!$CB$4)</f>
        <v>0</v>
      </c>
      <c r="AY20" s="721">
        <f>IF(ISNUMBER(System!$C21),PlotData!V21+ Normalkraft!$E$2*$AF$1*V20,PlotData!$CB$4)</f>
        <v>0</v>
      </c>
      <c r="AZ20" s="721">
        <f>IF(ISNUMBER(System!$C21),PlotData!W21+ Normalkraft!$E$2*$AF$1*W20,PlotData!$CB$4)</f>
        <v>0</v>
      </c>
      <c r="BA20" s="721">
        <f>IF(ISNUMBER(System!$C21),PlotData!X21+ Normalkraft!$E$2*$AF$1*X20,PlotData!$CB$4)</f>
        <v>0</v>
      </c>
      <c r="BB20" s="639">
        <f>IF(ISNUMBER(System!$C21),PlotData!Y21+Normalkraft!$E$2*$AF$1*Y20,PlotData!$CB$4)</f>
        <v>0</v>
      </c>
      <c r="BC20" s="668">
        <f>IF(ISNUMBER(System!$C21),PlotData!Y21, PlotData!CB$4)</f>
        <v>0</v>
      </c>
      <c r="BD20" s="721">
        <f>IF(ISNUMBER(System!$C21),PlotData!O21, PlotData!$CB$4)</f>
        <v>0</v>
      </c>
      <c r="BE20" s="639">
        <f>IF(ISNUMBER(System!$C21), AR20,PlotData!$CB$4)</f>
        <v>0</v>
      </c>
    </row>
    <row r="21" spans="1:60" x14ac:dyDescent="0.25">
      <c r="A21" s="1123">
        <v>19</v>
      </c>
      <c r="B21" s="668"/>
      <c r="C21" s="721"/>
      <c r="D21" s="721"/>
      <c r="E21" s="721"/>
      <c r="F21" s="721"/>
      <c r="G21" s="721"/>
      <c r="H21" s="721"/>
      <c r="I21" s="721"/>
      <c r="J21" s="721"/>
      <c r="K21" s="721"/>
      <c r="L21" s="639"/>
      <c r="N21" s="1123">
        <v>19</v>
      </c>
      <c r="O21" s="668"/>
      <c r="P21" s="721"/>
      <c r="Q21" s="721"/>
      <c r="R21" s="721"/>
      <c r="S21" s="721"/>
      <c r="T21" s="721"/>
      <c r="U21" s="721"/>
      <c r="V21" s="721"/>
      <c r="W21" s="721"/>
      <c r="X21" s="721"/>
      <c r="Y21" s="639"/>
      <c r="AA21" s="1125">
        <v>19</v>
      </c>
      <c r="AB21" s="668">
        <f>IF(ISNUMBER(System!$C22),PlotData!B22+ Normalkraft!$E$2*$AF$1*B21,PlotData!$CB$3)</f>
        <v>0</v>
      </c>
      <c r="AC21" s="721">
        <f>IF(ISNUMBER(System!$C22),PlotData!C22+ Normalkraft!$E$2*$AF$1*C21,PlotData!$CB$3)</f>
        <v>0</v>
      </c>
      <c r="AD21" s="721">
        <f>IF(ISNUMBER(System!$C22),PlotData!D22+ Normalkraft!$E$2*$AF$1*D21,PlotData!$CB$3)</f>
        <v>0</v>
      </c>
      <c r="AE21" s="721">
        <f>IF(ISNUMBER(System!$C22),PlotData!E22+ Normalkraft!$E$2*$AF$1*E21,PlotData!$CB$3)</f>
        <v>0</v>
      </c>
      <c r="AF21" s="721">
        <f>IF(ISNUMBER(System!$C22),PlotData!F22+Normalkraft!$E$2* $AF$1*F21,PlotData!$CB$3)</f>
        <v>0</v>
      </c>
      <c r="AG21" s="721">
        <f>IF(ISNUMBER(System!$C22),PlotData!G22+ Normalkraft!$E$2*$AF$1*G21,PlotData!$CB$3)</f>
        <v>0</v>
      </c>
      <c r="AH21" s="721">
        <f>IF(ISNUMBER(System!$C22),PlotData!H22+ Normalkraft!$E$2*$AF$1*H21,PlotData!$CB$3)</f>
        <v>0</v>
      </c>
      <c r="AI21" s="721">
        <f>IF(ISNUMBER(System!$C22),PlotData!I22+ Normalkraft!$E$2*$AF$1*I21,PlotData!$CB$3)</f>
        <v>0</v>
      </c>
      <c r="AJ21" s="721">
        <f>IF(ISNUMBER(System!$C22),PlotData!J22+ Normalkraft!$E$2*$AF$1*J21,PlotData!$CB$3)</f>
        <v>0</v>
      </c>
      <c r="AK21" s="721">
        <f>IF(ISNUMBER(System!$C22),PlotData!K22+Normalkraft!$E$2* $AF$1*K21,PlotData!$CB$3)</f>
        <v>0</v>
      </c>
      <c r="AL21" s="639">
        <f>IF(ISNUMBER(System!$C22),PlotData!L22+Normalkraft!$E$2* $AF$1*L21,PlotData!$CB$3)</f>
        <v>0</v>
      </c>
      <c r="AM21" s="668">
        <f>IF(ISNUMBER(System!$C22),PlotData!L22,PlotData!$CB$3)</f>
        <v>0</v>
      </c>
      <c r="AN21" s="721">
        <f>IF(ISNUMBER(System!$C22),PlotData!B22,PlotData!$CB$3)</f>
        <v>0</v>
      </c>
      <c r="AO21" s="639">
        <f>IF(ISNUMBER(System!$C22),AB21,PlotData!$CB$3)</f>
        <v>0</v>
      </c>
      <c r="AQ21" s="1124">
        <v>19</v>
      </c>
      <c r="AR21" s="668">
        <f>IF(ISNUMBER(System!$C22),PlotData!O22+ Normalkraft!$E$2*$AF$1*O21,PlotData!$CB$4)</f>
        <v>0</v>
      </c>
      <c r="AS21" s="721">
        <f>IF(ISNUMBER(System!$C22),PlotData!P22+ Normalkraft!$E$2*$AF$1*P21,PlotData!$CB$4)</f>
        <v>0</v>
      </c>
      <c r="AT21" s="721">
        <f>IF(ISNUMBER(System!$C22),PlotData!Q22+ Normalkraft!$E$2*$AF$1*Q21,PlotData!$CB$4)</f>
        <v>0</v>
      </c>
      <c r="AU21" s="721">
        <f>IF(ISNUMBER(System!$C22),PlotData!R22+ Normalkraft!$E$2*$AF$1*R21,PlotData!$CB$4)</f>
        <v>0</v>
      </c>
      <c r="AV21" s="721">
        <f>IF(ISNUMBER(System!$C22),PlotData!S22+Normalkraft!$E$2* $AF$1*S21,PlotData!$CB$4)</f>
        <v>0</v>
      </c>
      <c r="AW21" s="721">
        <f>IF(ISNUMBER(System!$C22),PlotData!T22+ Normalkraft!$E$2*$AF$1*T21,PlotData!$CB$4)</f>
        <v>0</v>
      </c>
      <c r="AX21" s="721">
        <f>IF(ISNUMBER(System!$C22),PlotData!U22+Normalkraft!$E$2* $AF$1*U21,PlotData!$CB$4)</f>
        <v>0</v>
      </c>
      <c r="AY21" s="721">
        <f>IF(ISNUMBER(System!$C22),PlotData!V22+ Normalkraft!$E$2*$AF$1*V21,PlotData!$CB$4)</f>
        <v>0</v>
      </c>
      <c r="AZ21" s="721">
        <f>IF(ISNUMBER(System!$C22),PlotData!W22+ Normalkraft!$E$2*$AF$1*W21,PlotData!$CB$4)</f>
        <v>0</v>
      </c>
      <c r="BA21" s="721">
        <f>IF(ISNUMBER(System!$C22),PlotData!X22+ Normalkraft!$E$2*$AF$1*X21,PlotData!$CB$4)</f>
        <v>0</v>
      </c>
      <c r="BB21" s="639">
        <f>IF(ISNUMBER(System!$C22),PlotData!Y22+Normalkraft!$E$2*$AF$1*Y21,PlotData!$CB$4)</f>
        <v>0</v>
      </c>
      <c r="BC21" s="668">
        <f>IF(ISNUMBER(System!$C22),PlotData!Y22, PlotData!CB$4)</f>
        <v>0</v>
      </c>
      <c r="BD21" s="721">
        <f>IF(ISNUMBER(System!$C22),PlotData!O22, PlotData!$CB$4)</f>
        <v>0</v>
      </c>
      <c r="BE21" s="639">
        <f>IF(ISNUMBER(System!$C22), AR21,PlotData!$CB$4)</f>
        <v>0</v>
      </c>
      <c r="BH21" s="41" t="e">
        <f>aufrunden</f>
        <v>#NAME?</v>
      </c>
    </row>
    <row r="22" spans="1:60" x14ac:dyDescent="0.25">
      <c r="A22" s="1131">
        <v>20</v>
      </c>
      <c r="B22" s="1132"/>
      <c r="C22" s="1133"/>
      <c r="D22" s="1133"/>
      <c r="E22" s="1133"/>
      <c r="F22" s="1133"/>
      <c r="G22" s="1133"/>
      <c r="H22" s="1133"/>
      <c r="I22" s="1133"/>
      <c r="J22" s="1133"/>
      <c r="K22" s="1133"/>
      <c r="L22" s="1134"/>
      <c r="N22" s="1131">
        <v>20</v>
      </c>
      <c r="O22" s="1132"/>
      <c r="P22" s="1133"/>
      <c r="Q22" s="1133"/>
      <c r="R22" s="1133"/>
      <c r="S22" s="1133"/>
      <c r="T22" s="1133"/>
      <c r="U22" s="1133"/>
      <c r="V22" s="1133"/>
      <c r="W22" s="1133"/>
      <c r="X22" s="1133"/>
      <c r="Y22" s="1134"/>
      <c r="AA22" s="1135">
        <v>20</v>
      </c>
      <c r="AB22" s="668">
        <f>IF(ISNUMBER(System!$C23),PlotData!B23+ Normalkraft!$E$2*$AF$1*B22,PlotData!$CB$3)</f>
        <v>0</v>
      </c>
      <c r="AC22" s="721">
        <f>IF(ISNUMBER(System!$C23),PlotData!C23+ Normalkraft!$E$2*$AF$1*C22,PlotData!$CB$3)</f>
        <v>0</v>
      </c>
      <c r="AD22" s="721">
        <f>IF(ISNUMBER(System!$C23),PlotData!D23+ Normalkraft!$E$2*$AF$1*D22,PlotData!$CB$3)</f>
        <v>0</v>
      </c>
      <c r="AE22" s="721">
        <f>IF(ISNUMBER(System!$C23),PlotData!E23+ Normalkraft!$E$2*$AF$1*E22,PlotData!$CB$3)</f>
        <v>0</v>
      </c>
      <c r="AF22" s="721">
        <f>IF(ISNUMBER(System!$C23),PlotData!F23+Normalkraft!$E$2* $AF$1*F22,PlotData!$CB$3)</f>
        <v>0</v>
      </c>
      <c r="AG22" s="721">
        <f>IF(ISNUMBER(System!$C23),PlotData!G23+ Normalkraft!$E$2*$AF$1*G22,PlotData!$CB$3)</f>
        <v>0</v>
      </c>
      <c r="AH22" s="721">
        <f>IF(ISNUMBER(System!$C23),PlotData!H23+ Normalkraft!$E$2*$AF$1*H22,PlotData!$CB$3)</f>
        <v>0</v>
      </c>
      <c r="AI22" s="721">
        <f>IF(ISNUMBER(System!$C23),PlotData!I23+ Normalkraft!$E$2*$AF$1*I22,PlotData!$CB$3)</f>
        <v>0</v>
      </c>
      <c r="AJ22" s="721">
        <f>IF(ISNUMBER(System!$C23),PlotData!J23+ Normalkraft!$E$2*$AF$1*J22,PlotData!$CB$3)</f>
        <v>0</v>
      </c>
      <c r="AK22" s="721">
        <f>IF(ISNUMBER(System!$C23),PlotData!K23+Normalkraft!$E$2* $AF$1*K22,PlotData!$CB$3)</f>
        <v>0</v>
      </c>
      <c r="AL22" s="639">
        <f>IF(ISNUMBER(System!$C23),PlotData!L23+Normalkraft!$E$2* $AF$1*L22,PlotData!$CB$3)</f>
        <v>0</v>
      </c>
      <c r="AM22" s="668">
        <f>IF(ISNUMBER(System!$C23),PlotData!L23,PlotData!$CB$3)</f>
        <v>0</v>
      </c>
      <c r="AN22" s="721">
        <f>IF(ISNUMBER(System!$C23),PlotData!B23,PlotData!$CB$3)</f>
        <v>0</v>
      </c>
      <c r="AO22" s="639">
        <f>IF(ISNUMBER(System!$C23),AB22,PlotData!$CB$3)</f>
        <v>0</v>
      </c>
      <c r="AQ22" s="1147">
        <v>20</v>
      </c>
      <c r="AR22" s="668">
        <f>IF(ISNUMBER(System!$C23),PlotData!O23+ Normalkraft!$E$2*$AF$1*O22,PlotData!$CB$4)</f>
        <v>0</v>
      </c>
      <c r="AS22" s="721">
        <f>IF(ISNUMBER(System!$C23),PlotData!P23+ Normalkraft!$E$2*$AF$1*P22,PlotData!$CB$4)</f>
        <v>0</v>
      </c>
      <c r="AT22" s="721">
        <f>IF(ISNUMBER(System!$C23),PlotData!Q23+ Normalkraft!$E$2*$AF$1*Q22,PlotData!$CB$4)</f>
        <v>0</v>
      </c>
      <c r="AU22" s="721">
        <f>IF(ISNUMBER(System!$C23),PlotData!R23+ Normalkraft!$E$2*$AF$1*R22,PlotData!$CB$4)</f>
        <v>0</v>
      </c>
      <c r="AV22" s="721">
        <f>IF(ISNUMBER(System!$C23),PlotData!S23+Normalkraft!$E$2* $AF$1*S22,PlotData!$CB$4)</f>
        <v>0</v>
      </c>
      <c r="AW22" s="721">
        <f>IF(ISNUMBER(System!$C23),PlotData!T23+ Normalkraft!$E$2*$AF$1*T22,PlotData!$CB$4)</f>
        <v>0</v>
      </c>
      <c r="AX22" s="721">
        <f>IF(ISNUMBER(System!$C23),PlotData!U23+Normalkraft!$E$2* $AF$1*U22,PlotData!$CB$4)</f>
        <v>0</v>
      </c>
      <c r="AY22" s="721">
        <f>IF(ISNUMBER(System!$C23),PlotData!V23+ Normalkraft!$E$2*$AF$1*V22,PlotData!$CB$4)</f>
        <v>0</v>
      </c>
      <c r="AZ22" s="721">
        <f>IF(ISNUMBER(System!$C23),PlotData!W23+ Normalkraft!$E$2*$AF$1*W22,PlotData!$CB$4)</f>
        <v>0</v>
      </c>
      <c r="BA22" s="721">
        <f>IF(ISNUMBER(System!$C23),PlotData!X23+ Normalkraft!$E$2*$AF$1*X22,PlotData!$CB$4)</f>
        <v>0</v>
      </c>
      <c r="BB22" s="639">
        <f>IF(ISNUMBER(System!$C23),PlotData!Y23+Normalkraft!$E$2*$AF$1*Y22,PlotData!$CB$4)</f>
        <v>0</v>
      </c>
      <c r="BC22" s="668">
        <f>IF(ISNUMBER(System!$C23),PlotData!Y23, PlotData!CB$4)</f>
        <v>0</v>
      </c>
      <c r="BD22" s="721">
        <f>IF(ISNUMBER(System!$C23),PlotData!O23, PlotData!$CB$4)</f>
        <v>0</v>
      </c>
      <c r="BE22" s="639">
        <f>IF(ISNUMBER(System!$C23), AR22,PlotData!$CB$4)</f>
        <v>0</v>
      </c>
    </row>
    <row r="23" spans="1:60" x14ac:dyDescent="0.25">
      <c r="A23" s="1123">
        <v>21</v>
      </c>
      <c r="B23" s="668"/>
      <c r="C23" s="721"/>
      <c r="D23" s="721"/>
      <c r="E23" s="721"/>
      <c r="F23" s="721"/>
      <c r="G23" s="721"/>
      <c r="H23" s="721"/>
      <c r="I23" s="721"/>
      <c r="J23" s="721"/>
      <c r="K23" s="721"/>
      <c r="L23" s="639"/>
      <c r="N23" s="1123">
        <v>21</v>
      </c>
      <c r="O23" s="668"/>
      <c r="P23" s="721"/>
      <c r="Q23" s="721"/>
      <c r="R23" s="721"/>
      <c r="S23" s="721"/>
      <c r="T23" s="721"/>
      <c r="U23" s="721"/>
      <c r="V23" s="721"/>
      <c r="W23" s="721"/>
      <c r="X23" s="721"/>
      <c r="Y23" s="639"/>
      <c r="AA23" s="1125">
        <v>21</v>
      </c>
      <c r="AB23" s="668">
        <f>IF(ISNUMBER(System!$C24),PlotData!B24+ Normalkraft!$E$2*$AF$1*B23,PlotData!$CB$3)</f>
        <v>0</v>
      </c>
      <c r="AC23" s="721">
        <f>IF(ISNUMBER(System!$C24),PlotData!C24+ Normalkraft!$E$2*$AF$1*C23,PlotData!$CB$3)</f>
        <v>0</v>
      </c>
      <c r="AD23" s="721">
        <f>IF(ISNUMBER(System!$C24),PlotData!D24+ Normalkraft!$E$2*$AF$1*D23,PlotData!$CB$3)</f>
        <v>0</v>
      </c>
      <c r="AE23" s="721">
        <f>IF(ISNUMBER(System!$C24),PlotData!E24+ Normalkraft!$E$2*$AF$1*E23,PlotData!$CB$3)</f>
        <v>0</v>
      </c>
      <c r="AF23" s="721">
        <f>IF(ISNUMBER(System!$C24),PlotData!F24+Normalkraft!$E$2* $AF$1*F23,PlotData!$CB$3)</f>
        <v>0</v>
      </c>
      <c r="AG23" s="721">
        <f>IF(ISNUMBER(System!$C24),PlotData!G24+ Normalkraft!$E$2*$AF$1*G23,PlotData!$CB$3)</f>
        <v>0</v>
      </c>
      <c r="AH23" s="721">
        <f>IF(ISNUMBER(System!$C24),PlotData!H24+ Normalkraft!$E$2*$AF$1*H23,PlotData!$CB$3)</f>
        <v>0</v>
      </c>
      <c r="AI23" s="721">
        <f>IF(ISNUMBER(System!$C24),PlotData!I24+ Normalkraft!$E$2*$AF$1*I23,PlotData!$CB$3)</f>
        <v>0</v>
      </c>
      <c r="AJ23" s="721">
        <f>IF(ISNUMBER(System!$C24),PlotData!J24+ Normalkraft!$E$2*$AF$1*J23,PlotData!$CB$3)</f>
        <v>0</v>
      </c>
      <c r="AK23" s="721">
        <f>IF(ISNUMBER(System!$C24),PlotData!K24+Normalkraft!$E$2* $AF$1*K23,PlotData!$CB$3)</f>
        <v>0</v>
      </c>
      <c r="AL23" s="639">
        <f>IF(ISNUMBER(System!$C24),PlotData!L24+Normalkraft!$E$2* $AF$1*L23,PlotData!$CB$3)</f>
        <v>0</v>
      </c>
      <c r="AM23" s="668">
        <f>IF(ISNUMBER(System!$C24),PlotData!L24,PlotData!$CB$3)</f>
        <v>0</v>
      </c>
      <c r="AN23" s="721">
        <f>IF(ISNUMBER(System!$C24),PlotData!B24,PlotData!$CB$3)</f>
        <v>0</v>
      </c>
      <c r="AO23" s="639">
        <f>IF(ISNUMBER(System!$C24),AB23,PlotData!$CB$3)</f>
        <v>0</v>
      </c>
      <c r="AQ23" s="1124">
        <v>21</v>
      </c>
      <c r="AR23" s="668">
        <f>IF(ISNUMBER(System!$C24),PlotData!O24+ Normalkraft!$E$2*$AF$1*O23,PlotData!$CB$4)</f>
        <v>0</v>
      </c>
      <c r="AS23" s="721">
        <f>IF(ISNUMBER(System!$C24),PlotData!P24+ Normalkraft!$E$2*$AF$1*P23,PlotData!$CB$4)</f>
        <v>0</v>
      </c>
      <c r="AT23" s="721">
        <f>IF(ISNUMBER(System!$C24),PlotData!Q24+ Normalkraft!$E$2*$AF$1*Q23,PlotData!$CB$4)</f>
        <v>0</v>
      </c>
      <c r="AU23" s="721">
        <f>IF(ISNUMBER(System!$C24),PlotData!R24+ Normalkraft!$E$2*$AF$1*R23,PlotData!$CB$4)</f>
        <v>0</v>
      </c>
      <c r="AV23" s="721">
        <f>IF(ISNUMBER(System!$C24),PlotData!S24+Normalkraft!$E$2* $AF$1*S23,PlotData!$CB$4)</f>
        <v>0</v>
      </c>
      <c r="AW23" s="721">
        <f>IF(ISNUMBER(System!$C24),PlotData!T24+ Normalkraft!$E$2*$AF$1*T23,PlotData!$CB$4)</f>
        <v>0</v>
      </c>
      <c r="AX23" s="721">
        <f>IF(ISNUMBER(System!$C24),PlotData!U24+Normalkraft!$E$2* $AF$1*U23,PlotData!$CB$4)</f>
        <v>0</v>
      </c>
      <c r="AY23" s="721">
        <f>IF(ISNUMBER(System!$C24),PlotData!V24+ Normalkraft!$E$2*$AF$1*V23,PlotData!$CB$4)</f>
        <v>0</v>
      </c>
      <c r="AZ23" s="721">
        <f>IF(ISNUMBER(System!$C24),PlotData!W24+ Normalkraft!$E$2*$AF$1*W23,PlotData!$CB$4)</f>
        <v>0</v>
      </c>
      <c r="BA23" s="721">
        <f>IF(ISNUMBER(System!$C24),PlotData!X24+ Normalkraft!$E$2*$AF$1*X23,PlotData!$CB$4)</f>
        <v>0</v>
      </c>
      <c r="BB23" s="639">
        <f>IF(ISNUMBER(System!$C24),PlotData!Y24+Normalkraft!$E$2*$AF$1*Y23,PlotData!$CB$4)</f>
        <v>0</v>
      </c>
      <c r="BC23" s="668">
        <f>IF(ISNUMBER(System!$C24),PlotData!Y24, PlotData!CB$4)</f>
        <v>0</v>
      </c>
      <c r="BD23" s="721">
        <f>IF(ISNUMBER(System!$C24),PlotData!O24, PlotData!$CB$4)</f>
        <v>0</v>
      </c>
      <c r="BE23" s="639">
        <f>IF(ISNUMBER(System!$C24), AR23,PlotData!$CB$4)</f>
        <v>0</v>
      </c>
    </row>
    <row r="24" spans="1:60" x14ac:dyDescent="0.25">
      <c r="A24" s="1123">
        <v>22</v>
      </c>
      <c r="B24" s="668"/>
      <c r="C24" s="721"/>
      <c r="D24" s="721"/>
      <c r="E24" s="721"/>
      <c r="F24" s="721"/>
      <c r="G24" s="721"/>
      <c r="H24" s="721"/>
      <c r="I24" s="721"/>
      <c r="J24" s="721"/>
      <c r="K24" s="721"/>
      <c r="L24" s="639"/>
      <c r="N24" s="1123">
        <v>22</v>
      </c>
      <c r="O24" s="668"/>
      <c r="P24" s="721"/>
      <c r="Q24" s="721"/>
      <c r="R24" s="721"/>
      <c r="S24" s="721"/>
      <c r="T24" s="721"/>
      <c r="U24" s="721"/>
      <c r="V24" s="721"/>
      <c r="W24" s="721"/>
      <c r="X24" s="721"/>
      <c r="Y24" s="639"/>
      <c r="AA24" s="1125">
        <v>22</v>
      </c>
      <c r="AB24" s="668">
        <f>IF(ISNUMBER(System!$C25),PlotData!B25+ Normalkraft!$E$2*$AF$1*B24,PlotData!$CB$3)</f>
        <v>0</v>
      </c>
      <c r="AC24" s="721">
        <f>IF(ISNUMBER(System!$C25),PlotData!C25+ Normalkraft!$E$2*$AF$1*C24,PlotData!$CB$3)</f>
        <v>0</v>
      </c>
      <c r="AD24" s="721">
        <f>IF(ISNUMBER(System!$C25),PlotData!D25+ Normalkraft!$E$2*$AF$1*D24,PlotData!$CB$3)</f>
        <v>0</v>
      </c>
      <c r="AE24" s="721">
        <f>IF(ISNUMBER(System!$C25),PlotData!E25+ Normalkraft!$E$2*$AF$1*E24,PlotData!$CB$3)</f>
        <v>0</v>
      </c>
      <c r="AF24" s="721">
        <f>IF(ISNUMBER(System!$C25),PlotData!F25+Normalkraft!$E$2* $AF$1*F24,PlotData!$CB$3)</f>
        <v>0</v>
      </c>
      <c r="AG24" s="721">
        <f>IF(ISNUMBER(System!$C25),PlotData!G25+ Normalkraft!$E$2*$AF$1*G24,PlotData!$CB$3)</f>
        <v>0</v>
      </c>
      <c r="AH24" s="721">
        <f>IF(ISNUMBER(System!$C25),PlotData!H25+ Normalkraft!$E$2*$AF$1*H24,PlotData!$CB$3)</f>
        <v>0</v>
      </c>
      <c r="AI24" s="721">
        <f>IF(ISNUMBER(System!$C25),PlotData!I25+ Normalkraft!$E$2*$AF$1*I24,PlotData!$CB$3)</f>
        <v>0</v>
      </c>
      <c r="AJ24" s="721">
        <f>IF(ISNUMBER(System!$C25),PlotData!J25+ Normalkraft!$E$2*$AF$1*J24,PlotData!$CB$3)</f>
        <v>0</v>
      </c>
      <c r="AK24" s="721">
        <f>IF(ISNUMBER(System!$C25),PlotData!K25+Normalkraft!$E$2* $AF$1*K24,PlotData!$CB$3)</f>
        <v>0</v>
      </c>
      <c r="AL24" s="639">
        <f>IF(ISNUMBER(System!$C25),PlotData!L25+Normalkraft!$E$2* $AF$1*L24,PlotData!$CB$3)</f>
        <v>0</v>
      </c>
      <c r="AM24" s="668">
        <f>IF(ISNUMBER(System!$C25),PlotData!L25,PlotData!$CB$3)</f>
        <v>0</v>
      </c>
      <c r="AN24" s="721">
        <f>IF(ISNUMBER(System!$C25),PlotData!B25,PlotData!$CB$3)</f>
        <v>0</v>
      </c>
      <c r="AO24" s="639">
        <f>IF(ISNUMBER(System!$C25),AB24,PlotData!$CB$3)</f>
        <v>0</v>
      </c>
      <c r="AQ24" s="1124">
        <v>22</v>
      </c>
      <c r="AR24" s="668">
        <f>IF(ISNUMBER(System!$C25),PlotData!O25+ Normalkraft!$E$2*$AF$1*O24,PlotData!$CB$4)</f>
        <v>0</v>
      </c>
      <c r="AS24" s="721">
        <f>IF(ISNUMBER(System!$C25),PlotData!P25+ Normalkraft!$E$2*$AF$1*P24,PlotData!$CB$4)</f>
        <v>0</v>
      </c>
      <c r="AT24" s="721">
        <f>IF(ISNUMBER(System!$C25),PlotData!Q25+ Normalkraft!$E$2*$AF$1*Q24,PlotData!$CB$4)</f>
        <v>0</v>
      </c>
      <c r="AU24" s="721">
        <f>IF(ISNUMBER(System!$C25),PlotData!R25+ Normalkraft!$E$2*$AF$1*R24,PlotData!$CB$4)</f>
        <v>0</v>
      </c>
      <c r="AV24" s="721">
        <f>IF(ISNUMBER(System!$C25),PlotData!S25+Normalkraft!$E$2* $AF$1*S24,PlotData!$CB$4)</f>
        <v>0</v>
      </c>
      <c r="AW24" s="721">
        <f>IF(ISNUMBER(System!$C25),PlotData!T25+ Normalkraft!$E$2*$AF$1*T24,PlotData!$CB$4)</f>
        <v>0</v>
      </c>
      <c r="AX24" s="721">
        <f>IF(ISNUMBER(System!$C25),PlotData!U25+Normalkraft!$E$2* $AF$1*U24,PlotData!$CB$4)</f>
        <v>0</v>
      </c>
      <c r="AY24" s="721">
        <f>IF(ISNUMBER(System!$C25),PlotData!V25+ Normalkraft!$E$2*$AF$1*V24,PlotData!$CB$4)</f>
        <v>0</v>
      </c>
      <c r="AZ24" s="721">
        <f>IF(ISNUMBER(System!$C25),PlotData!W25+ Normalkraft!$E$2*$AF$1*W24,PlotData!$CB$4)</f>
        <v>0</v>
      </c>
      <c r="BA24" s="721">
        <f>IF(ISNUMBER(System!$C25),PlotData!X25+ Normalkraft!$E$2*$AF$1*X24,PlotData!$CB$4)</f>
        <v>0</v>
      </c>
      <c r="BB24" s="639">
        <f>IF(ISNUMBER(System!$C25),PlotData!Y25+Normalkraft!$E$2*$AF$1*Y24,PlotData!$CB$4)</f>
        <v>0</v>
      </c>
      <c r="BC24" s="668">
        <f>IF(ISNUMBER(System!$C25),PlotData!Y25, PlotData!CB$4)</f>
        <v>0</v>
      </c>
      <c r="BD24" s="721">
        <f>IF(ISNUMBER(System!$C25),PlotData!O25, PlotData!$CB$4)</f>
        <v>0</v>
      </c>
      <c r="BE24" s="639">
        <f>IF(ISNUMBER(System!$C25), AR24,PlotData!$CB$4)</f>
        <v>0</v>
      </c>
    </row>
    <row r="25" spans="1:60" x14ac:dyDescent="0.25">
      <c r="A25" s="1123">
        <v>23</v>
      </c>
      <c r="B25" s="668"/>
      <c r="C25" s="721"/>
      <c r="D25" s="721"/>
      <c r="E25" s="721"/>
      <c r="F25" s="721"/>
      <c r="G25" s="721"/>
      <c r="H25" s="721"/>
      <c r="I25" s="721"/>
      <c r="J25" s="721"/>
      <c r="K25" s="721"/>
      <c r="L25" s="639"/>
      <c r="N25" s="1123">
        <v>23</v>
      </c>
      <c r="O25" s="668"/>
      <c r="P25" s="721"/>
      <c r="Q25" s="721"/>
      <c r="R25" s="721"/>
      <c r="S25" s="721"/>
      <c r="T25" s="721"/>
      <c r="U25" s="721"/>
      <c r="V25" s="721"/>
      <c r="W25" s="721"/>
      <c r="X25" s="721"/>
      <c r="Y25" s="639"/>
      <c r="AA25" s="1125">
        <v>23</v>
      </c>
      <c r="AB25" s="668">
        <f>IF(ISNUMBER(System!$C26),PlotData!B26+ Normalkraft!$E$2*$AF$1*B25,PlotData!$CB$3)</f>
        <v>0</v>
      </c>
      <c r="AC25" s="721">
        <f>IF(ISNUMBER(System!$C26),PlotData!C26+ Normalkraft!$E$2*$AF$1*C25,PlotData!$CB$3)</f>
        <v>0</v>
      </c>
      <c r="AD25" s="721">
        <f>IF(ISNUMBER(System!$C26),PlotData!D26+ Normalkraft!$E$2*$AF$1*D25,PlotData!$CB$3)</f>
        <v>0</v>
      </c>
      <c r="AE25" s="721">
        <f>IF(ISNUMBER(System!$C26),PlotData!E26+ Normalkraft!$E$2*$AF$1*E25,PlotData!$CB$3)</f>
        <v>0</v>
      </c>
      <c r="AF25" s="721">
        <f>IF(ISNUMBER(System!$C26),PlotData!F26+Normalkraft!$E$2* $AF$1*F25,PlotData!$CB$3)</f>
        <v>0</v>
      </c>
      <c r="AG25" s="721">
        <f>IF(ISNUMBER(System!$C26),PlotData!G26+ Normalkraft!$E$2*$AF$1*G25,PlotData!$CB$3)</f>
        <v>0</v>
      </c>
      <c r="AH25" s="721">
        <f>IF(ISNUMBER(System!$C26),PlotData!H26+ Normalkraft!$E$2*$AF$1*H25,PlotData!$CB$3)</f>
        <v>0</v>
      </c>
      <c r="AI25" s="721">
        <f>IF(ISNUMBER(System!$C26),PlotData!I26+ Normalkraft!$E$2*$AF$1*I25,PlotData!$CB$3)</f>
        <v>0</v>
      </c>
      <c r="AJ25" s="721">
        <f>IF(ISNUMBER(System!$C26),PlotData!J26+ Normalkraft!$E$2*$AF$1*J25,PlotData!$CB$3)</f>
        <v>0</v>
      </c>
      <c r="AK25" s="721">
        <f>IF(ISNUMBER(System!$C26),PlotData!K26+Normalkraft!$E$2* $AF$1*K25,PlotData!$CB$3)</f>
        <v>0</v>
      </c>
      <c r="AL25" s="639">
        <f>IF(ISNUMBER(System!$C26),PlotData!L26+Normalkraft!$E$2* $AF$1*L25,PlotData!$CB$3)</f>
        <v>0</v>
      </c>
      <c r="AM25" s="668">
        <f>IF(ISNUMBER(System!$C26),PlotData!L26,PlotData!$CB$3)</f>
        <v>0</v>
      </c>
      <c r="AN25" s="721">
        <f>IF(ISNUMBER(System!$C26),PlotData!B26,PlotData!$CB$3)</f>
        <v>0</v>
      </c>
      <c r="AO25" s="639">
        <f>IF(ISNUMBER(System!$C26),AB25,PlotData!$CB$3)</f>
        <v>0</v>
      </c>
      <c r="AQ25" s="1124">
        <v>23</v>
      </c>
      <c r="AR25" s="668">
        <f>IF(ISNUMBER(System!$C26),PlotData!O26+ Normalkraft!$E$2*$AF$1*O25,PlotData!$CB$4)</f>
        <v>0</v>
      </c>
      <c r="AS25" s="721">
        <f>IF(ISNUMBER(System!$C26),PlotData!P26+ Normalkraft!$E$2*$AF$1*P25,PlotData!$CB$4)</f>
        <v>0</v>
      </c>
      <c r="AT25" s="721">
        <f>IF(ISNUMBER(System!$C26),PlotData!Q26+ Normalkraft!$E$2*$AF$1*Q25,PlotData!$CB$4)</f>
        <v>0</v>
      </c>
      <c r="AU25" s="721">
        <f>IF(ISNUMBER(System!$C26),PlotData!R26+ Normalkraft!$E$2*$AF$1*R25,PlotData!$CB$4)</f>
        <v>0</v>
      </c>
      <c r="AV25" s="721">
        <f>IF(ISNUMBER(System!$C26),PlotData!S26+Normalkraft!$E$2* $AF$1*S25,PlotData!$CB$4)</f>
        <v>0</v>
      </c>
      <c r="AW25" s="721">
        <f>IF(ISNUMBER(System!$C26),PlotData!T26+ Normalkraft!$E$2*$AF$1*T25,PlotData!$CB$4)</f>
        <v>0</v>
      </c>
      <c r="AX25" s="721">
        <f>IF(ISNUMBER(System!$C26),PlotData!U26+Normalkraft!$E$2* $AF$1*U25,PlotData!$CB$4)</f>
        <v>0</v>
      </c>
      <c r="AY25" s="721">
        <f>IF(ISNUMBER(System!$C26),PlotData!V26+ Normalkraft!$E$2*$AF$1*V25,PlotData!$CB$4)</f>
        <v>0</v>
      </c>
      <c r="AZ25" s="721">
        <f>IF(ISNUMBER(System!$C26),PlotData!W26+ Normalkraft!$E$2*$AF$1*W25,PlotData!$CB$4)</f>
        <v>0</v>
      </c>
      <c r="BA25" s="721">
        <f>IF(ISNUMBER(System!$C26),PlotData!X26+ Normalkraft!$E$2*$AF$1*X25,PlotData!$CB$4)</f>
        <v>0</v>
      </c>
      <c r="BB25" s="639">
        <f>IF(ISNUMBER(System!$C26),PlotData!Y26+Normalkraft!$E$2*$AF$1*Y25,PlotData!$CB$4)</f>
        <v>0</v>
      </c>
      <c r="BC25" s="668">
        <f>IF(ISNUMBER(System!$C26),PlotData!Y26, PlotData!CB$4)</f>
        <v>0</v>
      </c>
      <c r="BD25" s="721">
        <f>IF(ISNUMBER(System!$C26),PlotData!O26, PlotData!$CB$4)</f>
        <v>0</v>
      </c>
      <c r="BE25" s="639">
        <f>IF(ISNUMBER(System!$C26), AR25,PlotData!$CB$4)</f>
        <v>0</v>
      </c>
    </row>
    <row r="26" spans="1:60" x14ac:dyDescent="0.25">
      <c r="A26" s="1123">
        <v>24</v>
      </c>
      <c r="B26" s="668"/>
      <c r="C26" s="721"/>
      <c r="D26" s="721"/>
      <c r="E26" s="721"/>
      <c r="F26" s="721"/>
      <c r="G26" s="721"/>
      <c r="H26" s="721"/>
      <c r="I26" s="721"/>
      <c r="J26" s="721"/>
      <c r="K26" s="721"/>
      <c r="L26" s="639"/>
      <c r="N26" s="1123">
        <v>24</v>
      </c>
      <c r="O26" s="668"/>
      <c r="P26" s="721"/>
      <c r="Q26" s="721"/>
      <c r="R26" s="721"/>
      <c r="S26" s="721"/>
      <c r="T26" s="721"/>
      <c r="U26" s="721"/>
      <c r="V26" s="721"/>
      <c r="W26" s="721"/>
      <c r="X26" s="721"/>
      <c r="Y26" s="639"/>
      <c r="AA26" s="1125">
        <v>24</v>
      </c>
      <c r="AB26" s="668">
        <f>IF(ISNUMBER(System!$C27),PlotData!B27+ Normalkraft!$E$2*$AF$1*B26,PlotData!$CB$3)</f>
        <v>0</v>
      </c>
      <c r="AC26" s="721">
        <f>IF(ISNUMBER(System!$C27),PlotData!C27+ Normalkraft!$E$2*$AF$1*C26,PlotData!$CB$3)</f>
        <v>0</v>
      </c>
      <c r="AD26" s="721">
        <f>IF(ISNUMBER(System!$C27),PlotData!D27+ Normalkraft!$E$2*$AF$1*D26,PlotData!$CB$3)</f>
        <v>0</v>
      </c>
      <c r="AE26" s="721">
        <f>IF(ISNUMBER(System!$C27),PlotData!E27+ Normalkraft!$E$2*$AF$1*E26,PlotData!$CB$3)</f>
        <v>0</v>
      </c>
      <c r="AF26" s="721">
        <f>IF(ISNUMBER(System!$C27),PlotData!F27+Normalkraft!$E$2* $AF$1*F26,PlotData!$CB$3)</f>
        <v>0</v>
      </c>
      <c r="AG26" s="721">
        <f>IF(ISNUMBER(System!$C27),PlotData!G27+ Normalkraft!$E$2*$AF$1*G26,PlotData!$CB$3)</f>
        <v>0</v>
      </c>
      <c r="AH26" s="721">
        <f>IF(ISNUMBER(System!$C27),PlotData!H27+ Normalkraft!$E$2*$AF$1*H26,PlotData!$CB$3)</f>
        <v>0</v>
      </c>
      <c r="AI26" s="721">
        <f>IF(ISNUMBER(System!$C27),PlotData!I27+ Normalkraft!$E$2*$AF$1*I26,PlotData!$CB$3)</f>
        <v>0</v>
      </c>
      <c r="AJ26" s="721">
        <f>IF(ISNUMBER(System!$C27),PlotData!J27+ Normalkraft!$E$2*$AF$1*J26,PlotData!$CB$3)</f>
        <v>0</v>
      </c>
      <c r="AK26" s="721">
        <f>IF(ISNUMBER(System!$C27),PlotData!K27+Normalkraft!$E$2* $AF$1*K26,PlotData!$CB$3)</f>
        <v>0</v>
      </c>
      <c r="AL26" s="639">
        <f>IF(ISNUMBER(System!$C27),PlotData!L27+Normalkraft!$E$2* $AF$1*L26,PlotData!$CB$3)</f>
        <v>0</v>
      </c>
      <c r="AM26" s="668">
        <f>IF(ISNUMBER(System!$C27),PlotData!L27,PlotData!$CB$3)</f>
        <v>0</v>
      </c>
      <c r="AN26" s="721">
        <f>IF(ISNUMBER(System!$C27),PlotData!B27,PlotData!$CB$3)</f>
        <v>0</v>
      </c>
      <c r="AO26" s="639">
        <f>IF(ISNUMBER(System!$C27),AB26,PlotData!$CB$3)</f>
        <v>0</v>
      </c>
      <c r="AQ26" s="1124">
        <v>24</v>
      </c>
      <c r="AR26" s="668">
        <f>IF(ISNUMBER(System!$C27),PlotData!O27+ Normalkraft!$E$2*$AF$1*O26,PlotData!$CB$4)</f>
        <v>0</v>
      </c>
      <c r="AS26" s="721">
        <f>IF(ISNUMBER(System!$C27),PlotData!P27+ Normalkraft!$E$2*$AF$1*P26,PlotData!$CB$4)</f>
        <v>0</v>
      </c>
      <c r="AT26" s="721">
        <f>IF(ISNUMBER(System!$C27),PlotData!Q27+ Normalkraft!$E$2*$AF$1*Q26,PlotData!$CB$4)</f>
        <v>0</v>
      </c>
      <c r="AU26" s="721">
        <f>IF(ISNUMBER(System!$C27),PlotData!R27+ Normalkraft!$E$2*$AF$1*R26,PlotData!$CB$4)</f>
        <v>0</v>
      </c>
      <c r="AV26" s="721">
        <f>IF(ISNUMBER(System!$C27),PlotData!S27+Normalkraft!$E$2* $AF$1*S26,PlotData!$CB$4)</f>
        <v>0</v>
      </c>
      <c r="AW26" s="721">
        <f>IF(ISNUMBER(System!$C27),PlotData!T27+ Normalkraft!$E$2*$AF$1*T26,PlotData!$CB$4)</f>
        <v>0</v>
      </c>
      <c r="AX26" s="721">
        <f>IF(ISNUMBER(System!$C27),PlotData!U27+Normalkraft!$E$2* $AF$1*U26,PlotData!$CB$4)</f>
        <v>0</v>
      </c>
      <c r="AY26" s="721">
        <f>IF(ISNUMBER(System!$C27),PlotData!V27+ Normalkraft!$E$2*$AF$1*V26,PlotData!$CB$4)</f>
        <v>0</v>
      </c>
      <c r="AZ26" s="721">
        <f>IF(ISNUMBER(System!$C27),PlotData!W27+ Normalkraft!$E$2*$AF$1*W26,PlotData!$CB$4)</f>
        <v>0</v>
      </c>
      <c r="BA26" s="721">
        <f>IF(ISNUMBER(System!$C27),PlotData!X27+ Normalkraft!$E$2*$AF$1*X26,PlotData!$CB$4)</f>
        <v>0</v>
      </c>
      <c r="BB26" s="639">
        <f>IF(ISNUMBER(System!$C27),PlotData!Y27+Normalkraft!$E$2*$AF$1*Y26,PlotData!$CB$4)</f>
        <v>0</v>
      </c>
      <c r="BC26" s="668">
        <f>IF(ISNUMBER(System!$C27),PlotData!Y27, PlotData!CB$4)</f>
        <v>0</v>
      </c>
      <c r="BD26" s="721">
        <f>IF(ISNUMBER(System!$C27),PlotData!O27, PlotData!$CB$4)</f>
        <v>0</v>
      </c>
      <c r="BE26" s="639">
        <f>IF(ISNUMBER(System!$C27), AR26,PlotData!$CB$4)</f>
        <v>0</v>
      </c>
    </row>
    <row r="27" spans="1:60" x14ac:dyDescent="0.25">
      <c r="A27" s="1123">
        <v>25</v>
      </c>
      <c r="B27" s="668"/>
      <c r="C27" s="721"/>
      <c r="D27" s="721"/>
      <c r="E27" s="721"/>
      <c r="F27" s="721"/>
      <c r="G27" s="721"/>
      <c r="H27" s="721"/>
      <c r="I27" s="721"/>
      <c r="J27" s="721"/>
      <c r="K27" s="721"/>
      <c r="L27" s="639"/>
      <c r="N27" s="1123">
        <v>25</v>
      </c>
      <c r="O27" s="668"/>
      <c r="P27" s="721"/>
      <c r="Q27" s="721"/>
      <c r="R27" s="721"/>
      <c r="S27" s="721"/>
      <c r="T27" s="721"/>
      <c r="U27" s="721"/>
      <c r="V27" s="721"/>
      <c r="W27" s="721"/>
      <c r="X27" s="721"/>
      <c r="Y27" s="639"/>
      <c r="AA27" s="1125">
        <v>25</v>
      </c>
      <c r="AB27" s="668">
        <f>IF(ISNUMBER(System!$C28),PlotData!B28+ Normalkraft!$E$2*$AF$1*B27,PlotData!$CB$3)</f>
        <v>0</v>
      </c>
      <c r="AC27" s="721">
        <f>IF(ISNUMBER(System!$C28),PlotData!C28+ Normalkraft!$E$2*$AF$1*C27,PlotData!$CB$3)</f>
        <v>0</v>
      </c>
      <c r="AD27" s="721">
        <f>IF(ISNUMBER(System!$C28),PlotData!D28+ Normalkraft!$E$2*$AF$1*D27,PlotData!$CB$3)</f>
        <v>0</v>
      </c>
      <c r="AE27" s="721">
        <f>IF(ISNUMBER(System!$C28),PlotData!E28+ Normalkraft!$E$2*$AF$1*E27,PlotData!$CB$3)</f>
        <v>0</v>
      </c>
      <c r="AF27" s="721">
        <f>IF(ISNUMBER(System!$C28),PlotData!F28+Normalkraft!$E$2* $AF$1*F27,PlotData!$CB$3)</f>
        <v>0</v>
      </c>
      <c r="AG27" s="721">
        <f>IF(ISNUMBER(System!$C28),PlotData!G28+ Normalkraft!$E$2*$AF$1*G27,PlotData!$CB$3)</f>
        <v>0</v>
      </c>
      <c r="AH27" s="721">
        <f>IF(ISNUMBER(System!$C28),PlotData!H28+ Normalkraft!$E$2*$AF$1*H27,PlotData!$CB$3)</f>
        <v>0</v>
      </c>
      <c r="AI27" s="721">
        <f>IF(ISNUMBER(System!$C28),PlotData!I28+ Normalkraft!$E$2*$AF$1*I27,PlotData!$CB$3)</f>
        <v>0</v>
      </c>
      <c r="AJ27" s="721">
        <f>IF(ISNUMBER(System!$C28),PlotData!J28+ Normalkraft!$E$2*$AF$1*J27,PlotData!$CB$3)</f>
        <v>0</v>
      </c>
      <c r="AK27" s="721">
        <f>IF(ISNUMBER(System!$C28),PlotData!K28+Normalkraft!$E$2* $AF$1*K27,PlotData!$CB$3)</f>
        <v>0</v>
      </c>
      <c r="AL27" s="639">
        <f>IF(ISNUMBER(System!$C28),PlotData!L28+Normalkraft!$E$2* $AF$1*L27,PlotData!$CB$3)</f>
        <v>0</v>
      </c>
      <c r="AM27" s="668">
        <f>IF(ISNUMBER(System!$C28),PlotData!L28,PlotData!$CB$3)</f>
        <v>0</v>
      </c>
      <c r="AN27" s="721">
        <f>IF(ISNUMBER(System!$C28),PlotData!B28,PlotData!$CB$3)</f>
        <v>0</v>
      </c>
      <c r="AO27" s="639">
        <f>IF(ISNUMBER(System!$C28),AB27,PlotData!$CB$3)</f>
        <v>0</v>
      </c>
      <c r="AQ27" s="1124">
        <v>25</v>
      </c>
      <c r="AR27" s="668">
        <f>IF(ISNUMBER(System!$C28),PlotData!O28+ Normalkraft!$E$2*$AF$1*O27,PlotData!$CB$4)</f>
        <v>0</v>
      </c>
      <c r="AS27" s="721">
        <f>IF(ISNUMBER(System!$C28),PlotData!P28+ Normalkraft!$E$2*$AF$1*P27,PlotData!$CB$4)</f>
        <v>0</v>
      </c>
      <c r="AT27" s="721">
        <f>IF(ISNUMBER(System!$C28),PlotData!Q28+ Normalkraft!$E$2*$AF$1*Q27,PlotData!$CB$4)</f>
        <v>0</v>
      </c>
      <c r="AU27" s="721">
        <f>IF(ISNUMBER(System!$C28),PlotData!R28+ Normalkraft!$E$2*$AF$1*R27,PlotData!$CB$4)</f>
        <v>0</v>
      </c>
      <c r="AV27" s="721">
        <f>IF(ISNUMBER(System!$C28),PlotData!S28+Normalkraft!$E$2* $AF$1*S27,PlotData!$CB$4)</f>
        <v>0</v>
      </c>
      <c r="AW27" s="721">
        <f>IF(ISNUMBER(System!$C28),PlotData!T28+ Normalkraft!$E$2*$AF$1*T27,PlotData!$CB$4)</f>
        <v>0</v>
      </c>
      <c r="AX27" s="721">
        <f>IF(ISNUMBER(System!$C28),PlotData!U28+Normalkraft!$E$2* $AF$1*U27,PlotData!$CB$4)</f>
        <v>0</v>
      </c>
      <c r="AY27" s="721">
        <f>IF(ISNUMBER(System!$C28),PlotData!V28+ Normalkraft!$E$2*$AF$1*V27,PlotData!$CB$4)</f>
        <v>0</v>
      </c>
      <c r="AZ27" s="721">
        <f>IF(ISNUMBER(System!$C28),PlotData!W28+ Normalkraft!$E$2*$AF$1*W27,PlotData!$CB$4)</f>
        <v>0</v>
      </c>
      <c r="BA27" s="721">
        <f>IF(ISNUMBER(System!$C28),PlotData!X28+ Normalkraft!$E$2*$AF$1*X27,PlotData!$CB$4)</f>
        <v>0</v>
      </c>
      <c r="BB27" s="639">
        <f>IF(ISNUMBER(System!$C28),PlotData!Y28+Normalkraft!$E$2*$AF$1*Y27,PlotData!$CB$4)</f>
        <v>0</v>
      </c>
      <c r="BC27" s="668">
        <f>IF(ISNUMBER(System!$C28),PlotData!Y28, PlotData!CB$4)</f>
        <v>0</v>
      </c>
      <c r="BD27" s="721">
        <f>IF(ISNUMBER(System!$C28),PlotData!O28, PlotData!$CB$4)</f>
        <v>0</v>
      </c>
      <c r="BE27" s="639">
        <f>IF(ISNUMBER(System!$C28), AR27,PlotData!$CB$4)</f>
        <v>0</v>
      </c>
    </row>
    <row r="28" spans="1:60" x14ac:dyDescent="0.25">
      <c r="A28" s="1123">
        <v>26</v>
      </c>
      <c r="B28" s="668"/>
      <c r="C28" s="721"/>
      <c r="D28" s="721"/>
      <c r="E28" s="721"/>
      <c r="F28" s="721"/>
      <c r="G28" s="721"/>
      <c r="H28" s="721"/>
      <c r="I28" s="721"/>
      <c r="J28" s="721"/>
      <c r="K28" s="721"/>
      <c r="L28" s="639"/>
      <c r="N28" s="1123">
        <v>26</v>
      </c>
      <c r="O28" s="668"/>
      <c r="P28" s="721"/>
      <c r="Q28" s="721"/>
      <c r="R28" s="721"/>
      <c r="S28" s="721"/>
      <c r="T28" s="721"/>
      <c r="U28" s="721"/>
      <c r="V28" s="721"/>
      <c r="W28" s="721"/>
      <c r="X28" s="721"/>
      <c r="Y28" s="639"/>
      <c r="AA28" s="1125">
        <v>26</v>
      </c>
      <c r="AB28" s="668">
        <f>IF(ISNUMBER(System!$C29),PlotData!B29+ Normalkraft!$E$2*$AF$1*B28,PlotData!$CB$3)</f>
        <v>0</v>
      </c>
      <c r="AC28" s="721">
        <f>IF(ISNUMBER(System!$C29),PlotData!C29+ Normalkraft!$E$2*$AF$1*C28,PlotData!$CB$3)</f>
        <v>0</v>
      </c>
      <c r="AD28" s="721">
        <f>IF(ISNUMBER(System!$C29),PlotData!D29+ Normalkraft!$E$2*$AF$1*D28,PlotData!$CB$3)</f>
        <v>0</v>
      </c>
      <c r="AE28" s="721">
        <f>IF(ISNUMBER(System!$C29),PlotData!E29+ Normalkraft!$E$2*$AF$1*E28,PlotData!$CB$3)</f>
        <v>0</v>
      </c>
      <c r="AF28" s="721">
        <f>IF(ISNUMBER(System!$C29),PlotData!F29+Normalkraft!$E$2* $AF$1*F28,PlotData!$CB$3)</f>
        <v>0</v>
      </c>
      <c r="AG28" s="721">
        <f>IF(ISNUMBER(System!$C29),PlotData!G29+ Normalkraft!$E$2*$AF$1*G28,PlotData!$CB$3)</f>
        <v>0</v>
      </c>
      <c r="AH28" s="721">
        <f>IF(ISNUMBER(System!$C29),PlotData!H29+ Normalkraft!$E$2*$AF$1*H28,PlotData!$CB$3)</f>
        <v>0</v>
      </c>
      <c r="AI28" s="721">
        <f>IF(ISNUMBER(System!$C29),PlotData!I29+ Normalkraft!$E$2*$AF$1*I28,PlotData!$CB$3)</f>
        <v>0</v>
      </c>
      <c r="AJ28" s="721">
        <f>IF(ISNUMBER(System!$C29),PlotData!J29+ Normalkraft!$E$2*$AF$1*J28,PlotData!$CB$3)</f>
        <v>0</v>
      </c>
      <c r="AK28" s="721">
        <f>IF(ISNUMBER(System!$C29),PlotData!K29+Normalkraft!$E$2* $AF$1*K28,PlotData!$CB$3)</f>
        <v>0</v>
      </c>
      <c r="AL28" s="639">
        <f>IF(ISNUMBER(System!$C29),PlotData!L29+Normalkraft!$E$2* $AF$1*L28,PlotData!$CB$3)</f>
        <v>0</v>
      </c>
      <c r="AM28" s="668">
        <f>IF(ISNUMBER(System!$C29),PlotData!L29,PlotData!$CB$3)</f>
        <v>0</v>
      </c>
      <c r="AN28" s="721">
        <f>IF(ISNUMBER(System!$C29),PlotData!B29,PlotData!$CB$3)</f>
        <v>0</v>
      </c>
      <c r="AO28" s="639">
        <f>IF(ISNUMBER(System!$C29),AB28,PlotData!$CB$3)</f>
        <v>0</v>
      </c>
      <c r="AQ28" s="1124">
        <v>26</v>
      </c>
      <c r="AR28" s="668">
        <f>IF(ISNUMBER(System!$C29),PlotData!O29+ Normalkraft!$E$2*$AF$1*O28,PlotData!$CB$4)</f>
        <v>0</v>
      </c>
      <c r="AS28" s="721">
        <f>IF(ISNUMBER(System!$C29),PlotData!P29+ Normalkraft!$E$2*$AF$1*P28,PlotData!$CB$4)</f>
        <v>0</v>
      </c>
      <c r="AT28" s="721">
        <f>IF(ISNUMBER(System!$C29),PlotData!Q29+ Normalkraft!$E$2*$AF$1*Q28,PlotData!$CB$4)</f>
        <v>0</v>
      </c>
      <c r="AU28" s="721">
        <f>IF(ISNUMBER(System!$C29),PlotData!R29+ Normalkraft!$E$2*$AF$1*R28,PlotData!$CB$4)</f>
        <v>0</v>
      </c>
      <c r="AV28" s="721">
        <f>IF(ISNUMBER(System!$C29),PlotData!S29+Normalkraft!$E$2* $AF$1*S28,PlotData!$CB$4)</f>
        <v>0</v>
      </c>
      <c r="AW28" s="721">
        <f>IF(ISNUMBER(System!$C29),PlotData!T29+ Normalkraft!$E$2*$AF$1*T28,PlotData!$CB$4)</f>
        <v>0</v>
      </c>
      <c r="AX28" s="721">
        <f>IF(ISNUMBER(System!$C29),PlotData!U29+Normalkraft!$E$2* $AF$1*U28,PlotData!$CB$4)</f>
        <v>0</v>
      </c>
      <c r="AY28" s="721">
        <f>IF(ISNUMBER(System!$C29),PlotData!V29+ Normalkraft!$E$2*$AF$1*V28,PlotData!$CB$4)</f>
        <v>0</v>
      </c>
      <c r="AZ28" s="721">
        <f>IF(ISNUMBER(System!$C29),PlotData!W29+ Normalkraft!$E$2*$AF$1*W28,PlotData!$CB$4)</f>
        <v>0</v>
      </c>
      <c r="BA28" s="721">
        <f>IF(ISNUMBER(System!$C29),PlotData!X29+ Normalkraft!$E$2*$AF$1*X28,PlotData!$CB$4)</f>
        <v>0</v>
      </c>
      <c r="BB28" s="639">
        <f>IF(ISNUMBER(System!$C29),PlotData!Y29+Normalkraft!$E$2*$AF$1*Y28,PlotData!$CB$4)</f>
        <v>0</v>
      </c>
      <c r="BC28" s="668">
        <f>IF(ISNUMBER(System!$C29),PlotData!Y29, PlotData!CB$4)</f>
        <v>0</v>
      </c>
      <c r="BD28" s="721">
        <f>IF(ISNUMBER(System!$C29),PlotData!O29, PlotData!$CB$4)</f>
        <v>0</v>
      </c>
      <c r="BE28" s="639">
        <f>IF(ISNUMBER(System!$C29), AR28,PlotData!$CB$4)</f>
        <v>0</v>
      </c>
    </row>
    <row r="29" spans="1:60" x14ac:dyDescent="0.25">
      <c r="A29" s="1123">
        <v>27</v>
      </c>
      <c r="B29" s="668"/>
      <c r="C29" s="721"/>
      <c r="D29" s="721"/>
      <c r="E29" s="721"/>
      <c r="F29" s="721"/>
      <c r="G29" s="721"/>
      <c r="H29" s="721"/>
      <c r="I29" s="721"/>
      <c r="J29" s="721"/>
      <c r="K29" s="721"/>
      <c r="L29" s="639"/>
      <c r="N29" s="1123">
        <v>27</v>
      </c>
      <c r="O29" s="668"/>
      <c r="P29" s="721"/>
      <c r="Q29" s="721"/>
      <c r="R29" s="721"/>
      <c r="S29" s="721"/>
      <c r="T29" s="721"/>
      <c r="U29" s="721"/>
      <c r="V29" s="721"/>
      <c r="W29" s="721"/>
      <c r="X29" s="721"/>
      <c r="Y29" s="639"/>
      <c r="AA29" s="1125">
        <v>27</v>
      </c>
      <c r="AB29" s="668">
        <f>IF(ISNUMBER(System!$C30),PlotData!B30+ Normalkraft!$E$2*$AF$1*B29,PlotData!$CB$3)</f>
        <v>0</v>
      </c>
      <c r="AC29" s="721">
        <f>IF(ISNUMBER(System!$C30),PlotData!C30+ Normalkraft!$E$2*$AF$1*C29,PlotData!$CB$3)</f>
        <v>0</v>
      </c>
      <c r="AD29" s="721">
        <f>IF(ISNUMBER(System!$C30),PlotData!D30+ Normalkraft!$E$2*$AF$1*D29,PlotData!$CB$3)</f>
        <v>0</v>
      </c>
      <c r="AE29" s="721">
        <f>IF(ISNUMBER(System!$C30),PlotData!E30+ Normalkraft!$E$2*$AF$1*E29,PlotData!$CB$3)</f>
        <v>0</v>
      </c>
      <c r="AF29" s="721">
        <f>IF(ISNUMBER(System!$C30),PlotData!F30+Normalkraft!$E$2* $AF$1*F29,PlotData!$CB$3)</f>
        <v>0</v>
      </c>
      <c r="AG29" s="721">
        <f>IF(ISNUMBER(System!$C30),PlotData!G30+ Normalkraft!$E$2*$AF$1*G29,PlotData!$CB$3)</f>
        <v>0</v>
      </c>
      <c r="AH29" s="721">
        <f>IF(ISNUMBER(System!$C30),PlotData!H30+ Normalkraft!$E$2*$AF$1*H29,PlotData!$CB$3)</f>
        <v>0</v>
      </c>
      <c r="AI29" s="721">
        <f>IF(ISNUMBER(System!$C30),PlotData!I30+ Normalkraft!$E$2*$AF$1*I29,PlotData!$CB$3)</f>
        <v>0</v>
      </c>
      <c r="AJ29" s="721">
        <f>IF(ISNUMBER(System!$C30),PlotData!J30+ Normalkraft!$E$2*$AF$1*J29,PlotData!$CB$3)</f>
        <v>0</v>
      </c>
      <c r="AK29" s="721">
        <f>IF(ISNUMBER(System!$C30),PlotData!K30+Normalkraft!$E$2* $AF$1*K29,PlotData!$CB$3)</f>
        <v>0</v>
      </c>
      <c r="AL29" s="639">
        <f>IF(ISNUMBER(System!$C30),PlotData!L30+Normalkraft!$E$2* $AF$1*L29,PlotData!$CB$3)</f>
        <v>0</v>
      </c>
      <c r="AM29" s="668">
        <f>IF(ISNUMBER(System!$C30),PlotData!L30,PlotData!$CB$3)</f>
        <v>0</v>
      </c>
      <c r="AN29" s="721">
        <f>IF(ISNUMBER(System!$C30),PlotData!B30,PlotData!$CB$3)</f>
        <v>0</v>
      </c>
      <c r="AO29" s="639">
        <f>IF(ISNUMBER(System!$C30),AB29,PlotData!$CB$3)</f>
        <v>0</v>
      </c>
      <c r="AQ29" s="1124">
        <v>27</v>
      </c>
      <c r="AR29" s="668">
        <f>IF(ISNUMBER(System!$C30),PlotData!O30+ Normalkraft!$E$2*$AF$1*O29,PlotData!$CB$4)</f>
        <v>0</v>
      </c>
      <c r="AS29" s="721">
        <f>IF(ISNUMBER(System!$C30),PlotData!P30+ Normalkraft!$E$2*$AF$1*P29,PlotData!$CB$4)</f>
        <v>0</v>
      </c>
      <c r="AT29" s="721">
        <f>IF(ISNUMBER(System!$C30),PlotData!Q30+ Normalkraft!$E$2*$AF$1*Q29,PlotData!$CB$4)</f>
        <v>0</v>
      </c>
      <c r="AU29" s="721">
        <f>IF(ISNUMBER(System!$C30),PlotData!R30+ Normalkraft!$E$2*$AF$1*R29,PlotData!$CB$4)</f>
        <v>0</v>
      </c>
      <c r="AV29" s="721">
        <f>IF(ISNUMBER(System!$C30),PlotData!S30+Normalkraft!$E$2* $AF$1*S29,PlotData!$CB$4)</f>
        <v>0</v>
      </c>
      <c r="AW29" s="721">
        <f>IF(ISNUMBER(System!$C30),PlotData!T30+ Normalkraft!$E$2*$AF$1*T29,PlotData!$CB$4)</f>
        <v>0</v>
      </c>
      <c r="AX29" s="721">
        <f>IF(ISNUMBER(System!$C30),PlotData!U30+Normalkraft!$E$2* $AF$1*U29,PlotData!$CB$4)</f>
        <v>0</v>
      </c>
      <c r="AY29" s="721">
        <f>IF(ISNUMBER(System!$C30),PlotData!V30+ Normalkraft!$E$2*$AF$1*V29,PlotData!$CB$4)</f>
        <v>0</v>
      </c>
      <c r="AZ29" s="721">
        <f>IF(ISNUMBER(System!$C30),PlotData!W30+ Normalkraft!$E$2*$AF$1*W29,PlotData!$CB$4)</f>
        <v>0</v>
      </c>
      <c r="BA29" s="721">
        <f>IF(ISNUMBER(System!$C30),PlotData!X30+ Normalkraft!$E$2*$AF$1*X29,PlotData!$CB$4)</f>
        <v>0</v>
      </c>
      <c r="BB29" s="639">
        <f>IF(ISNUMBER(System!$C30),PlotData!Y30+Normalkraft!$E$2*$AF$1*Y29,PlotData!$CB$4)</f>
        <v>0</v>
      </c>
      <c r="BC29" s="668">
        <f>IF(ISNUMBER(System!$C30),PlotData!Y30, PlotData!CB$4)</f>
        <v>0</v>
      </c>
      <c r="BD29" s="721">
        <f>IF(ISNUMBER(System!$C30),PlotData!O30, PlotData!$CB$4)</f>
        <v>0</v>
      </c>
      <c r="BE29" s="639">
        <f>IF(ISNUMBER(System!$C30), AR29,PlotData!$CB$4)</f>
        <v>0</v>
      </c>
    </row>
    <row r="30" spans="1:60" x14ac:dyDescent="0.25">
      <c r="A30" s="1123">
        <v>28</v>
      </c>
      <c r="B30" s="668"/>
      <c r="C30" s="721"/>
      <c r="D30" s="721"/>
      <c r="E30" s="721"/>
      <c r="F30" s="721"/>
      <c r="G30" s="721"/>
      <c r="H30" s="721"/>
      <c r="I30" s="721"/>
      <c r="J30" s="721"/>
      <c r="K30" s="721"/>
      <c r="L30" s="639"/>
      <c r="N30" s="1123">
        <v>28</v>
      </c>
      <c r="O30" s="668"/>
      <c r="P30" s="721"/>
      <c r="Q30" s="721"/>
      <c r="R30" s="721"/>
      <c r="S30" s="721"/>
      <c r="T30" s="721"/>
      <c r="U30" s="721"/>
      <c r="V30" s="721"/>
      <c r="W30" s="721"/>
      <c r="X30" s="721"/>
      <c r="Y30" s="639"/>
      <c r="AA30" s="1125">
        <v>28</v>
      </c>
      <c r="AB30" s="668">
        <f>IF(ISNUMBER(System!$C31),PlotData!B31+ Normalkraft!$E$2*$AF$1*B30,PlotData!$CB$3)</f>
        <v>0</v>
      </c>
      <c r="AC30" s="721">
        <f>IF(ISNUMBER(System!$C31),PlotData!C31+ Normalkraft!$E$2*$AF$1*C30,PlotData!$CB$3)</f>
        <v>0</v>
      </c>
      <c r="AD30" s="721">
        <f>IF(ISNUMBER(System!$C31),PlotData!D31+ Normalkraft!$E$2*$AF$1*D30,PlotData!$CB$3)</f>
        <v>0</v>
      </c>
      <c r="AE30" s="721">
        <f>IF(ISNUMBER(System!$C31),PlotData!E31+ Normalkraft!$E$2*$AF$1*E30,PlotData!$CB$3)</f>
        <v>0</v>
      </c>
      <c r="AF30" s="721">
        <f>IF(ISNUMBER(System!$C31),PlotData!F31+Normalkraft!$E$2* $AF$1*F30,PlotData!$CB$3)</f>
        <v>0</v>
      </c>
      <c r="AG30" s="721">
        <f>IF(ISNUMBER(System!$C31),PlotData!G31+ Normalkraft!$E$2*$AF$1*G30,PlotData!$CB$3)</f>
        <v>0</v>
      </c>
      <c r="AH30" s="721">
        <f>IF(ISNUMBER(System!$C31),PlotData!H31+ Normalkraft!$E$2*$AF$1*H30,PlotData!$CB$3)</f>
        <v>0</v>
      </c>
      <c r="AI30" s="721">
        <f>IF(ISNUMBER(System!$C31),PlotData!I31+ Normalkraft!$E$2*$AF$1*I30,PlotData!$CB$3)</f>
        <v>0</v>
      </c>
      <c r="AJ30" s="721">
        <f>IF(ISNUMBER(System!$C31),PlotData!J31+ Normalkraft!$E$2*$AF$1*J30,PlotData!$CB$3)</f>
        <v>0</v>
      </c>
      <c r="AK30" s="721">
        <f>IF(ISNUMBER(System!$C31),PlotData!K31+Normalkraft!$E$2* $AF$1*K30,PlotData!$CB$3)</f>
        <v>0</v>
      </c>
      <c r="AL30" s="639">
        <f>IF(ISNUMBER(System!$C31),PlotData!L31+Normalkraft!$E$2* $AF$1*L30,PlotData!$CB$3)</f>
        <v>0</v>
      </c>
      <c r="AM30" s="668">
        <f>IF(ISNUMBER(System!$C31),PlotData!L31,PlotData!$CB$3)</f>
        <v>0</v>
      </c>
      <c r="AN30" s="721">
        <f>IF(ISNUMBER(System!$C31),PlotData!B31,PlotData!$CB$3)</f>
        <v>0</v>
      </c>
      <c r="AO30" s="639">
        <f>IF(ISNUMBER(System!$C31),AB30,PlotData!$CB$3)</f>
        <v>0</v>
      </c>
      <c r="AQ30" s="1124">
        <v>28</v>
      </c>
      <c r="AR30" s="668">
        <f>IF(ISNUMBER(System!$C31),PlotData!O31+ Normalkraft!$E$2*$AF$1*O30,PlotData!$CB$4)</f>
        <v>0</v>
      </c>
      <c r="AS30" s="721">
        <f>IF(ISNUMBER(System!$C31),PlotData!P31+ Normalkraft!$E$2*$AF$1*P30,PlotData!$CB$4)</f>
        <v>0</v>
      </c>
      <c r="AT30" s="721">
        <f>IF(ISNUMBER(System!$C31),PlotData!Q31+ Normalkraft!$E$2*$AF$1*Q30,PlotData!$CB$4)</f>
        <v>0</v>
      </c>
      <c r="AU30" s="721">
        <f>IF(ISNUMBER(System!$C31),PlotData!R31+ Normalkraft!$E$2*$AF$1*R30,PlotData!$CB$4)</f>
        <v>0</v>
      </c>
      <c r="AV30" s="721">
        <f>IF(ISNUMBER(System!$C31),PlotData!S31+Normalkraft!$E$2* $AF$1*S30,PlotData!$CB$4)</f>
        <v>0</v>
      </c>
      <c r="AW30" s="721">
        <f>IF(ISNUMBER(System!$C31),PlotData!T31+ Normalkraft!$E$2*$AF$1*T30,PlotData!$CB$4)</f>
        <v>0</v>
      </c>
      <c r="AX30" s="721">
        <f>IF(ISNUMBER(System!$C31),PlotData!U31+Normalkraft!$E$2* $AF$1*U30,PlotData!$CB$4)</f>
        <v>0</v>
      </c>
      <c r="AY30" s="721">
        <f>IF(ISNUMBER(System!$C31),PlotData!V31+ Normalkraft!$E$2*$AF$1*V30,PlotData!$CB$4)</f>
        <v>0</v>
      </c>
      <c r="AZ30" s="721">
        <f>IF(ISNUMBER(System!$C31),PlotData!W31+ Normalkraft!$E$2*$AF$1*W30,PlotData!$CB$4)</f>
        <v>0</v>
      </c>
      <c r="BA30" s="721">
        <f>IF(ISNUMBER(System!$C31),PlotData!X31+ Normalkraft!$E$2*$AF$1*X30,PlotData!$CB$4)</f>
        <v>0</v>
      </c>
      <c r="BB30" s="639">
        <f>IF(ISNUMBER(System!$C31),PlotData!Y31+Normalkraft!$E$2*$AF$1*Y30,PlotData!$CB$4)</f>
        <v>0</v>
      </c>
      <c r="BC30" s="668">
        <f>IF(ISNUMBER(System!$C31),PlotData!Y31, PlotData!CB$4)</f>
        <v>0</v>
      </c>
      <c r="BD30" s="721">
        <f>IF(ISNUMBER(System!$C31),PlotData!O31, PlotData!$CB$4)</f>
        <v>0</v>
      </c>
      <c r="BE30" s="639">
        <f>IF(ISNUMBER(System!$C31), AR30,PlotData!$CB$4)</f>
        <v>0</v>
      </c>
    </row>
    <row r="31" spans="1:60" x14ac:dyDescent="0.25">
      <c r="A31" s="1123">
        <v>29</v>
      </c>
      <c r="B31" s="668"/>
      <c r="C31" s="721"/>
      <c r="D31" s="721"/>
      <c r="E31" s="721"/>
      <c r="F31" s="721"/>
      <c r="G31" s="721"/>
      <c r="H31" s="721"/>
      <c r="I31" s="721"/>
      <c r="J31" s="721"/>
      <c r="K31" s="721"/>
      <c r="L31" s="639"/>
      <c r="N31" s="1123">
        <v>29</v>
      </c>
      <c r="O31" s="668"/>
      <c r="P31" s="721"/>
      <c r="Q31" s="721"/>
      <c r="R31" s="721"/>
      <c r="S31" s="721"/>
      <c r="T31" s="721"/>
      <c r="U31" s="721"/>
      <c r="V31" s="721"/>
      <c r="W31" s="721"/>
      <c r="X31" s="721"/>
      <c r="Y31" s="639"/>
      <c r="AA31" s="1125">
        <v>29</v>
      </c>
      <c r="AB31" s="668">
        <f>IF(ISNUMBER(System!$C32),PlotData!B32+ Normalkraft!$E$2*$AF$1*B31,PlotData!$CB$3)</f>
        <v>0</v>
      </c>
      <c r="AC31" s="721">
        <f>IF(ISNUMBER(System!$C32),PlotData!C32+ Normalkraft!$E$2*$AF$1*C31,PlotData!$CB$3)</f>
        <v>0</v>
      </c>
      <c r="AD31" s="721">
        <f>IF(ISNUMBER(System!$C32),PlotData!D32+ Normalkraft!$E$2*$AF$1*D31,PlotData!$CB$3)</f>
        <v>0</v>
      </c>
      <c r="AE31" s="721">
        <f>IF(ISNUMBER(System!$C32),PlotData!E32+ Normalkraft!$E$2*$AF$1*E31,PlotData!$CB$3)</f>
        <v>0</v>
      </c>
      <c r="AF31" s="721">
        <f>IF(ISNUMBER(System!$C32),PlotData!F32+Normalkraft!$E$2* $AF$1*F31,PlotData!$CB$3)</f>
        <v>0</v>
      </c>
      <c r="AG31" s="721">
        <f>IF(ISNUMBER(System!$C32),PlotData!G32+ Normalkraft!$E$2*$AF$1*G31,PlotData!$CB$3)</f>
        <v>0</v>
      </c>
      <c r="AH31" s="721">
        <f>IF(ISNUMBER(System!$C32),PlotData!H32+ Normalkraft!$E$2*$AF$1*H31,PlotData!$CB$3)</f>
        <v>0</v>
      </c>
      <c r="AI31" s="721">
        <f>IF(ISNUMBER(System!$C32),PlotData!I32+ Normalkraft!$E$2*$AF$1*I31,PlotData!$CB$3)</f>
        <v>0</v>
      </c>
      <c r="AJ31" s="721">
        <f>IF(ISNUMBER(System!$C32),PlotData!J32+ Normalkraft!$E$2*$AF$1*J31,PlotData!$CB$3)</f>
        <v>0</v>
      </c>
      <c r="AK31" s="721">
        <f>IF(ISNUMBER(System!$C32),PlotData!K32+Normalkraft!$E$2* $AF$1*K31,PlotData!$CB$3)</f>
        <v>0</v>
      </c>
      <c r="AL31" s="639">
        <f>IF(ISNUMBER(System!$C32),PlotData!L32+Normalkraft!$E$2* $AF$1*L31,PlotData!$CB$3)</f>
        <v>0</v>
      </c>
      <c r="AM31" s="668">
        <f>IF(ISNUMBER(System!$C32),PlotData!L32,PlotData!$CB$3)</f>
        <v>0</v>
      </c>
      <c r="AN31" s="721">
        <f>IF(ISNUMBER(System!$C32),PlotData!B32,PlotData!$CB$3)</f>
        <v>0</v>
      </c>
      <c r="AO31" s="639">
        <f>IF(ISNUMBER(System!$C32),AB31,PlotData!$CB$3)</f>
        <v>0</v>
      </c>
      <c r="AQ31" s="1124">
        <v>29</v>
      </c>
      <c r="AR31" s="668">
        <f>IF(ISNUMBER(System!$C32),PlotData!O32+ Normalkraft!$E$2*$AF$1*O31,PlotData!$CB$4)</f>
        <v>0</v>
      </c>
      <c r="AS31" s="721">
        <f>IF(ISNUMBER(System!$C32),PlotData!P32+ Normalkraft!$E$2*$AF$1*P31,PlotData!$CB$4)</f>
        <v>0</v>
      </c>
      <c r="AT31" s="721">
        <f>IF(ISNUMBER(System!$C32),PlotData!Q32+ Normalkraft!$E$2*$AF$1*Q31,PlotData!$CB$4)</f>
        <v>0</v>
      </c>
      <c r="AU31" s="721">
        <f>IF(ISNUMBER(System!$C32),PlotData!R32+ Normalkraft!$E$2*$AF$1*R31,PlotData!$CB$4)</f>
        <v>0</v>
      </c>
      <c r="AV31" s="721">
        <f>IF(ISNUMBER(System!$C32),PlotData!S32+Normalkraft!$E$2* $AF$1*S31,PlotData!$CB$4)</f>
        <v>0</v>
      </c>
      <c r="AW31" s="721">
        <f>IF(ISNUMBER(System!$C32),PlotData!T32+ Normalkraft!$E$2*$AF$1*T31,PlotData!$CB$4)</f>
        <v>0</v>
      </c>
      <c r="AX31" s="721">
        <f>IF(ISNUMBER(System!$C32),PlotData!U32+Normalkraft!$E$2* $AF$1*U31,PlotData!$CB$4)</f>
        <v>0</v>
      </c>
      <c r="AY31" s="721">
        <f>IF(ISNUMBER(System!$C32),PlotData!V32+ Normalkraft!$E$2*$AF$1*V31,PlotData!$CB$4)</f>
        <v>0</v>
      </c>
      <c r="AZ31" s="721">
        <f>IF(ISNUMBER(System!$C32),PlotData!W32+ Normalkraft!$E$2*$AF$1*W31,PlotData!$CB$4)</f>
        <v>0</v>
      </c>
      <c r="BA31" s="721">
        <f>IF(ISNUMBER(System!$C32),PlotData!X32+ Normalkraft!$E$2*$AF$1*X31,PlotData!$CB$4)</f>
        <v>0</v>
      </c>
      <c r="BB31" s="639">
        <f>IF(ISNUMBER(System!$C32),PlotData!Y32+Normalkraft!$E$2*$AF$1*Y31,PlotData!$CB$4)</f>
        <v>0</v>
      </c>
      <c r="BC31" s="668">
        <f>IF(ISNUMBER(System!$C32),PlotData!Y32, PlotData!CB$4)</f>
        <v>0</v>
      </c>
      <c r="BD31" s="721">
        <f>IF(ISNUMBER(System!$C32),PlotData!O32, PlotData!$CB$4)</f>
        <v>0</v>
      </c>
      <c r="BE31" s="639">
        <f>IF(ISNUMBER(System!$C32), AR31,PlotData!$CB$4)</f>
        <v>0</v>
      </c>
    </row>
    <row r="32" spans="1:60" x14ac:dyDescent="0.25">
      <c r="A32" s="1123">
        <v>30</v>
      </c>
      <c r="B32" s="668"/>
      <c r="C32" s="721"/>
      <c r="D32" s="721"/>
      <c r="E32" s="721"/>
      <c r="F32" s="721"/>
      <c r="G32" s="721"/>
      <c r="H32" s="721"/>
      <c r="I32" s="721"/>
      <c r="J32" s="721"/>
      <c r="K32" s="721"/>
      <c r="L32" s="639"/>
      <c r="N32" s="1123">
        <v>30</v>
      </c>
      <c r="O32" s="668"/>
      <c r="P32" s="721"/>
      <c r="Q32" s="721"/>
      <c r="R32" s="721"/>
      <c r="S32" s="721"/>
      <c r="T32" s="721"/>
      <c r="U32" s="721"/>
      <c r="V32" s="721"/>
      <c r="W32" s="721"/>
      <c r="X32" s="721"/>
      <c r="Y32" s="639"/>
      <c r="AA32" s="1125">
        <v>30</v>
      </c>
      <c r="AB32" s="668">
        <f>IF(ISNUMBER(System!$C33),PlotData!B33+ Normalkraft!$E$2*$AF$1*B32,PlotData!$CB$3)</f>
        <v>0</v>
      </c>
      <c r="AC32" s="721">
        <f>IF(ISNUMBER(System!$C33),PlotData!C33+ Normalkraft!$E$2*$AF$1*C32,PlotData!$CB$3)</f>
        <v>0</v>
      </c>
      <c r="AD32" s="721">
        <f>IF(ISNUMBER(System!$C33),PlotData!D33+ Normalkraft!$E$2*$AF$1*D32,PlotData!$CB$3)</f>
        <v>0</v>
      </c>
      <c r="AE32" s="721">
        <f>IF(ISNUMBER(System!$C33),PlotData!E33+ Normalkraft!$E$2*$AF$1*E32,PlotData!$CB$3)</f>
        <v>0</v>
      </c>
      <c r="AF32" s="721">
        <f>IF(ISNUMBER(System!$C33),PlotData!F33+Normalkraft!$E$2* $AF$1*F32,PlotData!$CB$3)</f>
        <v>0</v>
      </c>
      <c r="AG32" s="721">
        <f>IF(ISNUMBER(System!$C33),PlotData!G33+ Normalkraft!$E$2*$AF$1*G32,PlotData!$CB$3)</f>
        <v>0</v>
      </c>
      <c r="AH32" s="721">
        <f>IF(ISNUMBER(System!$C33),PlotData!H33+ Normalkraft!$E$2*$AF$1*H32,PlotData!$CB$3)</f>
        <v>0</v>
      </c>
      <c r="AI32" s="721">
        <f>IF(ISNUMBER(System!$C33),PlotData!I33+ Normalkraft!$E$2*$AF$1*I32,PlotData!$CB$3)</f>
        <v>0</v>
      </c>
      <c r="AJ32" s="721">
        <f>IF(ISNUMBER(System!$C33),PlotData!J33+ Normalkraft!$E$2*$AF$1*J32,PlotData!$CB$3)</f>
        <v>0</v>
      </c>
      <c r="AK32" s="721">
        <f>IF(ISNUMBER(System!$C33),PlotData!K33+Normalkraft!$E$2* $AF$1*K32,PlotData!$CB$3)</f>
        <v>0</v>
      </c>
      <c r="AL32" s="639">
        <f>IF(ISNUMBER(System!$C33),PlotData!L33+Normalkraft!$E$2* $AF$1*L32,PlotData!$CB$3)</f>
        <v>0</v>
      </c>
      <c r="AM32" s="668">
        <f>IF(ISNUMBER(System!$C33),PlotData!L33,PlotData!$CB$3)</f>
        <v>0</v>
      </c>
      <c r="AN32" s="721">
        <f>IF(ISNUMBER(System!$C33),PlotData!B33,PlotData!$CB$3)</f>
        <v>0</v>
      </c>
      <c r="AO32" s="639">
        <f>IF(ISNUMBER(System!$C33),AB32,PlotData!$CB$3)</f>
        <v>0</v>
      </c>
      <c r="AQ32" s="1124">
        <v>30</v>
      </c>
      <c r="AR32" s="668">
        <f>IF(ISNUMBER(System!$C33),PlotData!O33+ Normalkraft!$E$2*$AF$1*O32,PlotData!$CB$4)</f>
        <v>0</v>
      </c>
      <c r="AS32" s="721">
        <f>IF(ISNUMBER(System!$C33),PlotData!P33+ Normalkraft!$E$2*$AF$1*P32,PlotData!$CB$4)</f>
        <v>0</v>
      </c>
      <c r="AT32" s="721">
        <f>IF(ISNUMBER(System!$C33),PlotData!Q33+ Normalkraft!$E$2*$AF$1*Q32,PlotData!$CB$4)</f>
        <v>0</v>
      </c>
      <c r="AU32" s="721">
        <f>IF(ISNUMBER(System!$C33),PlotData!R33+ Normalkraft!$E$2*$AF$1*R32,PlotData!$CB$4)</f>
        <v>0</v>
      </c>
      <c r="AV32" s="721">
        <f>IF(ISNUMBER(System!$C33),PlotData!S33+Normalkraft!$E$2* $AF$1*S32,PlotData!$CB$4)</f>
        <v>0</v>
      </c>
      <c r="AW32" s="721">
        <f>IF(ISNUMBER(System!$C33),PlotData!T33+ Normalkraft!$E$2*$AF$1*T32,PlotData!$CB$4)</f>
        <v>0</v>
      </c>
      <c r="AX32" s="721">
        <f>IF(ISNUMBER(System!$C33),PlotData!U33+Normalkraft!$E$2* $AF$1*U32,PlotData!$CB$4)</f>
        <v>0</v>
      </c>
      <c r="AY32" s="721">
        <f>IF(ISNUMBER(System!$C33),PlotData!V33+ Normalkraft!$E$2*$AF$1*V32,PlotData!$CB$4)</f>
        <v>0</v>
      </c>
      <c r="AZ32" s="721">
        <f>IF(ISNUMBER(System!$C33),PlotData!W33+ Normalkraft!$E$2*$AF$1*W32,PlotData!$CB$4)</f>
        <v>0</v>
      </c>
      <c r="BA32" s="721">
        <f>IF(ISNUMBER(System!$C33),PlotData!X33+ Normalkraft!$E$2*$AF$1*X32,PlotData!$CB$4)</f>
        <v>0</v>
      </c>
      <c r="BB32" s="639">
        <f>IF(ISNUMBER(System!$C33),PlotData!Y33+Normalkraft!$E$2*$AF$1*Y32,PlotData!$CB$4)</f>
        <v>0</v>
      </c>
      <c r="BC32" s="668">
        <f>IF(ISNUMBER(System!$C33),PlotData!Y33, PlotData!CB$4)</f>
        <v>0</v>
      </c>
      <c r="BD32" s="721">
        <f>IF(ISNUMBER(System!$C33),PlotData!O33, PlotData!$CB$4)</f>
        <v>0</v>
      </c>
      <c r="BE32" s="639">
        <f>IF(ISNUMBER(System!$C33), AR32,PlotData!$CB$4)</f>
        <v>0</v>
      </c>
    </row>
    <row r="33" spans="1:57" x14ac:dyDescent="0.25">
      <c r="A33" s="1123">
        <v>31</v>
      </c>
      <c r="B33" s="668"/>
      <c r="C33" s="721"/>
      <c r="D33" s="721"/>
      <c r="E33" s="721"/>
      <c r="F33" s="721"/>
      <c r="G33" s="721"/>
      <c r="H33" s="721"/>
      <c r="I33" s="721"/>
      <c r="J33" s="721"/>
      <c r="K33" s="721"/>
      <c r="L33" s="639"/>
      <c r="N33" s="1123">
        <v>31</v>
      </c>
      <c r="O33" s="668"/>
      <c r="P33" s="721"/>
      <c r="Q33" s="721"/>
      <c r="R33" s="721"/>
      <c r="S33" s="721"/>
      <c r="T33" s="721"/>
      <c r="U33" s="721"/>
      <c r="V33" s="721"/>
      <c r="W33" s="721"/>
      <c r="X33" s="721"/>
      <c r="Y33" s="639"/>
      <c r="AA33" s="1125">
        <v>31</v>
      </c>
      <c r="AB33" s="668">
        <f>IF(ISNUMBER(System!$C34),PlotData!B34+ Normalkraft!$E$2*$AF$1*B33,PlotData!$CB$3)</f>
        <v>0</v>
      </c>
      <c r="AC33" s="721">
        <f>IF(ISNUMBER(System!$C34),PlotData!C34+ Normalkraft!$E$2*$AF$1*C33,PlotData!$CB$3)</f>
        <v>0</v>
      </c>
      <c r="AD33" s="721">
        <f>IF(ISNUMBER(System!$C34),PlotData!D34+ Normalkraft!$E$2*$AF$1*D33,PlotData!$CB$3)</f>
        <v>0</v>
      </c>
      <c r="AE33" s="721">
        <f>IF(ISNUMBER(System!$C34),PlotData!E34+ Normalkraft!$E$2*$AF$1*E33,PlotData!$CB$3)</f>
        <v>0</v>
      </c>
      <c r="AF33" s="721">
        <f>IF(ISNUMBER(System!$C34),PlotData!F34+Normalkraft!$E$2* $AF$1*F33,PlotData!$CB$3)</f>
        <v>0</v>
      </c>
      <c r="AG33" s="721">
        <f>IF(ISNUMBER(System!$C34),PlotData!G34+ Normalkraft!$E$2*$AF$1*G33,PlotData!$CB$3)</f>
        <v>0</v>
      </c>
      <c r="AH33" s="721">
        <f>IF(ISNUMBER(System!$C34),PlotData!H34+ Normalkraft!$E$2*$AF$1*H33,PlotData!$CB$3)</f>
        <v>0</v>
      </c>
      <c r="AI33" s="721">
        <f>IF(ISNUMBER(System!$C34),PlotData!I34+ Normalkraft!$E$2*$AF$1*I33,PlotData!$CB$3)</f>
        <v>0</v>
      </c>
      <c r="AJ33" s="721">
        <f>IF(ISNUMBER(System!$C34),PlotData!J34+ Normalkraft!$E$2*$AF$1*J33,PlotData!$CB$3)</f>
        <v>0</v>
      </c>
      <c r="AK33" s="721">
        <f>IF(ISNUMBER(System!$C34),PlotData!K34+Normalkraft!$E$2* $AF$1*K33,PlotData!$CB$3)</f>
        <v>0</v>
      </c>
      <c r="AL33" s="639">
        <f>IF(ISNUMBER(System!$C34),PlotData!L34+Normalkraft!$E$2* $AF$1*L33,PlotData!$CB$3)</f>
        <v>0</v>
      </c>
      <c r="AM33" s="668">
        <f>IF(ISNUMBER(System!$C34),PlotData!L34,PlotData!$CB$3)</f>
        <v>0</v>
      </c>
      <c r="AN33" s="721">
        <f>IF(ISNUMBER(System!$C34),PlotData!B34,PlotData!$CB$3)</f>
        <v>0</v>
      </c>
      <c r="AO33" s="639">
        <f>IF(ISNUMBER(System!$C34),AB33,PlotData!$CB$3)</f>
        <v>0</v>
      </c>
      <c r="AQ33" s="1124">
        <v>31</v>
      </c>
      <c r="AR33" s="668">
        <f>IF(ISNUMBER(System!$C34),PlotData!O34+ Normalkraft!$E$2*$AF$1*O33,PlotData!$CB$4)</f>
        <v>0</v>
      </c>
      <c r="AS33" s="721">
        <f>IF(ISNUMBER(System!$C34),PlotData!P34+ Normalkraft!$E$2*$AF$1*P33,PlotData!$CB$4)</f>
        <v>0</v>
      </c>
      <c r="AT33" s="721">
        <f>IF(ISNUMBER(System!$C34),PlotData!Q34+ Normalkraft!$E$2*$AF$1*Q33,PlotData!$CB$4)</f>
        <v>0</v>
      </c>
      <c r="AU33" s="721">
        <f>IF(ISNUMBER(System!$C34),PlotData!R34+ Normalkraft!$E$2*$AF$1*R33,PlotData!$CB$4)</f>
        <v>0</v>
      </c>
      <c r="AV33" s="721">
        <f>IF(ISNUMBER(System!$C34),PlotData!S34+Normalkraft!$E$2* $AF$1*S33,PlotData!$CB$4)</f>
        <v>0</v>
      </c>
      <c r="AW33" s="721">
        <f>IF(ISNUMBER(System!$C34),PlotData!T34+ Normalkraft!$E$2*$AF$1*T33,PlotData!$CB$4)</f>
        <v>0</v>
      </c>
      <c r="AX33" s="721">
        <f>IF(ISNUMBER(System!$C34),PlotData!U34+Normalkraft!$E$2* $AF$1*U33,PlotData!$CB$4)</f>
        <v>0</v>
      </c>
      <c r="AY33" s="721">
        <f>IF(ISNUMBER(System!$C34),PlotData!V34+ Normalkraft!$E$2*$AF$1*V33,PlotData!$CB$4)</f>
        <v>0</v>
      </c>
      <c r="AZ33" s="721">
        <f>IF(ISNUMBER(System!$C34),PlotData!W34+ Normalkraft!$E$2*$AF$1*W33,PlotData!$CB$4)</f>
        <v>0</v>
      </c>
      <c r="BA33" s="721">
        <f>IF(ISNUMBER(System!$C34),PlotData!X34+ Normalkraft!$E$2*$AF$1*X33,PlotData!$CB$4)</f>
        <v>0</v>
      </c>
      <c r="BB33" s="639">
        <f>IF(ISNUMBER(System!$C34),PlotData!Y34+Normalkraft!$E$2*$AF$1*Y33,PlotData!$CB$4)</f>
        <v>0</v>
      </c>
      <c r="BC33" s="668">
        <f>IF(ISNUMBER(System!$C34),PlotData!Y34, PlotData!CB$4)</f>
        <v>0</v>
      </c>
      <c r="BD33" s="721">
        <f>IF(ISNUMBER(System!$C34),PlotData!O34, PlotData!$CB$4)</f>
        <v>0</v>
      </c>
      <c r="BE33" s="639">
        <f>IF(ISNUMBER(System!$C34), AR33,PlotData!$CB$4)</f>
        <v>0</v>
      </c>
    </row>
    <row r="34" spans="1:57" x14ac:dyDescent="0.25">
      <c r="A34" s="1123">
        <v>32</v>
      </c>
      <c r="B34" s="668"/>
      <c r="C34" s="721"/>
      <c r="D34" s="721"/>
      <c r="E34" s="721"/>
      <c r="F34" s="721"/>
      <c r="G34" s="721"/>
      <c r="H34" s="721"/>
      <c r="I34" s="721"/>
      <c r="J34" s="721"/>
      <c r="K34" s="721"/>
      <c r="L34" s="639"/>
      <c r="N34" s="1123">
        <v>32</v>
      </c>
      <c r="O34" s="668"/>
      <c r="P34" s="721"/>
      <c r="Q34" s="721"/>
      <c r="R34" s="721"/>
      <c r="S34" s="721"/>
      <c r="T34" s="721"/>
      <c r="U34" s="721"/>
      <c r="V34" s="721"/>
      <c r="W34" s="721"/>
      <c r="X34" s="721"/>
      <c r="Y34" s="639"/>
      <c r="AA34" s="1125">
        <v>32</v>
      </c>
      <c r="AB34" s="668">
        <f>IF(ISNUMBER(System!$C35),PlotData!B35+ Normalkraft!$E$2*$AF$1*B34,PlotData!$CB$3)</f>
        <v>0</v>
      </c>
      <c r="AC34" s="721">
        <f>IF(ISNUMBER(System!$C35),PlotData!C35+ Normalkraft!$E$2*$AF$1*C34,PlotData!$CB$3)</f>
        <v>0</v>
      </c>
      <c r="AD34" s="721">
        <f>IF(ISNUMBER(System!$C35),PlotData!D35+ Normalkraft!$E$2*$AF$1*D34,PlotData!$CB$3)</f>
        <v>0</v>
      </c>
      <c r="AE34" s="721">
        <f>IF(ISNUMBER(System!$C35),PlotData!E35+ Normalkraft!$E$2*$AF$1*E34,PlotData!$CB$3)</f>
        <v>0</v>
      </c>
      <c r="AF34" s="721">
        <f>IF(ISNUMBER(System!$C35),PlotData!F35+Normalkraft!$E$2* $AF$1*F34,PlotData!$CB$3)</f>
        <v>0</v>
      </c>
      <c r="AG34" s="721">
        <f>IF(ISNUMBER(System!$C35),PlotData!G35+ Normalkraft!$E$2*$AF$1*G34,PlotData!$CB$3)</f>
        <v>0</v>
      </c>
      <c r="AH34" s="721">
        <f>IF(ISNUMBER(System!$C35),PlotData!H35+ Normalkraft!$E$2*$AF$1*H34,PlotData!$CB$3)</f>
        <v>0</v>
      </c>
      <c r="AI34" s="721">
        <f>IF(ISNUMBER(System!$C35),PlotData!I35+ Normalkraft!$E$2*$AF$1*I34,PlotData!$CB$3)</f>
        <v>0</v>
      </c>
      <c r="AJ34" s="721">
        <f>IF(ISNUMBER(System!$C35),PlotData!J35+ Normalkraft!$E$2*$AF$1*J34,PlotData!$CB$3)</f>
        <v>0</v>
      </c>
      <c r="AK34" s="721">
        <f>IF(ISNUMBER(System!$C35),PlotData!K35+Normalkraft!$E$2* $AF$1*K34,PlotData!$CB$3)</f>
        <v>0</v>
      </c>
      <c r="AL34" s="639">
        <f>IF(ISNUMBER(System!$C35),PlotData!L35+Normalkraft!$E$2* $AF$1*L34,PlotData!$CB$3)</f>
        <v>0</v>
      </c>
      <c r="AM34" s="668">
        <f>IF(ISNUMBER(System!$C35),PlotData!L35,PlotData!$CB$3)</f>
        <v>0</v>
      </c>
      <c r="AN34" s="721">
        <f>IF(ISNUMBER(System!$C35),PlotData!B35,PlotData!$CB$3)</f>
        <v>0</v>
      </c>
      <c r="AO34" s="639">
        <f>IF(ISNUMBER(System!$C35),AB34,PlotData!$CB$3)</f>
        <v>0</v>
      </c>
      <c r="AQ34" s="1124">
        <v>32</v>
      </c>
      <c r="AR34" s="668">
        <f>IF(ISNUMBER(System!$C35),PlotData!O35+ Normalkraft!$E$2*$AF$1*O34,PlotData!$CB$4)</f>
        <v>0</v>
      </c>
      <c r="AS34" s="721">
        <f>IF(ISNUMBER(System!$C35),PlotData!P35+ Normalkraft!$E$2*$AF$1*P34,PlotData!$CB$4)</f>
        <v>0</v>
      </c>
      <c r="AT34" s="721">
        <f>IF(ISNUMBER(System!$C35),PlotData!Q35+ Normalkraft!$E$2*$AF$1*Q34,PlotData!$CB$4)</f>
        <v>0</v>
      </c>
      <c r="AU34" s="721">
        <f>IF(ISNUMBER(System!$C35),PlotData!R35+ Normalkraft!$E$2*$AF$1*R34,PlotData!$CB$4)</f>
        <v>0</v>
      </c>
      <c r="AV34" s="721">
        <f>IF(ISNUMBER(System!$C35),PlotData!S35+Normalkraft!$E$2* $AF$1*S34,PlotData!$CB$4)</f>
        <v>0</v>
      </c>
      <c r="AW34" s="721">
        <f>IF(ISNUMBER(System!$C35),PlotData!T35+ Normalkraft!$E$2*$AF$1*T34,PlotData!$CB$4)</f>
        <v>0</v>
      </c>
      <c r="AX34" s="721">
        <f>IF(ISNUMBER(System!$C35),PlotData!U35+Normalkraft!$E$2* $AF$1*U34,PlotData!$CB$4)</f>
        <v>0</v>
      </c>
      <c r="AY34" s="721">
        <f>IF(ISNUMBER(System!$C35),PlotData!V35+ Normalkraft!$E$2*$AF$1*V34,PlotData!$CB$4)</f>
        <v>0</v>
      </c>
      <c r="AZ34" s="721">
        <f>IF(ISNUMBER(System!$C35),PlotData!W35+ Normalkraft!$E$2*$AF$1*W34,PlotData!$CB$4)</f>
        <v>0</v>
      </c>
      <c r="BA34" s="721">
        <f>IF(ISNUMBER(System!$C35),PlotData!X35+ Normalkraft!$E$2*$AF$1*X34,PlotData!$CB$4)</f>
        <v>0</v>
      </c>
      <c r="BB34" s="639">
        <f>IF(ISNUMBER(System!$C35),PlotData!Y35+Normalkraft!$E$2*$AF$1*Y34,PlotData!$CB$4)</f>
        <v>0</v>
      </c>
      <c r="BC34" s="668">
        <f>IF(ISNUMBER(System!$C35),PlotData!Y35, PlotData!CB$4)</f>
        <v>0</v>
      </c>
      <c r="BD34" s="721">
        <f>IF(ISNUMBER(System!$C35),PlotData!O35, PlotData!$CB$4)</f>
        <v>0</v>
      </c>
      <c r="BE34" s="639">
        <f>IF(ISNUMBER(System!$C35), AR34,PlotData!$CB$4)</f>
        <v>0</v>
      </c>
    </row>
    <row r="35" spans="1:57" x14ac:dyDescent="0.25">
      <c r="A35" s="1123">
        <v>33</v>
      </c>
      <c r="B35" s="668"/>
      <c r="C35" s="721"/>
      <c r="D35" s="721"/>
      <c r="E35" s="721"/>
      <c r="F35" s="721"/>
      <c r="G35" s="721"/>
      <c r="H35" s="721"/>
      <c r="I35" s="721"/>
      <c r="J35" s="721"/>
      <c r="K35" s="721"/>
      <c r="L35" s="639"/>
      <c r="N35" s="1123">
        <v>33</v>
      </c>
      <c r="O35" s="668"/>
      <c r="P35" s="721"/>
      <c r="Q35" s="721"/>
      <c r="R35" s="721"/>
      <c r="S35" s="721"/>
      <c r="T35" s="721"/>
      <c r="U35" s="721"/>
      <c r="V35" s="721"/>
      <c r="W35" s="721"/>
      <c r="X35" s="721"/>
      <c r="Y35" s="639"/>
      <c r="AA35" s="1125">
        <v>33</v>
      </c>
      <c r="AB35" s="668">
        <f>IF(ISNUMBER(System!$C36),PlotData!B36+ Normalkraft!$E$2*$AF$1*B35,PlotData!$CB$3)</f>
        <v>0</v>
      </c>
      <c r="AC35" s="721">
        <f>IF(ISNUMBER(System!$C36),PlotData!C36+ Normalkraft!$E$2*$AF$1*C35,PlotData!$CB$3)</f>
        <v>0</v>
      </c>
      <c r="AD35" s="721">
        <f>IF(ISNUMBER(System!$C36),PlotData!D36+ Normalkraft!$E$2*$AF$1*D35,PlotData!$CB$3)</f>
        <v>0</v>
      </c>
      <c r="AE35" s="721">
        <f>IF(ISNUMBER(System!$C36),PlotData!E36+ Normalkraft!$E$2*$AF$1*E35,PlotData!$CB$3)</f>
        <v>0</v>
      </c>
      <c r="AF35" s="721">
        <f>IF(ISNUMBER(System!$C36),PlotData!F36+Normalkraft!$E$2* $AF$1*F35,PlotData!$CB$3)</f>
        <v>0</v>
      </c>
      <c r="AG35" s="721">
        <f>IF(ISNUMBER(System!$C36),PlotData!G36+ Normalkraft!$E$2*$AF$1*G35,PlotData!$CB$3)</f>
        <v>0</v>
      </c>
      <c r="AH35" s="721">
        <f>IF(ISNUMBER(System!$C36),PlotData!H36+ Normalkraft!$E$2*$AF$1*H35,PlotData!$CB$3)</f>
        <v>0</v>
      </c>
      <c r="AI35" s="721">
        <f>IF(ISNUMBER(System!$C36),PlotData!I36+ Normalkraft!$E$2*$AF$1*I35,PlotData!$CB$3)</f>
        <v>0</v>
      </c>
      <c r="AJ35" s="721">
        <f>IF(ISNUMBER(System!$C36),PlotData!J36+ Normalkraft!$E$2*$AF$1*J35,PlotData!$CB$3)</f>
        <v>0</v>
      </c>
      <c r="AK35" s="721">
        <f>IF(ISNUMBER(System!$C36),PlotData!K36+Normalkraft!$E$2* $AF$1*K35,PlotData!$CB$3)</f>
        <v>0</v>
      </c>
      <c r="AL35" s="639">
        <f>IF(ISNUMBER(System!$C36),PlotData!L36+Normalkraft!$E$2* $AF$1*L35,PlotData!$CB$3)</f>
        <v>0</v>
      </c>
      <c r="AM35" s="668">
        <f>IF(ISNUMBER(System!$C36),PlotData!L36,PlotData!$CB$3)</f>
        <v>0</v>
      </c>
      <c r="AN35" s="721">
        <f>IF(ISNUMBER(System!$C36),PlotData!B36,PlotData!$CB$3)</f>
        <v>0</v>
      </c>
      <c r="AO35" s="639">
        <f>IF(ISNUMBER(System!$C36),AB35,PlotData!$CB$3)</f>
        <v>0</v>
      </c>
      <c r="AQ35" s="1124">
        <v>33</v>
      </c>
      <c r="AR35" s="668">
        <f>IF(ISNUMBER(System!$C36),PlotData!O36+ Normalkraft!$E$2*$AF$1*O35,PlotData!$CB$4)</f>
        <v>0</v>
      </c>
      <c r="AS35" s="721">
        <f>IF(ISNUMBER(System!$C36),PlotData!P36+ Normalkraft!$E$2*$AF$1*P35,PlotData!$CB$4)</f>
        <v>0</v>
      </c>
      <c r="AT35" s="721">
        <f>IF(ISNUMBER(System!$C36),PlotData!Q36+ Normalkraft!$E$2*$AF$1*Q35,PlotData!$CB$4)</f>
        <v>0</v>
      </c>
      <c r="AU35" s="721">
        <f>IF(ISNUMBER(System!$C36),PlotData!R36+ Normalkraft!$E$2*$AF$1*R35,PlotData!$CB$4)</f>
        <v>0</v>
      </c>
      <c r="AV35" s="721">
        <f>IF(ISNUMBER(System!$C36),PlotData!S36+Normalkraft!$E$2* $AF$1*S35,PlotData!$CB$4)</f>
        <v>0</v>
      </c>
      <c r="AW35" s="721">
        <f>IF(ISNUMBER(System!$C36),PlotData!T36+ Normalkraft!$E$2*$AF$1*T35,PlotData!$CB$4)</f>
        <v>0</v>
      </c>
      <c r="AX35" s="721">
        <f>IF(ISNUMBER(System!$C36),PlotData!U36+Normalkraft!$E$2* $AF$1*U35,PlotData!$CB$4)</f>
        <v>0</v>
      </c>
      <c r="AY35" s="721">
        <f>IF(ISNUMBER(System!$C36),PlotData!V36+ Normalkraft!$E$2*$AF$1*V35,PlotData!$CB$4)</f>
        <v>0</v>
      </c>
      <c r="AZ35" s="721">
        <f>IF(ISNUMBER(System!$C36),PlotData!W36+ Normalkraft!$E$2*$AF$1*W35,PlotData!$CB$4)</f>
        <v>0</v>
      </c>
      <c r="BA35" s="721">
        <f>IF(ISNUMBER(System!$C36),PlotData!X36+ Normalkraft!$E$2*$AF$1*X35,PlotData!$CB$4)</f>
        <v>0</v>
      </c>
      <c r="BB35" s="639">
        <f>IF(ISNUMBER(System!$C36),PlotData!Y36+Normalkraft!$E$2*$AF$1*Y35,PlotData!$CB$4)</f>
        <v>0</v>
      </c>
      <c r="BC35" s="668">
        <f>IF(ISNUMBER(System!$C36),PlotData!Y36, PlotData!CB$4)</f>
        <v>0</v>
      </c>
      <c r="BD35" s="721">
        <f>IF(ISNUMBER(System!$C36),PlotData!O36, PlotData!$CB$4)</f>
        <v>0</v>
      </c>
      <c r="BE35" s="639">
        <f>IF(ISNUMBER(System!$C36), AR35,PlotData!$CB$4)</f>
        <v>0</v>
      </c>
    </row>
    <row r="36" spans="1:57" x14ac:dyDescent="0.25">
      <c r="A36" s="1123">
        <v>34</v>
      </c>
      <c r="B36" s="668"/>
      <c r="C36" s="721"/>
      <c r="D36" s="721"/>
      <c r="E36" s="721"/>
      <c r="F36" s="721"/>
      <c r="G36" s="721"/>
      <c r="H36" s="721"/>
      <c r="I36" s="721"/>
      <c r="J36" s="721"/>
      <c r="K36" s="721"/>
      <c r="L36" s="639"/>
      <c r="N36" s="1123">
        <v>34</v>
      </c>
      <c r="O36" s="668"/>
      <c r="P36" s="721"/>
      <c r="Q36" s="721"/>
      <c r="R36" s="721"/>
      <c r="S36" s="721"/>
      <c r="T36" s="721"/>
      <c r="U36" s="721"/>
      <c r="V36" s="721"/>
      <c r="W36" s="721"/>
      <c r="X36" s="721"/>
      <c r="Y36" s="639"/>
      <c r="AA36" s="1125">
        <v>34</v>
      </c>
      <c r="AB36" s="668">
        <f>IF(ISNUMBER(System!$C37),PlotData!B37+ Normalkraft!$E$2*$AF$1*B36,PlotData!$CB$3)</f>
        <v>0</v>
      </c>
      <c r="AC36" s="721">
        <f>IF(ISNUMBER(System!$C37),PlotData!C37+ Normalkraft!$E$2*$AF$1*C36,PlotData!$CB$3)</f>
        <v>0</v>
      </c>
      <c r="AD36" s="721">
        <f>IF(ISNUMBER(System!$C37),PlotData!D37+ Normalkraft!$E$2*$AF$1*D36,PlotData!$CB$3)</f>
        <v>0</v>
      </c>
      <c r="AE36" s="721">
        <f>IF(ISNUMBER(System!$C37),PlotData!E37+ Normalkraft!$E$2*$AF$1*E36,PlotData!$CB$3)</f>
        <v>0</v>
      </c>
      <c r="AF36" s="721">
        <f>IF(ISNUMBER(System!$C37),PlotData!F37+Normalkraft!$E$2* $AF$1*F36,PlotData!$CB$3)</f>
        <v>0</v>
      </c>
      <c r="AG36" s="721">
        <f>IF(ISNUMBER(System!$C37),PlotData!G37+ Normalkraft!$E$2*$AF$1*G36,PlotData!$CB$3)</f>
        <v>0</v>
      </c>
      <c r="AH36" s="721">
        <f>IF(ISNUMBER(System!$C37),PlotData!H37+ Normalkraft!$E$2*$AF$1*H36,PlotData!$CB$3)</f>
        <v>0</v>
      </c>
      <c r="AI36" s="721">
        <f>IF(ISNUMBER(System!$C37),PlotData!I37+ Normalkraft!$E$2*$AF$1*I36,PlotData!$CB$3)</f>
        <v>0</v>
      </c>
      <c r="AJ36" s="721">
        <f>IF(ISNUMBER(System!$C37),PlotData!J37+ Normalkraft!$E$2*$AF$1*J36,PlotData!$CB$3)</f>
        <v>0</v>
      </c>
      <c r="AK36" s="721">
        <f>IF(ISNUMBER(System!$C37),PlotData!K37+Normalkraft!$E$2* $AF$1*K36,PlotData!$CB$3)</f>
        <v>0</v>
      </c>
      <c r="AL36" s="639">
        <f>IF(ISNUMBER(System!$C37),PlotData!L37+Normalkraft!$E$2* $AF$1*L36,PlotData!$CB$3)</f>
        <v>0</v>
      </c>
      <c r="AM36" s="668">
        <f>IF(ISNUMBER(System!$C37),PlotData!L37,PlotData!$CB$3)</f>
        <v>0</v>
      </c>
      <c r="AN36" s="721">
        <f>IF(ISNUMBER(System!$C37),PlotData!B37,PlotData!$CB$3)</f>
        <v>0</v>
      </c>
      <c r="AO36" s="639">
        <f>IF(ISNUMBER(System!$C37),AB36,PlotData!$CB$3)</f>
        <v>0</v>
      </c>
      <c r="AQ36" s="1124">
        <v>34</v>
      </c>
      <c r="AR36" s="668">
        <f>IF(ISNUMBER(System!$C37),PlotData!O37+ Normalkraft!$E$2*$AF$1*O36,PlotData!$CB$4)</f>
        <v>0</v>
      </c>
      <c r="AS36" s="721">
        <f>IF(ISNUMBER(System!$C37),PlotData!P37+ Normalkraft!$E$2*$AF$1*P36,PlotData!$CB$4)</f>
        <v>0</v>
      </c>
      <c r="AT36" s="721">
        <f>IF(ISNUMBER(System!$C37),PlotData!Q37+ Normalkraft!$E$2*$AF$1*Q36,PlotData!$CB$4)</f>
        <v>0</v>
      </c>
      <c r="AU36" s="721">
        <f>IF(ISNUMBER(System!$C37),PlotData!R37+ Normalkraft!$E$2*$AF$1*R36,PlotData!$CB$4)</f>
        <v>0</v>
      </c>
      <c r="AV36" s="721">
        <f>IF(ISNUMBER(System!$C37),PlotData!S37+Normalkraft!$E$2* $AF$1*S36,PlotData!$CB$4)</f>
        <v>0</v>
      </c>
      <c r="AW36" s="721">
        <f>IF(ISNUMBER(System!$C37),PlotData!T37+ Normalkraft!$E$2*$AF$1*T36,PlotData!$CB$4)</f>
        <v>0</v>
      </c>
      <c r="AX36" s="721">
        <f>IF(ISNUMBER(System!$C37),PlotData!U37+Normalkraft!$E$2* $AF$1*U36,PlotData!$CB$4)</f>
        <v>0</v>
      </c>
      <c r="AY36" s="721">
        <f>IF(ISNUMBER(System!$C37),PlotData!V37+ Normalkraft!$E$2*$AF$1*V36,PlotData!$CB$4)</f>
        <v>0</v>
      </c>
      <c r="AZ36" s="721">
        <f>IF(ISNUMBER(System!$C37),PlotData!W37+ Normalkraft!$E$2*$AF$1*W36,PlotData!$CB$4)</f>
        <v>0</v>
      </c>
      <c r="BA36" s="721">
        <f>IF(ISNUMBER(System!$C37),PlotData!X37+ Normalkraft!$E$2*$AF$1*X36,PlotData!$CB$4)</f>
        <v>0</v>
      </c>
      <c r="BB36" s="639">
        <f>IF(ISNUMBER(System!$C37),PlotData!Y37+Normalkraft!$E$2*$AF$1*Y36,PlotData!$CB$4)</f>
        <v>0</v>
      </c>
      <c r="BC36" s="668">
        <f>IF(ISNUMBER(System!$C37),PlotData!Y37, PlotData!CB$4)</f>
        <v>0</v>
      </c>
      <c r="BD36" s="721">
        <f>IF(ISNUMBER(System!$C37),PlotData!O37, PlotData!$CB$4)</f>
        <v>0</v>
      </c>
      <c r="BE36" s="639">
        <f>IF(ISNUMBER(System!$C37), AR36,PlotData!$CB$4)</f>
        <v>0</v>
      </c>
    </row>
    <row r="37" spans="1:57" x14ac:dyDescent="0.25">
      <c r="A37" s="1123">
        <v>35</v>
      </c>
      <c r="B37" s="668"/>
      <c r="C37" s="721"/>
      <c r="D37" s="721"/>
      <c r="E37" s="721"/>
      <c r="F37" s="721"/>
      <c r="G37" s="721"/>
      <c r="H37" s="721"/>
      <c r="I37" s="721"/>
      <c r="J37" s="721"/>
      <c r="K37" s="721"/>
      <c r="L37" s="639"/>
      <c r="N37" s="1123">
        <v>35</v>
      </c>
      <c r="O37" s="668"/>
      <c r="P37" s="721"/>
      <c r="Q37" s="721"/>
      <c r="R37" s="721"/>
      <c r="S37" s="721"/>
      <c r="T37" s="721"/>
      <c r="U37" s="721"/>
      <c r="V37" s="721"/>
      <c r="W37" s="721"/>
      <c r="X37" s="721"/>
      <c r="Y37" s="639"/>
      <c r="AA37" s="1125">
        <v>35</v>
      </c>
      <c r="AB37" s="668">
        <f>IF(ISNUMBER(System!$C38),PlotData!B38+ Normalkraft!$E$2*$AF$1*B37,PlotData!$CB$3)</f>
        <v>0</v>
      </c>
      <c r="AC37" s="721">
        <f>IF(ISNUMBER(System!$C38),PlotData!C38+ Normalkraft!$E$2*$AF$1*C37,PlotData!$CB$3)</f>
        <v>0</v>
      </c>
      <c r="AD37" s="721">
        <f>IF(ISNUMBER(System!$C38),PlotData!D38+ Normalkraft!$E$2*$AF$1*D37,PlotData!$CB$3)</f>
        <v>0</v>
      </c>
      <c r="AE37" s="721">
        <f>IF(ISNUMBER(System!$C38),PlotData!E38+ Normalkraft!$E$2*$AF$1*E37,PlotData!$CB$3)</f>
        <v>0</v>
      </c>
      <c r="AF37" s="721">
        <f>IF(ISNUMBER(System!$C38),PlotData!F38+Normalkraft!$E$2* $AF$1*F37,PlotData!$CB$3)</f>
        <v>0</v>
      </c>
      <c r="AG37" s="721">
        <f>IF(ISNUMBER(System!$C38),PlotData!G38+ Normalkraft!$E$2*$AF$1*G37,PlotData!$CB$3)</f>
        <v>0</v>
      </c>
      <c r="AH37" s="721">
        <f>IF(ISNUMBER(System!$C38),PlotData!H38+ Normalkraft!$E$2*$AF$1*H37,PlotData!$CB$3)</f>
        <v>0</v>
      </c>
      <c r="AI37" s="721">
        <f>IF(ISNUMBER(System!$C38),PlotData!I38+ Normalkraft!$E$2*$AF$1*I37,PlotData!$CB$3)</f>
        <v>0</v>
      </c>
      <c r="AJ37" s="721">
        <f>IF(ISNUMBER(System!$C38),PlotData!J38+ Normalkraft!$E$2*$AF$1*J37,PlotData!$CB$3)</f>
        <v>0</v>
      </c>
      <c r="AK37" s="721">
        <f>IF(ISNUMBER(System!$C38),PlotData!K38+Normalkraft!$E$2* $AF$1*K37,PlotData!$CB$3)</f>
        <v>0</v>
      </c>
      <c r="AL37" s="639">
        <f>IF(ISNUMBER(System!$C38),PlotData!L38+Normalkraft!$E$2* $AF$1*L37,PlotData!$CB$3)</f>
        <v>0</v>
      </c>
      <c r="AM37" s="668">
        <f>IF(ISNUMBER(System!$C38),PlotData!L38,PlotData!$CB$3)</f>
        <v>0</v>
      </c>
      <c r="AN37" s="721">
        <f>IF(ISNUMBER(System!$C38),PlotData!B38,PlotData!$CB$3)</f>
        <v>0</v>
      </c>
      <c r="AO37" s="639">
        <f>IF(ISNUMBER(System!$C38),AB37,PlotData!$CB$3)</f>
        <v>0</v>
      </c>
      <c r="AQ37" s="1124">
        <v>35</v>
      </c>
      <c r="AR37" s="668">
        <f>IF(ISNUMBER(System!$C38),PlotData!O38+ Normalkraft!$E$2*$AF$1*O37,PlotData!$CB$4)</f>
        <v>0</v>
      </c>
      <c r="AS37" s="721">
        <f>IF(ISNUMBER(System!$C38),PlotData!P38+ Normalkraft!$E$2*$AF$1*P37,PlotData!$CB$4)</f>
        <v>0</v>
      </c>
      <c r="AT37" s="721">
        <f>IF(ISNUMBER(System!$C38),PlotData!Q38+ Normalkraft!$E$2*$AF$1*Q37,PlotData!$CB$4)</f>
        <v>0</v>
      </c>
      <c r="AU37" s="721">
        <f>IF(ISNUMBER(System!$C38),PlotData!R38+ Normalkraft!$E$2*$AF$1*R37,PlotData!$CB$4)</f>
        <v>0</v>
      </c>
      <c r="AV37" s="721">
        <f>IF(ISNUMBER(System!$C38),PlotData!S38+Normalkraft!$E$2* $AF$1*S37,PlotData!$CB$4)</f>
        <v>0</v>
      </c>
      <c r="AW37" s="721">
        <f>IF(ISNUMBER(System!$C38),PlotData!T38+ Normalkraft!$E$2*$AF$1*T37,PlotData!$CB$4)</f>
        <v>0</v>
      </c>
      <c r="AX37" s="721">
        <f>IF(ISNUMBER(System!$C38),PlotData!U38+Normalkraft!$E$2* $AF$1*U37,PlotData!$CB$4)</f>
        <v>0</v>
      </c>
      <c r="AY37" s="721">
        <f>IF(ISNUMBER(System!$C38),PlotData!V38+ Normalkraft!$E$2*$AF$1*V37,PlotData!$CB$4)</f>
        <v>0</v>
      </c>
      <c r="AZ37" s="721">
        <f>IF(ISNUMBER(System!$C38),PlotData!W38+ Normalkraft!$E$2*$AF$1*W37,PlotData!$CB$4)</f>
        <v>0</v>
      </c>
      <c r="BA37" s="721">
        <f>IF(ISNUMBER(System!$C38),PlotData!X38+ Normalkraft!$E$2*$AF$1*X37,PlotData!$CB$4)</f>
        <v>0</v>
      </c>
      <c r="BB37" s="639">
        <f>IF(ISNUMBER(System!$C38),PlotData!Y38+Normalkraft!$E$2*$AF$1*Y37,PlotData!$CB$4)</f>
        <v>0</v>
      </c>
      <c r="BC37" s="668">
        <f>IF(ISNUMBER(System!$C38),PlotData!Y38, PlotData!CB$4)</f>
        <v>0</v>
      </c>
      <c r="BD37" s="721">
        <f>IF(ISNUMBER(System!$C38),PlotData!O38, PlotData!$CB$4)</f>
        <v>0</v>
      </c>
      <c r="BE37" s="639">
        <f>IF(ISNUMBER(System!$C38), AR37,PlotData!$CB$4)</f>
        <v>0</v>
      </c>
    </row>
    <row r="38" spans="1:57" x14ac:dyDescent="0.25">
      <c r="A38" s="1123">
        <v>36</v>
      </c>
      <c r="B38" s="668"/>
      <c r="C38" s="721"/>
      <c r="D38" s="721"/>
      <c r="E38" s="721"/>
      <c r="F38" s="721"/>
      <c r="G38" s="721"/>
      <c r="H38" s="721"/>
      <c r="I38" s="721"/>
      <c r="J38" s="721"/>
      <c r="K38" s="721"/>
      <c r="L38" s="639"/>
      <c r="N38" s="1123">
        <v>36</v>
      </c>
      <c r="O38" s="668"/>
      <c r="P38" s="721"/>
      <c r="Q38" s="721"/>
      <c r="R38" s="721"/>
      <c r="S38" s="721"/>
      <c r="T38" s="721"/>
      <c r="U38" s="721"/>
      <c r="V38" s="721"/>
      <c r="W38" s="721"/>
      <c r="X38" s="721"/>
      <c r="Y38" s="639"/>
      <c r="AA38" s="1125">
        <v>36</v>
      </c>
      <c r="AB38" s="668">
        <f>IF(ISNUMBER(System!$C39),PlotData!B39+ Normalkraft!$E$2*$AF$1*B38,PlotData!$CB$3)</f>
        <v>0</v>
      </c>
      <c r="AC38" s="721">
        <f>IF(ISNUMBER(System!$C39),PlotData!C39+ Normalkraft!$E$2*$AF$1*C38,PlotData!$CB$3)</f>
        <v>0</v>
      </c>
      <c r="AD38" s="721">
        <f>IF(ISNUMBER(System!$C39),PlotData!D39+ Normalkraft!$E$2*$AF$1*D38,PlotData!$CB$3)</f>
        <v>0</v>
      </c>
      <c r="AE38" s="721">
        <f>IF(ISNUMBER(System!$C39),PlotData!E39+ Normalkraft!$E$2*$AF$1*E38,PlotData!$CB$3)</f>
        <v>0</v>
      </c>
      <c r="AF38" s="721">
        <f>IF(ISNUMBER(System!$C39),PlotData!F39+Normalkraft!$E$2* $AF$1*F38,PlotData!$CB$3)</f>
        <v>0</v>
      </c>
      <c r="AG38" s="721">
        <f>IF(ISNUMBER(System!$C39),PlotData!G39+ Normalkraft!$E$2*$AF$1*G38,PlotData!$CB$3)</f>
        <v>0</v>
      </c>
      <c r="AH38" s="721">
        <f>IF(ISNUMBER(System!$C39),PlotData!H39+ Normalkraft!$E$2*$AF$1*H38,PlotData!$CB$3)</f>
        <v>0</v>
      </c>
      <c r="AI38" s="721">
        <f>IF(ISNUMBER(System!$C39),PlotData!I39+ Normalkraft!$E$2*$AF$1*I38,PlotData!$CB$3)</f>
        <v>0</v>
      </c>
      <c r="AJ38" s="721">
        <f>IF(ISNUMBER(System!$C39),PlotData!J39+ Normalkraft!$E$2*$AF$1*J38,PlotData!$CB$3)</f>
        <v>0</v>
      </c>
      <c r="AK38" s="721">
        <f>IF(ISNUMBER(System!$C39),PlotData!K39+Normalkraft!$E$2* $AF$1*K38,PlotData!$CB$3)</f>
        <v>0</v>
      </c>
      <c r="AL38" s="639">
        <f>IF(ISNUMBER(System!$C39),PlotData!L39+Normalkraft!$E$2* $AF$1*L38,PlotData!$CB$3)</f>
        <v>0</v>
      </c>
      <c r="AM38" s="668">
        <f>IF(ISNUMBER(System!$C39),PlotData!L39,PlotData!$CB$3)</f>
        <v>0</v>
      </c>
      <c r="AN38" s="721">
        <f>IF(ISNUMBER(System!$C39),PlotData!B39,PlotData!$CB$3)</f>
        <v>0</v>
      </c>
      <c r="AO38" s="639">
        <f>IF(ISNUMBER(System!$C39),AB38,PlotData!$CB$3)</f>
        <v>0</v>
      </c>
      <c r="AQ38" s="1124">
        <v>36</v>
      </c>
      <c r="AR38" s="668">
        <f>IF(ISNUMBER(System!$C39),PlotData!O39+ Normalkraft!$E$2*$AF$1*O38,PlotData!$CB$4)</f>
        <v>0</v>
      </c>
      <c r="AS38" s="721">
        <f>IF(ISNUMBER(System!$C39),PlotData!P39+ Normalkraft!$E$2*$AF$1*P38,PlotData!$CB$4)</f>
        <v>0</v>
      </c>
      <c r="AT38" s="721">
        <f>IF(ISNUMBER(System!$C39),PlotData!Q39+ Normalkraft!$E$2*$AF$1*Q38,PlotData!$CB$4)</f>
        <v>0</v>
      </c>
      <c r="AU38" s="721">
        <f>IF(ISNUMBER(System!$C39),PlotData!R39+ Normalkraft!$E$2*$AF$1*R38,PlotData!$CB$4)</f>
        <v>0</v>
      </c>
      <c r="AV38" s="721">
        <f>IF(ISNUMBER(System!$C39),PlotData!S39+Normalkraft!$E$2* $AF$1*S38,PlotData!$CB$4)</f>
        <v>0</v>
      </c>
      <c r="AW38" s="721">
        <f>IF(ISNUMBER(System!$C39),PlotData!T39+ Normalkraft!$E$2*$AF$1*T38,PlotData!$CB$4)</f>
        <v>0</v>
      </c>
      <c r="AX38" s="721">
        <f>IF(ISNUMBER(System!$C39),PlotData!U39+Normalkraft!$E$2* $AF$1*U38,PlotData!$CB$4)</f>
        <v>0</v>
      </c>
      <c r="AY38" s="721">
        <f>IF(ISNUMBER(System!$C39),PlotData!V39+ Normalkraft!$E$2*$AF$1*V38,PlotData!$CB$4)</f>
        <v>0</v>
      </c>
      <c r="AZ38" s="721">
        <f>IF(ISNUMBER(System!$C39),PlotData!W39+ Normalkraft!$E$2*$AF$1*W38,PlotData!$CB$4)</f>
        <v>0</v>
      </c>
      <c r="BA38" s="721">
        <f>IF(ISNUMBER(System!$C39),PlotData!X39+ Normalkraft!$E$2*$AF$1*X38,PlotData!$CB$4)</f>
        <v>0</v>
      </c>
      <c r="BB38" s="639">
        <f>IF(ISNUMBER(System!$C39),PlotData!Y39+Normalkraft!$E$2*$AF$1*Y38,PlotData!$CB$4)</f>
        <v>0</v>
      </c>
      <c r="BC38" s="668">
        <f>IF(ISNUMBER(System!$C39),PlotData!Y39, PlotData!CB$4)</f>
        <v>0</v>
      </c>
      <c r="BD38" s="721">
        <f>IF(ISNUMBER(System!$C39),PlotData!O39, PlotData!$CB$4)</f>
        <v>0</v>
      </c>
      <c r="BE38" s="639">
        <f>IF(ISNUMBER(System!$C39), AR38,PlotData!$CB$4)</f>
        <v>0</v>
      </c>
    </row>
    <row r="39" spans="1:57" x14ac:dyDescent="0.25">
      <c r="A39" s="1123">
        <v>37</v>
      </c>
      <c r="B39" s="668"/>
      <c r="C39" s="721"/>
      <c r="D39" s="721"/>
      <c r="E39" s="721"/>
      <c r="F39" s="721"/>
      <c r="G39" s="721"/>
      <c r="H39" s="721"/>
      <c r="I39" s="721"/>
      <c r="J39" s="721"/>
      <c r="K39" s="721"/>
      <c r="L39" s="639"/>
      <c r="N39" s="1123">
        <v>37</v>
      </c>
      <c r="O39" s="668"/>
      <c r="P39" s="721"/>
      <c r="Q39" s="721"/>
      <c r="R39" s="721"/>
      <c r="S39" s="721"/>
      <c r="T39" s="721"/>
      <c r="U39" s="721"/>
      <c r="V39" s="721"/>
      <c r="W39" s="721"/>
      <c r="X39" s="721"/>
      <c r="Y39" s="639"/>
      <c r="AA39" s="1125">
        <v>37</v>
      </c>
      <c r="AB39" s="668">
        <f>IF(ISNUMBER(System!$C40),PlotData!B40+ Normalkraft!$E$2*$AF$1*B39,PlotData!$CB$3)</f>
        <v>0</v>
      </c>
      <c r="AC39" s="721">
        <f>IF(ISNUMBER(System!$C40),PlotData!C40+ Normalkraft!$E$2*$AF$1*C39,PlotData!$CB$3)</f>
        <v>0</v>
      </c>
      <c r="AD39" s="721">
        <f>IF(ISNUMBER(System!$C40),PlotData!D40+ Normalkraft!$E$2*$AF$1*D39,PlotData!$CB$3)</f>
        <v>0</v>
      </c>
      <c r="AE39" s="721">
        <f>IF(ISNUMBER(System!$C40),PlotData!E40+ Normalkraft!$E$2*$AF$1*E39,PlotData!$CB$3)</f>
        <v>0</v>
      </c>
      <c r="AF39" s="721">
        <f>IF(ISNUMBER(System!$C40),PlotData!F40+Normalkraft!$E$2* $AF$1*F39,PlotData!$CB$3)</f>
        <v>0</v>
      </c>
      <c r="AG39" s="721">
        <f>IF(ISNUMBER(System!$C40),PlotData!G40+ Normalkraft!$E$2*$AF$1*G39,PlotData!$CB$3)</f>
        <v>0</v>
      </c>
      <c r="AH39" s="721">
        <f>IF(ISNUMBER(System!$C40),PlotData!H40+ Normalkraft!$E$2*$AF$1*H39,PlotData!$CB$3)</f>
        <v>0</v>
      </c>
      <c r="AI39" s="721">
        <f>IF(ISNUMBER(System!$C40),PlotData!I40+ Normalkraft!$E$2*$AF$1*I39,PlotData!$CB$3)</f>
        <v>0</v>
      </c>
      <c r="AJ39" s="721">
        <f>IF(ISNUMBER(System!$C40),PlotData!J40+ Normalkraft!$E$2*$AF$1*J39,PlotData!$CB$3)</f>
        <v>0</v>
      </c>
      <c r="AK39" s="721">
        <f>IF(ISNUMBER(System!$C40),PlotData!K40+Normalkraft!$E$2* $AF$1*K39,PlotData!$CB$3)</f>
        <v>0</v>
      </c>
      <c r="AL39" s="639">
        <f>IF(ISNUMBER(System!$C40),PlotData!L40+Normalkraft!$E$2* $AF$1*L39,PlotData!$CB$3)</f>
        <v>0</v>
      </c>
      <c r="AM39" s="668">
        <f>IF(ISNUMBER(System!$C40),PlotData!L40,PlotData!$CB$3)</f>
        <v>0</v>
      </c>
      <c r="AN39" s="721">
        <f>IF(ISNUMBER(System!$C40),PlotData!B40,PlotData!$CB$3)</f>
        <v>0</v>
      </c>
      <c r="AO39" s="639">
        <f>IF(ISNUMBER(System!$C40),AB39,PlotData!$CB$3)</f>
        <v>0</v>
      </c>
      <c r="AQ39" s="1124">
        <v>37</v>
      </c>
      <c r="AR39" s="668">
        <f>IF(ISNUMBER(System!$C40),PlotData!O40+ Normalkraft!$E$2*$AF$1*O39,PlotData!$CB$4)</f>
        <v>0</v>
      </c>
      <c r="AS39" s="721">
        <f>IF(ISNUMBER(System!$C40),PlotData!P40+ Normalkraft!$E$2*$AF$1*P39,PlotData!$CB$4)</f>
        <v>0</v>
      </c>
      <c r="AT39" s="721">
        <f>IF(ISNUMBER(System!$C40),PlotData!Q40+ Normalkraft!$E$2*$AF$1*Q39,PlotData!$CB$4)</f>
        <v>0</v>
      </c>
      <c r="AU39" s="721">
        <f>IF(ISNUMBER(System!$C40),PlotData!R40+ Normalkraft!$E$2*$AF$1*R39,PlotData!$CB$4)</f>
        <v>0</v>
      </c>
      <c r="AV39" s="721">
        <f>IF(ISNUMBER(System!$C40),PlotData!S40+Normalkraft!$E$2* $AF$1*S39,PlotData!$CB$4)</f>
        <v>0</v>
      </c>
      <c r="AW39" s="721">
        <f>IF(ISNUMBER(System!$C40),PlotData!T40+ Normalkraft!$E$2*$AF$1*T39,PlotData!$CB$4)</f>
        <v>0</v>
      </c>
      <c r="AX39" s="721">
        <f>IF(ISNUMBER(System!$C40),PlotData!U40+Normalkraft!$E$2* $AF$1*U39,PlotData!$CB$4)</f>
        <v>0</v>
      </c>
      <c r="AY39" s="721">
        <f>IF(ISNUMBER(System!$C40),PlotData!V40+ Normalkraft!$E$2*$AF$1*V39,PlotData!$CB$4)</f>
        <v>0</v>
      </c>
      <c r="AZ39" s="721">
        <f>IF(ISNUMBER(System!$C40),PlotData!W40+ Normalkraft!$E$2*$AF$1*W39,PlotData!$CB$4)</f>
        <v>0</v>
      </c>
      <c r="BA39" s="721">
        <f>IF(ISNUMBER(System!$C40),PlotData!X40+ Normalkraft!$E$2*$AF$1*X39,PlotData!$CB$4)</f>
        <v>0</v>
      </c>
      <c r="BB39" s="639">
        <f>IF(ISNUMBER(System!$C40),PlotData!Y40+Normalkraft!$E$2*$AF$1*Y39,PlotData!$CB$4)</f>
        <v>0</v>
      </c>
      <c r="BC39" s="668">
        <f>IF(ISNUMBER(System!$C40),PlotData!Y40, PlotData!CB$4)</f>
        <v>0</v>
      </c>
      <c r="BD39" s="721">
        <f>IF(ISNUMBER(System!$C40),PlotData!O40, PlotData!$CB$4)</f>
        <v>0</v>
      </c>
      <c r="BE39" s="639">
        <f>IF(ISNUMBER(System!$C40), AR39,PlotData!$CB$4)</f>
        <v>0</v>
      </c>
    </row>
    <row r="40" spans="1:57" x14ac:dyDescent="0.25">
      <c r="A40" s="1123">
        <v>38</v>
      </c>
      <c r="B40" s="668"/>
      <c r="C40" s="721"/>
      <c r="D40" s="721"/>
      <c r="E40" s="721"/>
      <c r="F40" s="721"/>
      <c r="G40" s="721"/>
      <c r="H40" s="721"/>
      <c r="I40" s="721"/>
      <c r="J40" s="721"/>
      <c r="K40" s="721"/>
      <c r="L40" s="639"/>
      <c r="N40" s="1123">
        <v>38</v>
      </c>
      <c r="O40" s="668"/>
      <c r="P40" s="721"/>
      <c r="Q40" s="721"/>
      <c r="R40" s="721"/>
      <c r="S40" s="721"/>
      <c r="T40" s="721"/>
      <c r="U40" s="721"/>
      <c r="V40" s="721"/>
      <c r="W40" s="721"/>
      <c r="X40" s="721"/>
      <c r="Y40" s="639"/>
      <c r="AA40" s="1125">
        <v>38</v>
      </c>
      <c r="AB40" s="668">
        <f>IF(ISNUMBER(System!$C41),PlotData!B41+ Normalkraft!$E$2*$AF$1*B40,PlotData!$CB$3)</f>
        <v>0</v>
      </c>
      <c r="AC40" s="721">
        <f>IF(ISNUMBER(System!$C41),PlotData!C41+ Normalkraft!$E$2*$AF$1*C40,PlotData!$CB$3)</f>
        <v>0</v>
      </c>
      <c r="AD40" s="721">
        <f>IF(ISNUMBER(System!$C41),PlotData!D41+ Normalkraft!$E$2*$AF$1*D40,PlotData!$CB$3)</f>
        <v>0</v>
      </c>
      <c r="AE40" s="721">
        <f>IF(ISNUMBER(System!$C41),PlotData!E41+ Normalkraft!$E$2*$AF$1*E40,PlotData!$CB$3)</f>
        <v>0</v>
      </c>
      <c r="AF40" s="721">
        <f>IF(ISNUMBER(System!$C41),PlotData!F41+Normalkraft!$E$2* $AF$1*F40,PlotData!$CB$3)</f>
        <v>0</v>
      </c>
      <c r="AG40" s="721">
        <f>IF(ISNUMBER(System!$C41),PlotData!G41+ Normalkraft!$E$2*$AF$1*G40,PlotData!$CB$3)</f>
        <v>0</v>
      </c>
      <c r="AH40" s="721">
        <f>IF(ISNUMBER(System!$C41),PlotData!H41+ Normalkraft!$E$2*$AF$1*H40,PlotData!$CB$3)</f>
        <v>0</v>
      </c>
      <c r="AI40" s="721">
        <f>IF(ISNUMBER(System!$C41),PlotData!I41+ Normalkraft!$E$2*$AF$1*I40,PlotData!$CB$3)</f>
        <v>0</v>
      </c>
      <c r="AJ40" s="721">
        <f>IF(ISNUMBER(System!$C41),PlotData!J41+ Normalkraft!$E$2*$AF$1*J40,PlotData!$CB$3)</f>
        <v>0</v>
      </c>
      <c r="AK40" s="721">
        <f>IF(ISNUMBER(System!$C41),PlotData!K41+Normalkraft!$E$2* $AF$1*K40,PlotData!$CB$3)</f>
        <v>0</v>
      </c>
      <c r="AL40" s="639">
        <f>IF(ISNUMBER(System!$C41),PlotData!L41+Normalkraft!$E$2* $AF$1*L40,PlotData!$CB$3)</f>
        <v>0</v>
      </c>
      <c r="AM40" s="668">
        <f>IF(ISNUMBER(System!$C41),PlotData!L41,PlotData!$CB$3)</f>
        <v>0</v>
      </c>
      <c r="AN40" s="721">
        <f>IF(ISNUMBER(System!$C41),PlotData!B41,PlotData!$CB$3)</f>
        <v>0</v>
      </c>
      <c r="AO40" s="639">
        <f>IF(ISNUMBER(System!$C41),AB40,PlotData!$CB$3)</f>
        <v>0</v>
      </c>
      <c r="AQ40" s="1124">
        <v>38</v>
      </c>
      <c r="AR40" s="668">
        <f>IF(ISNUMBER(System!$C41),PlotData!O41+ Normalkraft!$E$2*$AF$1*O40,PlotData!$CB$4)</f>
        <v>0</v>
      </c>
      <c r="AS40" s="721">
        <f>IF(ISNUMBER(System!$C41),PlotData!P41+ Normalkraft!$E$2*$AF$1*P40,PlotData!$CB$4)</f>
        <v>0</v>
      </c>
      <c r="AT40" s="721">
        <f>IF(ISNUMBER(System!$C41),PlotData!Q41+ Normalkraft!$E$2*$AF$1*Q40,PlotData!$CB$4)</f>
        <v>0</v>
      </c>
      <c r="AU40" s="721">
        <f>IF(ISNUMBER(System!$C41),PlotData!R41+ Normalkraft!$E$2*$AF$1*R40,PlotData!$CB$4)</f>
        <v>0</v>
      </c>
      <c r="AV40" s="721">
        <f>IF(ISNUMBER(System!$C41),PlotData!S41+Normalkraft!$E$2* $AF$1*S40,PlotData!$CB$4)</f>
        <v>0</v>
      </c>
      <c r="AW40" s="721">
        <f>IF(ISNUMBER(System!$C41),PlotData!T41+ Normalkraft!$E$2*$AF$1*T40,PlotData!$CB$4)</f>
        <v>0</v>
      </c>
      <c r="AX40" s="721">
        <f>IF(ISNUMBER(System!$C41),PlotData!U41+Normalkraft!$E$2* $AF$1*U40,PlotData!$CB$4)</f>
        <v>0</v>
      </c>
      <c r="AY40" s="721">
        <f>IF(ISNUMBER(System!$C41),PlotData!V41+ Normalkraft!$E$2*$AF$1*V40,PlotData!$CB$4)</f>
        <v>0</v>
      </c>
      <c r="AZ40" s="721">
        <f>IF(ISNUMBER(System!$C41),PlotData!W41+ Normalkraft!$E$2*$AF$1*W40,PlotData!$CB$4)</f>
        <v>0</v>
      </c>
      <c r="BA40" s="721">
        <f>IF(ISNUMBER(System!$C41),PlotData!X41+ Normalkraft!$E$2*$AF$1*X40,PlotData!$CB$4)</f>
        <v>0</v>
      </c>
      <c r="BB40" s="639">
        <f>IF(ISNUMBER(System!$C41),PlotData!Y41+Normalkraft!$E$2*$AF$1*Y40,PlotData!$CB$4)</f>
        <v>0</v>
      </c>
      <c r="BC40" s="668">
        <f>IF(ISNUMBER(System!$C41),PlotData!Y41, PlotData!CB$4)</f>
        <v>0</v>
      </c>
      <c r="BD40" s="721">
        <f>IF(ISNUMBER(System!$C41),PlotData!O41, PlotData!$CB$4)</f>
        <v>0</v>
      </c>
      <c r="BE40" s="639">
        <f>IF(ISNUMBER(System!$C41), AR40,PlotData!$CB$4)</f>
        <v>0</v>
      </c>
    </row>
    <row r="41" spans="1:57" x14ac:dyDescent="0.25">
      <c r="A41" s="1123">
        <v>39</v>
      </c>
      <c r="B41" s="668"/>
      <c r="C41" s="721"/>
      <c r="D41" s="721"/>
      <c r="E41" s="721"/>
      <c r="F41" s="721"/>
      <c r="G41" s="721"/>
      <c r="H41" s="721"/>
      <c r="I41" s="721"/>
      <c r="J41" s="721"/>
      <c r="K41" s="721"/>
      <c r="L41" s="639"/>
      <c r="N41" s="1123">
        <v>39</v>
      </c>
      <c r="O41" s="668"/>
      <c r="P41" s="721"/>
      <c r="Q41" s="721"/>
      <c r="R41" s="721"/>
      <c r="S41" s="721"/>
      <c r="T41" s="721"/>
      <c r="U41" s="721"/>
      <c r="V41" s="721"/>
      <c r="W41" s="721"/>
      <c r="X41" s="721"/>
      <c r="Y41" s="639"/>
      <c r="AA41" s="1125">
        <v>39</v>
      </c>
      <c r="AB41" s="668">
        <f>IF(ISNUMBER(System!$C42),PlotData!B42+ Normalkraft!$E$2*$AF$1*B41,PlotData!$CB$3)</f>
        <v>0</v>
      </c>
      <c r="AC41" s="721">
        <f>IF(ISNUMBER(System!$C42),PlotData!C42+ Normalkraft!$E$2*$AF$1*C41,PlotData!$CB$3)</f>
        <v>0</v>
      </c>
      <c r="AD41" s="721">
        <f>IF(ISNUMBER(System!$C42),PlotData!D42+ Normalkraft!$E$2*$AF$1*D41,PlotData!$CB$3)</f>
        <v>0</v>
      </c>
      <c r="AE41" s="721">
        <f>IF(ISNUMBER(System!$C42),PlotData!E42+ Normalkraft!$E$2*$AF$1*E41,PlotData!$CB$3)</f>
        <v>0</v>
      </c>
      <c r="AF41" s="721">
        <f>IF(ISNUMBER(System!$C42),PlotData!F42+Normalkraft!$E$2* $AF$1*F41,PlotData!$CB$3)</f>
        <v>0</v>
      </c>
      <c r="AG41" s="721">
        <f>IF(ISNUMBER(System!$C42),PlotData!G42+ Normalkraft!$E$2*$AF$1*G41,PlotData!$CB$3)</f>
        <v>0</v>
      </c>
      <c r="AH41" s="721">
        <f>IF(ISNUMBER(System!$C42),PlotData!H42+ Normalkraft!$E$2*$AF$1*H41,PlotData!$CB$3)</f>
        <v>0</v>
      </c>
      <c r="AI41" s="721">
        <f>IF(ISNUMBER(System!$C42),PlotData!I42+ Normalkraft!$E$2*$AF$1*I41,PlotData!$CB$3)</f>
        <v>0</v>
      </c>
      <c r="AJ41" s="721">
        <f>IF(ISNUMBER(System!$C42),PlotData!J42+ Normalkraft!$E$2*$AF$1*J41,PlotData!$CB$3)</f>
        <v>0</v>
      </c>
      <c r="AK41" s="721">
        <f>IF(ISNUMBER(System!$C42),PlotData!K42+Normalkraft!$E$2* $AF$1*K41,PlotData!$CB$3)</f>
        <v>0</v>
      </c>
      <c r="AL41" s="639">
        <f>IF(ISNUMBER(System!$C42),PlotData!L42+Normalkraft!$E$2* $AF$1*L41,PlotData!$CB$3)</f>
        <v>0</v>
      </c>
      <c r="AM41" s="668">
        <f>IF(ISNUMBER(System!$C42),PlotData!L42,PlotData!$CB$3)</f>
        <v>0</v>
      </c>
      <c r="AN41" s="721">
        <f>IF(ISNUMBER(System!$C42),PlotData!B42,PlotData!$CB$3)</f>
        <v>0</v>
      </c>
      <c r="AO41" s="639">
        <f>IF(ISNUMBER(System!$C42),AB41,PlotData!$CB$3)</f>
        <v>0</v>
      </c>
      <c r="AQ41" s="1124">
        <v>39</v>
      </c>
      <c r="AR41" s="668">
        <f>IF(ISNUMBER(System!$C42),PlotData!O42+ Normalkraft!$E$2*$AF$1*O41,PlotData!$CB$4)</f>
        <v>0</v>
      </c>
      <c r="AS41" s="721">
        <f>IF(ISNUMBER(System!$C42),PlotData!P42+ Normalkraft!$E$2*$AF$1*P41,PlotData!$CB$4)</f>
        <v>0</v>
      </c>
      <c r="AT41" s="721">
        <f>IF(ISNUMBER(System!$C42),PlotData!Q42+ Normalkraft!$E$2*$AF$1*Q41,PlotData!$CB$4)</f>
        <v>0</v>
      </c>
      <c r="AU41" s="721">
        <f>IF(ISNUMBER(System!$C42),PlotData!R42+ Normalkraft!$E$2*$AF$1*R41,PlotData!$CB$4)</f>
        <v>0</v>
      </c>
      <c r="AV41" s="721">
        <f>IF(ISNUMBER(System!$C42),PlotData!S42+Normalkraft!$E$2* $AF$1*S41,PlotData!$CB$4)</f>
        <v>0</v>
      </c>
      <c r="AW41" s="721">
        <f>IF(ISNUMBER(System!$C42),PlotData!T42+ Normalkraft!$E$2*$AF$1*T41,PlotData!$CB$4)</f>
        <v>0</v>
      </c>
      <c r="AX41" s="721">
        <f>IF(ISNUMBER(System!$C42),PlotData!U42+Normalkraft!$E$2* $AF$1*U41,PlotData!$CB$4)</f>
        <v>0</v>
      </c>
      <c r="AY41" s="721">
        <f>IF(ISNUMBER(System!$C42),PlotData!V42+ Normalkraft!$E$2*$AF$1*V41,PlotData!$CB$4)</f>
        <v>0</v>
      </c>
      <c r="AZ41" s="721">
        <f>IF(ISNUMBER(System!$C42),PlotData!W42+ Normalkraft!$E$2*$AF$1*W41,PlotData!$CB$4)</f>
        <v>0</v>
      </c>
      <c r="BA41" s="721">
        <f>IF(ISNUMBER(System!$C42),PlotData!X42+ Normalkraft!$E$2*$AF$1*X41,PlotData!$CB$4)</f>
        <v>0</v>
      </c>
      <c r="BB41" s="639">
        <f>IF(ISNUMBER(System!$C42),PlotData!Y42+Normalkraft!$E$2*$AF$1*Y41,PlotData!$CB$4)</f>
        <v>0</v>
      </c>
      <c r="BC41" s="668">
        <f>IF(ISNUMBER(System!$C42),PlotData!Y42, PlotData!CB$4)</f>
        <v>0</v>
      </c>
      <c r="BD41" s="721">
        <f>IF(ISNUMBER(System!$C42),PlotData!O42, PlotData!$CB$4)</f>
        <v>0</v>
      </c>
      <c r="BE41" s="639">
        <f>IF(ISNUMBER(System!$C42), AR41,PlotData!$CB$4)</f>
        <v>0</v>
      </c>
    </row>
    <row r="42" spans="1:57" ht="13.8" thickBot="1" x14ac:dyDescent="0.3">
      <c r="A42" s="1136">
        <v>40</v>
      </c>
      <c r="B42" s="669"/>
      <c r="C42" s="1137"/>
      <c r="D42" s="1137"/>
      <c r="E42" s="1137"/>
      <c r="F42" s="1137"/>
      <c r="G42" s="1137"/>
      <c r="H42" s="1137"/>
      <c r="I42" s="1137"/>
      <c r="J42" s="1137"/>
      <c r="K42" s="1137"/>
      <c r="L42" s="646"/>
      <c r="N42" s="1136">
        <v>40</v>
      </c>
      <c r="O42" s="669"/>
      <c r="P42" s="1137"/>
      <c r="Q42" s="1137"/>
      <c r="R42" s="1137"/>
      <c r="S42" s="1137"/>
      <c r="T42" s="1137"/>
      <c r="U42" s="1137"/>
      <c r="V42" s="1137"/>
      <c r="W42" s="1137"/>
      <c r="X42" s="1137"/>
      <c r="Y42" s="646"/>
      <c r="AA42" s="1139">
        <v>40</v>
      </c>
      <c r="AB42" s="669">
        <f>IF(ISNUMBER(System!$C43),PlotData!B43+ Normalkraft!$E$2*$AF$1*B42,PlotData!$CB$3)</f>
        <v>0</v>
      </c>
      <c r="AC42" s="1137">
        <f>IF(ISNUMBER(System!$C43),PlotData!C43+ Normalkraft!$E$2*$AF$1*C42,PlotData!$CB$3)</f>
        <v>0</v>
      </c>
      <c r="AD42" s="1137">
        <f>IF(ISNUMBER(System!$C43),PlotData!D43+ Normalkraft!$E$2*$AF$1*D42,PlotData!$CB$3)</f>
        <v>0</v>
      </c>
      <c r="AE42" s="1137">
        <f>IF(ISNUMBER(System!$C43),PlotData!E43+ Normalkraft!$E$2*$AF$1*E42,PlotData!$CB$3)</f>
        <v>0</v>
      </c>
      <c r="AF42" s="1137">
        <f>IF(ISNUMBER(System!$C43),PlotData!F43+Normalkraft!$E$2* $AF$1*F42,PlotData!$CB$3)</f>
        <v>0</v>
      </c>
      <c r="AG42" s="1137">
        <f>IF(ISNUMBER(System!$C43),PlotData!G43+ Normalkraft!$E$2*$AF$1*G42,PlotData!$CB$3)</f>
        <v>0</v>
      </c>
      <c r="AH42" s="1137">
        <f>IF(ISNUMBER(System!$C43),PlotData!H43+ Normalkraft!$E$2*$AF$1*H42,PlotData!$CB$3)</f>
        <v>0</v>
      </c>
      <c r="AI42" s="1137">
        <f>IF(ISNUMBER(System!$C43),PlotData!I43+ Normalkraft!$E$2*$AF$1*I42,PlotData!$CB$3)</f>
        <v>0</v>
      </c>
      <c r="AJ42" s="1137">
        <f>IF(ISNUMBER(System!$C43),PlotData!J43+ Normalkraft!$E$2*$AF$1*J42,PlotData!$CB$3)</f>
        <v>0</v>
      </c>
      <c r="AK42" s="1137">
        <f>IF(ISNUMBER(System!$C43),PlotData!K43+Normalkraft!$E$2* $AF$1*K42,PlotData!$CB$3)</f>
        <v>0</v>
      </c>
      <c r="AL42" s="646">
        <f>IF(ISNUMBER(System!$C43),PlotData!L43+Normalkraft!$E$2* $AF$1*L42,PlotData!$CB$3)</f>
        <v>0</v>
      </c>
      <c r="AM42" s="669">
        <f>IF(ISNUMBER(System!$C43),PlotData!L43,PlotData!$CB$3)</f>
        <v>0</v>
      </c>
      <c r="AN42" s="1137">
        <f>IF(ISNUMBER(System!$C43),PlotData!B43,PlotData!$CB$3)</f>
        <v>0</v>
      </c>
      <c r="AO42" s="646">
        <f>IF(ISNUMBER(System!$C43),AB42,PlotData!$CB$3)</f>
        <v>0</v>
      </c>
      <c r="AQ42" s="1138">
        <v>40</v>
      </c>
      <c r="AR42" s="669">
        <f>IF(ISNUMBER(System!$C43),PlotData!O43+ Normalkraft!$E$2*$AF$1*O42,PlotData!$CB$4)</f>
        <v>0</v>
      </c>
      <c r="AS42" s="1137">
        <f>IF(ISNUMBER(System!$C43),PlotData!P43+ Normalkraft!$E$2*$AF$1*P42,PlotData!$CB$4)</f>
        <v>0</v>
      </c>
      <c r="AT42" s="1137">
        <f>IF(ISNUMBER(System!$C43),PlotData!Q43+ Normalkraft!$E$2*$AF$1*Q42,PlotData!$CB$4)</f>
        <v>0</v>
      </c>
      <c r="AU42" s="1137">
        <f>IF(ISNUMBER(System!$C43),PlotData!R43+ Normalkraft!$E$2*$AF$1*R42,PlotData!$CB$4)</f>
        <v>0</v>
      </c>
      <c r="AV42" s="1137">
        <f>IF(ISNUMBER(System!$C43),PlotData!S43+Normalkraft!$E$2* $AF$1*S42,PlotData!$CB$4)</f>
        <v>0</v>
      </c>
      <c r="AW42" s="1137">
        <f>IF(ISNUMBER(System!$C43),PlotData!T43+ Normalkraft!$E$2*$AF$1*T42,PlotData!$CB$4)</f>
        <v>0</v>
      </c>
      <c r="AX42" s="1137">
        <f>IF(ISNUMBER(System!$C43),PlotData!U43+Normalkraft!$E$2* $AF$1*U42,PlotData!$CB$4)</f>
        <v>0</v>
      </c>
      <c r="AY42" s="1137">
        <f>IF(ISNUMBER(System!$C43),PlotData!V43+ Normalkraft!$E$2*$AF$1*V42,PlotData!$CB$4)</f>
        <v>0</v>
      </c>
      <c r="AZ42" s="1137">
        <f>IF(ISNUMBER(System!$C43),PlotData!W43+ Normalkraft!$E$2*$AF$1*W42,PlotData!$CB$4)</f>
        <v>0</v>
      </c>
      <c r="BA42" s="1137">
        <f>IF(ISNUMBER(System!$C43),PlotData!X43+ Normalkraft!$E$2*$AF$1*X42,PlotData!$CB$4)</f>
        <v>0</v>
      </c>
      <c r="BB42" s="646">
        <f>IF(ISNUMBER(System!$C43),PlotData!Y43+Normalkraft!$E$2*$AF$1*Y42,PlotData!$CB$4)</f>
        <v>0</v>
      </c>
      <c r="BC42" s="669">
        <f>IF(ISNUMBER(System!$C43),PlotData!Y43, PlotData!CB$4)</f>
        <v>0</v>
      </c>
      <c r="BD42" s="1137">
        <f>IF(ISNUMBER(System!$C43),PlotData!O43, PlotData!$CB$4)</f>
        <v>0</v>
      </c>
      <c r="BE42" s="646">
        <f>IF(ISNUMBER(System!$C43), AR42,PlotData!$CB$4)</f>
        <v>0</v>
      </c>
    </row>
    <row r="43" spans="1:57" x14ac:dyDescent="0.25">
      <c r="AA43" s="602"/>
    </row>
    <row r="44" spans="1:57" x14ac:dyDescent="0.25">
      <c r="Z44" s="41"/>
    </row>
    <row r="45" spans="1:57" x14ac:dyDescent="0.25">
      <c r="Z45" s="41"/>
    </row>
    <row r="46" spans="1:57" x14ac:dyDescent="0.25">
      <c r="Z46" s="41"/>
    </row>
    <row r="47" spans="1:57" x14ac:dyDescent="0.25">
      <c r="Z47" s="41"/>
    </row>
    <row r="48" spans="1:57" x14ac:dyDescent="0.25">
      <c r="Z48" s="41"/>
    </row>
    <row r="49" spans="26:26" x14ac:dyDescent="0.25">
      <c r="Z49" s="41"/>
    </row>
    <row r="50" spans="26:26" x14ac:dyDescent="0.25">
      <c r="Z50" s="41"/>
    </row>
    <row r="51" spans="26:26" x14ac:dyDescent="0.25">
      <c r="Z51" s="41"/>
    </row>
    <row r="52" spans="26:26" x14ac:dyDescent="0.25">
      <c r="Z52" s="41"/>
    </row>
    <row r="53" spans="26:26" x14ac:dyDescent="0.25">
      <c r="Z53" s="41"/>
    </row>
    <row r="54" spans="26:26" x14ac:dyDescent="0.25">
      <c r="Z54" s="41"/>
    </row>
    <row r="55" spans="26:26" x14ac:dyDescent="0.25">
      <c r="Z55" s="41"/>
    </row>
    <row r="56" spans="26:26" x14ac:dyDescent="0.25">
      <c r="Z56" s="41"/>
    </row>
    <row r="57" spans="26:26" x14ac:dyDescent="0.25">
      <c r="Z57" s="41"/>
    </row>
    <row r="58" spans="26:26" x14ac:dyDescent="0.25">
      <c r="Z58" s="41"/>
    </row>
    <row r="59" spans="26:26" x14ac:dyDescent="0.25">
      <c r="Z59" s="41"/>
    </row>
    <row r="60" spans="26:26" x14ac:dyDescent="0.25">
      <c r="Z60" s="41"/>
    </row>
    <row r="61" spans="26:26" x14ac:dyDescent="0.25">
      <c r="Z61" s="41"/>
    </row>
    <row r="62" spans="26:26" x14ac:dyDescent="0.25">
      <c r="Z62" s="41"/>
    </row>
    <row r="63" spans="26:26" x14ac:dyDescent="0.25">
      <c r="Z63" s="41"/>
    </row>
    <row r="64" spans="26:26" x14ac:dyDescent="0.25">
      <c r="Z64" s="41"/>
    </row>
    <row r="65" spans="26:26" x14ac:dyDescent="0.25">
      <c r="Z65" s="41"/>
    </row>
    <row r="66" spans="26:26" x14ac:dyDescent="0.25">
      <c r="Z66" s="41"/>
    </row>
    <row r="67" spans="26:26" x14ac:dyDescent="0.25">
      <c r="Z67" s="41"/>
    </row>
    <row r="68" spans="26:26" x14ac:dyDescent="0.25">
      <c r="Z68" s="41"/>
    </row>
    <row r="69" spans="26:26" x14ac:dyDescent="0.25">
      <c r="Z69" s="41"/>
    </row>
    <row r="70" spans="26:26" x14ac:dyDescent="0.25">
      <c r="Z70" s="41"/>
    </row>
    <row r="71" spans="26:26" x14ac:dyDescent="0.25">
      <c r="Z71" s="41"/>
    </row>
    <row r="72" spans="26:26" x14ac:dyDescent="0.25">
      <c r="Z72" s="41"/>
    </row>
    <row r="73" spans="26:26" x14ac:dyDescent="0.25">
      <c r="Z73" s="41"/>
    </row>
    <row r="74" spans="26:26" x14ac:dyDescent="0.25">
      <c r="Z74" s="41"/>
    </row>
    <row r="75" spans="26:26" x14ac:dyDescent="0.25">
      <c r="Z75" s="41"/>
    </row>
    <row r="76" spans="26:26" x14ac:dyDescent="0.25">
      <c r="Z76" s="41"/>
    </row>
    <row r="77" spans="26:26" x14ac:dyDescent="0.25">
      <c r="Z77" s="41"/>
    </row>
    <row r="78" spans="26:26" x14ac:dyDescent="0.25">
      <c r="Z78" s="41"/>
    </row>
    <row r="79" spans="26:26" x14ac:dyDescent="0.25">
      <c r="Z79" s="41"/>
    </row>
    <row r="80" spans="26:26" x14ac:dyDescent="0.25">
      <c r="Z80" s="41"/>
    </row>
    <row r="81" spans="26:26" x14ac:dyDescent="0.25">
      <c r="Z81" s="41"/>
    </row>
    <row r="82" spans="26:26" x14ac:dyDescent="0.25">
      <c r="Z82" s="41"/>
    </row>
    <row r="83" spans="26:26" x14ac:dyDescent="0.25">
      <c r="Z83" s="41"/>
    </row>
    <row r="84" spans="26:26" x14ac:dyDescent="0.25">
      <c r="Z84" s="41"/>
    </row>
    <row r="85" spans="26:26" x14ac:dyDescent="0.25">
      <c r="Z85" s="41"/>
    </row>
    <row r="86" spans="26:26" x14ac:dyDescent="0.25">
      <c r="Z86" s="41"/>
    </row>
    <row r="87" spans="26:26" x14ac:dyDescent="0.25">
      <c r="Z87" s="41"/>
    </row>
    <row r="88" spans="26:26" x14ac:dyDescent="0.25">
      <c r="Z88" s="41"/>
    </row>
    <row r="89" spans="26:26" x14ac:dyDescent="0.25">
      <c r="Z89" s="41"/>
    </row>
    <row r="90" spans="26:26" x14ac:dyDescent="0.25">
      <c r="Z90" s="41"/>
    </row>
    <row r="91" spans="26:26" x14ac:dyDescent="0.25">
      <c r="Z91" s="41"/>
    </row>
    <row r="92" spans="26:26" x14ac:dyDescent="0.25">
      <c r="Z92" s="41"/>
    </row>
    <row r="93" spans="26:26" x14ac:dyDescent="0.25">
      <c r="Z93" s="41"/>
    </row>
    <row r="94" spans="26:26" x14ac:dyDescent="0.25">
      <c r="Z94" s="41"/>
    </row>
    <row r="95" spans="26:26" x14ac:dyDescent="0.25">
      <c r="Z95" s="41"/>
    </row>
    <row r="96" spans="26:26" x14ac:dyDescent="0.25">
      <c r="Z96" s="41"/>
    </row>
    <row r="97" spans="26:26" x14ac:dyDescent="0.25">
      <c r="Z97" s="41"/>
    </row>
    <row r="98" spans="26:26" x14ac:dyDescent="0.25">
      <c r="Z98" s="41"/>
    </row>
    <row r="99" spans="26:26" x14ac:dyDescent="0.25">
      <c r="Z99" s="41"/>
    </row>
    <row r="100" spans="26:26" x14ac:dyDescent="0.25">
      <c r="Z100" s="41"/>
    </row>
    <row r="101" spans="26:26" x14ac:dyDescent="0.25">
      <c r="Z101" s="41"/>
    </row>
    <row r="102" spans="26:26" x14ac:dyDescent="0.25">
      <c r="Z102" s="41"/>
    </row>
    <row r="103" spans="26:26" x14ac:dyDescent="0.25">
      <c r="Z103" s="41"/>
    </row>
    <row r="104" spans="26:26" x14ac:dyDescent="0.25">
      <c r="Z104" s="41"/>
    </row>
    <row r="105" spans="26:26" x14ac:dyDescent="0.25">
      <c r="Z105" s="41"/>
    </row>
    <row r="106" spans="26:26" x14ac:dyDescent="0.25">
      <c r="Z106" s="41"/>
    </row>
    <row r="107" spans="26:26" x14ac:dyDescent="0.25">
      <c r="Z107" s="41"/>
    </row>
    <row r="108" spans="26:26" x14ac:dyDescent="0.25">
      <c r="Z108" s="41"/>
    </row>
    <row r="109" spans="26:26" x14ac:dyDescent="0.25">
      <c r="Z109" s="41"/>
    </row>
    <row r="110" spans="26:26" x14ac:dyDescent="0.25">
      <c r="Z110" s="41"/>
    </row>
    <row r="111" spans="26:26" x14ac:dyDescent="0.25">
      <c r="Z111" s="41"/>
    </row>
    <row r="112" spans="26:26" x14ac:dyDescent="0.25">
      <c r="Z112" s="41"/>
    </row>
    <row r="113" spans="26:26" x14ac:dyDescent="0.25">
      <c r="Z113" s="41"/>
    </row>
    <row r="114" spans="26:26" x14ac:dyDescent="0.25">
      <c r="Z114" s="41"/>
    </row>
    <row r="115" spans="26:26" x14ac:dyDescent="0.25">
      <c r="Z115" s="41"/>
    </row>
    <row r="116" spans="26:26" x14ac:dyDescent="0.25">
      <c r="Z116" s="41"/>
    </row>
    <row r="117" spans="26:26" x14ac:dyDescent="0.25">
      <c r="Z117" s="41"/>
    </row>
    <row r="118" spans="26:26" x14ac:dyDescent="0.25">
      <c r="Z118" s="41"/>
    </row>
    <row r="119" spans="26:26" x14ac:dyDescent="0.25">
      <c r="Z119" s="41"/>
    </row>
    <row r="120" spans="26:26" x14ac:dyDescent="0.25">
      <c r="Z120" s="41"/>
    </row>
    <row r="121" spans="26:26" x14ac:dyDescent="0.25">
      <c r="Z121" s="41"/>
    </row>
  </sheetData>
  <mergeCells count="1">
    <mergeCell ref="A1:B1"/>
  </mergeCells>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21"/>
  <dimension ref="A1:BI42"/>
  <sheetViews>
    <sheetView topLeftCell="AP1" zoomScale="60" zoomScaleNormal="60" workbookViewId="0">
      <selection activeCell="AR3" sqref="AR3"/>
    </sheetView>
  </sheetViews>
  <sheetFormatPr defaultColWidth="11.44140625" defaultRowHeight="13.2" x14ac:dyDescent="0.25"/>
  <cols>
    <col min="1" max="1" width="4" style="41" bestFit="1" customWidth="1"/>
    <col min="2" max="12" width="11.44140625" style="41"/>
    <col min="13" max="13" width="4.44140625" style="41" customWidth="1"/>
    <col min="14" max="15" width="10.44140625" style="41" customWidth="1"/>
    <col min="16" max="17" width="11.44140625" style="41" customWidth="1"/>
    <col min="18" max="25" width="11.44140625" style="41"/>
    <col min="26" max="26" width="3.44140625" style="1141" customWidth="1"/>
    <col min="27" max="41" width="11.44140625" style="41"/>
    <col min="42" max="42" width="3.5546875" style="41" customWidth="1"/>
    <col min="43" max="54" width="11.44140625" style="41"/>
    <col min="55" max="55" width="14.44140625" style="41" bestFit="1" customWidth="1"/>
    <col min="56" max="57" width="11.44140625" style="41"/>
    <col min="58" max="58" width="3.5546875" style="41" customWidth="1"/>
    <col min="59" max="16384" width="11.44140625" style="41"/>
  </cols>
  <sheetData>
    <row r="1" spans="1:61" ht="13.8" thickBot="1" x14ac:dyDescent="0.3">
      <c r="B1" s="41" t="s">
        <v>149</v>
      </c>
      <c r="O1" s="41">
        <f>COLUMN(O5)</f>
        <v>15</v>
      </c>
      <c r="AB1" s="41">
        <f>COLUMN(AB5)</f>
        <v>28</v>
      </c>
      <c r="AC1" s="41" t="s">
        <v>463</v>
      </c>
      <c r="AE1" s="1108" t="s">
        <v>464</v>
      </c>
      <c r="AF1" s="1110">
        <f>SensA!D6</f>
        <v>1</v>
      </c>
      <c r="AH1" s="1108" t="s">
        <v>178</v>
      </c>
      <c r="AI1" s="1142">
        <f>(MAX(AB3:AL42)+MIN(AB3:AL42))/2</f>
        <v>0</v>
      </c>
      <c r="AJ1" s="1108" t="s">
        <v>465</v>
      </c>
      <c r="AK1" s="1110">
        <f>(MAX(AB3:AL42)-MIN(AB3:AL42))/2</f>
        <v>100</v>
      </c>
      <c r="AR1" s="1143">
        <f>COLUMN(AR4)</f>
        <v>44</v>
      </c>
      <c r="AS1" s="1108" t="s">
        <v>222</v>
      </c>
      <c r="AT1" s="1142">
        <f>(MAX(AR3:BB42)+MIN(AR3:BB42))/2</f>
        <v>0</v>
      </c>
      <c r="AU1" s="1108" t="s">
        <v>466</v>
      </c>
      <c r="AV1" s="1110">
        <f>(MAX(AR3:BB42)-MIN(AR3:BB42))/2</f>
        <v>100</v>
      </c>
      <c r="AW1" s="41" t="s">
        <v>196</v>
      </c>
      <c r="AX1" s="41">
        <f>SQRT(AK1^2+AV1^2)</f>
        <v>141.42135623730951</v>
      </c>
      <c r="BG1" s="41" t="s">
        <v>478</v>
      </c>
    </row>
    <row r="2" spans="1:61" ht="13.8" thickBot="1" x14ac:dyDescent="0.3">
      <c r="A2" s="1105" t="s">
        <v>16</v>
      </c>
      <c r="B2" s="670">
        <v>0</v>
      </c>
      <c r="C2" s="1107">
        <v>0</v>
      </c>
      <c r="D2" s="1107">
        <v>0.2</v>
      </c>
      <c r="E2" s="1107">
        <v>0.3</v>
      </c>
      <c r="F2" s="1107">
        <v>0.4</v>
      </c>
      <c r="G2" s="1107">
        <v>0.5</v>
      </c>
      <c r="H2" s="1107">
        <v>0.6</v>
      </c>
      <c r="I2" s="1107">
        <v>0.7</v>
      </c>
      <c r="J2" s="1107">
        <v>0.8</v>
      </c>
      <c r="K2" s="1107">
        <v>0.9</v>
      </c>
      <c r="L2" s="671">
        <v>1</v>
      </c>
      <c r="N2" s="1105" t="s">
        <v>228</v>
      </c>
      <c r="O2" s="670">
        <v>0</v>
      </c>
      <c r="P2" s="1107">
        <v>0.1</v>
      </c>
      <c r="Q2" s="1107">
        <v>0.2</v>
      </c>
      <c r="R2" s="1107">
        <v>0.3</v>
      </c>
      <c r="S2" s="1107">
        <v>0.4</v>
      </c>
      <c r="T2" s="1107">
        <v>0.5</v>
      </c>
      <c r="U2" s="1107">
        <v>0.6</v>
      </c>
      <c r="V2" s="1107">
        <v>0.7</v>
      </c>
      <c r="W2" s="1107">
        <v>0.8</v>
      </c>
      <c r="X2" s="1107">
        <v>0.9</v>
      </c>
      <c r="Y2" s="671">
        <v>1</v>
      </c>
      <c r="AA2" s="1105" t="s">
        <v>16</v>
      </c>
      <c r="AB2" s="1108">
        <v>0</v>
      </c>
      <c r="AC2" s="1109">
        <v>0.1</v>
      </c>
      <c r="AD2" s="1109">
        <v>0.2</v>
      </c>
      <c r="AE2" s="1109">
        <v>0.3</v>
      </c>
      <c r="AF2" s="1109">
        <v>0.4</v>
      </c>
      <c r="AG2" s="1109">
        <v>0.5</v>
      </c>
      <c r="AH2" s="1109">
        <v>0.6</v>
      </c>
      <c r="AI2" s="1109">
        <v>0.7</v>
      </c>
      <c r="AJ2" s="1109">
        <v>0.8</v>
      </c>
      <c r="AK2" s="1109">
        <v>0.9</v>
      </c>
      <c r="AL2" s="1110">
        <v>1</v>
      </c>
      <c r="AM2" s="1100">
        <v>1</v>
      </c>
      <c r="AN2" s="1107">
        <v>0</v>
      </c>
      <c r="AO2" s="671">
        <v>0</v>
      </c>
      <c r="AQ2" s="1105" t="s">
        <v>228</v>
      </c>
      <c r="AR2" s="1108">
        <v>0</v>
      </c>
      <c r="AS2" s="1109">
        <v>0.1</v>
      </c>
      <c r="AT2" s="1109">
        <v>0.2</v>
      </c>
      <c r="AU2" s="1109">
        <v>0.3</v>
      </c>
      <c r="AV2" s="1109">
        <v>0.4</v>
      </c>
      <c r="AW2" s="1109">
        <v>0.5</v>
      </c>
      <c r="AX2" s="1109">
        <v>0.6</v>
      </c>
      <c r="AY2" s="1109">
        <v>0.7</v>
      </c>
      <c r="AZ2" s="1109">
        <v>0.8</v>
      </c>
      <c r="BA2" s="1109">
        <v>0.9</v>
      </c>
      <c r="BB2" s="1110">
        <v>1</v>
      </c>
      <c r="BC2" s="1100">
        <v>1</v>
      </c>
      <c r="BD2" s="1107">
        <v>0</v>
      </c>
      <c r="BE2" s="671">
        <v>0</v>
      </c>
      <c r="BG2" s="745" t="s">
        <v>178</v>
      </c>
      <c r="BH2" s="1117">
        <f>PlotS!$AI$1</f>
        <v>0</v>
      </c>
      <c r="BI2" s="632"/>
    </row>
    <row r="3" spans="1:61" x14ac:dyDescent="0.25">
      <c r="A3" s="1118">
        <v>1</v>
      </c>
      <c r="B3" s="745"/>
      <c r="C3" s="1117"/>
      <c r="D3" s="1117"/>
      <c r="E3" s="1117"/>
      <c r="F3" s="1117"/>
      <c r="G3" s="1117"/>
      <c r="H3" s="1117"/>
      <c r="I3" s="1117"/>
      <c r="J3" s="1117"/>
      <c r="K3" s="1117"/>
      <c r="L3" s="632"/>
      <c r="N3" s="1118">
        <v>1</v>
      </c>
      <c r="O3" s="745"/>
      <c r="P3" s="1117"/>
      <c r="Q3" s="1117"/>
      <c r="R3" s="1117"/>
      <c r="S3" s="1117"/>
      <c r="T3" s="1117"/>
      <c r="U3" s="1117"/>
      <c r="V3" s="1117"/>
      <c r="W3" s="1117"/>
      <c r="X3" s="1117"/>
      <c r="Y3" s="632"/>
      <c r="AA3" s="1119">
        <v>1</v>
      </c>
      <c r="AB3" s="745">
        <f>IF(ISNUMBER(System!$C4),PlotData!B4+SensA!$E$2* $AF$1*B3,PlotData!$CB$3)</f>
        <v>20</v>
      </c>
      <c r="AC3" s="1117">
        <f>IF(ISNUMBER(System!$C4),PlotData!C4+SensA!$E$2* $AF$1*C3,PlotData!$CB$3)</f>
        <v>28</v>
      </c>
      <c r="AD3" s="1117">
        <f>IF(ISNUMBER(System!$C4),PlotData!D4+SensA!$E$2* $AF$1*D3,PlotData!$CB$3)</f>
        <v>36</v>
      </c>
      <c r="AE3" s="1117">
        <f>IF(ISNUMBER(System!$C4),PlotData!E4+SensA!$E$2* $AF$1*E3,PlotData!$CB$3)</f>
        <v>44</v>
      </c>
      <c r="AF3" s="1117">
        <f>IF(ISNUMBER(System!$C4),PlotData!F4+SensA!$E$2* $AF$1*F3,PlotData!$CB$3)</f>
        <v>52</v>
      </c>
      <c r="AG3" s="1117">
        <f>IF(ISNUMBER(System!$C4),PlotData!G4+SensA!$E$2* $AF$1*G3,PlotData!$CB$3)</f>
        <v>60</v>
      </c>
      <c r="AH3" s="1117">
        <f>IF(ISNUMBER(System!$C4),PlotData!H4+SensA!$E$2* $AF$1*H3,PlotData!$CB$3)</f>
        <v>68</v>
      </c>
      <c r="AI3" s="1117">
        <f>IF(ISNUMBER(System!$C4),PlotData!I4+SensA!$E$2* $AF$1*I3,PlotData!$CB$3)</f>
        <v>76</v>
      </c>
      <c r="AJ3" s="1117">
        <f>IF(ISNUMBER(System!$C4),PlotData!J4+SensA!$E$2* $AF$1*J3,PlotData!$CB$3)</f>
        <v>84</v>
      </c>
      <c r="AK3" s="1117">
        <f>IF(ISNUMBER(System!$C4),PlotData!K4+SensA!$E$2* $AF$1*K3,PlotData!$CB$3)</f>
        <v>92</v>
      </c>
      <c r="AL3" s="632">
        <f>IF(ISNUMBER(System!$C4),PlotData!L4+SensA!$E$2* $AF$1*L3,PlotData!$CB$3)</f>
        <v>100</v>
      </c>
      <c r="AM3" s="1153">
        <f>IF(ISNUMBER(System!$C4),PlotData!L4,PlotData!$CB$3)</f>
        <v>100</v>
      </c>
      <c r="AN3" s="1117">
        <f>IF(ISNUMBER(System!$C4),PlotData!B4,PlotData!$CB$3)</f>
        <v>20</v>
      </c>
      <c r="AO3" s="632">
        <f>IF(ISNUMBER(System!$C4),AB3,PlotData!$CB$3)</f>
        <v>20</v>
      </c>
      <c r="AQ3" s="1119">
        <v>1</v>
      </c>
      <c r="AR3" s="745">
        <f>IF(ISNUMBER(System!$C4),PlotData!O4+ SensA!$E$2*$AF$1*O3,PlotData!$CB$4)</f>
        <v>-40</v>
      </c>
      <c r="AS3" s="1117">
        <f>IF(ISNUMBER(System!$C4),PlotData!P4+ SensA!$E$2*$AF$1*P3,PlotData!$CB$4)</f>
        <v>-34</v>
      </c>
      <c r="AT3" s="1117">
        <f>IF(ISNUMBER(System!$C4),PlotData!Q4+ SensA!$E$2*$AF$1*Q3,PlotData!$CB$4)</f>
        <v>-28</v>
      </c>
      <c r="AU3" s="1117">
        <f>IF(ISNUMBER(System!$C4),PlotData!R4+ SensA!$E$2*$AF$1*R3,PlotData!$CB$4)</f>
        <v>-22</v>
      </c>
      <c r="AV3" s="1117">
        <f>IF(ISNUMBER(System!$C4),PlotData!S4+ SensA!$E$2*$AF$1*S3,PlotData!$CB$4)</f>
        <v>-16</v>
      </c>
      <c r="AW3" s="1117">
        <f>IF(ISNUMBER(System!$C4),PlotData!T4+ SensA!$E$2*$AF$1*T3,PlotData!$CB$4)</f>
        <v>-10</v>
      </c>
      <c r="AX3" s="1117">
        <f>IF(ISNUMBER(System!$C4),PlotData!U4+ SensA!$E$2*$AF$1*U3,PlotData!$CB$4)</f>
        <v>-4</v>
      </c>
      <c r="AY3" s="1117">
        <f>IF(ISNUMBER(System!$C4),PlotData!V4+ SensA!$E$2*$AF$1*V3,PlotData!$CB$4)</f>
        <v>2</v>
      </c>
      <c r="AZ3" s="1117">
        <f>IF(ISNUMBER(System!$C4),PlotData!W4+ SensA!$E$2*$AF$1*W3,PlotData!$CB$4)</f>
        <v>8</v>
      </c>
      <c r="BA3" s="1117">
        <f>IF(ISNUMBER(System!$C4),PlotData!X4+ SensA!$E$2*$AF$1*X3,PlotData!$CB$4)</f>
        <v>14</v>
      </c>
      <c r="BB3" s="632">
        <f>IF(ISNUMBER(System!$C4),PlotData!Y4+ SensA!$E$2*$AF$1*Y3,PlotData!$CB$4)</f>
        <v>20</v>
      </c>
      <c r="BC3" s="1145">
        <f>IF(ISNUMBER(System!$C4),PlotData!Y4, PlotData!CB$4)</f>
        <v>20</v>
      </c>
      <c r="BD3" s="1144">
        <f>IF(ISNUMBER(System!$C4),PlotData!O4, PlotData!$CB$4)</f>
        <v>-40</v>
      </c>
      <c r="BE3" s="747">
        <f>IF(ISNUMBER(System!$C4), AR3,PlotData!$CB$4)</f>
        <v>-40</v>
      </c>
      <c r="BG3" s="668" t="s">
        <v>179</v>
      </c>
      <c r="BH3" s="721">
        <f>PlotS!$AT$1</f>
        <v>0</v>
      </c>
      <c r="BI3" s="639"/>
    </row>
    <row r="4" spans="1:61" x14ac:dyDescent="0.25">
      <c r="A4" s="1124">
        <v>2</v>
      </c>
      <c r="B4" s="668"/>
      <c r="C4" s="721"/>
      <c r="D4" s="721"/>
      <c r="E4" s="721"/>
      <c r="F4" s="721"/>
      <c r="G4" s="721"/>
      <c r="H4" s="721"/>
      <c r="I4" s="721"/>
      <c r="J4" s="721"/>
      <c r="K4" s="721"/>
      <c r="L4" s="639"/>
      <c r="N4" s="1124">
        <v>2</v>
      </c>
      <c r="O4" s="668"/>
      <c r="P4" s="721"/>
      <c r="Q4" s="721"/>
      <c r="R4" s="721"/>
      <c r="S4" s="721"/>
      <c r="T4" s="721"/>
      <c r="U4" s="721"/>
      <c r="V4" s="721"/>
      <c r="W4" s="721"/>
      <c r="X4" s="721"/>
      <c r="Y4" s="639"/>
      <c r="AA4" s="1125">
        <v>2</v>
      </c>
      <c r="AB4" s="668">
        <f>IF(ISNUMBER(System!$C5),PlotData!B5+SensA!$E$2* $AF$1*B4,PlotData!$CB$3)</f>
        <v>20</v>
      </c>
      <c r="AC4" s="721">
        <f>IF(ISNUMBER(System!$C5),PlotData!C5+SensA!$E$2* $AF$1*C4,PlotData!$CB$3)</f>
        <v>20</v>
      </c>
      <c r="AD4" s="721">
        <f>IF(ISNUMBER(System!$C5),PlotData!D5+SensA!$E$2* $AF$1*D4,PlotData!$CB$3)</f>
        <v>20</v>
      </c>
      <c r="AE4" s="721">
        <f>IF(ISNUMBER(System!$C5),PlotData!E5+SensA!$E$2* $AF$1*E4,PlotData!$CB$3)</f>
        <v>20</v>
      </c>
      <c r="AF4" s="721">
        <f>IF(ISNUMBER(System!$C5),PlotData!F5+SensA!$E$2* $AF$1*F4,PlotData!$CB$3)</f>
        <v>20</v>
      </c>
      <c r="AG4" s="721">
        <f>IF(ISNUMBER(System!$C5),PlotData!G5+SensA!$E$2* $AF$1*G4,PlotData!$CB$3)</f>
        <v>20</v>
      </c>
      <c r="AH4" s="721">
        <f>IF(ISNUMBER(System!$C5),PlotData!H5+SensA!$E$2* $AF$1*H4,PlotData!$CB$3)</f>
        <v>20</v>
      </c>
      <c r="AI4" s="721">
        <f>IF(ISNUMBER(System!$C5),PlotData!I5+SensA!$E$2* $AF$1*I4,PlotData!$CB$3)</f>
        <v>20</v>
      </c>
      <c r="AJ4" s="721">
        <f>IF(ISNUMBER(System!$C5),PlotData!J5+SensA!$E$2* $AF$1*J4,PlotData!$CB$3)</f>
        <v>20</v>
      </c>
      <c r="AK4" s="721">
        <f>IF(ISNUMBER(System!$C5),PlotData!K5+SensA!$E$2* $AF$1*K4,PlotData!$CB$3)</f>
        <v>20</v>
      </c>
      <c r="AL4" s="639">
        <f>IF(ISNUMBER(System!$C5),PlotData!L5+SensA!$E$2* $AF$1*L4,PlotData!$CB$3)</f>
        <v>20</v>
      </c>
      <c r="AM4" s="1146">
        <f>IF(ISNUMBER(System!$C5),PlotData!L5,PlotData!$CB$3)</f>
        <v>20</v>
      </c>
      <c r="AN4" s="721">
        <f>IF(ISNUMBER(System!$C5),PlotData!B5,PlotData!$CB$3)</f>
        <v>20</v>
      </c>
      <c r="AO4" s="639">
        <f>IF(ISNUMBER(System!$C5),AB4,PlotData!$CB$3)</f>
        <v>20</v>
      </c>
      <c r="AQ4" s="1125">
        <v>2</v>
      </c>
      <c r="AR4" s="668">
        <f>IF(ISNUMBER(System!$C5),PlotData!O5+ SensA!$E$2*$AF$1*O4,PlotData!$CB$4)</f>
        <v>-40</v>
      </c>
      <c r="AS4" s="721">
        <f>IF(ISNUMBER(System!$C5),PlotData!P5+ SensA!$E$2*$AF$1*P4,PlotData!$CB$4)</f>
        <v>-34</v>
      </c>
      <c r="AT4" s="721">
        <f>IF(ISNUMBER(System!$C5),PlotData!Q5+ SensA!$E$2*$AF$1*Q4,PlotData!$CB$4)</f>
        <v>-28</v>
      </c>
      <c r="AU4" s="721">
        <f>IF(ISNUMBER(System!$C5),PlotData!R5+ SensA!$E$2*$AF$1*R4,PlotData!$CB$4)</f>
        <v>-22</v>
      </c>
      <c r="AV4" s="721">
        <f>IF(ISNUMBER(System!$C5),PlotData!S5+ SensA!$E$2*$AF$1*S4,PlotData!$CB$4)</f>
        <v>-16</v>
      </c>
      <c r="AW4" s="721">
        <f>IF(ISNUMBER(System!$C5),PlotData!T5+ SensA!$E$2*$AF$1*T4,PlotData!$CB$4)</f>
        <v>-10</v>
      </c>
      <c r="AX4" s="721">
        <f>IF(ISNUMBER(System!$C5),PlotData!U5+ SensA!$E$2*$AF$1*U4,PlotData!$CB$4)</f>
        <v>-4</v>
      </c>
      <c r="AY4" s="721">
        <f>IF(ISNUMBER(System!$C5),PlotData!V5+ SensA!$E$2*$AF$1*V4,PlotData!$CB$4)</f>
        <v>2</v>
      </c>
      <c r="AZ4" s="721">
        <f>IF(ISNUMBER(System!$C5),PlotData!W5+ SensA!$E$2*$AF$1*W4,PlotData!$CB$4)</f>
        <v>8</v>
      </c>
      <c r="BA4" s="721">
        <f>IF(ISNUMBER(System!$C5),PlotData!X5+ SensA!$E$2*$AF$1*X4,PlotData!$CB$4)</f>
        <v>14</v>
      </c>
      <c r="BB4" s="639">
        <f>IF(ISNUMBER(System!$C5),PlotData!Y5+ SensA!$E$2*$AF$1*Y4,PlotData!$CB$4)</f>
        <v>20</v>
      </c>
      <c r="BC4" s="1146">
        <f>IF(ISNUMBER(System!$C5),PlotData!Y5, PlotData!CB$4)</f>
        <v>20</v>
      </c>
      <c r="BD4" s="721">
        <f>IF(ISNUMBER(System!$C5),PlotData!O5, PlotData!$CB$4)</f>
        <v>-40</v>
      </c>
      <c r="BE4" s="639">
        <f>IF(ISNUMBER(System!$C5), AR4,PlotData!$CB$4)</f>
        <v>-40</v>
      </c>
      <c r="BG4" s="668" t="s">
        <v>196</v>
      </c>
      <c r="BH4" s="721">
        <f>BH5 * PlotS!$AX$1</f>
        <v>141.42135623730951</v>
      </c>
      <c r="BI4" s="639"/>
    </row>
    <row r="5" spans="1:61" x14ac:dyDescent="0.25">
      <c r="A5" s="1124">
        <v>3</v>
      </c>
      <c r="B5" s="668"/>
      <c r="C5" s="721"/>
      <c r="D5" s="721"/>
      <c r="E5" s="721"/>
      <c r="F5" s="721"/>
      <c r="G5" s="721"/>
      <c r="H5" s="721"/>
      <c r="I5" s="721"/>
      <c r="J5" s="721"/>
      <c r="K5" s="721"/>
      <c r="L5" s="639"/>
      <c r="N5" s="1124">
        <v>3</v>
      </c>
      <c r="O5" s="668"/>
      <c r="P5" s="721"/>
      <c r="Q5" s="721"/>
      <c r="R5" s="721"/>
      <c r="S5" s="721"/>
      <c r="T5" s="721"/>
      <c r="U5" s="721"/>
      <c r="V5" s="721"/>
      <c r="W5" s="721"/>
      <c r="X5" s="721"/>
      <c r="Y5" s="639"/>
      <c r="AA5" s="1125">
        <v>3</v>
      </c>
      <c r="AB5" s="668">
        <f>IF(ISNUMBER(System!$C6),PlotData!B6+SensA!$E$2* $AF$1*B5,PlotData!$CB$3)</f>
        <v>20</v>
      </c>
      <c r="AC5" s="721">
        <f>IF(ISNUMBER(System!$C6),PlotData!C6+SensA!$E$2* $AF$1*C5,PlotData!$CB$3)</f>
        <v>24</v>
      </c>
      <c r="AD5" s="721">
        <f>IF(ISNUMBER(System!$C6),PlotData!D6+SensA!$E$2* $AF$1*D5,PlotData!$CB$3)</f>
        <v>28</v>
      </c>
      <c r="AE5" s="721">
        <f>IF(ISNUMBER(System!$C6),PlotData!E6+SensA!$E$2* $AF$1*E5,PlotData!$CB$3)</f>
        <v>32</v>
      </c>
      <c r="AF5" s="721">
        <f>IF(ISNUMBER(System!$C6),PlotData!F6+SensA!$E$2* $AF$1*F5,PlotData!$CB$3)</f>
        <v>36</v>
      </c>
      <c r="AG5" s="721">
        <f>IF(ISNUMBER(System!$C6),PlotData!G6+SensA!$E$2* $AF$1*G5,PlotData!$CB$3)</f>
        <v>40</v>
      </c>
      <c r="AH5" s="721">
        <f>IF(ISNUMBER(System!$C6),PlotData!H6+SensA!$E$2* $AF$1*H5,PlotData!$CB$3)</f>
        <v>44</v>
      </c>
      <c r="AI5" s="721">
        <f>IF(ISNUMBER(System!$C6),PlotData!I6+SensA!$E$2* $AF$1*I5,PlotData!$CB$3)</f>
        <v>48</v>
      </c>
      <c r="AJ5" s="721">
        <f>IF(ISNUMBER(System!$C6),PlotData!J6+SensA!$E$2* $AF$1*J5,PlotData!$CB$3)</f>
        <v>52</v>
      </c>
      <c r="AK5" s="721">
        <f>IF(ISNUMBER(System!$C6),PlotData!K6+SensA!$E$2* $AF$1*K5,PlotData!$CB$3)</f>
        <v>56</v>
      </c>
      <c r="AL5" s="639">
        <f>IF(ISNUMBER(System!$C6),PlotData!L6+SensA!$E$2* $AF$1*L5,PlotData!$CB$3)</f>
        <v>60</v>
      </c>
      <c r="AM5" s="1146">
        <f>IF(ISNUMBER(System!$C6),PlotData!L6,PlotData!$CB$3)</f>
        <v>60</v>
      </c>
      <c r="AN5" s="721">
        <f>IF(ISNUMBER(System!$C6),PlotData!B6,PlotData!$CB$3)</f>
        <v>20</v>
      </c>
      <c r="AO5" s="639">
        <f>IF(ISNUMBER(System!$C6),AB5,PlotData!$CB$3)</f>
        <v>20</v>
      </c>
      <c r="AQ5" s="1125">
        <v>3</v>
      </c>
      <c r="AR5" s="668">
        <f>IF(ISNUMBER(System!$C6),PlotData!O6+ SensA!$E$2*$AF$1*O5,PlotData!$CB$4)</f>
        <v>-40</v>
      </c>
      <c r="AS5" s="721">
        <f>IF(ISNUMBER(System!$C6),PlotData!P6+ SensA!$E$2*$AF$1*P5,PlotData!$CB$4)</f>
        <v>-46</v>
      </c>
      <c r="AT5" s="721">
        <f>IF(ISNUMBER(System!$C6),PlotData!Q6+ SensA!$E$2*$AF$1*Q5,PlotData!$CB$4)</f>
        <v>-52</v>
      </c>
      <c r="AU5" s="721">
        <f>IF(ISNUMBER(System!$C6),PlotData!R6+ SensA!$E$2*$AF$1*R5,PlotData!$CB$4)</f>
        <v>-58</v>
      </c>
      <c r="AV5" s="721">
        <f>IF(ISNUMBER(System!$C6),PlotData!S6+ SensA!$E$2*$AF$1*S5,PlotData!$CB$4)</f>
        <v>-64</v>
      </c>
      <c r="AW5" s="721">
        <f>IF(ISNUMBER(System!$C6),PlotData!T6+ SensA!$E$2*$AF$1*T5,PlotData!$CB$4)</f>
        <v>-70</v>
      </c>
      <c r="AX5" s="721">
        <f>IF(ISNUMBER(System!$C6),PlotData!U6+ SensA!$E$2*$AF$1*U5,PlotData!$CB$4)</f>
        <v>-76</v>
      </c>
      <c r="AY5" s="721">
        <f>IF(ISNUMBER(System!$C6),PlotData!V6+ SensA!$E$2*$AF$1*V5,PlotData!$CB$4)</f>
        <v>-82</v>
      </c>
      <c r="AZ5" s="721">
        <f>IF(ISNUMBER(System!$C6),PlotData!W6+ SensA!$E$2*$AF$1*W5,PlotData!$CB$4)</f>
        <v>-88</v>
      </c>
      <c r="BA5" s="721">
        <f>IF(ISNUMBER(System!$C6),PlotData!X6+ SensA!$E$2*$AF$1*X5,PlotData!$CB$4)</f>
        <v>-94</v>
      </c>
      <c r="BB5" s="639">
        <f>IF(ISNUMBER(System!$C6),PlotData!Y6+ SensA!$E$2*$AF$1*Y5,PlotData!$CB$4)</f>
        <v>-100</v>
      </c>
      <c r="BC5" s="1146">
        <f>IF(ISNUMBER(System!$C6),PlotData!Y6, PlotData!CB$4)</f>
        <v>-100</v>
      </c>
      <c r="BD5" s="721">
        <f>IF(ISNUMBER(System!$C6),PlotData!O6, PlotData!$CB$4)</f>
        <v>-40</v>
      </c>
      <c r="BE5" s="639">
        <f>IF(ISNUMBER(System!$C6), AR5,PlotData!$CB$4)</f>
        <v>-40</v>
      </c>
      <c r="BG5" s="668" t="s">
        <v>269</v>
      </c>
      <c r="BH5" s="721">
        <f>1/SensA!$G$2</f>
        <v>1</v>
      </c>
      <c r="BI5" s="639"/>
    </row>
    <row r="6" spans="1:61" x14ac:dyDescent="0.25">
      <c r="A6" s="1124">
        <v>4</v>
      </c>
      <c r="B6" s="668"/>
      <c r="C6" s="721"/>
      <c r="D6" s="721"/>
      <c r="E6" s="721"/>
      <c r="F6" s="721"/>
      <c r="G6" s="721"/>
      <c r="H6" s="721"/>
      <c r="I6" s="721"/>
      <c r="J6" s="721"/>
      <c r="K6" s="721"/>
      <c r="L6" s="639"/>
      <c r="N6" s="1124">
        <v>4</v>
      </c>
      <c r="O6" s="668"/>
      <c r="P6" s="721"/>
      <c r="Q6" s="721"/>
      <c r="R6" s="721"/>
      <c r="S6" s="721"/>
      <c r="T6" s="721"/>
      <c r="U6" s="721"/>
      <c r="V6" s="721"/>
      <c r="W6" s="721"/>
      <c r="X6" s="721"/>
      <c r="Y6" s="639"/>
      <c r="AA6" s="1125">
        <v>4</v>
      </c>
      <c r="AB6" s="668">
        <f>IF(ISNUMBER(System!$C7),PlotData!B7+SensA!$E$2* $AF$1*B6,PlotData!$CB$3)</f>
        <v>20</v>
      </c>
      <c r="AC6" s="721">
        <f>IF(ISNUMBER(System!$C7),PlotData!C7+SensA!$E$2* $AF$1*C6,PlotData!$CB$3)</f>
        <v>13</v>
      </c>
      <c r="AD6" s="721">
        <f>IF(ISNUMBER(System!$C7),PlotData!D7+SensA!$E$2* $AF$1*D6,PlotData!$CB$3)</f>
        <v>6</v>
      </c>
      <c r="AE6" s="721">
        <f>IF(ISNUMBER(System!$C7),PlotData!E7+SensA!$E$2* $AF$1*E6,PlotData!$CB$3)</f>
        <v>-1</v>
      </c>
      <c r="AF6" s="721">
        <f>IF(ISNUMBER(System!$C7),PlotData!F7+SensA!$E$2* $AF$1*F6,PlotData!$CB$3)</f>
        <v>-8</v>
      </c>
      <c r="AG6" s="721">
        <f>IF(ISNUMBER(System!$C7),PlotData!G7+SensA!$E$2* $AF$1*G6,PlotData!$CB$3)</f>
        <v>-15</v>
      </c>
      <c r="AH6" s="721">
        <f>IF(ISNUMBER(System!$C7),PlotData!H7+SensA!$E$2* $AF$1*H6,PlotData!$CB$3)</f>
        <v>-22</v>
      </c>
      <c r="AI6" s="721">
        <f>IF(ISNUMBER(System!$C7),PlotData!I7+SensA!$E$2* $AF$1*I6,PlotData!$CB$3)</f>
        <v>-29</v>
      </c>
      <c r="AJ6" s="721">
        <f>IF(ISNUMBER(System!$C7),PlotData!J7+SensA!$E$2* $AF$1*J6,PlotData!$CB$3)</f>
        <v>-36</v>
      </c>
      <c r="AK6" s="721">
        <f>IF(ISNUMBER(System!$C7),PlotData!K7+SensA!$E$2* $AF$1*K6,PlotData!$CB$3)</f>
        <v>-43</v>
      </c>
      <c r="AL6" s="639">
        <f>IF(ISNUMBER(System!$C7),PlotData!L7+SensA!$E$2* $AF$1*L6,PlotData!$CB$3)</f>
        <v>-50</v>
      </c>
      <c r="AM6" s="1146">
        <f>IF(ISNUMBER(System!$C7),PlotData!L7,PlotData!$CB$3)</f>
        <v>-50</v>
      </c>
      <c r="AN6" s="721">
        <f>IF(ISNUMBER(System!$C7),PlotData!B7,PlotData!$CB$3)</f>
        <v>20</v>
      </c>
      <c r="AO6" s="639">
        <f>IF(ISNUMBER(System!$C7),AB6,PlotData!$CB$3)</f>
        <v>20</v>
      </c>
      <c r="AQ6" s="1125">
        <v>4</v>
      </c>
      <c r="AR6" s="668">
        <f>IF(ISNUMBER(System!$C7),PlotData!O7+ SensA!$E$2*$AF$1*O6,PlotData!$CB$4)</f>
        <v>-40</v>
      </c>
      <c r="AS6" s="721">
        <f>IF(ISNUMBER(System!$C7),PlotData!P7+ SensA!$E$2*$AF$1*P6,PlotData!$CB$4)</f>
        <v>-43</v>
      </c>
      <c r="AT6" s="721">
        <f>IF(ISNUMBER(System!$C7),PlotData!Q7+ SensA!$E$2*$AF$1*Q6,PlotData!$CB$4)</f>
        <v>-46</v>
      </c>
      <c r="AU6" s="721">
        <f>IF(ISNUMBER(System!$C7),PlotData!R7+ SensA!$E$2*$AF$1*R6,PlotData!$CB$4)</f>
        <v>-49</v>
      </c>
      <c r="AV6" s="721">
        <f>IF(ISNUMBER(System!$C7),PlotData!S7+ SensA!$E$2*$AF$1*S6,PlotData!$CB$4)</f>
        <v>-52</v>
      </c>
      <c r="AW6" s="721">
        <f>IF(ISNUMBER(System!$C7),PlotData!T7+ SensA!$E$2*$AF$1*T6,PlotData!$CB$4)</f>
        <v>-55</v>
      </c>
      <c r="AX6" s="721">
        <f>IF(ISNUMBER(System!$C7),PlotData!U7+ SensA!$E$2*$AF$1*U6,PlotData!$CB$4)</f>
        <v>-58</v>
      </c>
      <c r="AY6" s="721">
        <f>IF(ISNUMBER(System!$C7),PlotData!V7+ SensA!$E$2*$AF$1*V6,PlotData!$CB$4)</f>
        <v>-61</v>
      </c>
      <c r="AZ6" s="721">
        <f>IF(ISNUMBER(System!$C7),PlotData!W7+ SensA!$E$2*$AF$1*W6,PlotData!$CB$4)</f>
        <v>-64</v>
      </c>
      <c r="BA6" s="721">
        <f>IF(ISNUMBER(System!$C7),PlotData!X7+ SensA!$E$2*$AF$1*X6,PlotData!$CB$4)</f>
        <v>-67</v>
      </c>
      <c r="BB6" s="639">
        <f>IF(ISNUMBER(System!$C7),PlotData!Y7+ SensA!$E$2*$AF$1*Y6,PlotData!$CB$4)</f>
        <v>-70</v>
      </c>
      <c r="BC6" s="1146">
        <f>IF(ISNUMBER(System!$C7),PlotData!Y7, PlotData!CB$4)</f>
        <v>-70</v>
      </c>
      <c r="BD6" s="721">
        <f>IF(ISNUMBER(System!$C7),PlotData!O7, PlotData!$CB$4)</f>
        <v>-40</v>
      </c>
      <c r="BE6" s="639">
        <f>IF(ISNUMBER(System!$C7), AR6,PlotData!$CB$4)</f>
        <v>-40</v>
      </c>
      <c r="BG6" s="668" t="s">
        <v>471</v>
      </c>
      <c r="BH6" s="721">
        <f>BH2-BH4</f>
        <v>-141.42135623730951</v>
      </c>
      <c r="BI6" s="639">
        <f>BH3+BH4</f>
        <v>141.42135623730951</v>
      </c>
    </row>
    <row r="7" spans="1:61" x14ac:dyDescent="0.25">
      <c r="A7" s="1124">
        <v>5</v>
      </c>
      <c r="B7" s="668"/>
      <c r="C7" s="721"/>
      <c r="D7" s="721"/>
      <c r="E7" s="721"/>
      <c r="F7" s="721"/>
      <c r="G7" s="721"/>
      <c r="H7" s="721"/>
      <c r="I7" s="721"/>
      <c r="J7" s="721"/>
      <c r="K7" s="721"/>
      <c r="L7" s="639"/>
      <c r="N7" s="1124">
        <v>5</v>
      </c>
      <c r="O7" s="668"/>
      <c r="P7" s="721"/>
      <c r="Q7" s="721"/>
      <c r="R7" s="721"/>
      <c r="S7" s="721"/>
      <c r="T7" s="721"/>
      <c r="U7" s="721"/>
      <c r="V7" s="721"/>
      <c r="W7" s="721"/>
      <c r="X7" s="721"/>
      <c r="Y7" s="639"/>
      <c r="AA7" s="1125">
        <v>5</v>
      </c>
      <c r="AB7" s="668">
        <f>IF(ISNUMBER(System!$C8),PlotData!B8+SensA!$E$2* $AF$1*B7,PlotData!$CB$3)</f>
        <v>20</v>
      </c>
      <c r="AC7" s="721">
        <f>IF(ISNUMBER(System!$C8),PlotData!C8+SensA!$E$2* $AF$1*C7,PlotData!$CB$3)</f>
        <v>8</v>
      </c>
      <c r="AD7" s="721">
        <f>IF(ISNUMBER(System!$C8),PlotData!D8+SensA!$E$2* $AF$1*D7,PlotData!$CB$3)</f>
        <v>-4</v>
      </c>
      <c r="AE7" s="721">
        <f>IF(ISNUMBER(System!$C8),PlotData!E8+SensA!$E$2* $AF$1*E7,PlotData!$CB$3)</f>
        <v>-16</v>
      </c>
      <c r="AF7" s="721">
        <f>IF(ISNUMBER(System!$C8),PlotData!F8+SensA!$E$2* $AF$1*F7,PlotData!$CB$3)</f>
        <v>-28</v>
      </c>
      <c r="AG7" s="721">
        <f>IF(ISNUMBER(System!$C8),PlotData!G8+SensA!$E$2* $AF$1*G7,PlotData!$CB$3)</f>
        <v>-40</v>
      </c>
      <c r="AH7" s="721">
        <f>IF(ISNUMBER(System!$C8),PlotData!H8+SensA!$E$2* $AF$1*H7,PlotData!$CB$3)</f>
        <v>-52</v>
      </c>
      <c r="AI7" s="721">
        <f>IF(ISNUMBER(System!$C8),PlotData!I8+SensA!$E$2* $AF$1*I7,PlotData!$CB$3)</f>
        <v>-64</v>
      </c>
      <c r="AJ7" s="721">
        <f>IF(ISNUMBER(System!$C8),PlotData!J8+SensA!$E$2* $AF$1*J7,PlotData!$CB$3)</f>
        <v>-76</v>
      </c>
      <c r="AK7" s="721">
        <f>IF(ISNUMBER(System!$C8),PlotData!K8+SensA!$E$2* $AF$1*K7,PlotData!$CB$3)</f>
        <v>-88</v>
      </c>
      <c r="AL7" s="639">
        <f>IF(ISNUMBER(System!$C8),PlotData!L8+SensA!$E$2* $AF$1*L7,PlotData!$CB$3)</f>
        <v>-100</v>
      </c>
      <c r="AM7" s="1146">
        <f>IF(ISNUMBER(System!$C8),PlotData!L8,PlotData!$CB$3)</f>
        <v>-100</v>
      </c>
      <c r="AN7" s="721">
        <f>IF(ISNUMBER(System!$C8),PlotData!B8,PlotData!$CB$3)</f>
        <v>20</v>
      </c>
      <c r="AO7" s="639">
        <f>IF(ISNUMBER(System!$C8),AB7,PlotData!$CB$3)</f>
        <v>20</v>
      </c>
      <c r="AQ7" s="1125">
        <v>5</v>
      </c>
      <c r="AR7" s="668">
        <f>IF(ISNUMBER(System!$C8),PlotData!O8+ SensA!$E$2*$AF$1*O7,PlotData!$CB$4)</f>
        <v>-40</v>
      </c>
      <c r="AS7" s="721">
        <f>IF(ISNUMBER(System!$C8),PlotData!P8+ SensA!$E$2*$AF$1*P7,PlotData!$CB$4)</f>
        <v>-26</v>
      </c>
      <c r="AT7" s="721">
        <f>IF(ISNUMBER(System!$C8),PlotData!Q8+ SensA!$E$2*$AF$1*Q7,PlotData!$CB$4)</f>
        <v>-12</v>
      </c>
      <c r="AU7" s="721">
        <f>IF(ISNUMBER(System!$C8),PlotData!R8+ SensA!$E$2*$AF$1*R7,PlotData!$CB$4)</f>
        <v>2</v>
      </c>
      <c r="AV7" s="721">
        <f>IF(ISNUMBER(System!$C8),PlotData!S8+ SensA!$E$2*$AF$1*S7,PlotData!$CB$4)</f>
        <v>16</v>
      </c>
      <c r="AW7" s="721">
        <f>IF(ISNUMBER(System!$C8),PlotData!T8+ SensA!$E$2*$AF$1*T7,PlotData!$CB$4)</f>
        <v>30</v>
      </c>
      <c r="AX7" s="721">
        <f>IF(ISNUMBER(System!$C8),PlotData!U8+ SensA!$E$2*$AF$1*U7,PlotData!$CB$4)</f>
        <v>44</v>
      </c>
      <c r="AY7" s="721">
        <f>IF(ISNUMBER(System!$C8),PlotData!V8+ SensA!$E$2*$AF$1*V7,PlotData!$CB$4)</f>
        <v>58</v>
      </c>
      <c r="AZ7" s="721">
        <f>IF(ISNUMBER(System!$C8),PlotData!W8+ SensA!$E$2*$AF$1*W7,PlotData!$CB$4)</f>
        <v>72</v>
      </c>
      <c r="BA7" s="721">
        <f>IF(ISNUMBER(System!$C8),PlotData!X8+ SensA!$E$2*$AF$1*X7,PlotData!$CB$4)</f>
        <v>86</v>
      </c>
      <c r="BB7" s="639">
        <f>IF(ISNUMBER(System!$C8),PlotData!Y8+ SensA!$E$2*$AF$1*Y7,PlotData!$CB$4)</f>
        <v>100</v>
      </c>
      <c r="BC7" s="1146">
        <f>IF(ISNUMBER(System!$C8),PlotData!Y8, PlotData!CB$4)</f>
        <v>100</v>
      </c>
      <c r="BD7" s="721">
        <f>IF(ISNUMBER(System!$C8),PlotData!O8, PlotData!$CB$4)</f>
        <v>-40</v>
      </c>
      <c r="BE7" s="639">
        <f>IF(ISNUMBER(System!$C8), AR7,PlotData!$CB$4)</f>
        <v>-40</v>
      </c>
      <c r="BG7" s="668" t="s">
        <v>472</v>
      </c>
      <c r="BH7" s="721">
        <f>BH2+BH4</f>
        <v>141.42135623730951</v>
      </c>
      <c r="BI7" s="639">
        <f>BH3+BH4</f>
        <v>141.42135623730951</v>
      </c>
    </row>
    <row r="8" spans="1:61" x14ac:dyDescent="0.25">
      <c r="A8" s="1124">
        <v>6</v>
      </c>
      <c r="B8" s="668"/>
      <c r="C8" s="721"/>
      <c r="D8" s="721"/>
      <c r="E8" s="721"/>
      <c r="F8" s="721"/>
      <c r="G8" s="721"/>
      <c r="H8" s="721"/>
      <c r="I8" s="721"/>
      <c r="J8" s="721"/>
      <c r="K8" s="721"/>
      <c r="L8" s="639"/>
      <c r="N8" s="1124">
        <v>6</v>
      </c>
      <c r="O8" s="668"/>
      <c r="P8" s="721"/>
      <c r="Q8" s="721"/>
      <c r="R8" s="721"/>
      <c r="S8" s="721"/>
      <c r="T8" s="721"/>
      <c r="U8" s="721"/>
      <c r="V8" s="721"/>
      <c r="W8" s="721"/>
      <c r="X8" s="721"/>
      <c r="Y8" s="639"/>
      <c r="AA8" s="1125">
        <v>6</v>
      </c>
      <c r="AB8" s="668">
        <f>IF(ISNUMBER(System!$C9),PlotData!B9+SensA!$E$2* $AF$1*B8,PlotData!$CB$3)</f>
        <v>0</v>
      </c>
      <c r="AC8" s="721">
        <f>IF(ISNUMBER(System!$C9),PlotData!C9+SensA!$E$2* $AF$1*C8,PlotData!$CB$3)</f>
        <v>0</v>
      </c>
      <c r="AD8" s="721">
        <f>IF(ISNUMBER(System!$C9),PlotData!D9+SensA!$E$2* $AF$1*D8,PlotData!$CB$3)</f>
        <v>0</v>
      </c>
      <c r="AE8" s="721">
        <f>IF(ISNUMBER(System!$C9),PlotData!E9+SensA!$E$2* $AF$1*E8,PlotData!$CB$3)</f>
        <v>0</v>
      </c>
      <c r="AF8" s="721">
        <f>IF(ISNUMBER(System!$C9),PlotData!F9+SensA!$E$2* $AF$1*F8,PlotData!$CB$3)</f>
        <v>0</v>
      </c>
      <c r="AG8" s="721">
        <f>IF(ISNUMBER(System!$C9),PlotData!G9+SensA!$E$2* $AF$1*G8,PlotData!$CB$3)</f>
        <v>0</v>
      </c>
      <c r="AH8" s="721">
        <f>IF(ISNUMBER(System!$C9),PlotData!H9+SensA!$E$2* $AF$1*H8,PlotData!$CB$3)</f>
        <v>0</v>
      </c>
      <c r="AI8" s="721">
        <f>IF(ISNUMBER(System!$C9),PlotData!I9+SensA!$E$2* $AF$1*I8,PlotData!$CB$3)</f>
        <v>0</v>
      </c>
      <c r="AJ8" s="721">
        <f>IF(ISNUMBER(System!$C9),PlotData!J9+SensA!$E$2* $AF$1*J8,PlotData!$CB$3)</f>
        <v>0</v>
      </c>
      <c r="AK8" s="721">
        <f>IF(ISNUMBER(System!$C9),PlotData!K9+SensA!$E$2* $AF$1*K8,PlotData!$CB$3)</f>
        <v>0</v>
      </c>
      <c r="AL8" s="639">
        <f>IF(ISNUMBER(System!$C9),PlotData!L9+SensA!$E$2* $AF$1*L8,PlotData!$CB$3)</f>
        <v>0</v>
      </c>
      <c r="AM8" s="1146">
        <f>IF(ISNUMBER(System!$C9),PlotData!L9,PlotData!$CB$3)</f>
        <v>0</v>
      </c>
      <c r="AN8" s="721">
        <f>IF(ISNUMBER(System!$C9),PlotData!B9,PlotData!$CB$3)</f>
        <v>0</v>
      </c>
      <c r="AO8" s="639">
        <f>IF(ISNUMBER(System!$C9),AB8,PlotData!$CB$3)</f>
        <v>0</v>
      </c>
      <c r="AQ8" s="1125">
        <v>6</v>
      </c>
      <c r="AR8" s="668">
        <f>IF(ISNUMBER(System!$C9),PlotData!O9+ SensA!$E$2*$AF$1*O8,PlotData!$CB$4)</f>
        <v>0</v>
      </c>
      <c r="AS8" s="721">
        <f>IF(ISNUMBER(System!$C9),PlotData!P9+ SensA!$E$2*$AF$1*P8,PlotData!$CB$4)</f>
        <v>0</v>
      </c>
      <c r="AT8" s="721">
        <f>IF(ISNUMBER(System!$C9),PlotData!Q9+ SensA!$E$2*$AF$1*Q8,PlotData!$CB$4)</f>
        <v>0</v>
      </c>
      <c r="AU8" s="721">
        <f>IF(ISNUMBER(System!$C9),PlotData!R9+ SensA!$E$2*$AF$1*R8,PlotData!$CB$4)</f>
        <v>0</v>
      </c>
      <c r="AV8" s="721">
        <f>IF(ISNUMBER(System!$C9),PlotData!S9+ SensA!$E$2*$AF$1*S8,PlotData!$CB$4)</f>
        <v>0</v>
      </c>
      <c r="AW8" s="721">
        <f>IF(ISNUMBER(System!$C9),PlotData!T9+ SensA!$E$2*$AF$1*T8,PlotData!$CB$4)</f>
        <v>0</v>
      </c>
      <c r="AX8" s="721">
        <f>IF(ISNUMBER(System!$C9),PlotData!U9+ SensA!$E$2*$AF$1*U8,PlotData!$CB$4)</f>
        <v>0</v>
      </c>
      <c r="AY8" s="721">
        <f>IF(ISNUMBER(System!$C9),PlotData!V9+ SensA!$E$2*$AF$1*V8,PlotData!$CB$4)</f>
        <v>0</v>
      </c>
      <c r="AZ8" s="721">
        <f>IF(ISNUMBER(System!$C9),PlotData!W9+ SensA!$E$2*$AF$1*W8,PlotData!$CB$4)</f>
        <v>0</v>
      </c>
      <c r="BA8" s="721">
        <f>IF(ISNUMBER(System!$C9),PlotData!X9+ SensA!$E$2*$AF$1*X8,PlotData!$CB$4)</f>
        <v>0</v>
      </c>
      <c r="BB8" s="639">
        <f>IF(ISNUMBER(System!$C9),PlotData!Y9+ SensA!$E$2*$AF$1*Y8,PlotData!$CB$4)</f>
        <v>0</v>
      </c>
      <c r="BC8" s="1146">
        <f>IF(ISNUMBER(System!$C9),PlotData!Y9, PlotData!CB$4)</f>
        <v>0</v>
      </c>
      <c r="BD8" s="721">
        <f>IF(ISNUMBER(System!$C9),PlotData!O9, PlotData!$CB$4)</f>
        <v>0</v>
      </c>
      <c r="BE8" s="639">
        <f>IF(ISNUMBER(System!$C9), AR8,PlotData!$CB$4)</f>
        <v>0</v>
      </c>
      <c r="BG8" s="668" t="s">
        <v>473</v>
      </c>
      <c r="BH8" s="721">
        <f>BH7</f>
        <v>141.42135623730951</v>
      </c>
      <c r="BI8" s="639">
        <f>BH3-BH4</f>
        <v>-141.42135623730951</v>
      </c>
    </row>
    <row r="9" spans="1:61" ht="13.8" thickBot="1" x14ac:dyDescent="0.3">
      <c r="A9" s="1124">
        <v>7</v>
      </c>
      <c r="B9" s="668"/>
      <c r="C9" s="721"/>
      <c r="D9" s="721"/>
      <c r="E9" s="721"/>
      <c r="F9" s="721"/>
      <c r="G9" s="721"/>
      <c r="H9" s="721"/>
      <c r="I9" s="721"/>
      <c r="J9" s="721"/>
      <c r="K9" s="721"/>
      <c r="L9" s="639"/>
      <c r="N9" s="1124">
        <v>7</v>
      </c>
      <c r="O9" s="668"/>
      <c r="P9" s="721"/>
      <c r="Q9" s="721"/>
      <c r="R9" s="721"/>
      <c r="S9" s="721"/>
      <c r="T9" s="721"/>
      <c r="U9" s="721"/>
      <c r="V9" s="721"/>
      <c r="W9" s="721"/>
      <c r="X9" s="721"/>
      <c r="Y9" s="639"/>
      <c r="AA9" s="1125">
        <v>7</v>
      </c>
      <c r="AB9" s="668">
        <f>IF(ISNUMBER(System!$C10),PlotData!B10+SensA!$E$2* $AF$1*B9,PlotData!$CB$3)</f>
        <v>0</v>
      </c>
      <c r="AC9" s="721">
        <f>IF(ISNUMBER(System!$C10),PlotData!C10+SensA!$E$2* $AF$1*C9,PlotData!$CB$3)</f>
        <v>0</v>
      </c>
      <c r="AD9" s="721">
        <f>IF(ISNUMBER(System!$C10),PlotData!D10+SensA!$E$2* $AF$1*D9,PlotData!$CB$3)</f>
        <v>0</v>
      </c>
      <c r="AE9" s="721">
        <f>IF(ISNUMBER(System!$C10),PlotData!E10+SensA!$E$2* $AF$1*E9,PlotData!$CB$3)</f>
        <v>0</v>
      </c>
      <c r="AF9" s="721">
        <f>IF(ISNUMBER(System!$C10),PlotData!F10+SensA!$E$2* $AF$1*F9,PlotData!$CB$3)</f>
        <v>0</v>
      </c>
      <c r="AG9" s="721">
        <f>IF(ISNUMBER(System!$C10),PlotData!G10+SensA!$E$2* $AF$1*G9,PlotData!$CB$3)</f>
        <v>0</v>
      </c>
      <c r="AH9" s="721">
        <f>IF(ISNUMBER(System!$C10),PlotData!H10+SensA!$E$2* $AF$1*H9,PlotData!$CB$3)</f>
        <v>0</v>
      </c>
      <c r="AI9" s="721">
        <f>IF(ISNUMBER(System!$C10),PlotData!I10+SensA!$E$2* $AF$1*I9,PlotData!$CB$3)</f>
        <v>0</v>
      </c>
      <c r="AJ9" s="721">
        <f>IF(ISNUMBER(System!$C10),PlotData!J10+SensA!$E$2* $AF$1*J9,PlotData!$CB$3)</f>
        <v>0</v>
      </c>
      <c r="AK9" s="721">
        <f>IF(ISNUMBER(System!$C10),PlotData!K10+SensA!$E$2* $AF$1*K9,PlotData!$CB$3)</f>
        <v>0</v>
      </c>
      <c r="AL9" s="639">
        <f>IF(ISNUMBER(System!$C10),PlotData!L10+SensA!$E$2* $AF$1*L9,PlotData!$CB$3)</f>
        <v>0</v>
      </c>
      <c r="AM9" s="1146">
        <f>IF(ISNUMBER(System!$C10),PlotData!L10,PlotData!$CB$3)</f>
        <v>0</v>
      </c>
      <c r="AN9" s="721">
        <f>IF(ISNUMBER(System!$C10),PlotData!B10,PlotData!$CB$3)</f>
        <v>0</v>
      </c>
      <c r="AO9" s="639">
        <f>IF(ISNUMBER(System!$C10),AB9,PlotData!$CB$3)</f>
        <v>0</v>
      </c>
      <c r="AQ9" s="1125">
        <v>7</v>
      </c>
      <c r="AR9" s="668">
        <f>IF(ISNUMBER(System!$C10),PlotData!O10+ SensA!$E$2*$AF$1*O9,PlotData!$CB$4)</f>
        <v>0</v>
      </c>
      <c r="AS9" s="721">
        <f>IF(ISNUMBER(System!$C10),PlotData!P10+ SensA!$E$2*$AF$1*P9,PlotData!$CB$4)</f>
        <v>0</v>
      </c>
      <c r="AT9" s="721">
        <f>IF(ISNUMBER(System!$C10),PlotData!Q10+ SensA!$E$2*$AF$1*Q9,PlotData!$CB$4)</f>
        <v>0</v>
      </c>
      <c r="AU9" s="721">
        <f>IF(ISNUMBER(System!$C10),PlotData!R10+ SensA!$E$2*$AF$1*R9,PlotData!$CB$4)</f>
        <v>0</v>
      </c>
      <c r="AV9" s="721">
        <f>IF(ISNUMBER(System!$C10),PlotData!S10+ SensA!$E$2*$AF$1*S9,PlotData!$CB$4)</f>
        <v>0</v>
      </c>
      <c r="AW9" s="721">
        <f>IF(ISNUMBER(System!$C10),PlotData!T10+ SensA!$E$2*$AF$1*T9,PlotData!$CB$4)</f>
        <v>0</v>
      </c>
      <c r="AX9" s="721">
        <f>IF(ISNUMBER(System!$C10),PlotData!U10+ SensA!$E$2*$AF$1*U9,PlotData!$CB$4)</f>
        <v>0</v>
      </c>
      <c r="AY9" s="721">
        <f>IF(ISNUMBER(System!$C10),PlotData!V10+ SensA!$E$2*$AF$1*V9,PlotData!$CB$4)</f>
        <v>0</v>
      </c>
      <c r="AZ9" s="721">
        <f>IF(ISNUMBER(System!$C10),PlotData!W10+ SensA!$E$2*$AF$1*W9,PlotData!$CB$4)</f>
        <v>0</v>
      </c>
      <c r="BA9" s="721">
        <f>IF(ISNUMBER(System!$C10),PlotData!X10+ SensA!$E$2*$AF$1*X9,PlotData!$CB$4)</f>
        <v>0</v>
      </c>
      <c r="BB9" s="639">
        <f>IF(ISNUMBER(System!$C10),PlotData!Y10+ SensA!$E$2*$AF$1*Y9,PlotData!$CB$4)</f>
        <v>0</v>
      </c>
      <c r="BC9" s="1146">
        <f>IF(ISNUMBER(System!$C10),PlotData!Y10, PlotData!CB$4)</f>
        <v>0</v>
      </c>
      <c r="BD9" s="721">
        <f>IF(ISNUMBER(System!$C10),PlotData!O10, PlotData!$CB$4)</f>
        <v>0</v>
      </c>
      <c r="BE9" s="639">
        <f>IF(ISNUMBER(System!$C10), AR9,PlotData!$CB$4)</f>
        <v>0</v>
      </c>
      <c r="BG9" s="669" t="s">
        <v>474</v>
      </c>
      <c r="BH9" s="1137">
        <f>BH6</f>
        <v>-141.42135623730951</v>
      </c>
      <c r="BI9" s="646">
        <f>BI8</f>
        <v>-141.42135623730951</v>
      </c>
    </row>
    <row r="10" spans="1:61" x14ac:dyDescent="0.25">
      <c r="A10" s="1124">
        <v>8</v>
      </c>
      <c r="B10" s="668"/>
      <c r="C10" s="721"/>
      <c r="D10" s="721"/>
      <c r="E10" s="721"/>
      <c r="F10" s="721"/>
      <c r="G10" s="721"/>
      <c r="H10" s="721"/>
      <c r="I10" s="721"/>
      <c r="J10" s="721"/>
      <c r="K10" s="721"/>
      <c r="L10" s="639"/>
      <c r="N10" s="1124">
        <v>8</v>
      </c>
      <c r="O10" s="668"/>
      <c r="P10" s="721"/>
      <c r="Q10" s="721"/>
      <c r="R10" s="721"/>
      <c r="S10" s="721"/>
      <c r="T10" s="721"/>
      <c r="U10" s="721"/>
      <c r="V10" s="721"/>
      <c r="W10" s="721"/>
      <c r="X10" s="721"/>
      <c r="Y10" s="639"/>
      <c r="AA10" s="1125">
        <v>8</v>
      </c>
      <c r="AB10" s="668">
        <f>IF(ISNUMBER(System!$C11),PlotData!B11+SensA!$E$2* $AF$1*B10,PlotData!$CB$3)</f>
        <v>0</v>
      </c>
      <c r="AC10" s="721">
        <f>IF(ISNUMBER(System!$C11),PlotData!C11+SensA!$E$2* $AF$1*C10,PlotData!$CB$3)</f>
        <v>0</v>
      </c>
      <c r="AD10" s="721">
        <f>IF(ISNUMBER(System!$C11),PlotData!D11+SensA!$E$2* $AF$1*D10,PlotData!$CB$3)</f>
        <v>0</v>
      </c>
      <c r="AE10" s="721">
        <f>IF(ISNUMBER(System!$C11),PlotData!E11+SensA!$E$2* $AF$1*E10,PlotData!$CB$3)</f>
        <v>0</v>
      </c>
      <c r="AF10" s="721">
        <f>IF(ISNUMBER(System!$C11),PlotData!F11+SensA!$E$2* $AF$1*F10,PlotData!$CB$3)</f>
        <v>0</v>
      </c>
      <c r="AG10" s="721">
        <f>IF(ISNUMBER(System!$C11),PlotData!G11+SensA!$E$2* $AF$1*G10,PlotData!$CB$3)</f>
        <v>0</v>
      </c>
      <c r="AH10" s="721">
        <f>IF(ISNUMBER(System!$C11),PlotData!H11+SensA!$E$2* $AF$1*H10,PlotData!$CB$3)</f>
        <v>0</v>
      </c>
      <c r="AI10" s="721">
        <f>IF(ISNUMBER(System!$C11),PlotData!I11+SensA!$E$2* $AF$1*I10,PlotData!$CB$3)</f>
        <v>0</v>
      </c>
      <c r="AJ10" s="721">
        <f>IF(ISNUMBER(System!$C11),PlotData!J11+SensA!$E$2* $AF$1*J10,PlotData!$CB$3)</f>
        <v>0</v>
      </c>
      <c r="AK10" s="721">
        <f>IF(ISNUMBER(System!$C11),PlotData!K11+SensA!$E$2* $AF$1*K10,PlotData!$CB$3)</f>
        <v>0</v>
      </c>
      <c r="AL10" s="639">
        <f>IF(ISNUMBER(System!$C11),PlotData!L11+SensA!$E$2* $AF$1*L10,PlotData!$CB$3)</f>
        <v>0</v>
      </c>
      <c r="AM10" s="1146">
        <f>IF(ISNUMBER(System!$C11),PlotData!L11,PlotData!$CB$3)</f>
        <v>0</v>
      </c>
      <c r="AN10" s="721">
        <f>IF(ISNUMBER(System!$C11),PlotData!B11,PlotData!$CB$3)</f>
        <v>0</v>
      </c>
      <c r="AO10" s="639">
        <f>IF(ISNUMBER(System!$C11),AB10,PlotData!$CB$3)</f>
        <v>0</v>
      </c>
      <c r="AQ10" s="1125">
        <v>8</v>
      </c>
      <c r="AR10" s="668">
        <f>IF(ISNUMBER(System!$C11),PlotData!O11+ SensA!$E$2*$AF$1*O10,PlotData!$CB$4)</f>
        <v>0</v>
      </c>
      <c r="AS10" s="721">
        <f>IF(ISNUMBER(System!$C11),PlotData!P11+ SensA!$E$2*$AF$1*P10,PlotData!$CB$4)</f>
        <v>0</v>
      </c>
      <c r="AT10" s="721">
        <f>IF(ISNUMBER(System!$C11),PlotData!Q11+ SensA!$E$2*$AF$1*Q10,PlotData!$CB$4)</f>
        <v>0</v>
      </c>
      <c r="AU10" s="721">
        <f>IF(ISNUMBER(System!$C11),PlotData!R11+ SensA!$E$2*$AF$1*R10,PlotData!$CB$4)</f>
        <v>0</v>
      </c>
      <c r="AV10" s="721">
        <f>IF(ISNUMBER(System!$C11),PlotData!S11+ SensA!$E$2*$AF$1*S10,PlotData!$CB$4)</f>
        <v>0</v>
      </c>
      <c r="AW10" s="721">
        <f>IF(ISNUMBER(System!$C11),PlotData!T11+ SensA!$E$2*$AF$1*T10,PlotData!$CB$4)</f>
        <v>0</v>
      </c>
      <c r="AX10" s="721">
        <f>IF(ISNUMBER(System!$C11),PlotData!U11+ SensA!$E$2*$AF$1*U10,PlotData!$CB$4)</f>
        <v>0</v>
      </c>
      <c r="AY10" s="721">
        <f>IF(ISNUMBER(System!$C11),PlotData!V11+ SensA!$E$2*$AF$1*V10,PlotData!$CB$4)</f>
        <v>0</v>
      </c>
      <c r="AZ10" s="721">
        <f>IF(ISNUMBER(System!$C11),PlotData!W11+ SensA!$E$2*$AF$1*W10,PlotData!$CB$4)</f>
        <v>0</v>
      </c>
      <c r="BA10" s="721">
        <f>IF(ISNUMBER(System!$C11),PlotData!X11+ SensA!$E$2*$AF$1*X10,PlotData!$CB$4)</f>
        <v>0</v>
      </c>
      <c r="BB10" s="639">
        <f>IF(ISNUMBER(System!$C11),PlotData!Y11+ SensA!$E$2*$AF$1*Y10,PlotData!$CB$4)</f>
        <v>0</v>
      </c>
      <c r="BC10" s="1146">
        <f>IF(ISNUMBER(System!$C11),PlotData!Y11, PlotData!CB$4)</f>
        <v>0</v>
      </c>
      <c r="BD10" s="721">
        <f>IF(ISNUMBER(System!$C11),PlotData!O11, PlotData!$CB$4)</f>
        <v>0</v>
      </c>
      <c r="BE10" s="639">
        <f>IF(ISNUMBER(System!$C11), AR10,PlotData!$CB$4)</f>
        <v>0</v>
      </c>
    </row>
    <row r="11" spans="1:61" x14ac:dyDescent="0.25">
      <c r="A11" s="1124">
        <v>9</v>
      </c>
      <c r="B11" s="668"/>
      <c r="C11" s="721"/>
      <c r="D11" s="721"/>
      <c r="E11" s="721"/>
      <c r="F11" s="721"/>
      <c r="G11" s="721"/>
      <c r="H11" s="721"/>
      <c r="I11" s="721"/>
      <c r="J11" s="721"/>
      <c r="K11" s="721"/>
      <c r="L11" s="639"/>
      <c r="N11" s="1124">
        <v>9</v>
      </c>
      <c r="O11" s="668"/>
      <c r="P11" s="721"/>
      <c r="Q11" s="721"/>
      <c r="R11" s="721"/>
      <c r="S11" s="721"/>
      <c r="T11" s="721"/>
      <c r="U11" s="721"/>
      <c r="V11" s="721"/>
      <c r="W11" s="721"/>
      <c r="X11" s="721"/>
      <c r="Y11" s="639"/>
      <c r="AA11" s="1125">
        <v>9</v>
      </c>
      <c r="AB11" s="668">
        <f>IF(ISNUMBER(System!$C12),PlotData!B12+SensA!$E$2* $AF$1*B11,PlotData!$CB$3)</f>
        <v>0</v>
      </c>
      <c r="AC11" s="721">
        <f>IF(ISNUMBER(System!$C12),PlotData!C12+SensA!$E$2* $AF$1*C11,PlotData!$CB$3)</f>
        <v>0</v>
      </c>
      <c r="AD11" s="721">
        <f>IF(ISNUMBER(System!$C12),PlotData!D12+SensA!$E$2* $AF$1*D11,PlotData!$CB$3)</f>
        <v>0</v>
      </c>
      <c r="AE11" s="721">
        <f>IF(ISNUMBER(System!$C12),PlotData!E12+SensA!$E$2* $AF$1*E11,PlotData!$CB$3)</f>
        <v>0</v>
      </c>
      <c r="AF11" s="721">
        <f>IF(ISNUMBER(System!$C12),PlotData!F12+SensA!$E$2* $AF$1*F11,PlotData!$CB$3)</f>
        <v>0</v>
      </c>
      <c r="AG11" s="721">
        <f>IF(ISNUMBER(System!$C12),PlotData!G12+SensA!$E$2* $AF$1*G11,PlotData!$CB$3)</f>
        <v>0</v>
      </c>
      <c r="AH11" s="721">
        <f>IF(ISNUMBER(System!$C12),PlotData!H12+SensA!$E$2* $AF$1*H11,PlotData!$CB$3)</f>
        <v>0</v>
      </c>
      <c r="AI11" s="721">
        <f>IF(ISNUMBER(System!$C12),PlotData!I12+SensA!$E$2* $AF$1*I11,PlotData!$CB$3)</f>
        <v>0</v>
      </c>
      <c r="AJ11" s="721">
        <f>IF(ISNUMBER(System!$C12),PlotData!J12+SensA!$E$2* $AF$1*J11,PlotData!$CB$3)</f>
        <v>0</v>
      </c>
      <c r="AK11" s="721">
        <f>IF(ISNUMBER(System!$C12),PlotData!K12+SensA!$E$2* $AF$1*K11,PlotData!$CB$3)</f>
        <v>0</v>
      </c>
      <c r="AL11" s="639">
        <f>IF(ISNUMBER(System!$C12),PlotData!L12+SensA!$E$2* $AF$1*L11,PlotData!$CB$3)</f>
        <v>0</v>
      </c>
      <c r="AM11" s="1146">
        <f>IF(ISNUMBER(System!$C12),PlotData!L12,PlotData!$CB$3)</f>
        <v>0</v>
      </c>
      <c r="AN11" s="721">
        <f>IF(ISNUMBER(System!$C12),PlotData!B12,PlotData!$CB$3)</f>
        <v>0</v>
      </c>
      <c r="AO11" s="639">
        <f>IF(ISNUMBER(System!$C12),AB11,PlotData!$CB$3)</f>
        <v>0</v>
      </c>
      <c r="AQ11" s="1125">
        <v>9</v>
      </c>
      <c r="AR11" s="668">
        <f>IF(ISNUMBER(System!$C12),PlotData!O12+ SensA!$E$2*$AF$1*O11,PlotData!$CB$4)</f>
        <v>0</v>
      </c>
      <c r="AS11" s="721">
        <f>IF(ISNUMBER(System!$C12),PlotData!P12+ SensA!$E$2*$AF$1*P11,PlotData!$CB$4)</f>
        <v>0</v>
      </c>
      <c r="AT11" s="721">
        <f>IF(ISNUMBER(System!$C12),PlotData!Q12+ SensA!$E$2*$AF$1*Q11,PlotData!$CB$4)</f>
        <v>0</v>
      </c>
      <c r="AU11" s="721">
        <f>IF(ISNUMBER(System!$C12),PlotData!R12+ SensA!$E$2*$AF$1*R11,PlotData!$CB$4)</f>
        <v>0</v>
      </c>
      <c r="AV11" s="721">
        <f>IF(ISNUMBER(System!$C12),PlotData!S12+ SensA!$E$2*$AF$1*S11,PlotData!$CB$4)</f>
        <v>0</v>
      </c>
      <c r="AW11" s="721">
        <f>IF(ISNUMBER(System!$C12),PlotData!T12+ SensA!$E$2*$AF$1*T11,PlotData!$CB$4)</f>
        <v>0</v>
      </c>
      <c r="AX11" s="721">
        <f>IF(ISNUMBER(System!$C12),PlotData!U12+ SensA!$E$2*$AF$1*U11,PlotData!$CB$4)</f>
        <v>0</v>
      </c>
      <c r="AY11" s="721">
        <f>IF(ISNUMBER(System!$C12),PlotData!V12+ SensA!$E$2*$AF$1*V11,PlotData!$CB$4)</f>
        <v>0</v>
      </c>
      <c r="AZ11" s="721">
        <f>IF(ISNUMBER(System!$C12),PlotData!W12+ SensA!$E$2*$AF$1*W11,PlotData!$CB$4)</f>
        <v>0</v>
      </c>
      <c r="BA11" s="721">
        <f>IF(ISNUMBER(System!$C12),PlotData!X12+ SensA!$E$2*$AF$1*X11,PlotData!$CB$4)</f>
        <v>0</v>
      </c>
      <c r="BB11" s="639">
        <f>IF(ISNUMBER(System!$C12),PlotData!Y12+ SensA!$E$2*$AF$1*Y11,PlotData!$CB$4)</f>
        <v>0</v>
      </c>
      <c r="BC11" s="1146">
        <f>IF(ISNUMBER(System!$C12),PlotData!Y12, PlotData!CB$4)</f>
        <v>0</v>
      </c>
      <c r="BD11" s="721">
        <f>IF(ISNUMBER(System!$C12),PlotData!O12, PlotData!$CB$4)</f>
        <v>0</v>
      </c>
      <c r="BE11" s="639">
        <f>IF(ISNUMBER(System!$C12), AR11,PlotData!$CB$4)</f>
        <v>0</v>
      </c>
    </row>
    <row r="12" spans="1:61" x14ac:dyDescent="0.25">
      <c r="A12" s="1124">
        <v>10</v>
      </c>
      <c r="B12" s="668"/>
      <c r="C12" s="721"/>
      <c r="D12" s="721"/>
      <c r="E12" s="721"/>
      <c r="F12" s="721"/>
      <c r="G12" s="721"/>
      <c r="H12" s="721"/>
      <c r="I12" s="721"/>
      <c r="J12" s="721"/>
      <c r="K12" s="721"/>
      <c r="L12" s="639"/>
      <c r="N12" s="1124">
        <v>10</v>
      </c>
      <c r="O12" s="668"/>
      <c r="P12" s="721"/>
      <c r="Q12" s="721"/>
      <c r="R12" s="721"/>
      <c r="S12" s="721"/>
      <c r="T12" s="721"/>
      <c r="U12" s="721"/>
      <c r="V12" s="721"/>
      <c r="W12" s="721"/>
      <c r="X12" s="721"/>
      <c r="Y12" s="639"/>
      <c r="AA12" s="1125">
        <v>10</v>
      </c>
      <c r="AB12" s="668">
        <f>IF(ISNUMBER(System!$C13),PlotData!B13+SensA!$E$2* $AF$1*B12,PlotData!$CB$3)</f>
        <v>0</v>
      </c>
      <c r="AC12" s="721">
        <f>IF(ISNUMBER(System!$C13),PlotData!C13+SensA!$E$2* $AF$1*C12,PlotData!$CB$3)</f>
        <v>0</v>
      </c>
      <c r="AD12" s="721">
        <f>IF(ISNUMBER(System!$C13),PlotData!D13+SensA!$E$2* $AF$1*D12,PlotData!$CB$3)</f>
        <v>0</v>
      </c>
      <c r="AE12" s="721">
        <f>IF(ISNUMBER(System!$C13),PlotData!E13+SensA!$E$2* $AF$1*E12,PlotData!$CB$3)</f>
        <v>0</v>
      </c>
      <c r="AF12" s="721">
        <f>IF(ISNUMBER(System!$C13),PlotData!F13+SensA!$E$2* $AF$1*F12,PlotData!$CB$3)</f>
        <v>0</v>
      </c>
      <c r="AG12" s="721">
        <f>IF(ISNUMBER(System!$C13),PlotData!G13+SensA!$E$2* $AF$1*G12,PlotData!$CB$3)</f>
        <v>0</v>
      </c>
      <c r="AH12" s="721">
        <f>IF(ISNUMBER(System!$C13),PlotData!H13+SensA!$E$2* $AF$1*H12,PlotData!$CB$3)</f>
        <v>0</v>
      </c>
      <c r="AI12" s="721">
        <f>IF(ISNUMBER(System!$C13),PlotData!I13+SensA!$E$2* $AF$1*I12,PlotData!$CB$3)</f>
        <v>0</v>
      </c>
      <c r="AJ12" s="721">
        <f>IF(ISNUMBER(System!$C13),PlotData!J13+SensA!$E$2* $AF$1*J12,PlotData!$CB$3)</f>
        <v>0</v>
      </c>
      <c r="AK12" s="721">
        <f>IF(ISNUMBER(System!$C13),PlotData!K13+SensA!$E$2* $AF$1*K12,PlotData!$CB$3)</f>
        <v>0</v>
      </c>
      <c r="AL12" s="639">
        <f>IF(ISNUMBER(System!$C13),PlotData!L13+SensA!$E$2* $AF$1*L12,PlotData!$CB$3)</f>
        <v>0</v>
      </c>
      <c r="AM12" s="1146">
        <f>IF(ISNUMBER(System!$C13),PlotData!L13,PlotData!$CB$3)</f>
        <v>0</v>
      </c>
      <c r="AN12" s="721">
        <f>IF(ISNUMBER(System!$C13),PlotData!B13,PlotData!$CB$3)</f>
        <v>0</v>
      </c>
      <c r="AO12" s="639">
        <f>IF(ISNUMBER(System!$C13),AB12,PlotData!$CB$3)</f>
        <v>0</v>
      </c>
      <c r="AQ12" s="1125">
        <v>10</v>
      </c>
      <c r="AR12" s="668">
        <f>IF(ISNUMBER(System!$C13),PlotData!O13+ SensA!$E$2*$AF$1*O12,PlotData!$CB$4)</f>
        <v>0</v>
      </c>
      <c r="AS12" s="721">
        <f>IF(ISNUMBER(System!$C13),PlotData!P13+ SensA!$E$2*$AF$1*P12,PlotData!$CB$4)</f>
        <v>0</v>
      </c>
      <c r="AT12" s="721">
        <f>IF(ISNUMBER(System!$C13),PlotData!Q13+ SensA!$E$2*$AF$1*Q12,PlotData!$CB$4)</f>
        <v>0</v>
      </c>
      <c r="AU12" s="721">
        <f>IF(ISNUMBER(System!$C13),PlotData!R13+ SensA!$E$2*$AF$1*R12,PlotData!$CB$4)</f>
        <v>0</v>
      </c>
      <c r="AV12" s="721">
        <f>IF(ISNUMBER(System!$C13),PlotData!S13+ SensA!$E$2*$AF$1*S12,PlotData!$CB$4)</f>
        <v>0</v>
      </c>
      <c r="AW12" s="721">
        <f>IF(ISNUMBER(System!$C13),PlotData!T13+ SensA!$E$2*$AF$1*T12,PlotData!$CB$4)</f>
        <v>0</v>
      </c>
      <c r="AX12" s="721">
        <f>IF(ISNUMBER(System!$C13),PlotData!U13+ SensA!$E$2*$AF$1*U12,PlotData!$CB$4)</f>
        <v>0</v>
      </c>
      <c r="AY12" s="721">
        <f>IF(ISNUMBER(System!$C13),PlotData!V13+ SensA!$E$2*$AF$1*V12,PlotData!$CB$4)</f>
        <v>0</v>
      </c>
      <c r="AZ12" s="721">
        <f>IF(ISNUMBER(System!$C13),PlotData!W13+ SensA!$E$2*$AF$1*W12,PlotData!$CB$4)</f>
        <v>0</v>
      </c>
      <c r="BA12" s="721">
        <f>IF(ISNUMBER(System!$C13),PlotData!X13+ SensA!$E$2*$AF$1*X12,PlotData!$CB$4)</f>
        <v>0</v>
      </c>
      <c r="BB12" s="639">
        <f>IF(ISNUMBER(System!$C13),PlotData!Y13+ SensA!$E$2*$AF$1*Y12,PlotData!$CB$4)</f>
        <v>0</v>
      </c>
      <c r="BC12" s="1146">
        <f>IF(ISNUMBER(System!$C13),PlotData!Y13, PlotData!CB$4)</f>
        <v>0</v>
      </c>
      <c r="BD12" s="721">
        <f>IF(ISNUMBER(System!$C13),PlotData!O13, PlotData!$CB$4)</f>
        <v>0</v>
      </c>
      <c r="BE12" s="639">
        <f>IF(ISNUMBER(System!$C13), AR12,PlotData!$CB$4)</f>
        <v>0</v>
      </c>
    </row>
    <row r="13" spans="1:61" x14ac:dyDescent="0.25">
      <c r="A13" s="1124">
        <v>11</v>
      </c>
      <c r="B13" s="668"/>
      <c r="C13" s="721"/>
      <c r="D13" s="721"/>
      <c r="E13" s="721"/>
      <c r="F13" s="721"/>
      <c r="G13" s="721"/>
      <c r="H13" s="721"/>
      <c r="I13" s="721"/>
      <c r="J13" s="721"/>
      <c r="K13" s="721"/>
      <c r="L13" s="639"/>
      <c r="N13" s="1124">
        <v>11</v>
      </c>
      <c r="O13" s="668"/>
      <c r="P13" s="721"/>
      <c r="Q13" s="721"/>
      <c r="R13" s="721"/>
      <c r="S13" s="721"/>
      <c r="T13" s="721"/>
      <c r="U13" s="721"/>
      <c r="V13" s="721"/>
      <c r="W13" s="721"/>
      <c r="X13" s="721"/>
      <c r="Y13" s="639"/>
      <c r="AA13" s="1125">
        <v>11</v>
      </c>
      <c r="AB13" s="668">
        <f>IF(ISNUMBER(System!$C14),PlotData!B14+SensA!$E$2* $AF$1*B13,PlotData!$CB$3)</f>
        <v>0</v>
      </c>
      <c r="AC13" s="721">
        <f>IF(ISNUMBER(System!$C14),PlotData!C14+SensA!$E$2* $AF$1*C13,PlotData!$CB$3)</f>
        <v>0</v>
      </c>
      <c r="AD13" s="721">
        <f>IF(ISNUMBER(System!$C14),PlotData!D14+SensA!$E$2* $AF$1*D13,PlotData!$CB$3)</f>
        <v>0</v>
      </c>
      <c r="AE13" s="721">
        <f>IF(ISNUMBER(System!$C14),PlotData!E14+SensA!$E$2* $AF$1*E13,PlotData!$CB$3)</f>
        <v>0</v>
      </c>
      <c r="AF13" s="721">
        <f>IF(ISNUMBER(System!$C14),PlotData!F14+SensA!$E$2* $AF$1*F13,PlotData!$CB$3)</f>
        <v>0</v>
      </c>
      <c r="AG13" s="721">
        <f>IF(ISNUMBER(System!$C14),PlotData!G14+SensA!$E$2* $AF$1*G13,PlotData!$CB$3)</f>
        <v>0</v>
      </c>
      <c r="AH13" s="721">
        <f>IF(ISNUMBER(System!$C14),PlotData!H14+SensA!$E$2* $AF$1*H13,PlotData!$CB$3)</f>
        <v>0</v>
      </c>
      <c r="AI13" s="721">
        <f>IF(ISNUMBER(System!$C14),PlotData!I14+SensA!$E$2* $AF$1*I13,PlotData!$CB$3)</f>
        <v>0</v>
      </c>
      <c r="AJ13" s="721">
        <f>IF(ISNUMBER(System!$C14),PlotData!J14+SensA!$E$2* $AF$1*J13,PlotData!$CB$3)</f>
        <v>0</v>
      </c>
      <c r="AK13" s="721">
        <f>IF(ISNUMBER(System!$C14),PlotData!K14+SensA!$E$2* $AF$1*K13,PlotData!$CB$3)</f>
        <v>0</v>
      </c>
      <c r="AL13" s="639">
        <f>IF(ISNUMBER(System!$C14),PlotData!L14+SensA!$E$2* $AF$1*L13,PlotData!$CB$3)</f>
        <v>0</v>
      </c>
      <c r="AM13" s="1146">
        <f>IF(ISNUMBER(System!$C14),PlotData!L14,PlotData!$CB$3)</f>
        <v>0</v>
      </c>
      <c r="AN13" s="721">
        <f>IF(ISNUMBER(System!$C14),PlotData!B14,PlotData!$CB$3)</f>
        <v>0</v>
      </c>
      <c r="AO13" s="639">
        <f>IF(ISNUMBER(System!$C14),AB13,PlotData!$CB$3)</f>
        <v>0</v>
      </c>
      <c r="AQ13" s="1125">
        <v>11</v>
      </c>
      <c r="AR13" s="668">
        <f>IF(ISNUMBER(System!$C14),PlotData!O14+ SensA!$E$2*$AF$1*O13,PlotData!$CB$4)</f>
        <v>0</v>
      </c>
      <c r="AS13" s="721">
        <f>IF(ISNUMBER(System!$C14),PlotData!P14+ SensA!$E$2*$AF$1*P13,PlotData!$CB$4)</f>
        <v>0</v>
      </c>
      <c r="AT13" s="721">
        <f>IF(ISNUMBER(System!$C14),PlotData!Q14+ SensA!$E$2*$AF$1*Q13,PlotData!$CB$4)</f>
        <v>0</v>
      </c>
      <c r="AU13" s="721">
        <f>IF(ISNUMBER(System!$C14),PlotData!R14+ SensA!$E$2*$AF$1*R13,PlotData!$CB$4)</f>
        <v>0</v>
      </c>
      <c r="AV13" s="721">
        <f>IF(ISNUMBER(System!$C14),PlotData!S14+ SensA!$E$2*$AF$1*S13,PlotData!$CB$4)</f>
        <v>0</v>
      </c>
      <c r="AW13" s="721">
        <f>IF(ISNUMBER(System!$C14),PlotData!T14+ SensA!$E$2*$AF$1*T13,PlotData!$CB$4)</f>
        <v>0</v>
      </c>
      <c r="AX13" s="721">
        <f>IF(ISNUMBER(System!$C14),PlotData!U14+ SensA!$E$2*$AF$1*U13,PlotData!$CB$4)</f>
        <v>0</v>
      </c>
      <c r="AY13" s="721">
        <f>IF(ISNUMBER(System!$C14),PlotData!V14+ SensA!$E$2*$AF$1*V13,PlotData!$CB$4)</f>
        <v>0</v>
      </c>
      <c r="AZ13" s="721">
        <f>IF(ISNUMBER(System!$C14),PlotData!W14+ SensA!$E$2*$AF$1*W13,PlotData!$CB$4)</f>
        <v>0</v>
      </c>
      <c r="BA13" s="721">
        <f>IF(ISNUMBER(System!$C14),PlotData!X14+ SensA!$E$2*$AF$1*X13,PlotData!$CB$4)</f>
        <v>0</v>
      </c>
      <c r="BB13" s="639">
        <f>IF(ISNUMBER(System!$C14),PlotData!Y14+ SensA!$E$2*$AF$1*Y13,PlotData!$CB$4)</f>
        <v>0</v>
      </c>
      <c r="BC13" s="1146">
        <f>IF(ISNUMBER(System!$C14),PlotData!Y14, PlotData!CB$4)</f>
        <v>0</v>
      </c>
      <c r="BD13" s="721">
        <f>IF(ISNUMBER(System!$C14),PlotData!O14, PlotData!$CB$4)</f>
        <v>0</v>
      </c>
      <c r="BE13" s="639">
        <f>IF(ISNUMBER(System!$C14), AR13,PlotData!$CB$4)</f>
        <v>0</v>
      </c>
    </row>
    <row r="14" spans="1:61" x14ac:dyDescent="0.25">
      <c r="A14" s="1124">
        <v>12</v>
      </c>
      <c r="B14" s="668"/>
      <c r="C14" s="721"/>
      <c r="D14" s="721"/>
      <c r="E14" s="721"/>
      <c r="F14" s="721"/>
      <c r="G14" s="721"/>
      <c r="H14" s="721"/>
      <c r="I14" s="721"/>
      <c r="J14" s="721"/>
      <c r="K14" s="721"/>
      <c r="L14" s="639"/>
      <c r="N14" s="1124">
        <v>12</v>
      </c>
      <c r="O14" s="668"/>
      <c r="P14" s="721"/>
      <c r="Q14" s="721"/>
      <c r="R14" s="721"/>
      <c r="S14" s="721"/>
      <c r="T14" s="721"/>
      <c r="U14" s="721"/>
      <c r="V14" s="721"/>
      <c r="W14" s="721"/>
      <c r="X14" s="721"/>
      <c r="Y14" s="639"/>
      <c r="AA14" s="1125">
        <v>12</v>
      </c>
      <c r="AB14" s="668">
        <f>IF(ISNUMBER(System!$C15),PlotData!B15+SensA!$E$2* $AF$1*B14,PlotData!$CB$3)</f>
        <v>0</v>
      </c>
      <c r="AC14" s="721">
        <f>IF(ISNUMBER(System!$C15),PlotData!C15+SensA!$E$2* $AF$1*C14,PlotData!$CB$3)</f>
        <v>0</v>
      </c>
      <c r="AD14" s="721">
        <f>IF(ISNUMBER(System!$C15),PlotData!D15+SensA!$E$2* $AF$1*D14,PlotData!$CB$3)</f>
        <v>0</v>
      </c>
      <c r="AE14" s="721">
        <f>IF(ISNUMBER(System!$C15),PlotData!E15+SensA!$E$2* $AF$1*E14,PlotData!$CB$3)</f>
        <v>0</v>
      </c>
      <c r="AF14" s="721">
        <f>IF(ISNUMBER(System!$C15),PlotData!F15+SensA!$E$2* $AF$1*F14,PlotData!$CB$3)</f>
        <v>0</v>
      </c>
      <c r="AG14" s="721">
        <f>IF(ISNUMBER(System!$C15),PlotData!G15+SensA!$E$2* $AF$1*G14,PlotData!$CB$3)</f>
        <v>0</v>
      </c>
      <c r="AH14" s="721">
        <f>IF(ISNUMBER(System!$C15),PlotData!H15+SensA!$E$2* $AF$1*H14,PlotData!$CB$3)</f>
        <v>0</v>
      </c>
      <c r="AI14" s="721">
        <f>IF(ISNUMBER(System!$C15),PlotData!I15+SensA!$E$2* $AF$1*I14,PlotData!$CB$3)</f>
        <v>0</v>
      </c>
      <c r="AJ14" s="721">
        <f>IF(ISNUMBER(System!$C15),PlotData!J15+SensA!$E$2* $AF$1*J14,PlotData!$CB$3)</f>
        <v>0</v>
      </c>
      <c r="AK14" s="721">
        <f>IF(ISNUMBER(System!$C15),PlotData!K15+SensA!$E$2* $AF$1*K14,PlotData!$CB$3)</f>
        <v>0</v>
      </c>
      <c r="AL14" s="639">
        <f>IF(ISNUMBER(System!$C15),PlotData!L15+SensA!$E$2* $AF$1*L14,PlotData!$CB$3)</f>
        <v>0</v>
      </c>
      <c r="AM14" s="1146">
        <f>IF(ISNUMBER(System!$C15),PlotData!L15,PlotData!$CB$3)</f>
        <v>0</v>
      </c>
      <c r="AN14" s="721">
        <f>IF(ISNUMBER(System!$C15),PlotData!B15,PlotData!$CB$3)</f>
        <v>0</v>
      </c>
      <c r="AO14" s="639">
        <f>IF(ISNUMBER(System!$C15),AB14,PlotData!$CB$3)</f>
        <v>0</v>
      </c>
      <c r="AQ14" s="1125">
        <v>12</v>
      </c>
      <c r="AR14" s="668">
        <f>IF(ISNUMBER(System!$C15),PlotData!O15+ SensA!$E$2*$AF$1*O14,PlotData!$CB$4)</f>
        <v>0</v>
      </c>
      <c r="AS14" s="721">
        <f>IF(ISNUMBER(System!$C15),PlotData!P15+ SensA!$E$2*$AF$1*P14,PlotData!$CB$4)</f>
        <v>0</v>
      </c>
      <c r="AT14" s="721">
        <f>IF(ISNUMBER(System!$C15),PlotData!Q15+ SensA!$E$2*$AF$1*Q14,PlotData!$CB$4)</f>
        <v>0</v>
      </c>
      <c r="AU14" s="721">
        <f>IF(ISNUMBER(System!$C15),PlotData!R15+ SensA!$E$2*$AF$1*R14,PlotData!$CB$4)</f>
        <v>0</v>
      </c>
      <c r="AV14" s="721">
        <f>IF(ISNUMBER(System!$C15),PlotData!S15+ SensA!$E$2*$AF$1*S14,PlotData!$CB$4)</f>
        <v>0</v>
      </c>
      <c r="AW14" s="721">
        <f>IF(ISNUMBER(System!$C15),PlotData!T15+ SensA!$E$2*$AF$1*T14,PlotData!$CB$4)</f>
        <v>0</v>
      </c>
      <c r="AX14" s="721">
        <f>IF(ISNUMBER(System!$C15),PlotData!U15+ SensA!$E$2*$AF$1*U14,PlotData!$CB$4)</f>
        <v>0</v>
      </c>
      <c r="AY14" s="721">
        <f>IF(ISNUMBER(System!$C15),PlotData!V15+ SensA!$E$2*$AF$1*V14,PlotData!$CB$4)</f>
        <v>0</v>
      </c>
      <c r="AZ14" s="721">
        <f>IF(ISNUMBER(System!$C15),PlotData!W15+ SensA!$E$2*$AF$1*W14,PlotData!$CB$4)</f>
        <v>0</v>
      </c>
      <c r="BA14" s="721">
        <f>IF(ISNUMBER(System!$C15),PlotData!X15+ SensA!$E$2*$AF$1*X14,PlotData!$CB$4)</f>
        <v>0</v>
      </c>
      <c r="BB14" s="639">
        <f>IF(ISNUMBER(System!$C15),PlotData!Y15+ SensA!$E$2*$AF$1*Y14,PlotData!$CB$4)</f>
        <v>0</v>
      </c>
      <c r="BC14" s="1146">
        <f>IF(ISNUMBER(System!$C15),PlotData!Y15, PlotData!CB$4)</f>
        <v>0</v>
      </c>
      <c r="BD14" s="721">
        <f>IF(ISNUMBER(System!$C15),PlotData!O15, PlotData!$CB$4)</f>
        <v>0</v>
      </c>
      <c r="BE14" s="639">
        <f>IF(ISNUMBER(System!$C15), AR14,PlotData!$CB$4)</f>
        <v>0</v>
      </c>
    </row>
    <row r="15" spans="1:61" x14ac:dyDescent="0.25">
      <c r="A15" s="1124">
        <v>13</v>
      </c>
      <c r="B15" s="668"/>
      <c r="C15" s="721"/>
      <c r="D15" s="721"/>
      <c r="E15" s="721"/>
      <c r="F15" s="721"/>
      <c r="G15" s="721"/>
      <c r="H15" s="721"/>
      <c r="I15" s="721"/>
      <c r="J15" s="721"/>
      <c r="K15" s="721"/>
      <c r="L15" s="639"/>
      <c r="N15" s="1124">
        <v>13</v>
      </c>
      <c r="O15" s="668"/>
      <c r="P15" s="721"/>
      <c r="Q15" s="721"/>
      <c r="R15" s="721"/>
      <c r="S15" s="721"/>
      <c r="T15" s="721"/>
      <c r="U15" s="721"/>
      <c r="V15" s="721"/>
      <c r="W15" s="721"/>
      <c r="X15" s="721"/>
      <c r="Y15" s="639"/>
      <c r="AA15" s="1125">
        <v>13</v>
      </c>
      <c r="AB15" s="668">
        <f>IF(ISNUMBER(System!$C16),PlotData!B16+SensA!$E$2* $AF$1*B15,PlotData!$CB$3)</f>
        <v>0</v>
      </c>
      <c r="AC15" s="721">
        <f>IF(ISNUMBER(System!$C16),PlotData!C16+SensA!$E$2* $AF$1*C15,PlotData!$CB$3)</f>
        <v>0</v>
      </c>
      <c r="AD15" s="721">
        <f>IF(ISNUMBER(System!$C16),PlotData!D16+SensA!$E$2* $AF$1*D15,PlotData!$CB$3)</f>
        <v>0</v>
      </c>
      <c r="AE15" s="721">
        <f>IF(ISNUMBER(System!$C16),PlotData!E16+SensA!$E$2* $AF$1*E15,PlotData!$CB$3)</f>
        <v>0</v>
      </c>
      <c r="AF15" s="721">
        <f>IF(ISNUMBER(System!$C16),PlotData!F16+SensA!$E$2* $AF$1*F15,PlotData!$CB$3)</f>
        <v>0</v>
      </c>
      <c r="AG15" s="721">
        <f>IF(ISNUMBER(System!$C16),PlotData!G16+SensA!$E$2* $AF$1*G15,PlotData!$CB$3)</f>
        <v>0</v>
      </c>
      <c r="AH15" s="721">
        <f>IF(ISNUMBER(System!$C16),PlotData!H16+SensA!$E$2* $AF$1*H15,PlotData!$CB$3)</f>
        <v>0</v>
      </c>
      <c r="AI15" s="721">
        <f>IF(ISNUMBER(System!$C16),PlotData!I16+SensA!$E$2* $AF$1*I15,PlotData!$CB$3)</f>
        <v>0</v>
      </c>
      <c r="AJ15" s="721">
        <f>IF(ISNUMBER(System!$C16),PlotData!J16+SensA!$E$2* $AF$1*J15,PlotData!$CB$3)</f>
        <v>0</v>
      </c>
      <c r="AK15" s="721">
        <f>IF(ISNUMBER(System!$C16),PlotData!K16+SensA!$E$2* $AF$1*K15,PlotData!$CB$3)</f>
        <v>0</v>
      </c>
      <c r="AL15" s="639">
        <f>IF(ISNUMBER(System!$C16),PlotData!L16+SensA!$E$2* $AF$1*L15,PlotData!$CB$3)</f>
        <v>0</v>
      </c>
      <c r="AM15" s="1146">
        <f>IF(ISNUMBER(System!$C16),PlotData!L16,PlotData!$CB$3)</f>
        <v>0</v>
      </c>
      <c r="AN15" s="721">
        <f>IF(ISNUMBER(System!$C16),PlotData!B16,PlotData!$CB$3)</f>
        <v>0</v>
      </c>
      <c r="AO15" s="639">
        <f>IF(ISNUMBER(System!$C16),AB15,PlotData!$CB$3)</f>
        <v>0</v>
      </c>
      <c r="AQ15" s="1125">
        <v>13</v>
      </c>
      <c r="AR15" s="668">
        <f>IF(ISNUMBER(System!$C16),PlotData!O16+ SensA!$E$2*$AF$1*O15,PlotData!$CB$4)</f>
        <v>0</v>
      </c>
      <c r="AS15" s="721">
        <f>IF(ISNUMBER(System!$C16),PlotData!P16+ SensA!$E$2*$AF$1*P15,PlotData!$CB$4)</f>
        <v>0</v>
      </c>
      <c r="AT15" s="721">
        <f>IF(ISNUMBER(System!$C16),PlotData!Q16+ SensA!$E$2*$AF$1*Q15,PlotData!$CB$4)</f>
        <v>0</v>
      </c>
      <c r="AU15" s="721">
        <f>IF(ISNUMBER(System!$C16),PlotData!R16+ SensA!$E$2*$AF$1*R15,PlotData!$CB$4)</f>
        <v>0</v>
      </c>
      <c r="AV15" s="721">
        <f>IF(ISNUMBER(System!$C16),PlotData!S16+ SensA!$E$2*$AF$1*S15,PlotData!$CB$4)</f>
        <v>0</v>
      </c>
      <c r="AW15" s="721">
        <f>IF(ISNUMBER(System!$C16),PlotData!T16+ SensA!$E$2*$AF$1*T15,PlotData!$CB$4)</f>
        <v>0</v>
      </c>
      <c r="AX15" s="721">
        <f>IF(ISNUMBER(System!$C16),PlotData!U16+ SensA!$E$2*$AF$1*U15,PlotData!$CB$4)</f>
        <v>0</v>
      </c>
      <c r="AY15" s="721">
        <f>IF(ISNUMBER(System!$C16),PlotData!V16+ SensA!$E$2*$AF$1*V15,PlotData!$CB$4)</f>
        <v>0</v>
      </c>
      <c r="AZ15" s="721">
        <f>IF(ISNUMBER(System!$C16),PlotData!W16+ SensA!$E$2*$AF$1*W15,PlotData!$CB$4)</f>
        <v>0</v>
      </c>
      <c r="BA15" s="721">
        <f>IF(ISNUMBER(System!$C16),PlotData!X16+ SensA!$E$2*$AF$1*X15,PlotData!$CB$4)</f>
        <v>0</v>
      </c>
      <c r="BB15" s="639">
        <f>IF(ISNUMBER(System!$C16),PlotData!Y16+ SensA!$E$2*$AF$1*Y15,PlotData!$CB$4)</f>
        <v>0</v>
      </c>
      <c r="BC15" s="1146">
        <f>IF(ISNUMBER(System!$C16),PlotData!Y16, PlotData!CB$4)</f>
        <v>0</v>
      </c>
      <c r="BD15" s="721">
        <f>IF(ISNUMBER(System!$C16),PlotData!O16, PlotData!$CB$4)</f>
        <v>0</v>
      </c>
      <c r="BE15" s="639">
        <f>IF(ISNUMBER(System!$C16), AR15,PlotData!$CB$4)</f>
        <v>0</v>
      </c>
    </row>
    <row r="16" spans="1:61" x14ac:dyDescent="0.25">
      <c r="A16" s="1124">
        <v>14</v>
      </c>
      <c r="B16" s="668"/>
      <c r="C16" s="721"/>
      <c r="D16" s="721"/>
      <c r="E16" s="721"/>
      <c r="F16" s="721"/>
      <c r="G16" s="721"/>
      <c r="H16" s="721"/>
      <c r="I16" s="721"/>
      <c r="J16" s="721"/>
      <c r="K16" s="721"/>
      <c r="L16" s="639"/>
      <c r="N16" s="1124">
        <v>14</v>
      </c>
      <c r="O16" s="668"/>
      <c r="P16" s="721"/>
      <c r="Q16" s="721"/>
      <c r="R16" s="721"/>
      <c r="S16" s="721"/>
      <c r="T16" s="721"/>
      <c r="U16" s="721"/>
      <c r="V16" s="721"/>
      <c r="W16" s="721"/>
      <c r="X16" s="721"/>
      <c r="Y16" s="639"/>
      <c r="AA16" s="1125">
        <v>14</v>
      </c>
      <c r="AB16" s="668">
        <f>IF(ISNUMBER(System!$C17),PlotData!B17+SensA!$E$2* $AF$1*B16,PlotData!$CB$3)</f>
        <v>0</v>
      </c>
      <c r="AC16" s="721">
        <f>IF(ISNUMBER(System!$C17),PlotData!C17+SensA!$E$2* $AF$1*C16,PlotData!$CB$3)</f>
        <v>0</v>
      </c>
      <c r="AD16" s="721">
        <f>IF(ISNUMBER(System!$C17),PlotData!D17+SensA!$E$2* $AF$1*D16,PlotData!$CB$3)</f>
        <v>0</v>
      </c>
      <c r="AE16" s="721">
        <f>IF(ISNUMBER(System!$C17),PlotData!E17+SensA!$E$2* $AF$1*E16,PlotData!$CB$3)</f>
        <v>0</v>
      </c>
      <c r="AF16" s="721">
        <f>IF(ISNUMBER(System!$C17),PlotData!F17+SensA!$E$2* $AF$1*F16,PlotData!$CB$3)</f>
        <v>0</v>
      </c>
      <c r="AG16" s="721">
        <f>IF(ISNUMBER(System!$C17),PlotData!G17+SensA!$E$2* $AF$1*G16,PlotData!$CB$3)</f>
        <v>0</v>
      </c>
      <c r="AH16" s="721">
        <f>IF(ISNUMBER(System!$C17),PlotData!H17+SensA!$E$2* $AF$1*H16,PlotData!$CB$3)</f>
        <v>0</v>
      </c>
      <c r="AI16" s="721">
        <f>IF(ISNUMBER(System!$C17),PlotData!I17+SensA!$E$2* $AF$1*I16,PlotData!$CB$3)</f>
        <v>0</v>
      </c>
      <c r="AJ16" s="721">
        <f>IF(ISNUMBER(System!$C17),PlotData!J17+SensA!$E$2* $AF$1*J16,PlotData!$CB$3)</f>
        <v>0</v>
      </c>
      <c r="AK16" s="721">
        <f>IF(ISNUMBER(System!$C17),PlotData!K17+SensA!$E$2* $AF$1*K16,PlotData!$CB$3)</f>
        <v>0</v>
      </c>
      <c r="AL16" s="639">
        <f>IF(ISNUMBER(System!$C17),PlotData!L17+SensA!$E$2* $AF$1*L16,PlotData!$CB$3)</f>
        <v>0</v>
      </c>
      <c r="AM16" s="1146">
        <f>IF(ISNUMBER(System!$C17),PlotData!L17,PlotData!$CB$3)</f>
        <v>0</v>
      </c>
      <c r="AN16" s="721">
        <f>IF(ISNUMBER(System!$C17),PlotData!B17,PlotData!$CB$3)</f>
        <v>0</v>
      </c>
      <c r="AO16" s="639">
        <f>IF(ISNUMBER(System!$C17),AB16,PlotData!$CB$3)</f>
        <v>0</v>
      </c>
      <c r="AQ16" s="1125">
        <v>14</v>
      </c>
      <c r="AR16" s="668">
        <f>IF(ISNUMBER(System!$C17),PlotData!O17+ SensA!$E$2*$AF$1*O16,PlotData!$CB$4)</f>
        <v>0</v>
      </c>
      <c r="AS16" s="721">
        <f>IF(ISNUMBER(System!$C17),PlotData!P17+ SensA!$E$2*$AF$1*P16,PlotData!$CB$4)</f>
        <v>0</v>
      </c>
      <c r="AT16" s="721">
        <f>IF(ISNUMBER(System!$C17),PlotData!Q17+ SensA!$E$2*$AF$1*Q16,PlotData!$CB$4)</f>
        <v>0</v>
      </c>
      <c r="AU16" s="721">
        <f>IF(ISNUMBER(System!$C17),PlotData!R17+ SensA!$E$2*$AF$1*R16,PlotData!$CB$4)</f>
        <v>0</v>
      </c>
      <c r="AV16" s="721">
        <f>IF(ISNUMBER(System!$C17),PlotData!S17+ SensA!$E$2*$AF$1*S16,PlotData!$CB$4)</f>
        <v>0</v>
      </c>
      <c r="AW16" s="721">
        <f>IF(ISNUMBER(System!$C17),PlotData!T17+ SensA!$E$2*$AF$1*T16,PlotData!$CB$4)</f>
        <v>0</v>
      </c>
      <c r="AX16" s="721">
        <f>IF(ISNUMBER(System!$C17),PlotData!U17+ SensA!$E$2*$AF$1*U16,PlotData!$CB$4)</f>
        <v>0</v>
      </c>
      <c r="AY16" s="721">
        <f>IF(ISNUMBER(System!$C17),PlotData!V17+ SensA!$E$2*$AF$1*V16,PlotData!$CB$4)</f>
        <v>0</v>
      </c>
      <c r="AZ16" s="721">
        <f>IF(ISNUMBER(System!$C17),PlotData!W17+ SensA!$E$2*$AF$1*W16,PlotData!$CB$4)</f>
        <v>0</v>
      </c>
      <c r="BA16" s="721">
        <f>IF(ISNUMBER(System!$C17),PlotData!X17+ SensA!$E$2*$AF$1*X16,PlotData!$CB$4)</f>
        <v>0</v>
      </c>
      <c r="BB16" s="639">
        <f>IF(ISNUMBER(System!$C17),PlotData!Y17+ SensA!$E$2*$AF$1*Y16,PlotData!$CB$4)</f>
        <v>0</v>
      </c>
      <c r="BC16" s="1146">
        <f>IF(ISNUMBER(System!$C17),PlotData!Y17, PlotData!CB$4)</f>
        <v>0</v>
      </c>
      <c r="BD16" s="721">
        <f>IF(ISNUMBER(System!$C17),PlotData!O17, PlotData!$CB$4)</f>
        <v>0</v>
      </c>
      <c r="BE16" s="639">
        <f>IF(ISNUMBER(System!$C17), AR16,PlotData!$CB$4)</f>
        <v>0</v>
      </c>
    </row>
    <row r="17" spans="1:57" x14ac:dyDescent="0.25">
      <c r="A17" s="1124">
        <v>15</v>
      </c>
      <c r="B17" s="668"/>
      <c r="C17" s="721"/>
      <c r="D17" s="721"/>
      <c r="E17" s="721"/>
      <c r="F17" s="721"/>
      <c r="G17" s="721"/>
      <c r="H17" s="721"/>
      <c r="I17" s="721"/>
      <c r="J17" s="721"/>
      <c r="K17" s="721"/>
      <c r="L17" s="639"/>
      <c r="N17" s="1124">
        <v>15</v>
      </c>
      <c r="O17" s="668"/>
      <c r="P17" s="721"/>
      <c r="Q17" s="721"/>
      <c r="R17" s="721"/>
      <c r="S17" s="721"/>
      <c r="T17" s="721"/>
      <c r="U17" s="721"/>
      <c r="V17" s="721"/>
      <c r="W17" s="721"/>
      <c r="X17" s="721"/>
      <c r="Y17" s="639"/>
      <c r="AA17" s="1125">
        <v>15</v>
      </c>
      <c r="AB17" s="668">
        <f>IF(ISNUMBER(System!$C18),PlotData!B18+SensA!$E$2* $AF$1*B17,PlotData!$CB$3)</f>
        <v>0</v>
      </c>
      <c r="AC17" s="721">
        <f>IF(ISNUMBER(System!$C18),PlotData!C18+SensA!$E$2* $AF$1*C17,PlotData!$CB$3)</f>
        <v>0</v>
      </c>
      <c r="AD17" s="721">
        <f>IF(ISNUMBER(System!$C18),PlotData!D18+SensA!$E$2* $AF$1*D17,PlotData!$CB$3)</f>
        <v>0</v>
      </c>
      <c r="AE17" s="721">
        <f>IF(ISNUMBER(System!$C18),PlotData!E18+SensA!$E$2* $AF$1*E17,PlotData!$CB$3)</f>
        <v>0</v>
      </c>
      <c r="AF17" s="721">
        <f>IF(ISNUMBER(System!$C18),PlotData!F18+SensA!$E$2* $AF$1*F17,PlotData!$CB$3)</f>
        <v>0</v>
      </c>
      <c r="AG17" s="721">
        <f>IF(ISNUMBER(System!$C18),PlotData!G18+SensA!$E$2* $AF$1*G17,PlotData!$CB$3)</f>
        <v>0</v>
      </c>
      <c r="AH17" s="721">
        <f>IF(ISNUMBER(System!$C18),PlotData!H18+SensA!$E$2* $AF$1*H17,PlotData!$CB$3)</f>
        <v>0</v>
      </c>
      <c r="AI17" s="721">
        <f>IF(ISNUMBER(System!$C18),PlotData!I18+SensA!$E$2* $AF$1*I17,PlotData!$CB$3)</f>
        <v>0</v>
      </c>
      <c r="AJ17" s="721">
        <f>IF(ISNUMBER(System!$C18),PlotData!J18+SensA!$E$2* $AF$1*J17,PlotData!$CB$3)</f>
        <v>0</v>
      </c>
      <c r="AK17" s="721">
        <f>IF(ISNUMBER(System!$C18),PlotData!K18+SensA!$E$2* $AF$1*K17,PlotData!$CB$3)</f>
        <v>0</v>
      </c>
      <c r="AL17" s="639">
        <f>IF(ISNUMBER(System!$C18),PlotData!L18+SensA!$E$2* $AF$1*L17,PlotData!$CB$3)</f>
        <v>0</v>
      </c>
      <c r="AM17" s="1146">
        <f>IF(ISNUMBER(System!$C18),PlotData!L18,PlotData!$CB$3)</f>
        <v>0</v>
      </c>
      <c r="AN17" s="721">
        <f>IF(ISNUMBER(System!$C18),PlotData!B18,PlotData!$CB$3)</f>
        <v>0</v>
      </c>
      <c r="AO17" s="639">
        <f>IF(ISNUMBER(System!$C18),AB17,PlotData!$CB$3)</f>
        <v>0</v>
      </c>
      <c r="AQ17" s="1125">
        <v>15</v>
      </c>
      <c r="AR17" s="668">
        <f>IF(ISNUMBER(System!$C18),PlotData!O18+ SensA!$E$2*$AF$1*O17,PlotData!$CB$4)</f>
        <v>0</v>
      </c>
      <c r="AS17" s="721">
        <f>IF(ISNUMBER(System!$C18),PlotData!P18+ SensA!$E$2*$AF$1*P17,PlotData!$CB$4)</f>
        <v>0</v>
      </c>
      <c r="AT17" s="721">
        <f>IF(ISNUMBER(System!$C18),PlotData!Q18+ SensA!$E$2*$AF$1*Q17,PlotData!$CB$4)</f>
        <v>0</v>
      </c>
      <c r="AU17" s="721">
        <f>IF(ISNUMBER(System!$C18),PlotData!R18+ SensA!$E$2*$AF$1*R17,PlotData!$CB$4)</f>
        <v>0</v>
      </c>
      <c r="AV17" s="721">
        <f>IF(ISNUMBER(System!$C18),PlotData!S18+ SensA!$E$2*$AF$1*S17,PlotData!$CB$4)</f>
        <v>0</v>
      </c>
      <c r="AW17" s="721">
        <f>IF(ISNUMBER(System!$C18),PlotData!T18+ SensA!$E$2*$AF$1*T17,PlotData!$CB$4)</f>
        <v>0</v>
      </c>
      <c r="AX17" s="721">
        <f>IF(ISNUMBER(System!$C18),PlotData!U18+ SensA!$E$2*$AF$1*U17,PlotData!$CB$4)</f>
        <v>0</v>
      </c>
      <c r="AY17" s="721">
        <f>IF(ISNUMBER(System!$C18),PlotData!V18+ SensA!$E$2*$AF$1*V17,PlotData!$CB$4)</f>
        <v>0</v>
      </c>
      <c r="AZ17" s="721">
        <f>IF(ISNUMBER(System!$C18),PlotData!W18+ SensA!$E$2*$AF$1*W17,PlotData!$CB$4)</f>
        <v>0</v>
      </c>
      <c r="BA17" s="721">
        <f>IF(ISNUMBER(System!$C18),PlotData!X18+ SensA!$E$2*$AF$1*X17,PlotData!$CB$4)</f>
        <v>0</v>
      </c>
      <c r="BB17" s="639">
        <f>IF(ISNUMBER(System!$C18),PlotData!Y18+ SensA!$E$2*$AF$1*Y17,PlotData!$CB$4)</f>
        <v>0</v>
      </c>
      <c r="BC17" s="1146">
        <f>IF(ISNUMBER(System!$C18),PlotData!Y18, PlotData!CB$4)</f>
        <v>0</v>
      </c>
      <c r="BD17" s="721">
        <f>IF(ISNUMBER(System!$C18),PlotData!O18, PlotData!$CB$4)</f>
        <v>0</v>
      </c>
      <c r="BE17" s="639">
        <f>IF(ISNUMBER(System!$C18), AR17,PlotData!$CB$4)</f>
        <v>0</v>
      </c>
    </row>
    <row r="18" spans="1:57" x14ac:dyDescent="0.25">
      <c r="A18" s="1124">
        <v>16</v>
      </c>
      <c r="B18" s="668"/>
      <c r="C18" s="721"/>
      <c r="D18" s="721"/>
      <c r="E18" s="721"/>
      <c r="F18" s="721"/>
      <c r="G18" s="721"/>
      <c r="H18" s="721"/>
      <c r="I18" s="721"/>
      <c r="J18" s="721"/>
      <c r="K18" s="721"/>
      <c r="L18" s="639"/>
      <c r="N18" s="1124">
        <v>16</v>
      </c>
      <c r="O18" s="668"/>
      <c r="P18" s="721"/>
      <c r="Q18" s="721"/>
      <c r="R18" s="721"/>
      <c r="S18" s="721"/>
      <c r="T18" s="721"/>
      <c r="U18" s="721"/>
      <c r="V18" s="721"/>
      <c r="W18" s="721"/>
      <c r="X18" s="721"/>
      <c r="Y18" s="639"/>
      <c r="AA18" s="1125">
        <v>16</v>
      </c>
      <c r="AB18" s="668">
        <f>IF(ISNUMBER(System!$C19),PlotData!B19+SensA!$E$2* $AF$1*B18,PlotData!$CB$3)</f>
        <v>0</v>
      </c>
      <c r="AC18" s="721">
        <f>IF(ISNUMBER(System!$C19),PlotData!C19+SensA!$E$2* $AF$1*C18,PlotData!$CB$3)</f>
        <v>0</v>
      </c>
      <c r="AD18" s="721">
        <f>IF(ISNUMBER(System!$C19),PlotData!D19+SensA!$E$2* $AF$1*D18,PlotData!$CB$3)</f>
        <v>0</v>
      </c>
      <c r="AE18" s="721">
        <f>IF(ISNUMBER(System!$C19),PlotData!E19+SensA!$E$2* $AF$1*E18,PlotData!$CB$3)</f>
        <v>0</v>
      </c>
      <c r="AF18" s="721">
        <f>IF(ISNUMBER(System!$C19),PlotData!F19+SensA!$E$2* $AF$1*F18,PlotData!$CB$3)</f>
        <v>0</v>
      </c>
      <c r="AG18" s="721">
        <f>IF(ISNUMBER(System!$C19),PlotData!G19+SensA!$E$2* $AF$1*G18,PlotData!$CB$3)</f>
        <v>0</v>
      </c>
      <c r="AH18" s="721">
        <f>IF(ISNUMBER(System!$C19),PlotData!H19+SensA!$E$2* $AF$1*H18,PlotData!$CB$3)</f>
        <v>0</v>
      </c>
      <c r="AI18" s="721">
        <f>IF(ISNUMBER(System!$C19),PlotData!I19+SensA!$E$2* $AF$1*I18,PlotData!$CB$3)</f>
        <v>0</v>
      </c>
      <c r="AJ18" s="721">
        <f>IF(ISNUMBER(System!$C19),PlotData!J19+SensA!$E$2* $AF$1*J18,PlotData!$CB$3)</f>
        <v>0</v>
      </c>
      <c r="AK18" s="721">
        <f>IF(ISNUMBER(System!$C19),PlotData!K19+SensA!$E$2* $AF$1*K18,PlotData!$CB$3)</f>
        <v>0</v>
      </c>
      <c r="AL18" s="639">
        <f>IF(ISNUMBER(System!$C19),PlotData!L19+SensA!$E$2* $AF$1*L18,PlotData!$CB$3)</f>
        <v>0</v>
      </c>
      <c r="AM18" s="1146">
        <f>IF(ISNUMBER(System!$C19),PlotData!L19,PlotData!$CB$3)</f>
        <v>0</v>
      </c>
      <c r="AN18" s="721">
        <f>IF(ISNUMBER(System!$C19),PlotData!B19,PlotData!$CB$3)</f>
        <v>0</v>
      </c>
      <c r="AO18" s="639">
        <f>IF(ISNUMBER(System!$C19),AB18,PlotData!$CB$3)</f>
        <v>0</v>
      </c>
      <c r="AQ18" s="1125">
        <v>16</v>
      </c>
      <c r="AR18" s="668">
        <f>IF(ISNUMBER(System!$C19),PlotData!O19+ SensA!$E$2*$AF$1*O18,PlotData!$CB$4)</f>
        <v>0</v>
      </c>
      <c r="AS18" s="721">
        <f>IF(ISNUMBER(System!$C19),PlotData!P19+ SensA!$E$2*$AF$1*P18,PlotData!$CB$4)</f>
        <v>0</v>
      </c>
      <c r="AT18" s="721">
        <f>IF(ISNUMBER(System!$C19),PlotData!Q19+ SensA!$E$2*$AF$1*Q18,PlotData!$CB$4)</f>
        <v>0</v>
      </c>
      <c r="AU18" s="721">
        <f>IF(ISNUMBER(System!$C19),PlotData!R19+ SensA!$E$2*$AF$1*R18,PlotData!$CB$4)</f>
        <v>0</v>
      </c>
      <c r="AV18" s="721">
        <f>IF(ISNUMBER(System!$C19),PlotData!S19+ SensA!$E$2*$AF$1*S18,PlotData!$CB$4)</f>
        <v>0</v>
      </c>
      <c r="AW18" s="721">
        <f>IF(ISNUMBER(System!$C19),PlotData!T19+ SensA!$E$2*$AF$1*T18,PlotData!$CB$4)</f>
        <v>0</v>
      </c>
      <c r="AX18" s="721">
        <f>IF(ISNUMBER(System!$C19),PlotData!U19+ SensA!$E$2*$AF$1*U18,PlotData!$CB$4)</f>
        <v>0</v>
      </c>
      <c r="AY18" s="721">
        <f>IF(ISNUMBER(System!$C19),PlotData!V19+ SensA!$E$2*$AF$1*V18,PlotData!$CB$4)</f>
        <v>0</v>
      </c>
      <c r="AZ18" s="721">
        <f>IF(ISNUMBER(System!$C19),PlotData!W19+ SensA!$E$2*$AF$1*W18,PlotData!$CB$4)</f>
        <v>0</v>
      </c>
      <c r="BA18" s="721">
        <f>IF(ISNUMBER(System!$C19),PlotData!X19+ SensA!$E$2*$AF$1*X18,PlotData!$CB$4)</f>
        <v>0</v>
      </c>
      <c r="BB18" s="639">
        <f>IF(ISNUMBER(System!$C19),PlotData!Y19+ SensA!$E$2*$AF$1*Y18,PlotData!$CB$4)</f>
        <v>0</v>
      </c>
      <c r="BC18" s="1146">
        <f>IF(ISNUMBER(System!$C19),PlotData!Y19, PlotData!CB$4)</f>
        <v>0</v>
      </c>
      <c r="BD18" s="721">
        <f>IF(ISNUMBER(System!$C19),PlotData!O19, PlotData!$CB$4)</f>
        <v>0</v>
      </c>
      <c r="BE18" s="639">
        <f>IF(ISNUMBER(System!$C19), AR18,PlotData!$CB$4)</f>
        <v>0</v>
      </c>
    </row>
    <row r="19" spans="1:57" x14ac:dyDescent="0.25">
      <c r="A19" s="1124">
        <v>17</v>
      </c>
      <c r="B19" s="668"/>
      <c r="C19" s="721"/>
      <c r="D19" s="721"/>
      <c r="E19" s="721"/>
      <c r="F19" s="721"/>
      <c r="G19" s="721"/>
      <c r="H19" s="721"/>
      <c r="I19" s="721"/>
      <c r="J19" s="721"/>
      <c r="K19" s="721"/>
      <c r="L19" s="639"/>
      <c r="N19" s="1124">
        <v>17</v>
      </c>
      <c r="O19" s="668"/>
      <c r="P19" s="721"/>
      <c r="Q19" s="721"/>
      <c r="R19" s="721"/>
      <c r="S19" s="721"/>
      <c r="T19" s="721"/>
      <c r="U19" s="721"/>
      <c r="V19" s="721"/>
      <c r="W19" s="721"/>
      <c r="X19" s="721"/>
      <c r="Y19" s="639"/>
      <c r="AA19" s="1125">
        <v>17</v>
      </c>
      <c r="AB19" s="668">
        <f>IF(ISNUMBER(System!$C20),PlotData!B20+SensA!$E$2* $AF$1*B19,PlotData!$CB$3)</f>
        <v>0</v>
      </c>
      <c r="AC19" s="721">
        <f>IF(ISNUMBER(System!$C20),PlotData!C20+SensA!$E$2* $AF$1*C19,PlotData!$CB$3)</f>
        <v>0</v>
      </c>
      <c r="AD19" s="721">
        <f>IF(ISNUMBER(System!$C20),PlotData!D20+SensA!$E$2* $AF$1*D19,PlotData!$CB$3)</f>
        <v>0</v>
      </c>
      <c r="AE19" s="721">
        <f>IF(ISNUMBER(System!$C20),PlotData!E20+SensA!$E$2* $AF$1*E19,PlotData!$CB$3)</f>
        <v>0</v>
      </c>
      <c r="AF19" s="721">
        <f>IF(ISNUMBER(System!$C20),PlotData!F20+SensA!$E$2* $AF$1*F19,PlotData!$CB$3)</f>
        <v>0</v>
      </c>
      <c r="AG19" s="721">
        <f>IF(ISNUMBER(System!$C20),PlotData!G20+SensA!$E$2* $AF$1*G19,PlotData!$CB$3)</f>
        <v>0</v>
      </c>
      <c r="AH19" s="721">
        <f>IF(ISNUMBER(System!$C20),PlotData!H20+SensA!$E$2* $AF$1*H19,PlotData!$CB$3)</f>
        <v>0</v>
      </c>
      <c r="AI19" s="721">
        <f>IF(ISNUMBER(System!$C20),PlotData!I20+SensA!$E$2* $AF$1*I19,PlotData!$CB$3)</f>
        <v>0</v>
      </c>
      <c r="AJ19" s="721">
        <f>IF(ISNUMBER(System!$C20),PlotData!J20+SensA!$E$2* $AF$1*J19,PlotData!$CB$3)</f>
        <v>0</v>
      </c>
      <c r="AK19" s="721">
        <f>IF(ISNUMBER(System!$C20),PlotData!K20+SensA!$E$2* $AF$1*K19,PlotData!$CB$3)</f>
        <v>0</v>
      </c>
      <c r="AL19" s="639">
        <f>IF(ISNUMBER(System!$C20),PlotData!L20+SensA!$E$2* $AF$1*L19,PlotData!$CB$3)</f>
        <v>0</v>
      </c>
      <c r="AM19" s="1146">
        <f>IF(ISNUMBER(System!$C20),PlotData!L20,PlotData!$CB$3)</f>
        <v>0</v>
      </c>
      <c r="AN19" s="721">
        <f>IF(ISNUMBER(System!$C20),PlotData!B20,PlotData!$CB$3)</f>
        <v>0</v>
      </c>
      <c r="AO19" s="639">
        <f>IF(ISNUMBER(System!$C20),AB19,PlotData!$CB$3)</f>
        <v>0</v>
      </c>
      <c r="AQ19" s="1125">
        <v>17</v>
      </c>
      <c r="AR19" s="668">
        <f>IF(ISNUMBER(System!$C20),PlotData!O20+ SensA!$E$2*$AF$1*O19,PlotData!$CB$4)</f>
        <v>0</v>
      </c>
      <c r="AS19" s="721">
        <f>IF(ISNUMBER(System!$C20),PlotData!P20+ SensA!$E$2*$AF$1*P19,PlotData!$CB$4)</f>
        <v>0</v>
      </c>
      <c r="AT19" s="721">
        <f>IF(ISNUMBER(System!$C20),PlotData!Q20+ SensA!$E$2*$AF$1*Q19,PlotData!$CB$4)</f>
        <v>0</v>
      </c>
      <c r="AU19" s="721">
        <f>IF(ISNUMBER(System!$C20),PlotData!R20+ SensA!$E$2*$AF$1*R19,PlotData!$CB$4)</f>
        <v>0</v>
      </c>
      <c r="AV19" s="721">
        <f>IF(ISNUMBER(System!$C20),PlotData!S20+ SensA!$E$2*$AF$1*S19,PlotData!$CB$4)</f>
        <v>0</v>
      </c>
      <c r="AW19" s="721">
        <f>IF(ISNUMBER(System!$C20),PlotData!T20+ SensA!$E$2*$AF$1*T19,PlotData!$CB$4)</f>
        <v>0</v>
      </c>
      <c r="AX19" s="721">
        <f>IF(ISNUMBER(System!$C20),PlotData!U20+ SensA!$E$2*$AF$1*U19,PlotData!$CB$4)</f>
        <v>0</v>
      </c>
      <c r="AY19" s="721">
        <f>IF(ISNUMBER(System!$C20),PlotData!V20+ SensA!$E$2*$AF$1*V19,PlotData!$CB$4)</f>
        <v>0</v>
      </c>
      <c r="AZ19" s="721">
        <f>IF(ISNUMBER(System!$C20),PlotData!W20+ SensA!$E$2*$AF$1*W19,PlotData!$CB$4)</f>
        <v>0</v>
      </c>
      <c r="BA19" s="721">
        <f>IF(ISNUMBER(System!$C20),PlotData!X20+ SensA!$E$2*$AF$1*X19,PlotData!$CB$4)</f>
        <v>0</v>
      </c>
      <c r="BB19" s="639">
        <f>IF(ISNUMBER(System!$C20),PlotData!Y20+ SensA!$E$2*$AF$1*Y19,PlotData!$CB$4)</f>
        <v>0</v>
      </c>
      <c r="BC19" s="1146">
        <f>IF(ISNUMBER(System!$C20),PlotData!Y20, PlotData!CB$4)</f>
        <v>0</v>
      </c>
      <c r="BD19" s="721">
        <f>IF(ISNUMBER(System!$C20),PlotData!O20, PlotData!$CB$4)</f>
        <v>0</v>
      </c>
      <c r="BE19" s="639">
        <f>IF(ISNUMBER(System!$C20), AR19,PlotData!$CB$4)</f>
        <v>0</v>
      </c>
    </row>
    <row r="20" spans="1:57" x14ac:dyDescent="0.25">
      <c r="A20" s="1124">
        <v>18</v>
      </c>
      <c r="B20" s="668"/>
      <c r="C20" s="721"/>
      <c r="D20" s="721"/>
      <c r="E20" s="721"/>
      <c r="F20" s="721"/>
      <c r="G20" s="721"/>
      <c r="H20" s="721"/>
      <c r="I20" s="721"/>
      <c r="J20" s="721"/>
      <c r="K20" s="721"/>
      <c r="L20" s="639"/>
      <c r="N20" s="1124">
        <v>18</v>
      </c>
      <c r="O20" s="668"/>
      <c r="P20" s="721"/>
      <c r="Q20" s="721"/>
      <c r="R20" s="721"/>
      <c r="S20" s="721"/>
      <c r="T20" s="721"/>
      <c r="U20" s="721"/>
      <c r="V20" s="721"/>
      <c r="W20" s="721"/>
      <c r="X20" s="721"/>
      <c r="Y20" s="639"/>
      <c r="AA20" s="1125">
        <v>18</v>
      </c>
      <c r="AB20" s="668">
        <f>IF(ISNUMBER(System!$C21),PlotData!B21+SensA!$E$2* $AF$1*B20,PlotData!$CB$3)</f>
        <v>0</v>
      </c>
      <c r="AC20" s="721">
        <f>IF(ISNUMBER(System!$C21),PlotData!C21+SensA!$E$2* $AF$1*C20,PlotData!$CB$3)</f>
        <v>0</v>
      </c>
      <c r="AD20" s="721">
        <f>IF(ISNUMBER(System!$C21),PlotData!D21+SensA!$E$2* $AF$1*D20,PlotData!$CB$3)</f>
        <v>0</v>
      </c>
      <c r="AE20" s="721">
        <f>IF(ISNUMBER(System!$C21),PlotData!E21+SensA!$E$2* $AF$1*E20,PlotData!$CB$3)</f>
        <v>0</v>
      </c>
      <c r="AF20" s="721">
        <f>IF(ISNUMBER(System!$C21),PlotData!F21+SensA!$E$2* $AF$1*F20,PlotData!$CB$3)</f>
        <v>0</v>
      </c>
      <c r="AG20" s="721">
        <f>IF(ISNUMBER(System!$C21),PlotData!G21+SensA!$E$2* $AF$1*G20,PlotData!$CB$3)</f>
        <v>0</v>
      </c>
      <c r="AH20" s="721">
        <f>IF(ISNUMBER(System!$C21),PlotData!H21+SensA!$E$2* $AF$1*H20,PlotData!$CB$3)</f>
        <v>0</v>
      </c>
      <c r="AI20" s="721">
        <f>IF(ISNUMBER(System!$C21),PlotData!I21+SensA!$E$2* $AF$1*I20,PlotData!$CB$3)</f>
        <v>0</v>
      </c>
      <c r="AJ20" s="721">
        <f>IF(ISNUMBER(System!$C21),PlotData!J21+SensA!$E$2* $AF$1*J20,PlotData!$CB$3)</f>
        <v>0</v>
      </c>
      <c r="AK20" s="721">
        <f>IF(ISNUMBER(System!$C21),PlotData!K21+SensA!$E$2* $AF$1*K20,PlotData!$CB$3)</f>
        <v>0</v>
      </c>
      <c r="AL20" s="639">
        <f>IF(ISNUMBER(System!$C21),PlotData!L21+SensA!$E$2* $AF$1*L20,PlotData!$CB$3)</f>
        <v>0</v>
      </c>
      <c r="AM20" s="1146">
        <f>IF(ISNUMBER(System!$C21),PlotData!L21,PlotData!$CB$3)</f>
        <v>0</v>
      </c>
      <c r="AN20" s="721">
        <f>IF(ISNUMBER(System!$C21),PlotData!B21,PlotData!$CB$3)</f>
        <v>0</v>
      </c>
      <c r="AO20" s="639">
        <f>IF(ISNUMBER(System!$C21),AB20,PlotData!$CB$3)</f>
        <v>0</v>
      </c>
      <c r="AQ20" s="1125">
        <v>18</v>
      </c>
      <c r="AR20" s="668">
        <f>IF(ISNUMBER(System!$C21),PlotData!O21+ SensA!$E$2*$AF$1*O20,PlotData!$CB$4)</f>
        <v>0</v>
      </c>
      <c r="AS20" s="721">
        <f>IF(ISNUMBER(System!$C21),PlotData!P21+ SensA!$E$2*$AF$1*P20,PlotData!$CB$4)</f>
        <v>0</v>
      </c>
      <c r="AT20" s="721">
        <f>IF(ISNUMBER(System!$C21),PlotData!Q21+ SensA!$E$2*$AF$1*Q20,PlotData!$CB$4)</f>
        <v>0</v>
      </c>
      <c r="AU20" s="721">
        <f>IF(ISNUMBER(System!$C21),PlotData!R21+ SensA!$E$2*$AF$1*R20,PlotData!$CB$4)</f>
        <v>0</v>
      </c>
      <c r="AV20" s="721">
        <f>IF(ISNUMBER(System!$C21),PlotData!S21+ SensA!$E$2*$AF$1*S20,PlotData!$CB$4)</f>
        <v>0</v>
      </c>
      <c r="AW20" s="721">
        <f>IF(ISNUMBER(System!$C21),PlotData!T21+ SensA!$E$2*$AF$1*T20,PlotData!$CB$4)</f>
        <v>0</v>
      </c>
      <c r="AX20" s="721">
        <f>IF(ISNUMBER(System!$C21),PlotData!U21+ SensA!$E$2*$AF$1*U20,PlotData!$CB$4)</f>
        <v>0</v>
      </c>
      <c r="AY20" s="721">
        <f>IF(ISNUMBER(System!$C21),PlotData!V21+ SensA!$E$2*$AF$1*V20,PlotData!$CB$4)</f>
        <v>0</v>
      </c>
      <c r="AZ20" s="721">
        <f>IF(ISNUMBER(System!$C21),PlotData!W21+ SensA!$E$2*$AF$1*W20,PlotData!$CB$4)</f>
        <v>0</v>
      </c>
      <c r="BA20" s="721">
        <f>IF(ISNUMBER(System!$C21),PlotData!X21+ SensA!$E$2*$AF$1*X20,PlotData!$CB$4)</f>
        <v>0</v>
      </c>
      <c r="BB20" s="639">
        <f>IF(ISNUMBER(System!$C21),PlotData!Y21+ SensA!$E$2*$AF$1*Y20,PlotData!$CB$4)</f>
        <v>0</v>
      </c>
      <c r="BC20" s="1146">
        <f>IF(ISNUMBER(System!$C21),PlotData!Y21, PlotData!CB$4)</f>
        <v>0</v>
      </c>
      <c r="BD20" s="721">
        <f>IF(ISNUMBER(System!$C21),PlotData!O21, PlotData!$CB$4)</f>
        <v>0</v>
      </c>
      <c r="BE20" s="639">
        <f>IF(ISNUMBER(System!$C21), AR20,PlotData!$CB$4)</f>
        <v>0</v>
      </c>
    </row>
    <row r="21" spans="1:57" x14ac:dyDescent="0.25">
      <c r="A21" s="1124">
        <v>19</v>
      </c>
      <c r="B21" s="668"/>
      <c r="C21" s="721"/>
      <c r="D21" s="721"/>
      <c r="E21" s="721"/>
      <c r="F21" s="721"/>
      <c r="G21" s="721"/>
      <c r="H21" s="721"/>
      <c r="I21" s="721"/>
      <c r="J21" s="721"/>
      <c r="K21" s="721"/>
      <c r="L21" s="639"/>
      <c r="N21" s="1124">
        <v>19</v>
      </c>
      <c r="O21" s="668"/>
      <c r="P21" s="721"/>
      <c r="Q21" s="721"/>
      <c r="R21" s="721"/>
      <c r="S21" s="721"/>
      <c r="T21" s="721"/>
      <c r="U21" s="721"/>
      <c r="V21" s="721"/>
      <c r="W21" s="721"/>
      <c r="X21" s="721"/>
      <c r="Y21" s="639"/>
      <c r="AA21" s="1125">
        <v>19</v>
      </c>
      <c r="AB21" s="668">
        <f>IF(ISNUMBER(System!$C22),PlotData!B22+SensA!$E$2* $AF$1*B21,PlotData!$CB$3)</f>
        <v>0</v>
      </c>
      <c r="AC21" s="721">
        <f>IF(ISNUMBER(System!$C22),PlotData!C22+SensA!$E$2* $AF$1*C21,PlotData!$CB$3)</f>
        <v>0</v>
      </c>
      <c r="AD21" s="721">
        <f>IF(ISNUMBER(System!$C22),PlotData!D22+SensA!$E$2* $AF$1*D21,PlotData!$CB$3)</f>
        <v>0</v>
      </c>
      <c r="AE21" s="721">
        <f>IF(ISNUMBER(System!$C22),PlotData!E22+SensA!$E$2* $AF$1*E21,PlotData!$CB$3)</f>
        <v>0</v>
      </c>
      <c r="AF21" s="721">
        <f>IF(ISNUMBER(System!$C22),PlotData!F22+SensA!$E$2* $AF$1*F21,PlotData!$CB$3)</f>
        <v>0</v>
      </c>
      <c r="AG21" s="721">
        <f>IF(ISNUMBER(System!$C22),PlotData!G22+SensA!$E$2* $AF$1*G21,PlotData!$CB$3)</f>
        <v>0</v>
      </c>
      <c r="AH21" s="721">
        <f>IF(ISNUMBER(System!$C22),PlotData!H22+SensA!$E$2* $AF$1*H21,PlotData!$CB$3)</f>
        <v>0</v>
      </c>
      <c r="AI21" s="721">
        <f>IF(ISNUMBER(System!$C22),PlotData!I22+SensA!$E$2* $AF$1*I21,PlotData!$CB$3)</f>
        <v>0</v>
      </c>
      <c r="AJ21" s="721">
        <f>IF(ISNUMBER(System!$C22),PlotData!J22+SensA!$E$2* $AF$1*J21,PlotData!$CB$3)</f>
        <v>0</v>
      </c>
      <c r="AK21" s="721">
        <f>IF(ISNUMBER(System!$C22),PlotData!K22+SensA!$E$2* $AF$1*K21,PlotData!$CB$3)</f>
        <v>0</v>
      </c>
      <c r="AL21" s="639">
        <f>IF(ISNUMBER(System!$C22),PlotData!L22+SensA!$E$2* $AF$1*L21,PlotData!$CB$3)</f>
        <v>0</v>
      </c>
      <c r="AM21" s="1146">
        <f>IF(ISNUMBER(System!$C22),PlotData!L22,PlotData!$CB$3)</f>
        <v>0</v>
      </c>
      <c r="AN21" s="721">
        <f>IF(ISNUMBER(System!$C22),PlotData!B22,PlotData!$CB$3)</f>
        <v>0</v>
      </c>
      <c r="AO21" s="639">
        <f>IF(ISNUMBER(System!$C22),AB21,PlotData!$CB$3)</f>
        <v>0</v>
      </c>
      <c r="AQ21" s="1125">
        <v>19</v>
      </c>
      <c r="AR21" s="668">
        <f>IF(ISNUMBER(System!$C22),PlotData!O22+ SensA!$E$2*$AF$1*O21,PlotData!$CB$4)</f>
        <v>0</v>
      </c>
      <c r="AS21" s="721">
        <f>IF(ISNUMBER(System!$C22),PlotData!P22+ SensA!$E$2*$AF$1*P21,PlotData!$CB$4)</f>
        <v>0</v>
      </c>
      <c r="AT21" s="721">
        <f>IF(ISNUMBER(System!$C22),PlotData!Q22+ SensA!$E$2*$AF$1*Q21,PlotData!$CB$4)</f>
        <v>0</v>
      </c>
      <c r="AU21" s="721">
        <f>IF(ISNUMBER(System!$C22),PlotData!R22+ SensA!$E$2*$AF$1*R21,PlotData!$CB$4)</f>
        <v>0</v>
      </c>
      <c r="AV21" s="721">
        <f>IF(ISNUMBER(System!$C22),PlotData!S22+ SensA!$E$2*$AF$1*S21,PlotData!$CB$4)</f>
        <v>0</v>
      </c>
      <c r="AW21" s="721">
        <f>IF(ISNUMBER(System!$C22),PlotData!T22+ SensA!$E$2*$AF$1*T21,PlotData!$CB$4)</f>
        <v>0</v>
      </c>
      <c r="AX21" s="721">
        <f>IF(ISNUMBER(System!$C22),PlotData!U22+ SensA!$E$2*$AF$1*U21,PlotData!$CB$4)</f>
        <v>0</v>
      </c>
      <c r="AY21" s="721">
        <f>IF(ISNUMBER(System!$C22),PlotData!V22+ SensA!$E$2*$AF$1*V21,PlotData!$CB$4)</f>
        <v>0</v>
      </c>
      <c r="AZ21" s="721">
        <f>IF(ISNUMBER(System!$C22),PlotData!W22+ SensA!$E$2*$AF$1*W21,PlotData!$CB$4)</f>
        <v>0</v>
      </c>
      <c r="BA21" s="721">
        <f>IF(ISNUMBER(System!$C22),PlotData!X22+ SensA!$E$2*$AF$1*X21,PlotData!$CB$4)</f>
        <v>0</v>
      </c>
      <c r="BB21" s="639">
        <f>IF(ISNUMBER(System!$C22),PlotData!Y22+ SensA!$E$2*$AF$1*Y21,PlotData!$CB$4)</f>
        <v>0</v>
      </c>
      <c r="BC21" s="1146">
        <f>IF(ISNUMBER(System!$C22),PlotData!Y22, PlotData!CB$4)</f>
        <v>0</v>
      </c>
      <c r="BD21" s="721">
        <f>IF(ISNUMBER(System!$C22),PlotData!O22, PlotData!$CB$4)</f>
        <v>0</v>
      </c>
      <c r="BE21" s="639">
        <f>IF(ISNUMBER(System!$C22), AR21,PlotData!$CB$4)</f>
        <v>0</v>
      </c>
    </row>
    <row r="22" spans="1:57" x14ac:dyDescent="0.25">
      <c r="A22" s="1147">
        <v>20</v>
      </c>
      <c r="B22" s="1132"/>
      <c r="C22" s="1133"/>
      <c r="D22" s="1133"/>
      <c r="E22" s="1133"/>
      <c r="F22" s="1133"/>
      <c r="G22" s="1133"/>
      <c r="H22" s="1133"/>
      <c r="I22" s="1133"/>
      <c r="J22" s="1133"/>
      <c r="K22" s="1133"/>
      <c r="L22" s="1134"/>
      <c r="N22" s="1147">
        <v>20</v>
      </c>
      <c r="O22" s="1132"/>
      <c r="P22" s="1133"/>
      <c r="Q22" s="1133"/>
      <c r="R22" s="1133"/>
      <c r="S22" s="1133"/>
      <c r="T22" s="1133"/>
      <c r="U22" s="1133"/>
      <c r="V22" s="1133"/>
      <c r="W22" s="1133"/>
      <c r="X22" s="1133"/>
      <c r="Y22" s="1134"/>
      <c r="AA22" s="1135">
        <v>20</v>
      </c>
      <c r="AB22" s="668">
        <f>IF(ISNUMBER(System!$C23),PlotData!B23+SensA!$E$2* $AF$1*B22,PlotData!$CB$3)</f>
        <v>0</v>
      </c>
      <c r="AC22" s="721">
        <f>IF(ISNUMBER(System!$C23),PlotData!C23+SensA!$E$2* $AF$1*C22,PlotData!$CB$3)</f>
        <v>0</v>
      </c>
      <c r="AD22" s="721">
        <f>IF(ISNUMBER(System!$C23),PlotData!D23+SensA!$E$2* $AF$1*D22,PlotData!$CB$3)</f>
        <v>0</v>
      </c>
      <c r="AE22" s="721">
        <f>IF(ISNUMBER(System!$C23),PlotData!E23+SensA!$E$2* $AF$1*E22,PlotData!$CB$3)</f>
        <v>0</v>
      </c>
      <c r="AF22" s="721">
        <f>IF(ISNUMBER(System!$C23),PlotData!F23+SensA!$E$2* $AF$1*F22,PlotData!$CB$3)</f>
        <v>0</v>
      </c>
      <c r="AG22" s="721">
        <f>IF(ISNUMBER(System!$C23),PlotData!G23+SensA!$E$2* $AF$1*G22,PlotData!$CB$3)</f>
        <v>0</v>
      </c>
      <c r="AH22" s="721">
        <f>IF(ISNUMBER(System!$C23),PlotData!H23+SensA!$E$2* $AF$1*H22,PlotData!$CB$3)</f>
        <v>0</v>
      </c>
      <c r="AI22" s="721">
        <f>IF(ISNUMBER(System!$C23),PlotData!I23+SensA!$E$2* $AF$1*I22,PlotData!$CB$3)</f>
        <v>0</v>
      </c>
      <c r="AJ22" s="721">
        <f>IF(ISNUMBER(System!$C23),PlotData!J23+SensA!$E$2* $AF$1*J22,PlotData!$CB$3)</f>
        <v>0</v>
      </c>
      <c r="AK22" s="721">
        <f>IF(ISNUMBER(System!$C23),PlotData!K23+SensA!$E$2* $AF$1*K22,PlotData!$CB$3)</f>
        <v>0</v>
      </c>
      <c r="AL22" s="639">
        <f>IF(ISNUMBER(System!$C23),PlotData!L23+SensA!$E$2* $AF$1*L22,PlotData!$CB$3)</f>
        <v>0</v>
      </c>
      <c r="AM22" s="1146">
        <f>IF(ISNUMBER(System!$C23),PlotData!L23,PlotData!$CB$3)</f>
        <v>0</v>
      </c>
      <c r="AN22" s="721">
        <f>IF(ISNUMBER(System!$C23),PlotData!B23,PlotData!$CB$3)</f>
        <v>0</v>
      </c>
      <c r="AO22" s="639">
        <f>IF(ISNUMBER(System!$C23),AB22,PlotData!$CB$3)</f>
        <v>0</v>
      </c>
      <c r="AQ22" s="1135">
        <v>20</v>
      </c>
      <c r="AR22" s="668">
        <f>IF(ISNUMBER(System!$C23),PlotData!O23+ SensA!$E$2*$AF$1*O22,PlotData!$CB$4)</f>
        <v>0</v>
      </c>
      <c r="AS22" s="721">
        <f>IF(ISNUMBER(System!$C23),PlotData!P23+ SensA!$E$2*$AF$1*P22,PlotData!$CB$4)</f>
        <v>0</v>
      </c>
      <c r="AT22" s="721">
        <f>IF(ISNUMBER(System!$C23),PlotData!Q23+ SensA!$E$2*$AF$1*Q22,PlotData!$CB$4)</f>
        <v>0</v>
      </c>
      <c r="AU22" s="721">
        <f>IF(ISNUMBER(System!$C23),PlotData!R23+ SensA!$E$2*$AF$1*R22,PlotData!$CB$4)</f>
        <v>0</v>
      </c>
      <c r="AV22" s="721">
        <f>IF(ISNUMBER(System!$C23),PlotData!S23+ SensA!$E$2*$AF$1*S22,PlotData!$CB$4)</f>
        <v>0</v>
      </c>
      <c r="AW22" s="721">
        <f>IF(ISNUMBER(System!$C23),PlotData!T23+ SensA!$E$2*$AF$1*T22,PlotData!$CB$4)</f>
        <v>0</v>
      </c>
      <c r="AX22" s="721">
        <f>IF(ISNUMBER(System!$C23),PlotData!U23+ SensA!$E$2*$AF$1*U22,PlotData!$CB$4)</f>
        <v>0</v>
      </c>
      <c r="AY22" s="721">
        <f>IF(ISNUMBER(System!$C23),PlotData!V23+ SensA!$E$2*$AF$1*V22,PlotData!$CB$4)</f>
        <v>0</v>
      </c>
      <c r="AZ22" s="721">
        <f>IF(ISNUMBER(System!$C23),PlotData!W23+ SensA!$E$2*$AF$1*W22,PlotData!$CB$4)</f>
        <v>0</v>
      </c>
      <c r="BA22" s="721">
        <f>IF(ISNUMBER(System!$C23),PlotData!X23+ SensA!$E$2*$AF$1*X22,PlotData!$CB$4)</f>
        <v>0</v>
      </c>
      <c r="BB22" s="639">
        <f>IF(ISNUMBER(System!$C23),PlotData!Y23+ SensA!$E$2*$AF$1*Y22,PlotData!$CB$4)</f>
        <v>0</v>
      </c>
      <c r="BC22" s="1146">
        <f>IF(ISNUMBER(System!$C23),PlotData!Y23, PlotData!CB$4)</f>
        <v>0</v>
      </c>
      <c r="BD22" s="721">
        <f>IF(ISNUMBER(System!$C23),PlotData!O23, PlotData!$CB$4)</f>
        <v>0</v>
      </c>
      <c r="BE22" s="639">
        <f>IF(ISNUMBER(System!$C23), AR22,PlotData!$CB$4)</f>
        <v>0</v>
      </c>
    </row>
    <row r="23" spans="1:57" x14ac:dyDescent="0.25">
      <c r="A23" s="1124">
        <v>21</v>
      </c>
      <c r="B23" s="668"/>
      <c r="C23" s="721"/>
      <c r="D23" s="721"/>
      <c r="E23" s="721"/>
      <c r="F23" s="721"/>
      <c r="G23" s="721"/>
      <c r="H23" s="721"/>
      <c r="I23" s="721"/>
      <c r="J23" s="721"/>
      <c r="K23" s="721"/>
      <c r="L23" s="639"/>
      <c r="N23" s="1124">
        <v>21</v>
      </c>
      <c r="O23" s="668"/>
      <c r="P23" s="721"/>
      <c r="Q23" s="721"/>
      <c r="R23" s="721"/>
      <c r="S23" s="721"/>
      <c r="T23" s="721"/>
      <c r="U23" s="721"/>
      <c r="V23" s="721"/>
      <c r="W23" s="721"/>
      <c r="X23" s="721"/>
      <c r="Y23" s="639"/>
      <c r="AA23" s="1125">
        <v>21</v>
      </c>
      <c r="AB23" s="668">
        <f>IF(ISNUMBER(System!$C24),PlotData!B24+SensA!$E$2* $AF$1*B23,PlotData!$CB$3)</f>
        <v>0</v>
      </c>
      <c r="AC23" s="721">
        <f>IF(ISNUMBER(System!$C24),PlotData!C24+SensA!$E$2* $AF$1*C23,PlotData!$CB$3)</f>
        <v>0</v>
      </c>
      <c r="AD23" s="721">
        <f>IF(ISNUMBER(System!$C24),PlotData!D24+SensA!$E$2* $AF$1*D23,PlotData!$CB$3)</f>
        <v>0</v>
      </c>
      <c r="AE23" s="721">
        <f>IF(ISNUMBER(System!$C24),PlotData!E24+SensA!$E$2* $AF$1*E23,PlotData!$CB$3)</f>
        <v>0</v>
      </c>
      <c r="AF23" s="721">
        <f>IF(ISNUMBER(System!$C24),PlotData!F24+SensA!$E$2* $AF$1*F23,PlotData!$CB$3)</f>
        <v>0</v>
      </c>
      <c r="AG23" s="721">
        <f>IF(ISNUMBER(System!$C24),PlotData!G24+SensA!$E$2* $AF$1*G23,PlotData!$CB$3)</f>
        <v>0</v>
      </c>
      <c r="AH23" s="721">
        <f>IF(ISNUMBER(System!$C24),PlotData!H24+SensA!$E$2* $AF$1*H23,PlotData!$CB$3)</f>
        <v>0</v>
      </c>
      <c r="AI23" s="721">
        <f>IF(ISNUMBER(System!$C24),PlotData!I24+SensA!$E$2* $AF$1*I23,PlotData!$CB$3)</f>
        <v>0</v>
      </c>
      <c r="AJ23" s="721">
        <f>IF(ISNUMBER(System!$C24),PlotData!J24+SensA!$E$2* $AF$1*J23,PlotData!$CB$3)</f>
        <v>0</v>
      </c>
      <c r="AK23" s="721">
        <f>IF(ISNUMBER(System!$C24),PlotData!K24+SensA!$E$2* $AF$1*K23,PlotData!$CB$3)</f>
        <v>0</v>
      </c>
      <c r="AL23" s="639">
        <f>IF(ISNUMBER(System!$C24),PlotData!L24+SensA!$E$2* $AF$1*L23,PlotData!$CB$3)</f>
        <v>0</v>
      </c>
      <c r="AM23" s="1146">
        <f>IF(ISNUMBER(System!$C24),PlotData!L24,PlotData!$CB$3)</f>
        <v>0</v>
      </c>
      <c r="AN23" s="721">
        <f>IF(ISNUMBER(System!$C24),PlotData!B24,PlotData!$CB$3)</f>
        <v>0</v>
      </c>
      <c r="AO23" s="639">
        <f>IF(ISNUMBER(System!$C24),AB23,PlotData!$CB$3)</f>
        <v>0</v>
      </c>
      <c r="AQ23" s="1125">
        <v>21</v>
      </c>
      <c r="AR23" s="668">
        <f>IF(ISNUMBER(System!$C24),PlotData!O24+ SensA!$E$2*$AF$1*O23,PlotData!$CB$4)</f>
        <v>0</v>
      </c>
      <c r="AS23" s="721">
        <f>IF(ISNUMBER(System!$C24),PlotData!P24+ SensA!$E$2*$AF$1*P23,PlotData!$CB$4)</f>
        <v>0</v>
      </c>
      <c r="AT23" s="721">
        <f>IF(ISNUMBER(System!$C24),PlotData!Q24+ SensA!$E$2*$AF$1*Q23,PlotData!$CB$4)</f>
        <v>0</v>
      </c>
      <c r="AU23" s="721">
        <f>IF(ISNUMBER(System!$C24),PlotData!R24+ SensA!$E$2*$AF$1*R23,PlotData!$CB$4)</f>
        <v>0</v>
      </c>
      <c r="AV23" s="721">
        <f>IF(ISNUMBER(System!$C24),PlotData!S24+ SensA!$E$2*$AF$1*S23,PlotData!$CB$4)</f>
        <v>0</v>
      </c>
      <c r="AW23" s="721">
        <f>IF(ISNUMBER(System!$C24),PlotData!T24+ SensA!$E$2*$AF$1*T23,PlotData!$CB$4)</f>
        <v>0</v>
      </c>
      <c r="AX23" s="721">
        <f>IF(ISNUMBER(System!$C24),PlotData!U24+ SensA!$E$2*$AF$1*U23,PlotData!$CB$4)</f>
        <v>0</v>
      </c>
      <c r="AY23" s="721">
        <f>IF(ISNUMBER(System!$C24),PlotData!V24+ SensA!$E$2*$AF$1*V23,PlotData!$CB$4)</f>
        <v>0</v>
      </c>
      <c r="AZ23" s="721">
        <f>IF(ISNUMBER(System!$C24),PlotData!W24+ SensA!$E$2*$AF$1*W23,PlotData!$CB$4)</f>
        <v>0</v>
      </c>
      <c r="BA23" s="721">
        <f>IF(ISNUMBER(System!$C24),PlotData!X24+ SensA!$E$2*$AF$1*X23,PlotData!$CB$4)</f>
        <v>0</v>
      </c>
      <c r="BB23" s="639">
        <f>IF(ISNUMBER(System!$C24),PlotData!Y24+ SensA!$E$2*$AF$1*Y23,PlotData!$CB$4)</f>
        <v>0</v>
      </c>
      <c r="BC23" s="1146">
        <f>IF(ISNUMBER(System!$C24),PlotData!Y24, PlotData!CB$4)</f>
        <v>0</v>
      </c>
      <c r="BD23" s="721">
        <f>IF(ISNUMBER(System!$C24),PlotData!O24, PlotData!$CB$4)</f>
        <v>0</v>
      </c>
      <c r="BE23" s="639">
        <f>IF(ISNUMBER(System!$C24), AR23,PlotData!$CB$4)</f>
        <v>0</v>
      </c>
    </row>
    <row r="24" spans="1:57" x14ac:dyDescent="0.25">
      <c r="A24" s="1124">
        <v>22</v>
      </c>
      <c r="B24" s="668"/>
      <c r="C24" s="721"/>
      <c r="D24" s="721"/>
      <c r="E24" s="721"/>
      <c r="F24" s="721"/>
      <c r="G24" s="721"/>
      <c r="H24" s="721"/>
      <c r="I24" s="721"/>
      <c r="J24" s="721"/>
      <c r="K24" s="721"/>
      <c r="L24" s="639"/>
      <c r="N24" s="1124">
        <v>22</v>
      </c>
      <c r="O24" s="668"/>
      <c r="P24" s="721"/>
      <c r="Q24" s="721"/>
      <c r="R24" s="721"/>
      <c r="S24" s="721"/>
      <c r="T24" s="721"/>
      <c r="U24" s="721"/>
      <c r="V24" s="721"/>
      <c r="W24" s="721"/>
      <c r="X24" s="721"/>
      <c r="Y24" s="639"/>
      <c r="AA24" s="1125">
        <v>22</v>
      </c>
      <c r="AB24" s="668">
        <f>IF(ISNUMBER(System!$C25),PlotData!B25+SensA!$E$2* $AF$1*B24,PlotData!$CB$3)</f>
        <v>0</v>
      </c>
      <c r="AC24" s="721">
        <f>IF(ISNUMBER(System!$C25),PlotData!C25+SensA!$E$2* $AF$1*C24,PlotData!$CB$3)</f>
        <v>0</v>
      </c>
      <c r="AD24" s="721">
        <f>IF(ISNUMBER(System!$C25),PlotData!D25+SensA!$E$2* $AF$1*D24,PlotData!$CB$3)</f>
        <v>0</v>
      </c>
      <c r="AE24" s="721">
        <f>IF(ISNUMBER(System!$C25),PlotData!E25+SensA!$E$2* $AF$1*E24,PlotData!$CB$3)</f>
        <v>0</v>
      </c>
      <c r="AF24" s="721">
        <f>IF(ISNUMBER(System!$C25),PlotData!F25+SensA!$E$2* $AF$1*F24,PlotData!$CB$3)</f>
        <v>0</v>
      </c>
      <c r="AG24" s="721">
        <f>IF(ISNUMBER(System!$C25),PlotData!G25+SensA!$E$2* $AF$1*G24,PlotData!$CB$3)</f>
        <v>0</v>
      </c>
      <c r="AH24" s="721">
        <f>IF(ISNUMBER(System!$C25),PlotData!H25+SensA!$E$2* $AF$1*H24,PlotData!$CB$3)</f>
        <v>0</v>
      </c>
      <c r="AI24" s="721">
        <f>IF(ISNUMBER(System!$C25),PlotData!I25+SensA!$E$2* $AF$1*I24,PlotData!$CB$3)</f>
        <v>0</v>
      </c>
      <c r="AJ24" s="721">
        <f>IF(ISNUMBER(System!$C25),PlotData!J25+SensA!$E$2* $AF$1*J24,PlotData!$CB$3)</f>
        <v>0</v>
      </c>
      <c r="AK24" s="721">
        <f>IF(ISNUMBER(System!$C25),PlotData!K25+SensA!$E$2* $AF$1*K24,PlotData!$CB$3)</f>
        <v>0</v>
      </c>
      <c r="AL24" s="639">
        <f>IF(ISNUMBER(System!$C25),PlotData!L25+SensA!$E$2* $AF$1*L24,PlotData!$CB$3)</f>
        <v>0</v>
      </c>
      <c r="AM24" s="1146">
        <f>IF(ISNUMBER(System!$C25),PlotData!L25,PlotData!$CB$3)</f>
        <v>0</v>
      </c>
      <c r="AN24" s="721">
        <f>IF(ISNUMBER(System!$C25),PlotData!B25,PlotData!$CB$3)</f>
        <v>0</v>
      </c>
      <c r="AO24" s="639">
        <f>IF(ISNUMBER(System!$C25),AB24,PlotData!$CB$3)</f>
        <v>0</v>
      </c>
      <c r="AQ24" s="1125">
        <v>22</v>
      </c>
      <c r="AR24" s="668">
        <f>IF(ISNUMBER(System!$C25),PlotData!O25+ SensA!$E$2*$AF$1*O24,PlotData!$CB$4)</f>
        <v>0</v>
      </c>
      <c r="AS24" s="721">
        <f>IF(ISNUMBER(System!$C25),PlotData!P25+ SensA!$E$2*$AF$1*P24,PlotData!$CB$4)</f>
        <v>0</v>
      </c>
      <c r="AT24" s="721">
        <f>IF(ISNUMBER(System!$C25),PlotData!Q25+ SensA!$E$2*$AF$1*Q24,PlotData!$CB$4)</f>
        <v>0</v>
      </c>
      <c r="AU24" s="721">
        <f>IF(ISNUMBER(System!$C25),PlotData!R25+ SensA!$E$2*$AF$1*R24,PlotData!$CB$4)</f>
        <v>0</v>
      </c>
      <c r="AV24" s="721">
        <f>IF(ISNUMBER(System!$C25),PlotData!S25+ SensA!$E$2*$AF$1*S24,PlotData!$CB$4)</f>
        <v>0</v>
      </c>
      <c r="AW24" s="721">
        <f>IF(ISNUMBER(System!$C25),PlotData!T25+ SensA!$E$2*$AF$1*T24,PlotData!$CB$4)</f>
        <v>0</v>
      </c>
      <c r="AX24" s="721">
        <f>IF(ISNUMBER(System!$C25),PlotData!U25+ SensA!$E$2*$AF$1*U24,PlotData!$CB$4)</f>
        <v>0</v>
      </c>
      <c r="AY24" s="721">
        <f>IF(ISNUMBER(System!$C25),PlotData!V25+ SensA!$E$2*$AF$1*V24,PlotData!$CB$4)</f>
        <v>0</v>
      </c>
      <c r="AZ24" s="721">
        <f>IF(ISNUMBER(System!$C25),PlotData!W25+ SensA!$E$2*$AF$1*W24,PlotData!$CB$4)</f>
        <v>0</v>
      </c>
      <c r="BA24" s="721">
        <f>IF(ISNUMBER(System!$C25),PlotData!X25+ SensA!$E$2*$AF$1*X24,PlotData!$CB$4)</f>
        <v>0</v>
      </c>
      <c r="BB24" s="639">
        <f>IF(ISNUMBER(System!$C25),PlotData!Y25+ SensA!$E$2*$AF$1*Y24,PlotData!$CB$4)</f>
        <v>0</v>
      </c>
      <c r="BC24" s="1146">
        <f>IF(ISNUMBER(System!$C25),PlotData!Y25, PlotData!CB$4)</f>
        <v>0</v>
      </c>
      <c r="BD24" s="721">
        <f>IF(ISNUMBER(System!$C25),PlotData!O25, PlotData!$CB$4)</f>
        <v>0</v>
      </c>
      <c r="BE24" s="639">
        <f>IF(ISNUMBER(System!$C25), AR24,PlotData!$CB$4)</f>
        <v>0</v>
      </c>
    </row>
    <row r="25" spans="1:57" x14ac:dyDescent="0.25">
      <c r="A25" s="1124">
        <v>23</v>
      </c>
      <c r="B25" s="668"/>
      <c r="C25" s="721"/>
      <c r="D25" s="721"/>
      <c r="E25" s="721"/>
      <c r="F25" s="721"/>
      <c r="G25" s="721"/>
      <c r="H25" s="721"/>
      <c r="I25" s="721"/>
      <c r="J25" s="721"/>
      <c r="K25" s="721"/>
      <c r="L25" s="639"/>
      <c r="N25" s="1124">
        <v>23</v>
      </c>
      <c r="O25" s="668"/>
      <c r="P25" s="721"/>
      <c r="Q25" s="721"/>
      <c r="R25" s="721"/>
      <c r="S25" s="721"/>
      <c r="T25" s="721"/>
      <c r="U25" s="721"/>
      <c r="V25" s="721"/>
      <c r="W25" s="721"/>
      <c r="X25" s="721"/>
      <c r="Y25" s="639"/>
      <c r="AA25" s="1125">
        <v>23</v>
      </c>
      <c r="AB25" s="668">
        <f>IF(ISNUMBER(System!$C26),PlotData!B26+SensA!$E$2* $AF$1*B25,PlotData!$CB$3)</f>
        <v>0</v>
      </c>
      <c r="AC25" s="721">
        <f>IF(ISNUMBER(System!$C26),PlotData!C26+SensA!$E$2* $AF$1*C25,PlotData!$CB$3)</f>
        <v>0</v>
      </c>
      <c r="AD25" s="721">
        <f>IF(ISNUMBER(System!$C26),PlotData!D26+SensA!$E$2* $AF$1*D25,PlotData!$CB$3)</f>
        <v>0</v>
      </c>
      <c r="AE25" s="721">
        <f>IF(ISNUMBER(System!$C26),PlotData!E26+SensA!$E$2* $AF$1*E25,PlotData!$CB$3)</f>
        <v>0</v>
      </c>
      <c r="AF25" s="721">
        <f>IF(ISNUMBER(System!$C26),PlotData!F26+SensA!$E$2* $AF$1*F25,PlotData!$CB$3)</f>
        <v>0</v>
      </c>
      <c r="AG25" s="721">
        <f>IF(ISNUMBER(System!$C26),PlotData!G26+SensA!$E$2* $AF$1*G25,PlotData!$CB$3)</f>
        <v>0</v>
      </c>
      <c r="AH25" s="721">
        <f>IF(ISNUMBER(System!$C26),PlotData!H26+SensA!$E$2* $AF$1*H25,PlotData!$CB$3)</f>
        <v>0</v>
      </c>
      <c r="AI25" s="721">
        <f>IF(ISNUMBER(System!$C26),PlotData!I26+SensA!$E$2* $AF$1*I25,PlotData!$CB$3)</f>
        <v>0</v>
      </c>
      <c r="AJ25" s="721">
        <f>IF(ISNUMBER(System!$C26),PlotData!J26+SensA!$E$2* $AF$1*J25,PlotData!$CB$3)</f>
        <v>0</v>
      </c>
      <c r="AK25" s="721">
        <f>IF(ISNUMBER(System!$C26),PlotData!K26+SensA!$E$2* $AF$1*K25,PlotData!$CB$3)</f>
        <v>0</v>
      </c>
      <c r="AL25" s="639">
        <f>IF(ISNUMBER(System!$C26),PlotData!L26+SensA!$E$2* $AF$1*L25,PlotData!$CB$3)</f>
        <v>0</v>
      </c>
      <c r="AM25" s="1146">
        <f>IF(ISNUMBER(System!$C26),PlotData!L26,PlotData!$CB$3)</f>
        <v>0</v>
      </c>
      <c r="AN25" s="721">
        <f>IF(ISNUMBER(System!$C26),PlotData!B26,PlotData!$CB$3)</f>
        <v>0</v>
      </c>
      <c r="AO25" s="639">
        <f>IF(ISNUMBER(System!$C26),AB25,PlotData!$CB$3)</f>
        <v>0</v>
      </c>
      <c r="AQ25" s="1125">
        <v>23</v>
      </c>
      <c r="AR25" s="668">
        <f>IF(ISNUMBER(System!$C26),PlotData!O26+ SensA!$E$2*$AF$1*O25,PlotData!$CB$4)</f>
        <v>0</v>
      </c>
      <c r="AS25" s="721">
        <f>IF(ISNUMBER(System!$C26),PlotData!P26+ SensA!$E$2*$AF$1*P25,PlotData!$CB$4)</f>
        <v>0</v>
      </c>
      <c r="AT25" s="721">
        <f>IF(ISNUMBER(System!$C26),PlotData!Q26+ SensA!$E$2*$AF$1*Q25,PlotData!$CB$4)</f>
        <v>0</v>
      </c>
      <c r="AU25" s="721">
        <f>IF(ISNUMBER(System!$C26),PlotData!R26+ SensA!$E$2*$AF$1*R25,PlotData!$CB$4)</f>
        <v>0</v>
      </c>
      <c r="AV25" s="721">
        <f>IF(ISNUMBER(System!$C26),PlotData!S26+ SensA!$E$2*$AF$1*S25,PlotData!$CB$4)</f>
        <v>0</v>
      </c>
      <c r="AW25" s="721">
        <f>IF(ISNUMBER(System!$C26),PlotData!T26+ SensA!$E$2*$AF$1*T25,PlotData!$CB$4)</f>
        <v>0</v>
      </c>
      <c r="AX25" s="721">
        <f>IF(ISNUMBER(System!$C26),PlotData!U26+ SensA!$E$2*$AF$1*U25,PlotData!$CB$4)</f>
        <v>0</v>
      </c>
      <c r="AY25" s="721">
        <f>IF(ISNUMBER(System!$C26),PlotData!V26+ SensA!$E$2*$AF$1*V25,PlotData!$CB$4)</f>
        <v>0</v>
      </c>
      <c r="AZ25" s="721">
        <f>IF(ISNUMBER(System!$C26),PlotData!W26+ SensA!$E$2*$AF$1*W25,PlotData!$CB$4)</f>
        <v>0</v>
      </c>
      <c r="BA25" s="721">
        <f>IF(ISNUMBER(System!$C26),PlotData!X26+ SensA!$E$2*$AF$1*X25,PlotData!$CB$4)</f>
        <v>0</v>
      </c>
      <c r="BB25" s="639">
        <f>IF(ISNUMBER(System!$C26),PlotData!Y26+ SensA!$E$2*$AF$1*Y25,PlotData!$CB$4)</f>
        <v>0</v>
      </c>
      <c r="BC25" s="1146">
        <f>IF(ISNUMBER(System!$C26),PlotData!Y26, PlotData!CB$4)</f>
        <v>0</v>
      </c>
      <c r="BD25" s="721">
        <f>IF(ISNUMBER(System!$C26),PlotData!O26, PlotData!$CB$4)</f>
        <v>0</v>
      </c>
      <c r="BE25" s="639">
        <f>IF(ISNUMBER(System!$C26), AR25,PlotData!$CB$4)</f>
        <v>0</v>
      </c>
    </row>
    <row r="26" spans="1:57" x14ac:dyDescent="0.25">
      <c r="A26" s="1124">
        <v>24</v>
      </c>
      <c r="B26" s="668"/>
      <c r="C26" s="721"/>
      <c r="D26" s="721"/>
      <c r="E26" s="721"/>
      <c r="F26" s="721"/>
      <c r="G26" s="721"/>
      <c r="H26" s="721"/>
      <c r="I26" s="721"/>
      <c r="J26" s="721"/>
      <c r="K26" s="721"/>
      <c r="L26" s="639"/>
      <c r="N26" s="1124">
        <v>24</v>
      </c>
      <c r="O26" s="668"/>
      <c r="P26" s="721"/>
      <c r="Q26" s="721"/>
      <c r="R26" s="721"/>
      <c r="S26" s="721"/>
      <c r="T26" s="721"/>
      <c r="U26" s="721"/>
      <c r="V26" s="721"/>
      <c r="W26" s="721"/>
      <c r="X26" s="721"/>
      <c r="Y26" s="639"/>
      <c r="AA26" s="1125">
        <v>24</v>
      </c>
      <c r="AB26" s="668">
        <f>IF(ISNUMBER(System!$C27),PlotData!B27+SensA!$E$2* $AF$1*B26,PlotData!$CB$3)</f>
        <v>0</v>
      </c>
      <c r="AC26" s="721">
        <f>IF(ISNUMBER(System!$C27),PlotData!C27+SensA!$E$2* $AF$1*C26,PlotData!$CB$3)</f>
        <v>0</v>
      </c>
      <c r="AD26" s="721">
        <f>IF(ISNUMBER(System!$C27),PlotData!D27+SensA!$E$2* $AF$1*D26,PlotData!$CB$3)</f>
        <v>0</v>
      </c>
      <c r="AE26" s="721">
        <f>IF(ISNUMBER(System!$C27),PlotData!E27+SensA!$E$2* $AF$1*E26,PlotData!$CB$3)</f>
        <v>0</v>
      </c>
      <c r="AF26" s="721">
        <f>IF(ISNUMBER(System!$C27),PlotData!F27+SensA!$E$2* $AF$1*F26,PlotData!$CB$3)</f>
        <v>0</v>
      </c>
      <c r="AG26" s="721">
        <f>IF(ISNUMBER(System!$C27),PlotData!G27+SensA!$E$2* $AF$1*G26,PlotData!$CB$3)</f>
        <v>0</v>
      </c>
      <c r="AH26" s="721">
        <f>IF(ISNUMBER(System!$C27),PlotData!H27+SensA!$E$2* $AF$1*H26,PlotData!$CB$3)</f>
        <v>0</v>
      </c>
      <c r="AI26" s="721">
        <f>IF(ISNUMBER(System!$C27),PlotData!I27+SensA!$E$2* $AF$1*I26,PlotData!$CB$3)</f>
        <v>0</v>
      </c>
      <c r="AJ26" s="721">
        <f>IF(ISNUMBER(System!$C27),PlotData!J27+SensA!$E$2* $AF$1*J26,PlotData!$CB$3)</f>
        <v>0</v>
      </c>
      <c r="AK26" s="721">
        <f>IF(ISNUMBER(System!$C27),PlotData!K27+SensA!$E$2* $AF$1*K26,PlotData!$CB$3)</f>
        <v>0</v>
      </c>
      <c r="AL26" s="639">
        <f>IF(ISNUMBER(System!$C27),PlotData!L27+SensA!$E$2* $AF$1*L26,PlotData!$CB$3)</f>
        <v>0</v>
      </c>
      <c r="AM26" s="1146">
        <f>IF(ISNUMBER(System!$C27),PlotData!L27,PlotData!$CB$3)</f>
        <v>0</v>
      </c>
      <c r="AN26" s="721">
        <f>IF(ISNUMBER(System!$C27),PlotData!B27,PlotData!$CB$3)</f>
        <v>0</v>
      </c>
      <c r="AO26" s="639">
        <f>IF(ISNUMBER(System!$C27),AB26,PlotData!$CB$3)</f>
        <v>0</v>
      </c>
      <c r="AQ26" s="1125">
        <v>24</v>
      </c>
      <c r="AR26" s="668">
        <f>IF(ISNUMBER(System!$C27),PlotData!O27+ SensA!$E$2*$AF$1*O26,PlotData!$CB$4)</f>
        <v>0</v>
      </c>
      <c r="AS26" s="721">
        <f>IF(ISNUMBER(System!$C27),PlotData!P27+ SensA!$E$2*$AF$1*P26,PlotData!$CB$4)</f>
        <v>0</v>
      </c>
      <c r="AT26" s="721">
        <f>IF(ISNUMBER(System!$C27),PlotData!Q27+ SensA!$E$2*$AF$1*Q26,PlotData!$CB$4)</f>
        <v>0</v>
      </c>
      <c r="AU26" s="721">
        <f>IF(ISNUMBER(System!$C27),PlotData!R27+ SensA!$E$2*$AF$1*R26,PlotData!$CB$4)</f>
        <v>0</v>
      </c>
      <c r="AV26" s="721">
        <f>IF(ISNUMBER(System!$C27),PlotData!S27+ SensA!$E$2*$AF$1*S26,PlotData!$CB$4)</f>
        <v>0</v>
      </c>
      <c r="AW26" s="721">
        <f>IF(ISNUMBER(System!$C27),PlotData!T27+ SensA!$E$2*$AF$1*T26,PlotData!$CB$4)</f>
        <v>0</v>
      </c>
      <c r="AX26" s="721">
        <f>IF(ISNUMBER(System!$C27),PlotData!U27+ SensA!$E$2*$AF$1*U26,PlotData!$CB$4)</f>
        <v>0</v>
      </c>
      <c r="AY26" s="721">
        <f>IF(ISNUMBER(System!$C27),PlotData!V27+ SensA!$E$2*$AF$1*V26,PlotData!$CB$4)</f>
        <v>0</v>
      </c>
      <c r="AZ26" s="721">
        <f>IF(ISNUMBER(System!$C27),PlotData!W27+ SensA!$E$2*$AF$1*W26,PlotData!$CB$4)</f>
        <v>0</v>
      </c>
      <c r="BA26" s="721">
        <f>IF(ISNUMBER(System!$C27),PlotData!X27+ SensA!$E$2*$AF$1*X26,PlotData!$CB$4)</f>
        <v>0</v>
      </c>
      <c r="BB26" s="639">
        <f>IF(ISNUMBER(System!$C27),PlotData!Y27+ SensA!$E$2*$AF$1*Y26,PlotData!$CB$4)</f>
        <v>0</v>
      </c>
      <c r="BC26" s="1146">
        <f>IF(ISNUMBER(System!$C27),PlotData!Y27, PlotData!CB$4)</f>
        <v>0</v>
      </c>
      <c r="BD26" s="721">
        <f>IF(ISNUMBER(System!$C27),PlotData!O27, PlotData!$CB$4)</f>
        <v>0</v>
      </c>
      <c r="BE26" s="639">
        <f>IF(ISNUMBER(System!$C27), AR26,PlotData!$CB$4)</f>
        <v>0</v>
      </c>
    </row>
    <row r="27" spans="1:57" x14ac:dyDescent="0.25">
      <c r="A27" s="1124">
        <v>25</v>
      </c>
      <c r="B27" s="668"/>
      <c r="C27" s="721"/>
      <c r="D27" s="721"/>
      <c r="E27" s="721"/>
      <c r="F27" s="721"/>
      <c r="G27" s="721"/>
      <c r="H27" s="721"/>
      <c r="I27" s="721"/>
      <c r="J27" s="721"/>
      <c r="K27" s="721"/>
      <c r="L27" s="639"/>
      <c r="N27" s="1124">
        <v>25</v>
      </c>
      <c r="O27" s="668"/>
      <c r="P27" s="721"/>
      <c r="Q27" s="721"/>
      <c r="R27" s="721"/>
      <c r="S27" s="721"/>
      <c r="T27" s="721"/>
      <c r="U27" s="721"/>
      <c r="V27" s="721"/>
      <c r="W27" s="721"/>
      <c r="X27" s="721"/>
      <c r="Y27" s="639"/>
      <c r="AA27" s="1125">
        <v>25</v>
      </c>
      <c r="AB27" s="668">
        <f>IF(ISNUMBER(System!$C28),PlotData!B28+SensA!$E$2* $AF$1*B27,PlotData!$CB$3)</f>
        <v>0</v>
      </c>
      <c r="AC27" s="721">
        <f>IF(ISNUMBER(System!$C28),PlotData!C28+SensA!$E$2* $AF$1*C27,PlotData!$CB$3)</f>
        <v>0</v>
      </c>
      <c r="AD27" s="721">
        <f>IF(ISNUMBER(System!$C28),PlotData!D28+SensA!$E$2* $AF$1*D27,PlotData!$CB$3)</f>
        <v>0</v>
      </c>
      <c r="AE27" s="721">
        <f>IF(ISNUMBER(System!$C28),PlotData!E28+SensA!$E$2* $AF$1*E27,PlotData!$CB$3)</f>
        <v>0</v>
      </c>
      <c r="AF27" s="721">
        <f>IF(ISNUMBER(System!$C28),PlotData!F28+SensA!$E$2* $AF$1*F27,PlotData!$CB$3)</f>
        <v>0</v>
      </c>
      <c r="AG27" s="721">
        <f>IF(ISNUMBER(System!$C28),PlotData!G28+SensA!$E$2* $AF$1*G27,PlotData!$CB$3)</f>
        <v>0</v>
      </c>
      <c r="AH27" s="721">
        <f>IF(ISNUMBER(System!$C28),PlotData!H28+SensA!$E$2* $AF$1*H27,PlotData!$CB$3)</f>
        <v>0</v>
      </c>
      <c r="AI27" s="721">
        <f>IF(ISNUMBER(System!$C28),PlotData!I28+SensA!$E$2* $AF$1*I27,PlotData!$CB$3)</f>
        <v>0</v>
      </c>
      <c r="AJ27" s="721">
        <f>IF(ISNUMBER(System!$C28),PlotData!J28+SensA!$E$2* $AF$1*J27,PlotData!$CB$3)</f>
        <v>0</v>
      </c>
      <c r="AK27" s="721">
        <f>IF(ISNUMBER(System!$C28),PlotData!K28+SensA!$E$2* $AF$1*K27,PlotData!$CB$3)</f>
        <v>0</v>
      </c>
      <c r="AL27" s="639">
        <f>IF(ISNUMBER(System!$C28),PlotData!L28+SensA!$E$2* $AF$1*L27,PlotData!$CB$3)</f>
        <v>0</v>
      </c>
      <c r="AM27" s="1146">
        <f>IF(ISNUMBER(System!$C28),PlotData!L28,PlotData!$CB$3)</f>
        <v>0</v>
      </c>
      <c r="AN27" s="721">
        <f>IF(ISNUMBER(System!$C28),PlotData!B28,PlotData!$CB$3)</f>
        <v>0</v>
      </c>
      <c r="AO27" s="639">
        <f>IF(ISNUMBER(System!$C28),AB27,PlotData!$CB$3)</f>
        <v>0</v>
      </c>
      <c r="AQ27" s="1125">
        <v>25</v>
      </c>
      <c r="AR27" s="668">
        <f>IF(ISNUMBER(System!$C28),PlotData!O28+ SensA!$E$2*$AF$1*O27,PlotData!$CB$4)</f>
        <v>0</v>
      </c>
      <c r="AS27" s="721">
        <f>IF(ISNUMBER(System!$C28),PlotData!P28+ SensA!$E$2*$AF$1*P27,PlotData!$CB$4)</f>
        <v>0</v>
      </c>
      <c r="AT27" s="721">
        <f>IF(ISNUMBER(System!$C28),PlotData!Q28+ SensA!$E$2*$AF$1*Q27,PlotData!$CB$4)</f>
        <v>0</v>
      </c>
      <c r="AU27" s="721">
        <f>IF(ISNUMBER(System!$C28),PlotData!R28+ SensA!$E$2*$AF$1*R27,PlotData!$CB$4)</f>
        <v>0</v>
      </c>
      <c r="AV27" s="721">
        <f>IF(ISNUMBER(System!$C28),PlotData!S28+ SensA!$E$2*$AF$1*S27,PlotData!$CB$4)</f>
        <v>0</v>
      </c>
      <c r="AW27" s="721">
        <f>IF(ISNUMBER(System!$C28),PlotData!T28+ SensA!$E$2*$AF$1*T27,PlotData!$CB$4)</f>
        <v>0</v>
      </c>
      <c r="AX27" s="721">
        <f>IF(ISNUMBER(System!$C28),PlotData!U28+ SensA!$E$2*$AF$1*U27,PlotData!$CB$4)</f>
        <v>0</v>
      </c>
      <c r="AY27" s="721">
        <f>IF(ISNUMBER(System!$C28),PlotData!V28+ SensA!$E$2*$AF$1*V27,PlotData!$CB$4)</f>
        <v>0</v>
      </c>
      <c r="AZ27" s="721">
        <f>IF(ISNUMBER(System!$C28),PlotData!W28+ SensA!$E$2*$AF$1*W27,PlotData!$CB$4)</f>
        <v>0</v>
      </c>
      <c r="BA27" s="721">
        <f>IF(ISNUMBER(System!$C28),PlotData!X28+ SensA!$E$2*$AF$1*X27,PlotData!$CB$4)</f>
        <v>0</v>
      </c>
      <c r="BB27" s="639">
        <f>IF(ISNUMBER(System!$C28),PlotData!Y28+ SensA!$E$2*$AF$1*Y27,PlotData!$CB$4)</f>
        <v>0</v>
      </c>
      <c r="BC27" s="1146">
        <f>IF(ISNUMBER(System!$C28),PlotData!Y28, PlotData!CB$4)</f>
        <v>0</v>
      </c>
      <c r="BD27" s="721">
        <f>IF(ISNUMBER(System!$C28),PlotData!O28, PlotData!$CB$4)</f>
        <v>0</v>
      </c>
      <c r="BE27" s="639">
        <f>IF(ISNUMBER(System!$C28), AR27,PlotData!$CB$4)</f>
        <v>0</v>
      </c>
    </row>
    <row r="28" spans="1:57" x14ac:dyDescent="0.25">
      <c r="A28" s="1124">
        <v>26</v>
      </c>
      <c r="B28" s="668"/>
      <c r="C28" s="721"/>
      <c r="D28" s="721"/>
      <c r="E28" s="721"/>
      <c r="F28" s="721"/>
      <c r="G28" s="721"/>
      <c r="H28" s="721"/>
      <c r="I28" s="721"/>
      <c r="J28" s="721"/>
      <c r="K28" s="721"/>
      <c r="L28" s="639"/>
      <c r="N28" s="1124">
        <v>26</v>
      </c>
      <c r="O28" s="668"/>
      <c r="P28" s="721"/>
      <c r="Q28" s="721"/>
      <c r="R28" s="721"/>
      <c r="S28" s="721"/>
      <c r="T28" s="721"/>
      <c r="U28" s="721"/>
      <c r="V28" s="721"/>
      <c r="W28" s="721"/>
      <c r="X28" s="721"/>
      <c r="Y28" s="639"/>
      <c r="AA28" s="1125">
        <v>26</v>
      </c>
      <c r="AB28" s="668">
        <f>IF(ISNUMBER(System!$C29),PlotData!B29+SensA!$E$2* $AF$1*B28,PlotData!$CB$3)</f>
        <v>0</v>
      </c>
      <c r="AC28" s="721">
        <f>IF(ISNUMBER(System!$C29),PlotData!C29+SensA!$E$2* $AF$1*C28,PlotData!$CB$3)</f>
        <v>0</v>
      </c>
      <c r="AD28" s="721">
        <f>IF(ISNUMBER(System!$C29),PlotData!D29+SensA!$E$2* $AF$1*D28,PlotData!$CB$3)</f>
        <v>0</v>
      </c>
      <c r="AE28" s="721">
        <f>IF(ISNUMBER(System!$C29),PlotData!E29+SensA!$E$2* $AF$1*E28,PlotData!$CB$3)</f>
        <v>0</v>
      </c>
      <c r="AF28" s="721">
        <f>IF(ISNUMBER(System!$C29),PlotData!F29+SensA!$E$2* $AF$1*F28,PlotData!$CB$3)</f>
        <v>0</v>
      </c>
      <c r="AG28" s="721">
        <f>IF(ISNUMBER(System!$C29),PlotData!G29+SensA!$E$2* $AF$1*G28,PlotData!$CB$3)</f>
        <v>0</v>
      </c>
      <c r="AH28" s="721">
        <f>IF(ISNUMBER(System!$C29),PlotData!H29+SensA!$E$2* $AF$1*H28,PlotData!$CB$3)</f>
        <v>0</v>
      </c>
      <c r="AI28" s="721">
        <f>IF(ISNUMBER(System!$C29),PlotData!I29+SensA!$E$2* $AF$1*I28,PlotData!$CB$3)</f>
        <v>0</v>
      </c>
      <c r="AJ28" s="721">
        <f>IF(ISNUMBER(System!$C29),PlotData!J29+SensA!$E$2* $AF$1*J28,PlotData!$CB$3)</f>
        <v>0</v>
      </c>
      <c r="AK28" s="721">
        <f>IF(ISNUMBER(System!$C29),PlotData!K29+SensA!$E$2* $AF$1*K28,PlotData!$CB$3)</f>
        <v>0</v>
      </c>
      <c r="AL28" s="639">
        <f>IF(ISNUMBER(System!$C29),PlotData!L29+SensA!$E$2* $AF$1*L28,PlotData!$CB$3)</f>
        <v>0</v>
      </c>
      <c r="AM28" s="1146">
        <f>IF(ISNUMBER(System!$C29),PlotData!L29,PlotData!$CB$3)</f>
        <v>0</v>
      </c>
      <c r="AN28" s="721">
        <f>IF(ISNUMBER(System!$C29),PlotData!B29,PlotData!$CB$3)</f>
        <v>0</v>
      </c>
      <c r="AO28" s="639">
        <f>IF(ISNUMBER(System!$C29),AB28,PlotData!$CB$3)</f>
        <v>0</v>
      </c>
      <c r="AQ28" s="1125">
        <v>26</v>
      </c>
      <c r="AR28" s="668">
        <f>IF(ISNUMBER(System!$C29),PlotData!O29+ SensA!$E$2*$AF$1*O28,PlotData!$CB$4)</f>
        <v>0</v>
      </c>
      <c r="AS28" s="721">
        <f>IF(ISNUMBER(System!$C29),PlotData!P29+ SensA!$E$2*$AF$1*P28,PlotData!$CB$4)</f>
        <v>0</v>
      </c>
      <c r="AT28" s="721">
        <f>IF(ISNUMBER(System!$C29),PlotData!Q29+ SensA!$E$2*$AF$1*Q28,PlotData!$CB$4)</f>
        <v>0</v>
      </c>
      <c r="AU28" s="721">
        <f>IF(ISNUMBER(System!$C29),PlotData!R29+ SensA!$E$2*$AF$1*R28,PlotData!$CB$4)</f>
        <v>0</v>
      </c>
      <c r="AV28" s="721">
        <f>IF(ISNUMBER(System!$C29),PlotData!S29+ SensA!$E$2*$AF$1*S28,PlotData!$CB$4)</f>
        <v>0</v>
      </c>
      <c r="AW28" s="721">
        <f>IF(ISNUMBER(System!$C29),PlotData!T29+ SensA!$E$2*$AF$1*T28,PlotData!$CB$4)</f>
        <v>0</v>
      </c>
      <c r="AX28" s="721">
        <f>IF(ISNUMBER(System!$C29),PlotData!U29+ SensA!$E$2*$AF$1*U28,PlotData!$CB$4)</f>
        <v>0</v>
      </c>
      <c r="AY28" s="721">
        <f>IF(ISNUMBER(System!$C29),PlotData!V29+ SensA!$E$2*$AF$1*V28,PlotData!$CB$4)</f>
        <v>0</v>
      </c>
      <c r="AZ28" s="721">
        <f>IF(ISNUMBER(System!$C29),PlotData!W29+ SensA!$E$2*$AF$1*W28,PlotData!$CB$4)</f>
        <v>0</v>
      </c>
      <c r="BA28" s="721">
        <f>IF(ISNUMBER(System!$C29),PlotData!X29+ SensA!$E$2*$AF$1*X28,PlotData!$CB$4)</f>
        <v>0</v>
      </c>
      <c r="BB28" s="639">
        <f>IF(ISNUMBER(System!$C29),PlotData!Y29+ SensA!$E$2*$AF$1*Y28,PlotData!$CB$4)</f>
        <v>0</v>
      </c>
      <c r="BC28" s="1146">
        <f>IF(ISNUMBER(System!$C29),PlotData!Y29, PlotData!CB$4)</f>
        <v>0</v>
      </c>
      <c r="BD28" s="721">
        <f>IF(ISNUMBER(System!$C29),PlotData!O29, PlotData!$CB$4)</f>
        <v>0</v>
      </c>
      <c r="BE28" s="639">
        <f>IF(ISNUMBER(System!$C29), AR28,PlotData!$CB$4)</f>
        <v>0</v>
      </c>
    </row>
    <row r="29" spans="1:57" x14ac:dyDescent="0.25">
      <c r="A29" s="1124">
        <v>27</v>
      </c>
      <c r="B29" s="668"/>
      <c r="C29" s="721"/>
      <c r="D29" s="721"/>
      <c r="E29" s="721"/>
      <c r="F29" s="721"/>
      <c r="G29" s="721"/>
      <c r="H29" s="721"/>
      <c r="I29" s="721"/>
      <c r="J29" s="721"/>
      <c r="K29" s="721"/>
      <c r="L29" s="639"/>
      <c r="N29" s="1124">
        <v>27</v>
      </c>
      <c r="O29" s="668"/>
      <c r="P29" s="721"/>
      <c r="Q29" s="721"/>
      <c r="R29" s="721"/>
      <c r="S29" s="721"/>
      <c r="T29" s="721"/>
      <c r="U29" s="721"/>
      <c r="V29" s="721"/>
      <c r="W29" s="721"/>
      <c r="X29" s="721"/>
      <c r="Y29" s="639"/>
      <c r="AA29" s="1125">
        <v>27</v>
      </c>
      <c r="AB29" s="668">
        <f>IF(ISNUMBER(System!$C30),PlotData!B30+SensA!$E$2* $AF$1*B29,PlotData!$CB$3)</f>
        <v>0</v>
      </c>
      <c r="AC29" s="721">
        <f>IF(ISNUMBER(System!$C30),PlotData!C30+SensA!$E$2* $AF$1*C29,PlotData!$CB$3)</f>
        <v>0</v>
      </c>
      <c r="AD29" s="721">
        <f>IF(ISNUMBER(System!$C30),PlotData!D30+SensA!$E$2* $AF$1*D29,PlotData!$CB$3)</f>
        <v>0</v>
      </c>
      <c r="AE29" s="721">
        <f>IF(ISNUMBER(System!$C30),PlotData!E30+SensA!$E$2* $AF$1*E29,PlotData!$CB$3)</f>
        <v>0</v>
      </c>
      <c r="AF29" s="721">
        <f>IF(ISNUMBER(System!$C30),PlotData!F30+SensA!$E$2* $AF$1*F29,PlotData!$CB$3)</f>
        <v>0</v>
      </c>
      <c r="AG29" s="721">
        <f>IF(ISNUMBER(System!$C30),PlotData!G30+SensA!$E$2* $AF$1*G29,PlotData!$CB$3)</f>
        <v>0</v>
      </c>
      <c r="AH29" s="721">
        <f>IF(ISNUMBER(System!$C30),PlotData!H30+SensA!$E$2* $AF$1*H29,PlotData!$CB$3)</f>
        <v>0</v>
      </c>
      <c r="AI29" s="721">
        <f>IF(ISNUMBER(System!$C30),PlotData!I30+SensA!$E$2* $AF$1*I29,PlotData!$CB$3)</f>
        <v>0</v>
      </c>
      <c r="AJ29" s="721">
        <f>IF(ISNUMBER(System!$C30),PlotData!J30+SensA!$E$2* $AF$1*J29,PlotData!$CB$3)</f>
        <v>0</v>
      </c>
      <c r="AK29" s="721">
        <f>IF(ISNUMBER(System!$C30),PlotData!K30+SensA!$E$2* $AF$1*K29,PlotData!$CB$3)</f>
        <v>0</v>
      </c>
      <c r="AL29" s="639">
        <f>IF(ISNUMBER(System!$C30),PlotData!L30+SensA!$E$2* $AF$1*L29,PlotData!$CB$3)</f>
        <v>0</v>
      </c>
      <c r="AM29" s="1146">
        <f>IF(ISNUMBER(System!$C30),PlotData!L30,PlotData!$CB$3)</f>
        <v>0</v>
      </c>
      <c r="AN29" s="721">
        <f>IF(ISNUMBER(System!$C30),PlotData!B30,PlotData!$CB$3)</f>
        <v>0</v>
      </c>
      <c r="AO29" s="639">
        <f>IF(ISNUMBER(System!$C30),AB29,PlotData!$CB$3)</f>
        <v>0</v>
      </c>
      <c r="AQ29" s="1125">
        <v>27</v>
      </c>
      <c r="AR29" s="668">
        <f>IF(ISNUMBER(System!$C30),PlotData!O30+ SensA!$E$2*$AF$1*O29,PlotData!$CB$4)</f>
        <v>0</v>
      </c>
      <c r="AS29" s="721">
        <f>IF(ISNUMBER(System!$C30),PlotData!P30+ SensA!$E$2*$AF$1*P29,PlotData!$CB$4)</f>
        <v>0</v>
      </c>
      <c r="AT29" s="721">
        <f>IF(ISNUMBER(System!$C30),PlotData!Q30+ SensA!$E$2*$AF$1*Q29,PlotData!$CB$4)</f>
        <v>0</v>
      </c>
      <c r="AU29" s="721">
        <f>IF(ISNUMBER(System!$C30),PlotData!R30+ SensA!$E$2*$AF$1*R29,PlotData!$CB$4)</f>
        <v>0</v>
      </c>
      <c r="AV29" s="721">
        <f>IF(ISNUMBER(System!$C30),PlotData!S30+ SensA!$E$2*$AF$1*S29,PlotData!$CB$4)</f>
        <v>0</v>
      </c>
      <c r="AW29" s="721">
        <f>IF(ISNUMBER(System!$C30),PlotData!T30+ SensA!$E$2*$AF$1*T29,PlotData!$CB$4)</f>
        <v>0</v>
      </c>
      <c r="AX29" s="721">
        <f>IF(ISNUMBER(System!$C30),PlotData!U30+ SensA!$E$2*$AF$1*U29,PlotData!$CB$4)</f>
        <v>0</v>
      </c>
      <c r="AY29" s="721">
        <f>IF(ISNUMBER(System!$C30),PlotData!V30+ SensA!$E$2*$AF$1*V29,PlotData!$CB$4)</f>
        <v>0</v>
      </c>
      <c r="AZ29" s="721">
        <f>IF(ISNUMBER(System!$C30),PlotData!W30+ SensA!$E$2*$AF$1*W29,PlotData!$CB$4)</f>
        <v>0</v>
      </c>
      <c r="BA29" s="721">
        <f>IF(ISNUMBER(System!$C30),PlotData!X30+ SensA!$E$2*$AF$1*X29,PlotData!$CB$4)</f>
        <v>0</v>
      </c>
      <c r="BB29" s="639">
        <f>IF(ISNUMBER(System!$C30),PlotData!Y30+ SensA!$E$2*$AF$1*Y29,PlotData!$CB$4)</f>
        <v>0</v>
      </c>
      <c r="BC29" s="1146">
        <f>IF(ISNUMBER(System!$C30),PlotData!Y30, PlotData!CB$4)</f>
        <v>0</v>
      </c>
      <c r="BD29" s="721">
        <f>IF(ISNUMBER(System!$C30),PlotData!O30, PlotData!$CB$4)</f>
        <v>0</v>
      </c>
      <c r="BE29" s="639">
        <f>IF(ISNUMBER(System!$C30), AR29,PlotData!$CB$4)</f>
        <v>0</v>
      </c>
    </row>
    <row r="30" spans="1:57" x14ac:dyDescent="0.25">
      <c r="A30" s="1124">
        <v>28</v>
      </c>
      <c r="B30" s="668"/>
      <c r="C30" s="721"/>
      <c r="D30" s="721"/>
      <c r="E30" s="721"/>
      <c r="F30" s="721"/>
      <c r="G30" s="721"/>
      <c r="H30" s="721"/>
      <c r="I30" s="721"/>
      <c r="J30" s="721"/>
      <c r="K30" s="721"/>
      <c r="L30" s="639"/>
      <c r="N30" s="1124">
        <v>28</v>
      </c>
      <c r="O30" s="668"/>
      <c r="P30" s="721"/>
      <c r="Q30" s="721"/>
      <c r="R30" s="721"/>
      <c r="S30" s="721"/>
      <c r="T30" s="721"/>
      <c r="U30" s="721"/>
      <c r="V30" s="721"/>
      <c r="W30" s="721"/>
      <c r="X30" s="721"/>
      <c r="Y30" s="639"/>
      <c r="AA30" s="1125">
        <v>28</v>
      </c>
      <c r="AB30" s="668">
        <f>IF(ISNUMBER(System!$C31),PlotData!B31+SensA!$E$2* $AF$1*B30,PlotData!$CB$3)</f>
        <v>0</v>
      </c>
      <c r="AC30" s="721">
        <f>IF(ISNUMBER(System!$C31),PlotData!C31+SensA!$E$2* $AF$1*C30,PlotData!$CB$3)</f>
        <v>0</v>
      </c>
      <c r="AD30" s="721">
        <f>IF(ISNUMBER(System!$C31),PlotData!D31+SensA!$E$2* $AF$1*D30,PlotData!$CB$3)</f>
        <v>0</v>
      </c>
      <c r="AE30" s="721">
        <f>IF(ISNUMBER(System!$C31),PlotData!E31+SensA!$E$2* $AF$1*E30,PlotData!$CB$3)</f>
        <v>0</v>
      </c>
      <c r="AF30" s="721">
        <f>IF(ISNUMBER(System!$C31),PlotData!F31+SensA!$E$2* $AF$1*F30,PlotData!$CB$3)</f>
        <v>0</v>
      </c>
      <c r="AG30" s="721">
        <f>IF(ISNUMBER(System!$C31),PlotData!G31+SensA!$E$2* $AF$1*G30,PlotData!$CB$3)</f>
        <v>0</v>
      </c>
      <c r="AH30" s="721">
        <f>IF(ISNUMBER(System!$C31),PlotData!H31+SensA!$E$2* $AF$1*H30,PlotData!$CB$3)</f>
        <v>0</v>
      </c>
      <c r="AI30" s="721">
        <f>IF(ISNUMBER(System!$C31),PlotData!I31+SensA!$E$2* $AF$1*I30,PlotData!$CB$3)</f>
        <v>0</v>
      </c>
      <c r="AJ30" s="721">
        <f>IF(ISNUMBER(System!$C31),PlotData!J31+SensA!$E$2* $AF$1*J30,PlotData!$CB$3)</f>
        <v>0</v>
      </c>
      <c r="AK30" s="721">
        <f>IF(ISNUMBER(System!$C31),PlotData!K31+SensA!$E$2* $AF$1*K30,PlotData!$CB$3)</f>
        <v>0</v>
      </c>
      <c r="AL30" s="639">
        <f>IF(ISNUMBER(System!$C31),PlotData!L31+SensA!$E$2* $AF$1*L30,PlotData!$CB$3)</f>
        <v>0</v>
      </c>
      <c r="AM30" s="1146">
        <f>IF(ISNUMBER(System!$C31),PlotData!L31,PlotData!$CB$3)</f>
        <v>0</v>
      </c>
      <c r="AN30" s="721">
        <f>IF(ISNUMBER(System!$C31),PlotData!B31,PlotData!$CB$3)</f>
        <v>0</v>
      </c>
      <c r="AO30" s="639">
        <f>IF(ISNUMBER(System!$C31),AB30,PlotData!$CB$3)</f>
        <v>0</v>
      </c>
      <c r="AQ30" s="1125">
        <v>28</v>
      </c>
      <c r="AR30" s="668">
        <f>IF(ISNUMBER(System!$C31),PlotData!O31+ SensA!$E$2*$AF$1*O30,PlotData!$CB$4)</f>
        <v>0</v>
      </c>
      <c r="AS30" s="721">
        <f>IF(ISNUMBER(System!$C31),PlotData!P31+ SensA!$E$2*$AF$1*P30,PlotData!$CB$4)</f>
        <v>0</v>
      </c>
      <c r="AT30" s="721">
        <f>IF(ISNUMBER(System!$C31),PlotData!Q31+ SensA!$E$2*$AF$1*Q30,PlotData!$CB$4)</f>
        <v>0</v>
      </c>
      <c r="AU30" s="721">
        <f>IF(ISNUMBER(System!$C31),PlotData!R31+ SensA!$E$2*$AF$1*R30,PlotData!$CB$4)</f>
        <v>0</v>
      </c>
      <c r="AV30" s="721">
        <f>IF(ISNUMBER(System!$C31),PlotData!S31+ SensA!$E$2*$AF$1*S30,PlotData!$CB$4)</f>
        <v>0</v>
      </c>
      <c r="AW30" s="721">
        <f>IF(ISNUMBER(System!$C31),PlotData!T31+ SensA!$E$2*$AF$1*T30,PlotData!$CB$4)</f>
        <v>0</v>
      </c>
      <c r="AX30" s="721">
        <f>IF(ISNUMBER(System!$C31),PlotData!U31+ SensA!$E$2*$AF$1*U30,PlotData!$CB$4)</f>
        <v>0</v>
      </c>
      <c r="AY30" s="721">
        <f>IF(ISNUMBER(System!$C31),PlotData!V31+ SensA!$E$2*$AF$1*V30,PlotData!$CB$4)</f>
        <v>0</v>
      </c>
      <c r="AZ30" s="721">
        <f>IF(ISNUMBER(System!$C31),PlotData!W31+ SensA!$E$2*$AF$1*W30,PlotData!$CB$4)</f>
        <v>0</v>
      </c>
      <c r="BA30" s="721">
        <f>IF(ISNUMBER(System!$C31),PlotData!X31+ SensA!$E$2*$AF$1*X30,PlotData!$CB$4)</f>
        <v>0</v>
      </c>
      <c r="BB30" s="639">
        <f>IF(ISNUMBER(System!$C31),PlotData!Y31+ SensA!$E$2*$AF$1*Y30,PlotData!$CB$4)</f>
        <v>0</v>
      </c>
      <c r="BC30" s="1146">
        <f>IF(ISNUMBER(System!$C31),PlotData!Y31, PlotData!CB$4)</f>
        <v>0</v>
      </c>
      <c r="BD30" s="721">
        <f>IF(ISNUMBER(System!$C31),PlotData!O31, PlotData!$CB$4)</f>
        <v>0</v>
      </c>
      <c r="BE30" s="639">
        <f>IF(ISNUMBER(System!$C31), AR30,PlotData!$CB$4)</f>
        <v>0</v>
      </c>
    </row>
    <row r="31" spans="1:57" x14ac:dyDescent="0.25">
      <c r="A31" s="1124">
        <v>29</v>
      </c>
      <c r="B31" s="668"/>
      <c r="C31" s="721"/>
      <c r="D31" s="721"/>
      <c r="E31" s="721"/>
      <c r="F31" s="721"/>
      <c r="G31" s="721"/>
      <c r="H31" s="721"/>
      <c r="I31" s="721"/>
      <c r="J31" s="721"/>
      <c r="K31" s="721"/>
      <c r="L31" s="639"/>
      <c r="N31" s="1124">
        <v>29</v>
      </c>
      <c r="O31" s="668"/>
      <c r="P31" s="721"/>
      <c r="Q31" s="721"/>
      <c r="R31" s="721"/>
      <c r="S31" s="721"/>
      <c r="T31" s="721"/>
      <c r="U31" s="721"/>
      <c r="V31" s="721"/>
      <c r="W31" s="721"/>
      <c r="X31" s="721"/>
      <c r="Y31" s="639"/>
      <c r="AA31" s="1125">
        <v>29</v>
      </c>
      <c r="AB31" s="668">
        <f>IF(ISNUMBER(System!$C32),PlotData!B32+SensA!$E$2* $AF$1*B31,PlotData!$CB$3)</f>
        <v>0</v>
      </c>
      <c r="AC31" s="721">
        <f>IF(ISNUMBER(System!$C32),PlotData!C32+SensA!$E$2* $AF$1*C31,PlotData!$CB$3)</f>
        <v>0</v>
      </c>
      <c r="AD31" s="721">
        <f>IF(ISNUMBER(System!$C32),PlotData!D32+SensA!$E$2* $AF$1*D31,PlotData!$CB$3)</f>
        <v>0</v>
      </c>
      <c r="AE31" s="721">
        <f>IF(ISNUMBER(System!$C32),PlotData!E32+SensA!$E$2* $AF$1*E31,PlotData!$CB$3)</f>
        <v>0</v>
      </c>
      <c r="AF31" s="721">
        <f>IF(ISNUMBER(System!$C32),PlotData!F32+SensA!$E$2* $AF$1*F31,PlotData!$CB$3)</f>
        <v>0</v>
      </c>
      <c r="AG31" s="721">
        <f>IF(ISNUMBER(System!$C32),PlotData!G32+SensA!$E$2* $AF$1*G31,PlotData!$CB$3)</f>
        <v>0</v>
      </c>
      <c r="AH31" s="721">
        <f>IF(ISNUMBER(System!$C32),PlotData!H32+SensA!$E$2* $AF$1*H31,PlotData!$CB$3)</f>
        <v>0</v>
      </c>
      <c r="AI31" s="721">
        <f>IF(ISNUMBER(System!$C32),PlotData!I32+SensA!$E$2* $AF$1*I31,PlotData!$CB$3)</f>
        <v>0</v>
      </c>
      <c r="AJ31" s="721">
        <f>IF(ISNUMBER(System!$C32),PlotData!J32+SensA!$E$2* $AF$1*J31,PlotData!$CB$3)</f>
        <v>0</v>
      </c>
      <c r="AK31" s="721">
        <f>IF(ISNUMBER(System!$C32),PlotData!K32+SensA!$E$2* $AF$1*K31,PlotData!$CB$3)</f>
        <v>0</v>
      </c>
      <c r="AL31" s="639">
        <f>IF(ISNUMBER(System!$C32),PlotData!L32+SensA!$E$2* $AF$1*L31,PlotData!$CB$3)</f>
        <v>0</v>
      </c>
      <c r="AM31" s="1146">
        <f>IF(ISNUMBER(System!$C32),PlotData!L32,PlotData!$CB$3)</f>
        <v>0</v>
      </c>
      <c r="AN31" s="721">
        <f>IF(ISNUMBER(System!$C32),PlotData!B32,PlotData!$CB$3)</f>
        <v>0</v>
      </c>
      <c r="AO31" s="639">
        <f>IF(ISNUMBER(System!$C32),AB31,PlotData!$CB$3)</f>
        <v>0</v>
      </c>
      <c r="AQ31" s="1125">
        <v>29</v>
      </c>
      <c r="AR31" s="668">
        <f>IF(ISNUMBER(System!$C32),PlotData!O32+ SensA!$E$2*$AF$1*O31,PlotData!$CB$4)</f>
        <v>0</v>
      </c>
      <c r="AS31" s="721">
        <f>IF(ISNUMBER(System!$C32),PlotData!P32+ SensA!$E$2*$AF$1*P31,PlotData!$CB$4)</f>
        <v>0</v>
      </c>
      <c r="AT31" s="721">
        <f>IF(ISNUMBER(System!$C32),PlotData!Q32+ SensA!$E$2*$AF$1*Q31,PlotData!$CB$4)</f>
        <v>0</v>
      </c>
      <c r="AU31" s="721">
        <f>IF(ISNUMBER(System!$C32),PlotData!R32+ SensA!$E$2*$AF$1*R31,PlotData!$CB$4)</f>
        <v>0</v>
      </c>
      <c r="AV31" s="721">
        <f>IF(ISNUMBER(System!$C32),PlotData!S32+ SensA!$E$2*$AF$1*S31,PlotData!$CB$4)</f>
        <v>0</v>
      </c>
      <c r="AW31" s="721">
        <f>IF(ISNUMBER(System!$C32),PlotData!T32+ SensA!$E$2*$AF$1*T31,PlotData!$CB$4)</f>
        <v>0</v>
      </c>
      <c r="AX31" s="721">
        <f>IF(ISNUMBER(System!$C32),PlotData!U32+ SensA!$E$2*$AF$1*U31,PlotData!$CB$4)</f>
        <v>0</v>
      </c>
      <c r="AY31" s="721">
        <f>IF(ISNUMBER(System!$C32),PlotData!V32+ SensA!$E$2*$AF$1*V31,PlotData!$CB$4)</f>
        <v>0</v>
      </c>
      <c r="AZ31" s="721">
        <f>IF(ISNUMBER(System!$C32),PlotData!W32+ SensA!$E$2*$AF$1*W31,PlotData!$CB$4)</f>
        <v>0</v>
      </c>
      <c r="BA31" s="721">
        <f>IF(ISNUMBER(System!$C32),PlotData!X32+ SensA!$E$2*$AF$1*X31,PlotData!$CB$4)</f>
        <v>0</v>
      </c>
      <c r="BB31" s="639">
        <f>IF(ISNUMBER(System!$C32),PlotData!Y32+ SensA!$E$2*$AF$1*Y31,PlotData!$CB$4)</f>
        <v>0</v>
      </c>
      <c r="BC31" s="1146">
        <f>IF(ISNUMBER(System!$C32),PlotData!Y32, PlotData!CB$4)</f>
        <v>0</v>
      </c>
      <c r="BD31" s="721">
        <f>IF(ISNUMBER(System!$C32),PlotData!O32, PlotData!$CB$4)</f>
        <v>0</v>
      </c>
      <c r="BE31" s="639">
        <f>IF(ISNUMBER(System!$C32), AR31,PlotData!$CB$4)</f>
        <v>0</v>
      </c>
    </row>
    <row r="32" spans="1:57" x14ac:dyDescent="0.25">
      <c r="A32" s="1124">
        <v>30</v>
      </c>
      <c r="B32" s="668"/>
      <c r="C32" s="721"/>
      <c r="D32" s="721"/>
      <c r="E32" s="721"/>
      <c r="F32" s="721"/>
      <c r="G32" s="721"/>
      <c r="H32" s="721"/>
      <c r="I32" s="721"/>
      <c r="J32" s="721"/>
      <c r="K32" s="721"/>
      <c r="L32" s="639"/>
      <c r="N32" s="1124">
        <v>30</v>
      </c>
      <c r="O32" s="668"/>
      <c r="P32" s="721"/>
      <c r="Q32" s="721"/>
      <c r="R32" s="721"/>
      <c r="S32" s="721"/>
      <c r="T32" s="721"/>
      <c r="U32" s="721"/>
      <c r="V32" s="721"/>
      <c r="W32" s="721"/>
      <c r="X32" s="721"/>
      <c r="Y32" s="639"/>
      <c r="AA32" s="1125">
        <v>30</v>
      </c>
      <c r="AB32" s="668">
        <f>IF(ISNUMBER(System!$C33),PlotData!B33+SensA!$E$2* $AF$1*B32,PlotData!$CB$3)</f>
        <v>0</v>
      </c>
      <c r="AC32" s="721">
        <f>IF(ISNUMBER(System!$C33),PlotData!C33+SensA!$E$2* $AF$1*C32,PlotData!$CB$3)</f>
        <v>0</v>
      </c>
      <c r="AD32" s="721">
        <f>IF(ISNUMBER(System!$C33),PlotData!D33+SensA!$E$2* $AF$1*D32,PlotData!$CB$3)</f>
        <v>0</v>
      </c>
      <c r="AE32" s="721">
        <f>IF(ISNUMBER(System!$C33),PlotData!E33+SensA!$E$2* $AF$1*E32,PlotData!$CB$3)</f>
        <v>0</v>
      </c>
      <c r="AF32" s="721">
        <f>IF(ISNUMBER(System!$C33),PlotData!F33+SensA!$E$2* $AF$1*F32,PlotData!$CB$3)</f>
        <v>0</v>
      </c>
      <c r="AG32" s="721">
        <f>IF(ISNUMBER(System!$C33),PlotData!G33+SensA!$E$2* $AF$1*G32,PlotData!$CB$3)</f>
        <v>0</v>
      </c>
      <c r="AH32" s="721">
        <f>IF(ISNUMBER(System!$C33),PlotData!H33+SensA!$E$2* $AF$1*H32,PlotData!$CB$3)</f>
        <v>0</v>
      </c>
      <c r="AI32" s="721">
        <f>IF(ISNUMBER(System!$C33),PlotData!I33+SensA!$E$2* $AF$1*I32,PlotData!$CB$3)</f>
        <v>0</v>
      </c>
      <c r="AJ32" s="721">
        <f>IF(ISNUMBER(System!$C33),PlotData!J33+SensA!$E$2* $AF$1*J32,PlotData!$CB$3)</f>
        <v>0</v>
      </c>
      <c r="AK32" s="721">
        <f>IF(ISNUMBER(System!$C33),PlotData!K33+SensA!$E$2* $AF$1*K32,PlotData!$CB$3)</f>
        <v>0</v>
      </c>
      <c r="AL32" s="639">
        <f>IF(ISNUMBER(System!$C33),PlotData!L33+SensA!$E$2* $AF$1*L32,PlotData!$CB$3)</f>
        <v>0</v>
      </c>
      <c r="AM32" s="1146">
        <f>IF(ISNUMBER(System!$C33),PlotData!L33,PlotData!$CB$3)</f>
        <v>0</v>
      </c>
      <c r="AN32" s="721">
        <f>IF(ISNUMBER(System!$C33),PlotData!B33,PlotData!$CB$3)</f>
        <v>0</v>
      </c>
      <c r="AO32" s="639">
        <f>IF(ISNUMBER(System!$C33),AB32,PlotData!$CB$3)</f>
        <v>0</v>
      </c>
      <c r="AQ32" s="1125">
        <v>30</v>
      </c>
      <c r="AR32" s="668">
        <f>IF(ISNUMBER(System!$C33),PlotData!O33+ SensA!$E$2*$AF$1*O32,PlotData!$CB$4)</f>
        <v>0</v>
      </c>
      <c r="AS32" s="721">
        <f>IF(ISNUMBER(System!$C33),PlotData!P33+ SensA!$E$2*$AF$1*P32,PlotData!$CB$4)</f>
        <v>0</v>
      </c>
      <c r="AT32" s="721">
        <f>IF(ISNUMBER(System!$C33),PlotData!Q33+ SensA!$E$2*$AF$1*Q32,PlotData!$CB$4)</f>
        <v>0</v>
      </c>
      <c r="AU32" s="721">
        <f>IF(ISNUMBER(System!$C33),PlotData!R33+ SensA!$E$2*$AF$1*R32,PlotData!$CB$4)</f>
        <v>0</v>
      </c>
      <c r="AV32" s="721">
        <f>IF(ISNUMBER(System!$C33),PlotData!S33+ SensA!$E$2*$AF$1*S32,PlotData!$CB$4)</f>
        <v>0</v>
      </c>
      <c r="AW32" s="721">
        <f>IF(ISNUMBER(System!$C33),PlotData!T33+ SensA!$E$2*$AF$1*T32,PlotData!$CB$4)</f>
        <v>0</v>
      </c>
      <c r="AX32" s="721">
        <f>IF(ISNUMBER(System!$C33),PlotData!U33+ SensA!$E$2*$AF$1*U32,PlotData!$CB$4)</f>
        <v>0</v>
      </c>
      <c r="AY32" s="721">
        <f>IF(ISNUMBER(System!$C33),PlotData!V33+ SensA!$E$2*$AF$1*V32,PlotData!$CB$4)</f>
        <v>0</v>
      </c>
      <c r="AZ32" s="721">
        <f>IF(ISNUMBER(System!$C33),PlotData!W33+ SensA!$E$2*$AF$1*W32,PlotData!$CB$4)</f>
        <v>0</v>
      </c>
      <c r="BA32" s="721">
        <f>IF(ISNUMBER(System!$C33),PlotData!X33+ SensA!$E$2*$AF$1*X32,PlotData!$CB$4)</f>
        <v>0</v>
      </c>
      <c r="BB32" s="639">
        <f>IF(ISNUMBER(System!$C33),PlotData!Y33+ SensA!$E$2*$AF$1*Y32,PlotData!$CB$4)</f>
        <v>0</v>
      </c>
      <c r="BC32" s="1146">
        <f>IF(ISNUMBER(System!$C33),PlotData!Y33, PlotData!CB$4)</f>
        <v>0</v>
      </c>
      <c r="BD32" s="721">
        <f>IF(ISNUMBER(System!$C33),PlotData!O33, PlotData!$CB$4)</f>
        <v>0</v>
      </c>
      <c r="BE32" s="639">
        <f>IF(ISNUMBER(System!$C33), AR32,PlotData!$CB$4)</f>
        <v>0</v>
      </c>
    </row>
    <row r="33" spans="1:57" x14ac:dyDescent="0.25">
      <c r="A33" s="1124">
        <v>31</v>
      </c>
      <c r="B33" s="668"/>
      <c r="C33" s="721"/>
      <c r="D33" s="721"/>
      <c r="E33" s="721"/>
      <c r="F33" s="721"/>
      <c r="G33" s="721"/>
      <c r="H33" s="721"/>
      <c r="I33" s="721"/>
      <c r="J33" s="721"/>
      <c r="K33" s="721"/>
      <c r="L33" s="639"/>
      <c r="N33" s="1124">
        <v>31</v>
      </c>
      <c r="O33" s="668"/>
      <c r="P33" s="721"/>
      <c r="Q33" s="721"/>
      <c r="R33" s="721"/>
      <c r="S33" s="721"/>
      <c r="T33" s="721"/>
      <c r="U33" s="721"/>
      <c r="V33" s="721"/>
      <c r="W33" s="721"/>
      <c r="X33" s="721"/>
      <c r="Y33" s="639"/>
      <c r="AA33" s="1125">
        <v>31</v>
      </c>
      <c r="AB33" s="668">
        <f>IF(ISNUMBER(System!$C34),PlotData!B34+SensA!$E$2* $AF$1*B33,PlotData!$CB$3)</f>
        <v>0</v>
      </c>
      <c r="AC33" s="721">
        <f>IF(ISNUMBER(System!$C34),PlotData!C34+SensA!$E$2* $AF$1*C33,PlotData!$CB$3)</f>
        <v>0</v>
      </c>
      <c r="AD33" s="721">
        <f>IF(ISNUMBER(System!$C34),PlotData!D34+SensA!$E$2* $AF$1*D33,PlotData!$CB$3)</f>
        <v>0</v>
      </c>
      <c r="AE33" s="721">
        <f>IF(ISNUMBER(System!$C34),PlotData!E34+SensA!$E$2* $AF$1*E33,PlotData!$CB$3)</f>
        <v>0</v>
      </c>
      <c r="AF33" s="721">
        <f>IF(ISNUMBER(System!$C34),PlotData!F34+SensA!$E$2* $AF$1*F33,PlotData!$CB$3)</f>
        <v>0</v>
      </c>
      <c r="AG33" s="721">
        <f>IF(ISNUMBER(System!$C34),PlotData!G34+SensA!$E$2* $AF$1*G33,PlotData!$CB$3)</f>
        <v>0</v>
      </c>
      <c r="AH33" s="721">
        <f>IF(ISNUMBER(System!$C34),PlotData!H34+SensA!$E$2* $AF$1*H33,PlotData!$CB$3)</f>
        <v>0</v>
      </c>
      <c r="AI33" s="721">
        <f>IF(ISNUMBER(System!$C34),PlotData!I34+SensA!$E$2* $AF$1*I33,PlotData!$CB$3)</f>
        <v>0</v>
      </c>
      <c r="AJ33" s="721">
        <f>IF(ISNUMBER(System!$C34),PlotData!J34+SensA!$E$2* $AF$1*J33,PlotData!$CB$3)</f>
        <v>0</v>
      </c>
      <c r="AK33" s="721">
        <f>IF(ISNUMBER(System!$C34),PlotData!K34+SensA!$E$2* $AF$1*K33,PlotData!$CB$3)</f>
        <v>0</v>
      </c>
      <c r="AL33" s="639">
        <f>IF(ISNUMBER(System!$C34),PlotData!L34+SensA!$E$2* $AF$1*L33,PlotData!$CB$3)</f>
        <v>0</v>
      </c>
      <c r="AM33" s="1146">
        <f>IF(ISNUMBER(System!$C34),PlotData!L34,PlotData!$CB$3)</f>
        <v>0</v>
      </c>
      <c r="AN33" s="721">
        <f>IF(ISNUMBER(System!$C34),PlotData!B34,PlotData!$CB$3)</f>
        <v>0</v>
      </c>
      <c r="AO33" s="639">
        <f>IF(ISNUMBER(System!$C34),AB33,PlotData!$CB$3)</f>
        <v>0</v>
      </c>
      <c r="AQ33" s="1125">
        <v>31</v>
      </c>
      <c r="AR33" s="668">
        <f>IF(ISNUMBER(System!$C34),PlotData!O34+ SensA!$E$2*$AF$1*O33,PlotData!$CB$4)</f>
        <v>0</v>
      </c>
      <c r="AS33" s="721">
        <f>IF(ISNUMBER(System!$C34),PlotData!P34+ SensA!$E$2*$AF$1*P33,PlotData!$CB$4)</f>
        <v>0</v>
      </c>
      <c r="AT33" s="721">
        <f>IF(ISNUMBER(System!$C34),PlotData!Q34+ SensA!$E$2*$AF$1*Q33,PlotData!$CB$4)</f>
        <v>0</v>
      </c>
      <c r="AU33" s="721">
        <f>IF(ISNUMBER(System!$C34),PlotData!R34+ SensA!$E$2*$AF$1*R33,PlotData!$CB$4)</f>
        <v>0</v>
      </c>
      <c r="AV33" s="721">
        <f>IF(ISNUMBER(System!$C34),PlotData!S34+ SensA!$E$2*$AF$1*S33,PlotData!$CB$4)</f>
        <v>0</v>
      </c>
      <c r="AW33" s="721">
        <f>IF(ISNUMBER(System!$C34),PlotData!T34+ SensA!$E$2*$AF$1*T33,PlotData!$CB$4)</f>
        <v>0</v>
      </c>
      <c r="AX33" s="721">
        <f>IF(ISNUMBER(System!$C34),PlotData!U34+ SensA!$E$2*$AF$1*U33,PlotData!$CB$4)</f>
        <v>0</v>
      </c>
      <c r="AY33" s="721">
        <f>IF(ISNUMBER(System!$C34),PlotData!V34+ SensA!$E$2*$AF$1*V33,PlotData!$CB$4)</f>
        <v>0</v>
      </c>
      <c r="AZ33" s="721">
        <f>IF(ISNUMBER(System!$C34),PlotData!W34+ SensA!$E$2*$AF$1*W33,PlotData!$CB$4)</f>
        <v>0</v>
      </c>
      <c r="BA33" s="721">
        <f>IF(ISNUMBER(System!$C34),PlotData!X34+ SensA!$E$2*$AF$1*X33,PlotData!$CB$4)</f>
        <v>0</v>
      </c>
      <c r="BB33" s="639">
        <f>IF(ISNUMBER(System!$C34),PlotData!Y34+ SensA!$E$2*$AF$1*Y33,PlotData!$CB$4)</f>
        <v>0</v>
      </c>
      <c r="BC33" s="1146">
        <f>IF(ISNUMBER(System!$C34),PlotData!Y34, PlotData!CB$4)</f>
        <v>0</v>
      </c>
      <c r="BD33" s="721">
        <f>IF(ISNUMBER(System!$C34),PlotData!O34, PlotData!$CB$4)</f>
        <v>0</v>
      </c>
      <c r="BE33" s="639">
        <f>IF(ISNUMBER(System!$C34), AR33,PlotData!$CB$4)</f>
        <v>0</v>
      </c>
    </row>
    <row r="34" spans="1:57" x14ac:dyDescent="0.25">
      <c r="A34" s="1124">
        <v>32</v>
      </c>
      <c r="B34" s="668"/>
      <c r="C34" s="721"/>
      <c r="D34" s="721"/>
      <c r="E34" s="721"/>
      <c r="F34" s="721"/>
      <c r="G34" s="721"/>
      <c r="H34" s="721"/>
      <c r="I34" s="721"/>
      <c r="J34" s="721"/>
      <c r="K34" s="721"/>
      <c r="L34" s="639"/>
      <c r="N34" s="1124">
        <v>32</v>
      </c>
      <c r="O34" s="668"/>
      <c r="P34" s="721"/>
      <c r="Q34" s="721"/>
      <c r="R34" s="721"/>
      <c r="S34" s="721"/>
      <c r="T34" s="721"/>
      <c r="U34" s="721"/>
      <c r="V34" s="721"/>
      <c r="W34" s="721"/>
      <c r="X34" s="721"/>
      <c r="Y34" s="639"/>
      <c r="AA34" s="1125">
        <v>32</v>
      </c>
      <c r="AB34" s="668">
        <f>IF(ISNUMBER(System!$C35),PlotData!B35+SensA!$E$2* $AF$1*B34,PlotData!$CB$3)</f>
        <v>0</v>
      </c>
      <c r="AC34" s="721">
        <f>IF(ISNUMBER(System!$C35),PlotData!C35+SensA!$E$2* $AF$1*C34,PlotData!$CB$3)</f>
        <v>0</v>
      </c>
      <c r="AD34" s="721">
        <f>IF(ISNUMBER(System!$C35),PlotData!D35+SensA!$E$2* $AF$1*D34,PlotData!$CB$3)</f>
        <v>0</v>
      </c>
      <c r="AE34" s="721">
        <f>IF(ISNUMBER(System!$C35),PlotData!E35+SensA!$E$2* $AF$1*E34,PlotData!$CB$3)</f>
        <v>0</v>
      </c>
      <c r="AF34" s="721">
        <f>IF(ISNUMBER(System!$C35),PlotData!F35+SensA!$E$2* $AF$1*F34,PlotData!$CB$3)</f>
        <v>0</v>
      </c>
      <c r="AG34" s="721">
        <f>IF(ISNUMBER(System!$C35),PlotData!G35+SensA!$E$2* $AF$1*G34,PlotData!$CB$3)</f>
        <v>0</v>
      </c>
      <c r="AH34" s="721">
        <f>IF(ISNUMBER(System!$C35),PlotData!H35+SensA!$E$2* $AF$1*H34,PlotData!$CB$3)</f>
        <v>0</v>
      </c>
      <c r="AI34" s="721">
        <f>IF(ISNUMBER(System!$C35),PlotData!I35+SensA!$E$2* $AF$1*I34,PlotData!$CB$3)</f>
        <v>0</v>
      </c>
      <c r="AJ34" s="721">
        <f>IF(ISNUMBER(System!$C35),PlotData!J35+SensA!$E$2* $AF$1*J34,PlotData!$CB$3)</f>
        <v>0</v>
      </c>
      <c r="AK34" s="721">
        <f>IF(ISNUMBER(System!$C35),PlotData!K35+SensA!$E$2* $AF$1*K34,PlotData!$CB$3)</f>
        <v>0</v>
      </c>
      <c r="AL34" s="639">
        <f>IF(ISNUMBER(System!$C35),PlotData!L35+SensA!$E$2* $AF$1*L34,PlotData!$CB$3)</f>
        <v>0</v>
      </c>
      <c r="AM34" s="1146">
        <f>IF(ISNUMBER(System!$C35),PlotData!L35,PlotData!$CB$3)</f>
        <v>0</v>
      </c>
      <c r="AN34" s="721">
        <f>IF(ISNUMBER(System!$C35),PlotData!B35,PlotData!$CB$3)</f>
        <v>0</v>
      </c>
      <c r="AO34" s="639">
        <f>IF(ISNUMBER(System!$C35),AB34,PlotData!$CB$3)</f>
        <v>0</v>
      </c>
      <c r="AQ34" s="1125">
        <v>32</v>
      </c>
      <c r="AR34" s="668">
        <f>IF(ISNUMBER(System!$C35),PlotData!O35+ SensA!$E$2*$AF$1*O34,PlotData!$CB$4)</f>
        <v>0</v>
      </c>
      <c r="AS34" s="721">
        <f>IF(ISNUMBER(System!$C35),PlotData!P35+ SensA!$E$2*$AF$1*P34,PlotData!$CB$4)</f>
        <v>0</v>
      </c>
      <c r="AT34" s="721">
        <f>IF(ISNUMBER(System!$C35),PlotData!Q35+ SensA!$E$2*$AF$1*Q34,PlotData!$CB$4)</f>
        <v>0</v>
      </c>
      <c r="AU34" s="721">
        <f>IF(ISNUMBER(System!$C35),PlotData!R35+ SensA!$E$2*$AF$1*R34,PlotData!$CB$4)</f>
        <v>0</v>
      </c>
      <c r="AV34" s="721">
        <f>IF(ISNUMBER(System!$C35),PlotData!S35+ SensA!$E$2*$AF$1*S34,PlotData!$CB$4)</f>
        <v>0</v>
      </c>
      <c r="AW34" s="721">
        <f>IF(ISNUMBER(System!$C35),PlotData!T35+ SensA!$E$2*$AF$1*T34,PlotData!$CB$4)</f>
        <v>0</v>
      </c>
      <c r="AX34" s="721">
        <f>IF(ISNUMBER(System!$C35),PlotData!U35+ SensA!$E$2*$AF$1*U34,PlotData!$CB$4)</f>
        <v>0</v>
      </c>
      <c r="AY34" s="721">
        <f>IF(ISNUMBER(System!$C35),PlotData!V35+ SensA!$E$2*$AF$1*V34,PlotData!$CB$4)</f>
        <v>0</v>
      </c>
      <c r="AZ34" s="721">
        <f>IF(ISNUMBER(System!$C35),PlotData!W35+ SensA!$E$2*$AF$1*W34,PlotData!$CB$4)</f>
        <v>0</v>
      </c>
      <c r="BA34" s="721">
        <f>IF(ISNUMBER(System!$C35),PlotData!X35+ SensA!$E$2*$AF$1*X34,PlotData!$CB$4)</f>
        <v>0</v>
      </c>
      <c r="BB34" s="639">
        <f>IF(ISNUMBER(System!$C35),PlotData!Y35+ SensA!$E$2*$AF$1*Y34,PlotData!$CB$4)</f>
        <v>0</v>
      </c>
      <c r="BC34" s="1146">
        <f>IF(ISNUMBER(System!$C35),PlotData!Y35, PlotData!CB$4)</f>
        <v>0</v>
      </c>
      <c r="BD34" s="721">
        <f>IF(ISNUMBER(System!$C35),PlotData!O35, PlotData!$CB$4)</f>
        <v>0</v>
      </c>
      <c r="BE34" s="639">
        <f>IF(ISNUMBER(System!$C35), AR34,PlotData!$CB$4)</f>
        <v>0</v>
      </c>
    </row>
    <row r="35" spans="1:57" x14ac:dyDescent="0.25">
      <c r="A35" s="1124">
        <v>33</v>
      </c>
      <c r="B35" s="668"/>
      <c r="C35" s="721"/>
      <c r="D35" s="721"/>
      <c r="E35" s="721"/>
      <c r="F35" s="721"/>
      <c r="G35" s="721"/>
      <c r="H35" s="721"/>
      <c r="I35" s="721"/>
      <c r="J35" s="721"/>
      <c r="K35" s="721"/>
      <c r="L35" s="639"/>
      <c r="N35" s="1124">
        <v>33</v>
      </c>
      <c r="O35" s="668"/>
      <c r="P35" s="721"/>
      <c r="Q35" s="721"/>
      <c r="R35" s="721"/>
      <c r="S35" s="721"/>
      <c r="T35" s="721"/>
      <c r="U35" s="721"/>
      <c r="V35" s="721"/>
      <c r="W35" s="721"/>
      <c r="X35" s="721"/>
      <c r="Y35" s="639"/>
      <c r="AA35" s="1125">
        <v>33</v>
      </c>
      <c r="AB35" s="668">
        <f>IF(ISNUMBER(System!$C36),PlotData!B36+SensA!$E$2* $AF$1*B35,PlotData!$CB$3)</f>
        <v>0</v>
      </c>
      <c r="AC35" s="721">
        <f>IF(ISNUMBER(System!$C36),PlotData!C36+SensA!$E$2* $AF$1*C35,PlotData!$CB$3)</f>
        <v>0</v>
      </c>
      <c r="AD35" s="721">
        <f>IF(ISNUMBER(System!$C36),PlotData!D36+SensA!$E$2* $AF$1*D35,PlotData!$CB$3)</f>
        <v>0</v>
      </c>
      <c r="AE35" s="721">
        <f>IF(ISNUMBER(System!$C36),PlotData!E36+SensA!$E$2* $AF$1*E35,PlotData!$CB$3)</f>
        <v>0</v>
      </c>
      <c r="AF35" s="721">
        <f>IF(ISNUMBER(System!$C36),PlotData!F36+SensA!$E$2* $AF$1*F35,PlotData!$CB$3)</f>
        <v>0</v>
      </c>
      <c r="AG35" s="721">
        <f>IF(ISNUMBER(System!$C36),PlotData!G36+SensA!$E$2* $AF$1*G35,PlotData!$CB$3)</f>
        <v>0</v>
      </c>
      <c r="AH35" s="721">
        <f>IF(ISNUMBER(System!$C36),PlotData!H36+SensA!$E$2* $AF$1*H35,PlotData!$CB$3)</f>
        <v>0</v>
      </c>
      <c r="AI35" s="721">
        <f>IF(ISNUMBER(System!$C36),PlotData!I36+SensA!$E$2* $AF$1*I35,PlotData!$CB$3)</f>
        <v>0</v>
      </c>
      <c r="AJ35" s="721">
        <f>IF(ISNUMBER(System!$C36),PlotData!J36+SensA!$E$2* $AF$1*J35,PlotData!$CB$3)</f>
        <v>0</v>
      </c>
      <c r="AK35" s="721">
        <f>IF(ISNUMBER(System!$C36),PlotData!K36+SensA!$E$2* $AF$1*K35,PlotData!$CB$3)</f>
        <v>0</v>
      </c>
      <c r="AL35" s="639">
        <f>IF(ISNUMBER(System!$C36),PlotData!L36+SensA!$E$2* $AF$1*L35,PlotData!$CB$3)</f>
        <v>0</v>
      </c>
      <c r="AM35" s="1146">
        <f>IF(ISNUMBER(System!$C36),PlotData!L36,PlotData!$CB$3)</f>
        <v>0</v>
      </c>
      <c r="AN35" s="721">
        <f>IF(ISNUMBER(System!$C36),PlotData!B36,PlotData!$CB$3)</f>
        <v>0</v>
      </c>
      <c r="AO35" s="639">
        <f>IF(ISNUMBER(System!$C36),AB35,PlotData!$CB$3)</f>
        <v>0</v>
      </c>
      <c r="AQ35" s="1125">
        <v>33</v>
      </c>
      <c r="AR35" s="668">
        <f>IF(ISNUMBER(System!$C36),PlotData!O36+ SensA!$E$2*$AF$1*O35,PlotData!$CB$4)</f>
        <v>0</v>
      </c>
      <c r="AS35" s="721">
        <f>IF(ISNUMBER(System!$C36),PlotData!P36+ SensA!$E$2*$AF$1*P35,PlotData!$CB$4)</f>
        <v>0</v>
      </c>
      <c r="AT35" s="721">
        <f>IF(ISNUMBER(System!$C36),PlotData!Q36+ SensA!$E$2*$AF$1*Q35,PlotData!$CB$4)</f>
        <v>0</v>
      </c>
      <c r="AU35" s="721">
        <f>IF(ISNUMBER(System!$C36),PlotData!R36+ SensA!$E$2*$AF$1*R35,PlotData!$CB$4)</f>
        <v>0</v>
      </c>
      <c r="AV35" s="721">
        <f>IF(ISNUMBER(System!$C36),PlotData!S36+ SensA!$E$2*$AF$1*S35,PlotData!$CB$4)</f>
        <v>0</v>
      </c>
      <c r="AW35" s="721">
        <f>IF(ISNUMBER(System!$C36),PlotData!T36+ SensA!$E$2*$AF$1*T35,PlotData!$CB$4)</f>
        <v>0</v>
      </c>
      <c r="AX35" s="721">
        <f>IF(ISNUMBER(System!$C36),PlotData!U36+ SensA!$E$2*$AF$1*U35,PlotData!$CB$4)</f>
        <v>0</v>
      </c>
      <c r="AY35" s="721">
        <f>IF(ISNUMBER(System!$C36),PlotData!V36+ SensA!$E$2*$AF$1*V35,PlotData!$CB$4)</f>
        <v>0</v>
      </c>
      <c r="AZ35" s="721">
        <f>IF(ISNUMBER(System!$C36),PlotData!W36+ SensA!$E$2*$AF$1*W35,PlotData!$CB$4)</f>
        <v>0</v>
      </c>
      <c r="BA35" s="721">
        <f>IF(ISNUMBER(System!$C36),PlotData!X36+ SensA!$E$2*$AF$1*X35,PlotData!$CB$4)</f>
        <v>0</v>
      </c>
      <c r="BB35" s="639">
        <f>IF(ISNUMBER(System!$C36),PlotData!Y36+ SensA!$E$2*$AF$1*Y35,PlotData!$CB$4)</f>
        <v>0</v>
      </c>
      <c r="BC35" s="1146">
        <f>IF(ISNUMBER(System!$C36),PlotData!Y36, PlotData!CB$4)</f>
        <v>0</v>
      </c>
      <c r="BD35" s="721">
        <f>IF(ISNUMBER(System!$C36),PlotData!O36, PlotData!$CB$4)</f>
        <v>0</v>
      </c>
      <c r="BE35" s="639">
        <f>IF(ISNUMBER(System!$C36), AR35,PlotData!$CB$4)</f>
        <v>0</v>
      </c>
    </row>
    <row r="36" spans="1:57" x14ac:dyDescent="0.25">
      <c r="A36" s="1124">
        <v>34</v>
      </c>
      <c r="B36" s="668"/>
      <c r="C36" s="721"/>
      <c r="D36" s="721"/>
      <c r="E36" s="721"/>
      <c r="F36" s="721"/>
      <c r="G36" s="721"/>
      <c r="H36" s="721"/>
      <c r="I36" s="721"/>
      <c r="J36" s="721"/>
      <c r="K36" s="721"/>
      <c r="L36" s="639"/>
      <c r="N36" s="1124">
        <v>34</v>
      </c>
      <c r="O36" s="668"/>
      <c r="P36" s="721"/>
      <c r="Q36" s="721"/>
      <c r="R36" s="721"/>
      <c r="S36" s="721"/>
      <c r="T36" s="721"/>
      <c r="U36" s="721"/>
      <c r="V36" s="721"/>
      <c r="W36" s="721"/>
      <c r="X36" s="721"/>
      <c r="Y36" s="639"/>
      <c r="AA36" s="1125">
        <v>34</v>
      </c>
      <c r="AB36" s="668">
        <f>IF(ISNUMBER(System!$C37),PlotData!B37+SensA!$E$2* $AF$1*B36,PlotData!$CB$3)</f>
        <v>0</v>
      </c>
      <c r="AC36" s="721">
        <f>IF(ISNUMBER(System!$C37),PlotData!C37+SensA!$E$2* $AF$1*C36,PlotData!$CB$3)</f>
        <v>0</v>
      </c>
      <c r="AD36" s="721">
        <f>IF(ISNUMBER(System!$C37),PlotData!D37+SensA!$E$2* $AF$1*D36,PlotData!$CB$3)</f>
        <v>0</v>
      </c>
      <c r="AE36" s="721">
        <f>IF(ISNUMBER(System!$C37),PlotData!E37+SensA!$E$2* $AF$1*E36,PlotData!$CB$3)</f>
        <v>0</v>
      </c>
      <c r="AF36" s="721">
        <f>IF(ISNUMBER(System!$C37),PlotData!F37+SensA!$E$2* $AF$1*F36,PlotData!$CB$3)</f>
        <v>0</v>
      </c>
      <c r="AG36" s="721">
        <f>IF(ISNUMBER(System!$C37),PlotData!G37+SensA!$E$2* $AF$1*G36,PlotData!$CB$3)</f>
        <v>0</v>
      </c>
      <c r="AH36" s="721">
        <f>IF(ISNUMBER(System!$C37),PlotData!H37+SensA!$E$2* $AF$1*H36,PlotData!$CB$3)</f>
        <v>0</v>
      </c>
      <c r="AI36" s="721">
        <f>IF(ISNUMBER(System!$C37),PlotData!I37+SensA!$E$2* $AF$1*I36,PlotData!$CB$3)</f>
        <v>0</v>
      </c>
      <c r="AJ36" s="721">
        <f>IF(ISNUMBER(System!$C37),PlotData!J37+SensA!$E$2* $AF$1*J36,PlotData!$CB$3)</f>
        <v>0</v>
      </c>
      <c r="AK36" s="721">
        <f>IF(ISNUMBER(System!$C37),PlotData!K37+SensA!$E$2* $AF$1*K36,PlotData!$CB$3)</f>
        <v>0</v>
      </c>
      <c r="AL36" s="639">
        <f>IF(ISNUMBER(System!$C37),PlotData!L37+SensA!$E$2* $AF$1*L36,PlotData!$CB$3)</f>
        <v>0</v>
      </c>
      <c r="AM36" s="1146">
        <f>IF(ISNUMBER(System!$C37),PlotData!L37,PlotData!$CB$3)</f>
        <v>0</v>
      </c>
      <c r="AN36" s="721">
        <f>IF(ISNUMBER(System!$C37),PlotData!B37,PlotData!$CB$3)</f>
        <v>0</v>
      </c>
      <c r="AO36" s="639">
        <f>IF(ISNUMBER(System!$C37),AB36,PlotData!$CB$3)</f>
        <v>0</v>
      </c>
      <c r="AQ36" s="1125">
        <v>34</v>
      </c>
      <c r="AR36" s="668">
        <f>IF(ISNUMBER(System!$C37),PlotData!O37+ SensA!$E$2*$AF$1*O36,PlotData!$CB$4)</f>
        <v>0</v>
      </c>
      <c r="AS36" s="721">
        <f>IF(ISNUMBER(System!$C37),PlotData!P37+ SensA!$E$2*$AF$1*P36,PlotData!$CB$4)</f>
        <v>0</v>
      </c>
      <c r="AT36" s="721">
        <f>IF(ISNUMBER(System!$C37),PlotData!Q37+ SensA!$E$2*$AF$1*Q36,PlotData!$CB$4)</f>
        <v>0</v>
      </c>
      <c r="AU36" s="721">
        <f>IF(ISNUMBER(System!$C37),PlotData!R37+ SensA!$E$2*$AF$1*R36,PlotData!$CB$4)</f>
        <v>0</v>
      </c>
      <c r="AV36" s="721">
        <f>IF(ISNUMBER(System!$C37),PlotData!S37+ SensA!$E$2*$AF$1*S36,PlotData!$CB$4)</f>
        <v>0</v>
      </c>
      <c r="AW36" s="721">
        <f>IF(ISNUMBER(System!$C37),PlotData!T37+ SensA!$E$2*$AF$1*T36,PlotData!$CB$4)</f>
        <v>0</v>
      </c>
      <c r="AX36" s="721">
        <f>IF(ISNUMBER(System!$C37),PlotData!U37+ SensA!$E$2*$AF$1*U36,PlotData!$CB$4)</f>
        <v>0</v>
      </c>
      <c r="AY36" s="721">
        <f>IF(ISNUMBER(System!$C37),PlotData!V37+ SensA!$E$2*$AF$1*V36,PlotData!$CB$4)</f>
        <v>0</v>
      </c>
      <c r="AZ36" s="721">
        <f>IF(ISNUMBER(System!$C37),PlotData!W37+ SensA!$E$2*$AF$1*W36,PlotData!$CB$4)</f>
        <v>0</v>
      </c>
      <c r="BA36" s="721">
        <f>IF(ISNUMBER(System!$C37),PlotData!X37+ SensA!$E$2*$AF$1*X36,PlotData!$CB$4)</f>
        <v>0</v>
      </c>
      <c r="BB36" s="639">
        <f>IF(ISNUMBER(System!$C37),PlotData!Y37+ SensA!$E$2*$AF$1*Y36,PlotData!$CB$4)</f>
        <v>0</v>
      </c>
      <c r="BC36" s="1146">
        <f>IF(ISNUMBER(System!$C37),PlotData!Y37, PlotData!CB$4)</f>
        <v>0</v>
      </c>
      <c r="BD36" s="721">
        <f>IF(ISNUMBER(System!$C37),PlotData!O37, PlotData!$CB$4)</f>
        <v>0</v>
      </c>
      <c r="BE36" s="639">
        <f>IF(ISNUMBER(System!$C37), AR36,PlotData!$CB$4)</f>
        <v>0</v>
      </c>
    </row>
    <row r="37" spans="1:57" x14ac:dyDescent="0.25">
      <c r="A37" s="1124">
        <v>35</v>
      </c>
      <c r="B37" s="668"/>
      <c r="C37" s="721"/>
      <c r="D37" s="721"/>
      <c r="E37" s="721"/>
      <c r="F37" s="721"/>
      <c r="G37" s="721"/>
      <c r="H37" s="721"/>
      <c r="I37" s="721"/>
      <c r="J37" s="721"/>
      <c r="K37" s="721"/>
      <c r="L37" s="639"/>
      <c r="N37" s="1124">
        <v>35</v>
      </c>
      <c r="O37" s="668"/>
      <c r="P37" s="721"/>
      <c r="Q37" s="721"/>
      <c r="R37" s="721"/>
      <c r="S37" s="721"/>
      <c r="T37" s="721"/>
      <c r="U37" s="721"/>
      <c r="V37" s="721"/>
      <c r="W37" s="721"/>
      <c r="X37" s="721"/>
      <c r="Y37" s="639"/>
      <c r="AA37" s="1125">
        <v>35</v>
      </c>
      <c r="AB37" s="668">
        <f>IF(ISNUMBER(System!$C38),PlotData!B38+SensA!$E$2* $AF$1*B37,PlotData!$CB$3)</f>
        <v>0</v>
      </c>
      <c r="AC37" s="721">
        <f>IF(ISNUMBER(System!$C38),PlotData!C38+SensA!$E$2* $AF$1*C37,PlotData!$CB$3)</f>
        <v>0</v>
      </c>
      <c r="AD37" s="721">
        <f>IF(ISNUMBER(System!$C38),PlotData!D38+SensA!$E$2* $AF$1*D37,PlotData!$CB$3)</f>
        <v>0</v>
      </c>
      <c r="AE37" s="721">
        <f>IF(ISNUMBER(System!$C38),PlotData!E38+SensA!$E$2* $AF$1*E37,PlotData!$CB$3)</f>
        <v>0</v>
      </c>
      <c r="AF37" s="721">
        <f>IF(ISNUMBER(System!$C38),PlotData!F38+SensA!$E$2* $AF$1*F37,PlotData!$CB$3)</f>
        <v>0</v>
      </c>
      <c r="AG37" s="721">
        <f>IF(ISNUMBER(System!$C38),PlotData!G38+SensA!$E$2* $AF$1*G37,PlotData!$CB$3)</f>
        <v>0</v>
      </c>
      <c r="AH37" s="721">
        <f>IF(ISNUMBER(System!$C38),PlotData!H38+SensA!$E$2* $AF$1*H37,PlotData!$CB$3)</f>
        <v>0</v>
      </c>
      <c r="AI37" s="721">
        <f>IF(ISNUMBER(System!$C38),PlotData!I38+SensA!$E$2* $AF$1*I37,PlotData!$CB$3)</f>
        <v>0</v>
      </c>
      <c r="AJ37" s="721">
        <f>IF(ISNUMBER(System!$C38),PlotData!J38+SensA!$E$2* $AF$1*J37,PlotData!$CB$3)</f>
        <v>0</v>
      </c>
      <c r="AK37" s="721">
        <f>IF(ISNUMBER(System!$C38),PlotData!K38+SensA!$E$2* $AF$1*K37,PlotData!$CB$3)</f>
        <v>0</v>
      </c>
      <c r="AL37" s="639">
        <f>IF(ISNUMBER(System!$C38),PlotData!L38+SensA!$E$2* $AF$1*L37,PlotData!$CB$3)</f>
        <v>0</v>
      </c>
      <c r="AM37" s="1146">
        <f>IF(ISNUMBER(System!$C38),PlotData!L38,PlotData!$CB$3)</f>
        <v>0</v>
      </c>
      <c r="AN37" s="721">
        <f>IF(ISNUMBER(System!$C38),PlotData!B38,PlotData!$CB$3)</f>
        <v>0</v>
      </c>
      <c r="AO37" s="639">
        <f>IF(ISNUMBER(System!$C38),AB37,PlotData!$CB$3)</f>
        <v>0</v>
      </c>
      <c r="AQ37" s="1125">
        <v>35</v>
      </c>
      <c r="AR37" s="668">
        <f>IF(ISNUMBER(System!$C38),PlotData!O38+ SensA!$E$2*$AF$1*O37,PlotData!$CB$4)</f>
        <v>0</v>
      </c>
      <c r="AS37" s="721">
        <f>IF(ISNUMBER(System!$C38),PlotData!P38+ SensA!$E$2*$AF$1*P37,PlotData!$CB$4)</f>
        <v>0</v>
      </c>
      <c r="AT37" s="721">
        <f>IF(ISNUMBER(System!$C38),PlotData!Q38+ SensA!$E$2*$AF$1*Q37,PlotData!$CB$4)</f>
        <v>0</v>
      </c>
      <c r="AU37" s="721">
        <f>IF(ISNUMBER(System!$C38),PlotData!R38+ SensA!$E$2*$AF$1*R37,PlotData!$CB$4)</f>
        <v>0</v>
      </c>
      <c r="AV37" s="721">
        <f>IF(ISNUMBER(System!$C38),PlotData!S38+ SensA!$E$2*$AF$1*S37,PlotData!$CB$4)</f>
        <v>0</v>
      </c>
      <c r="AW37" s="721">
        <f>IF(ISNUMBER(System!$C38),PlotData!T38+ SensA!$E$2*$AF$1*T37,PlotData!$CB$4)</f>
        <v>0</v>
      </c>
      <c r="AX37" s="721">
        <f>IF(ISNUMBER(System!$C38),PlotData!U38+ SensA!$E$2*$AF$1*U37,PlotData!$CB$4)</f>
        <v>0</v>
      </c>
      <c r="AY37" s="721">
        <f>IF(ISNUMBER(System!$C38),PlotData!V38+ SensA!$E$2*$AF$1*V37,PlotData!$CB$4)</f>
        <v>0</v>
      </c>
      <c r="AZ37" s="721">
        <f>IF(ISNUMBER(System!$C38),PlotData!W38+ SensA!$E$2*$AF$1*W37,PlotData!$CB$4)</f>
        <v>0</v>
      </c>
      <c r="BA37" s="721">
        <f>IF(ISNUMBER(System!$C38),PlotData!X38+ SensA!$E$2*$AF$1*X37,PlotData!$CB$4)</f>
        <v>0</v>
      </c>
      <c r="BB37" s="639">
        <f>IF(ISNUMBER(System!$C38),PlotData!Y38+ SensA!$E$2*$AF$1*Y37,PlotData!$CB$4)</f>
        <v>0</v>
      </c>
      <c r="BC37" s="1146">
        <f>IF(ISNUMBER(System!$C38),PlotData!Y38, PlotData!CB$4)</f>
        <v>0</v>
      </c>
      <c r="BD37" s="721">
        <f>IF(ISNUMBER(System!$C38),PlotData!O38, PlotData!$CB$4)</f>
        <v>0</v>
      </c>
      <c r="BE37" s="639">
        <f>IF(ISNUMBER(System!$C38), AR37,PlotData!$CB$4)</f>
        <v>0</v>
      </c>
    </row>
    <row r="38" spans="1:57" x14ac:dyDescent="0.25">
      <c r="A38" s="1124">
        <v>36</v>
      </c>
      <c r="B38" s="668"/>
      <c r="C38" s="721"/>
      <c r="D38" s="721"/>
      <c r="E38" s="721"/>
      <c r="F38" s="721"/>
      <c r="G38" s="721"/>
      <c r="H38" s="721"/>
      <c r="I38" s="721"/>
      <c r="J38" s="721"/>
      <c r="K38" s="721"/>
      <c r="L38" s="639"/>
      <c r="N38" s="1124">
        <v>36</v>
      </c>
      <c r="O38" s="668"/>
      <c r="P38" s="721"/>
      <c r="Q38" s="721"/>
      <c r="R38" s="721"/>
      <c r="S38" s="721"/>
      <c r="T38" s="721"/>
      <c r="U38" s="721"/>
      <c r="V38" s="721"/>
      <c r="W38" s="721"/>
      <c r="X38" s="721"/>
      <c r="Y38" s="639"/>
      <c r="AA38" s="1125">
        <v>36</v>
      </c>
      <c r="AB38" s="668">
        <f>IF(ISNUMBER(System!$C39),PlotData!B39+SensA!$E$2* $AF$1*B38,PlotData!$CB$3)</f>
        <v>0</v>
      </c>
      <c r="AC38" s="721">
        <f>IF(ISNUMBER(System!$C39),PlotData!C39+SensA!$E$2* $AF$1*C38,PlotData!$CB$3)</f>
        <v>0</v>
      </c>
      <c r="AD38" s="721">
        <f>IF(ISNUMBER(System!$C39),PlotData!D39+SensA!$E$2* $AF$1*D38,PlotData!$CB$3)</f>
        <v>0</v>
      </c>
      <c r="AE38" s="721">
        <f>IF(ISNUMBER(System!$C39),PlotData!E39+SensA!$E$2* $AF$1*E38,PlotData!$CB$3)</f>
        <v>0</v>
      </c>
      <c r="AF38" s="721">
        <f>IF(ISNUMBER(System!$C39),PlotData!F39+SensA!$E$2* $AF$1*F38,PlotData!$CB$3)</f>
        <v>0</v>
      </c>
      <c r="AG38" s="721">
        <f>IF(ISNUMBER(System!$C39),PlotData!G39+SensA!$E$2* $AF$1*G38,PlotData!$CB$3)</f>
        <v>0</v>
      </c>
      <c r="AH38" s="721">
        <f>IF(ISNUMBER(System!$C39),PlotData!H39+SensA!$E$2* $AF$1*H38,PlotData!$CB$3)</f>
        <v>0</v>
      </c>
      <c r="AI38" s="721">
        <f>IF(ISNUMBER(System!$C39),PlotData!I39+SensA!$E$2* $AF$1*I38,PlotData!$CB$3)</f>
        <v>0</v>
      </c>
      <c r="AJ38" s="721">
        <f>IF(ISNUMBER(System!$C39),PlotData!J39+SensA!$E$2* $AF$1*J38,PlotData!$CB$3)</f>
        <v>0</v>
      </c>
      <c r="AK38" s="721">
        <f>IF(ISNUMBER(System!$C39),PlotData!K39+SensA!$E$2* $AF$1*K38,PlotData!$CB$3)</f>
        <v>0</v>
      </c>
      <c r="AL38" s="639">
        <f>IF(ISNUMBER(System!$C39),PlotData!L39+SensA!$E$2* $AF$1*L38,PlotData!$CB$3)</f>
        <v>0</v>
      </c>
      <c r="AM38" s="1146">
        <f>IF(ISNUMBER(System!$C39),PlotData!L39,PlotData!$CB$3)</f>
        <v>0</v>
      </c>
      <c r="AN38" s="721">
        <f>IF(ISNUMBER(System!$C39),PlotData!B39,PlotData!$CB$3)</f>
        <v>0</v>
      </c>
      <c r="AO38" s="639">
        <f>IF(ISNUMBER(System!$C39),AB38,PlotData!$CB$3)</f>
        <v>0</v>
      </c>
      <c r="AQ38" s="1125">
        <v>36</v>
      </c>
      <c r="AR38" s="668">
        <f>IF(ISNUMBER(System!$C39),PlotData!O39+ SensA!$E$2*$AF$1*O38,PlotData!$CB$4)</f>
        <v>0</v>
      </c>
      <c r="AS38" s="721">
        <f>IF(ISNUMBER(System!$C39),PlotData!P39+ SensA!$E$2*$AF$1*P38,PlotData!$CB$4)</f>
        <v>0</v>
      </c>
      <c r="AT38" s="721">
        <f>IF(ISNUMBER(System!$C39),PlotData!Q39+ SensA!$E$2*$AF$1*Q38,PlotData!$CB$4)</f>
        <v>0</v>
      </c>
      <c r="AU38" s="721">
        <f>IF(ISNUMBER(System!$C39),PlotData!R39+ SensA!$E$2*$AF$1*R38,PlotData!$CB$4)</f>
        <v>0</v>
      </c>
      <c r="AV38" s="721">
        <f>IF(ISNUMBER(System!$C39),PlotData!S39+ SensA!$E$2*$AF$1*S38,PlotData!$CB$4)</f>
        <v>0</v>
      </c>
      <c r="AW38" s="721">
        <f>IF(ISNUMBER(System!$C39),PlotData!T39+ SensA!$E$2*$AF$1*T38,PlotData!$CB$4)</f>
        <v>0</v>
      </c>
      <c r="AX38" s="721">
        <f>IF(ISNUMBER(System!$C39),PlotData!U39+ SensA!$E$2*$AF$1*U38,PlotData!$CB$4)</f>
        <v>0</v>
      </c>
      <c r="AY38" s="721">
        <f>IF(ISNUMBER(System!$C39),PlotData!V39+ SensA!$E$2*$AF$1*V38,PlotData!$CB$4)</f>
        <v>0</v>
      </c>
      <c r="AZ38" s="721">
        <f>IF(ISNUMBER(System!$C39),PlotData!W39+ SensA!$E$2*$AF$1*W38,PlotData!$CB$4)</f>
        <v>0</v>
      </c>
      <c r="BA38" s="721">
        <f>IF(ISNUMBER(System!$C39),PlotData!X39+ SensA!$E$2*$AF$1*X38,PlotData!$CB$4)</f>
        <v>0</v>
      </c>
      <c r="BB38" s="639">
        <f>IF(ISNUMBER(System!$C39),PlotData!Y39+ SensA!$E$2*$AF$1*Y38,PlotData!$CB$4)</f>
        <v>0</v>
      </c>
      <c r="BC38" s="1146">
        <f>IF(ISNUMBER(System!$C39),PlotData!Y39, PlotData!CB$4)</f>
        <v>0</v>
      </c>
      <c r="BD38" s="721">
        <f>IF(ISNUMBER(System!$C39),PlotData!O39, PlotData!$CB$4)</f>
        <v>0</v>
      </c>
      <c r="BE38" s="639">
        <f>IF(ISNUMBER(System!$C39), AR38,PlotData!$CB$4)</f>
        <v>0</v>
      </c>
    </row>
    <row r="39" spans="1:57" x14ac:dyDescent="0.25">
      <c r="A39" s="1124">
        <v>37</v>
      </c>
      <c r="B39" s="668"/>
      <c r="C39" s="721"/>
      <c r="D39" s="721"/>
      <c r="E39" s="721"/>
      <c r="F39" s="721"/>
      <c r="G39" s="721"/>
      <c r="H39" s="721"/>
      <c r="I39" s="721"/>
      <c r="J39" s="721"/>
      <c r="K39" s="721"/>
      <c r="L39" s="639"/>
      <c r="N39" s="1124">
        <v>37</v>
      </c>
      <c r="O39" s="668"/>
      <c r="P39" s="721"/>
      <c r="Q39" s="721"/>
      <c r="R39" s="721"/>
      <c r="S39" s="721"/>
      <c r="T39" s="721"/>
      <c r="U39" s="721"/>
      <c r="V39" s="721"/>
      <c r="W39" s="721"/>
      <c r="X39" s="721"/>
      <c r="Y39" s="639"/>
      <c r="AA39" s="1125">
        <v>37</v>
      </c>
      <c r="AB39" s="668">
        <f>IF(ISNUMBER(System!$C40),PlotData!B40+SensA!$E$2* $AF$1*B39,PlotData!$CB$3)</f>
        <v>0</v>
      </c>
      <c r="AC39" s="721">
        <f>IF(ISNUMBER(System!$C40),PlotData!C40+SensA!$E$2* $AF$1*C39,PlotData!$CB$3)</f>
        <v>0</v>
      </c>
      <c r="AD39" s="721">
        <f>IF(ISNUMBER(System!$C40),PlotData!D40+SensA!$E$2* $AF$1*D39,PlotData!$CB$3)</f>
        <v>0</v>
      </c>
      <c r="AE39" s="721">
        <f>IF(ISNUMBER(System!$C40),PlotData!E40+SensA!$E$2* $AF$1*E39,PlotData!$CB$3)</f>
        <v>0</v>
      </c>
      <c r="AF39" s="721">
        <f>IF(ISNUMBER(System!$C40),PlotData!F40+SensA!$E$2* $AF$1*F39,PlotData!$CB$3)</f>
        <v>0</v>
      </c>
      <c r="AG39" s="721">
        <f>IF(ISNUMBER(System!$C40),PlotData!G40+SensA!$E$2* $AF$1*G39,PlotData!$CB$3)</f>
        <v>0</v>
      </c>
      <c r="AH39" s="721">
        <f>IF(ISNUMBER(System!$C40),PlotData!H40+SensA!$E$2* $AF$1*H39,PlotData!$CB$3)</f>
        <v>0</v>
      </c>
      <c r="AI39" s="721">
        <f>IF(ISNUMBER(System!$C40),PlotData!I40+SensA!$E$2* $AF$1*I39,PlotData!$CB$3)</f>
        <v>0</v>
      </c>
      <c r="AJ39" s="721">
        <f>IF(ISNUMBER(System!$C40),PlotData!J40+SensA!$E$2* $AF$1*J39,PlotData!$CB$3)</f>
        <v>0</v>
      </c>
      <c r="AK39" s="721">
        <f>IF(ISNUMBER(System!$C40),PlotData!K40+SensA!$E$2* $AF$1*K39,PlotData!$CB$3)</f>
        <v>0</v>
      </c>
      <c r="AL39" s="639">
        <f>IF(ISNUMBER(System!$C40),PlotData!L40+SensA!$E$2* $AF$1*L39,PlotData!$CB$3)</f>
        <v>0</v>
      </c>
      <c r="AM39" s="1146">
        <f>IF(ISNUMBER(System!$C40),PlotData!L40,PlotData!$CB$3)</f>
        <v>0</v>
      </c>
      <c r="AN39" s="721">
        <f>IF(ISNUMBER(System!$C40),PlotData!B40,PlotData!$CB$3)</f>
        <v>0</v>
      </c>
      <c r="AO39" s="639">
        <f>IF(ISNUMBER(System!$C40),AB39,PlotData!$CB$3)</f>
        <v>0</v>
      </c>
      <c r="AQ39" s="1125">
        <v>37</v>
      </c>
      <c r="AR39" s="668">
        <f>IF(ISNUMBER(System!$C40),PlotData!O40+ SensA!$E$2*$AF$1*O39,PlotData!$CB$4)</f>
        <v>0</v>
      </c>
      <c r="AS39" s="721">
        <f>IF(ISNUMBER(System!$C40),PlotData!P40+ SensA!$E$2*$AF$1*P39,PlotData!$CB$4)</f>
        <v>0</v>
      </c>
      <c r="AT39" s="721">
        <f>IF(ISNUMBER(System!$C40),PlotData!Q40+ SensA!$E$2*$AF$1*Q39,PlotData!$CB$4)</f>
        <v>0</v>
      </c>
      <c r="AU39" s="721">
        <f>IF(ISNUMBER(System!$C40),PlotData!R40+ SensA!$E$2*$AF$1*R39,PlotData!$CB$4)</f>
        <v>0</v>
      </c>
      <c r="AV39" s="721">
        <f>IF(ISNUMBER(System!$C40),PlotData!S40+ SensA!$E$2*$AF$1*S39,PlotData!$CB$4)</f>
        <v>0</v>
      </c>
      <c r="AW39" s="721">
        <f>IF(ISNUMBER(System!$C40),PlotData!T40+ SensA!$E$2*$AF$1*T39,PlotData!$CB$4)</f>
        <v>0</v>
      </c>
      <c r="AX39" s="721">
        <f>IF(ISNUMBER(System!$C40),PlotData!U40+ SensA!$E$2*$AF$1*U39,PlotData!$CB$4)</f>
        <v>0</v>
      </c>
      <c r="AY39" s="721">
        <f>IF(ISNUMBER(System!$C40),PlotData!V40+ SensA!$E$2*$AF$1*V39,PlotData!$CB$4)</f>
        <v>0</v>
      </c>
      <c r="AZ39" s="721">
        <f>IF(ISNUMBER(System!$C40),PlotData!W40+ SensA!$E$2*$AF$1*W39,PlotData!$CB$4)</f>
        <v>0</v>
      </c>
      <c r="BA39" s="721">
        <f>IF(ISNUMBER(System!$C40),PlotData!X40+ SensA!$E$2*$AF$1*X39,PlotData!$CB$4)</f>
        <v>0</v>
      </c>
      <c r="BB39" s="639">
        <f>IF(ISNUMBER(System!$C40),PlotData!Y40+ SensA!$E$2*$AF$1*Y39,PlotData!$CB$4)</f>
        <v>0</v>
      </c>
      <c r="BC39" s="1146">
        <f>IF(ISNUMBER(System!$C40),PlotData!Y40, PlotData!CB$4)</f>
        <v>0</v>
      </c>
      <c r="BD39" s="721">
        <f>IF(ISNUMBER(System!$C40),PlotData!O40, PlotData!$CB$4)</f>
        <v>0</v>
      </c>
      <c r="BE39" s="639">
        <f>IF(ISNUMBER(System!$C40), AR39,PlotData!$CB$4)</f>
        <v>0</v>
      </c>
    </row>
    <row r="40" spans="1:57" x14ac:dyDescent="0.25">
      <c r="A40" s="1124">
        <v>38</v>
      </c>
      <c r="B40" s="668"/>
      <c r="C40" s="721"/>
      <c r="D40" s="721"/>
      <c r="E40" s="721"/>
      <c r="F40" s="721"/>
      <c r="G40" s="721"/>
      <c r="H40" s="721"/>
      <c r="I40" s="721"/>
      <c r="J40" s="721"/>
      <c r="K40" s="721"/>
      <c r="L40" s="639"/>
      <c r="N40" s="1124">
        <v>38</v>
      </c>
      <c r="O40" s="668"/>
      <c r="P40" s="721"/>
      <c r="Q40" s="721"/>
      <c r="R40" s="721"/>
      <c r="S40" s="721"/>
      <c r="T40" s="721"/>
      <c r="U40" s="721"/>
      <c r="V40" s="721"/>
      <c r="W40" s="721"/>
      <c r="X40" s="721"/>
      <c r="Y40" s="639"/>
      <c r="AA40" s="1125">
        <v>38</v>
      </c>
      <c r="AB40" s="668">
        <f>IF(ISNUMBER(System!$C41),PlotData!B41+SensA!$E$2* $AF$1*B40,PlotData!$CB$3)</f>
        <v>0</v>
      </c>
      <c r="AC40" s="721">
        <f>IF(ISNUMBER(System!$C41),PlotData!C41+SensA!$E$2* $AF$1*C40,PlotData!$CB$3)</f>
        <v>0</v>
      </c>
      <c r="AD40" s="721">
        <f>IF(ISNUMBER(System!$C41),PlotData!D41+SensA!$E$2* $AF$1*D40,PlotData!$CB$3)</f>
        <v>0</v>
      </c>
      <c r="AE40" s="721">
        <f>IF(ISNUMBER(System!$C41),PlotData!E41+SensA!$E$2* $AF$1*E40,PlotData!$CB$3)</f>
        <v>0</v>
      </c>
      <c r="AF40" s="721">
        <f>IF(ISNUMBER(System!$C41),PlotData!F41+SensA!$E$2* $AF$1*F40,PlotData!$CB$3)</f>
        <v>0</v>
      </c>
      <c r="AG40" s="721">
        <f>IF(ISNUMBER(System!$C41),PlotData!G41+SensA!$E$2* $AF$1*G40,PlotData!$CB$3)</f>
        <v>0</v>
      </c>
      <c r="AH40" s="721">
        <f>IF(ISNUMBER(System!$C41),PlotData!H41+SensA!$E$2* $AF$1*H40,PlotData!$CB$3)</f>
        <v>0</v>
      </c>
      <c r="AI40" s="721">
        <f>IF(ISNUMBER(System!$C41),PlotData!I41+SensA!$E$2* $AF$1*I40,PlotData!$CB$3)</f>
        <v>0</v>
      </c>
      <c r="AJ40" s="721">
        <f>IF(ISNUMBER(System!$C41),PlotData!J41+SensA!$E$2* $AF$1*J40,PlotData!$CB$3)</f>
        <v>0</v>
      </c>
      <c r="AK40" s="721">
        <f>IF(ISNUMBER(System!$C41),PlotData!K41+SensA!$E$2* $AF$1*K40,PlotData!$CB$3)</f>
        <v>0</v>
      </c>
      <c r="AL40" s="639">
        <f>IF(ISNUMBER(System!$C41),PlotData!L41+SensA!$E$2* $AF$1*L40,PlotData!$CB$3)</f>
        <v>0</v>
      </c>
      <c r="AM40" s="1146">
        <f>IF(ISNUMBER(System!$C41),PlotData!L41,PlotData!$CB$3)</f>
        <v>0</v>
      </c>
      <c r="AN40" s="721">
        <f>IF(ISNUMBER(System!$C41),PlotData!B41,PlotData!$CB$3)</f>
        <v>0</v>
      </c>
      <c r="AO40" s="639">
        <f>IF(ISNUMBER(System!$C41),AB40,PlotData!$CB$3)</f>
        <v>0</v>
      </c>
      <c r="AQ40" s="1125">
        <v>38</v>
      </c>
      <c r="AR40" s="668">
        <f>IF(ISNUMBER(System!$C41),PlotData!O41+ SensA!$E$2*$AF$1*O40,PlotData!$CB$4)</f>
        <v>0</v>
      </c>
      <c r="AS40" s="721">
        <f>IF(ISNUMBER(System!$C41),PlotData!P41+ SensA!$E$2*$AF$1*P40,PlotData!$CB$4)</f>
        <v>0</v>
      </c>
      <c r="AT40" s="721">
        <f>IF(ISNUMBER(System!$C41),PlotData!Q41+ SensA!$E$2*$AF$1*Q40,PlotData!$CB$4)</f>
        <v>0</v>
      </c>
      <c r="AU40" s="721">
        <f>IF(ISNUMBER(System!$C41),PlotData!R41+ SensA!$E$2*$AF$1*R40,PlotData!$CB$4)</f>
        <v>0</v>
      </c>
      <c r="AV40" s="721">
        <f>IF(ISNUMBER(System!$C41),PlotData!S41+ SensA!$E$2*$AF$1*S40,PlotData!$CB$4)</f>
        <v>0</v>
      </c>
      <c r="AW40" s="721">
        <f>IF(ISNUMBER(System!$C41),PlotData!T41+ SensA!$E$2*$AF$1*T40,PlotData!$CB$4)</f>
        <v>0</v>
      </c>
      <c r="AX40" s="721">
        <f>IF(ISNUMBER(System!$C41),PlotData!U41+ SensA!$E$2*$AF$1*U40,PlotData!$CB$4)</f>
        <v>0</v>
      </c>
      <c r="AY40" s="721">
        <f>IF(ISNUMBER(System!$C41),PlotData!V41+ SensA!$E$2*$AF$1*V40,PlotData!$CB$4)</f>
        <v>0</v>
      </c>
      <c r="AZ40" s="721">
        <f>IF(ISNUMBER(System!$C41),PlotData!W41+ SensA!$E$2*$AF$1*W40,PlotData!$CB$4)</f>
        <v>0</v>
      </c>
      <c r="BA40" s="721">
        <f>IF(ISNUMBER(System!$C41),PlotData!X41+ SensA!$E$2*$AF$1*X40,PlotData!$CB$4)</f>
        <v>0</v>
      </c>
      <c r="BB40" s="639">
        <f>IF(ISNUMBER(System!$C41),PlotData!Y41+ SensA!$E$2*$AF$1*Y40,PlotData!$CB$4)</f>
        <v>0</v>
      </c>
      <c r="BC40" s="1146">
        <f>IF(ISNUMBER(System!$C41),PlotData!Y41, PlotData!CB$4)</f>
        <v>0</v>
      </c>
      <c r="BD40" s="721">
        <f>IF(ISNUMBER(System!$C41),PlotData!O41, PlotData!$CB$4)</f>
        <v>0</v>
      </c>
      <c r="BE40" s="639">
        <f>IF(ISNUMBER(System!$C41), AR40,PlotData!$CB$4)</f>
        <v>0</v>
      </c>
    </row>
    <row r="41" spans="1:57" x14ac:dyDescent="0.25">
      <c r="A41" s="1124">
        <v>39</v>
      </c>
      <c r="B41" s="668"/>
      <c r="C41" s="721"/>
      <c r="D41" s="721"/>
      <c r="E41" s="721"/>
      <c r="F41" s="721"/>
      <c r="G41" s="721"/>
      <c r="H41" s="721"/>
      <c r="I41" s="721"/>
      <c r="J41" s="721"/>
      <c r="K41" s="721"/>
      <c r="L41" s="639"/>
      <c r="N41" s="1124">
        <v>39</v>
      </c>
      <c r="O41" s="668"/>
      <c r="P41" s="721"/>
      <c r="Q41" s="721"/>
      <c r="R41" s="721"/>
      <c r="S41" s="721"/>
      <c r="T41" s="721"/>
      <c r="U41" s="721"/>
      <c r="V41" s="721"/>
      <c r="W41" s="721"/>
      <c r="X41" s="721"/>
      <c r="Y41" s="639"/>
      <c r="AA41" s="1125">
        <v>39</v>
      </c>
      <c r="AB41" s="668">
        <f>IF(ISNUMBER(System!$C42),PlotData!B42+SensA!$E$2* $AF$1*B41,PlotData!$CB$3)</f>
        <v>0</v>
      </c>
      <c r="AC41" s="721">
        <f>IF(ISNUMBER(System!$C42),PlotData!C42+SensA!$E$2* $AF$1*C41,PlotData!$CB$3)</f>
        <v>0</v>
      </c>
      <c r="AD41" s="721">
        <f>IF(ISNUMBER(System!$C42),PlotData!D42+SensA!$E$2* $AF$1*D41,PlotData!$CB$3)</f>
        <v>0</v>
      </c>
      <c r="AE41" s="721">
        <f>IF(ISNUMBER(System!$C42),PlotData!E42+SensA!$E$2* $AF$1*E41,PlotData!$CB$3)</f>
        <v>0</v>
      </c>
      <c r="AF41" s="721">
        <f>IF(ISNUMBER(System!$C42),PlotData!F42+SensA!$E$2* $AF$1*F41,PlotData!$CB$3)</f>
        <v>0</v>
      </c>
      <c r="AG41" s="721">
        <f>IF(ISNUMBER(System!$C42),PlotData!G42+SensA!$E$2* $AF$1*G41,PlotData!$CB$3)</f>
        <v>0</v>
      </c>
      <c r="AH41" s="721">
        <f>IF(ISNUMBER(System!$C42),PlotData!H42+SensA!$E$2* $AF$1*H41,PlotData!$CB$3)</f>
        <v>0</v>
      </c>
      <c r="AI41" s="721">
        <f>IF(ISNUMBER(System!$C42),PlotData!I42+SensA!$E$2* $AF$1*I41,PlotData!$CB$3)</f>
        <v>0</v>
      </c>
      <c r="AJ41" s="721">
        <f>IF(ISNUMBER(System!$C42),PlotData!J42+SensA!$E$2* $AF$1*J41,PlotData!$CB$3)</f>
        <v>0</v>
      </c>
      <c r="AK41" s="721">
        <f>IF(ISNUMBER(System!$C42),PlotData!K42+SensA!$E$2* $AF$1*K41,PlotData!$CB$3)</f>
        <v>0</v>
      </c>
      <c r="AL41" s="639">
        <f>IF(ISNUMBER(System!$C42),PlotData!L42+SensA!$E$2* $AF$1*L41,PlotData!$CB$3)</f>
        <v>0</v>
      </c>
      <c r="AM41" s="1146">
        <f>IF(ISNUMBER(System!$C42),PlotData!L42,PlotData!$CB$3)</f>
        <v>0</v>
      </c>
      <c r="AN41" s="721">
        <f>IF(ISNUMBER(System!$C42),PlotData!B42,PlotData!$CB$3)</f>
        <v>0</v>
      </c>
      <c r="AO41" s="639">
        <f>IF(ISNUMBER(System!$C42),AB41,PlotData!$CB$3)</f>
        <v>0</v>
      </c>
      <c r="AQ41" s="1125">
        <v>39</v>
      </c>
      <c r="AR41" s="668">
        <f>IF(ISNUMBER(System!$C42),PlotData!O42+ SensA!$E$2*$AF$1*O41,PlotData!$CB$4)</f>
        <v>0</v>
      </c>
      <c r="AS41" s="721">
        <f>IF(ISNUMBER(System!$C42),PlotData!P42+ SensA!$E$2*$AF$1*P41,PlotData!$CB$4)</f>
        <v>0</v>
      </c>
      <c r="AT41" s="721">
        <f>IF(ISNUMBER(System!$C42),PlotData!Q42+ SensA!$E$2*$AF$1*Q41,PlotData!$CB$4)</f>
        <v>0</v>
      </c>
      <c r="AU41" s="721">
        <f>IF(ISNUMBER(System!$C42),PlotData!R42+ SensA!$E$2*$AF$1*R41,PlotData!$CB$4)</f>
        <v>0</v>
      </c>
      <c r="AV41" s="721">
        <f>IF(ISNUMBER(System!$C42),PlotData!S42+ SensA!$E$2*$AF$1*S41,PlotData!$CB$4)</f>
        <v>0</v>
      </c>
      <c r="AW41" s="721">
        <f>IF(ISNUMBER(System!$C42),PlotData!T42+ SensA!$E$2*$AF$1*T41,PlotData!$CB$4)</f>
        <v>0</v>
      </c>
      <c r="AX41" s="721">
        <f>IF(ISNUMBER(System!$C42),PlotData!U42+ SensA!$E$2*$AF$1*U41,PlotData!$CB$4)</f>
        <v>0</v>
      </c>
      <c r="AY41" s="721">
        <f>IF(ISNUMBER(System!$C42),PlotData!V42+ SensA!$E$2*$AF$1*V41,PlotData!$CB$4)</f>
        <v>0</v>
      </c>
      <c r="AZ41" s="721">
        <f>IF(ISNUMBER(System!$C42),PlotData!W42+ SensA!$E$2*$AF$1*W41,PlotData!$CB$4)</f>
        <v>0</v>
      </c>
      <c r="BA41" s="721">
        <f>IF(ISNUMBER(System!$C42),PlotData!X42+ SensA!$E$2*$AF$1*X41,PlotData!$CB$4)</f>
        <v>0</v>
      </c>
      <c r="BB41" s="639">
        <f>IF(ISNUMBER(System!$C42),PlotData!Y42+ SensA!$E$2*$AF$1*Y41,PlotData!$CB$4)</f>
        <v>0</v>
      </c>
      <c r="BC41" s="1146">
        <f>IF(ISNUMBER(System!$C42),PlotData!Y42, PlotData!CB$4)</f>
        <v>0</v>
      </c>
      <c r="BD41" s="721">
        <f>IF(ISNUMBER(System!$C42),PlotData!O42, PlotData!$CB$4)</f>
        <v>0</v>
      </c>
      <c r="BE41" s="639">
        <f>IF(ISNUMBER(System!$C42), AR41,PlotData!$CB$4)</f>
        <v>0</v>
      </c>
    </row>
    <row r="42" spans="1:57" ht="13.8" thickBot="1" x14ac:dyDescent="0.3">
      <c r="A42" s="1138">
        <v>40</v>
      </c>
      <c r="B42" s="669"/>
      <c r="C42" s="1137"/>
      <c r="D42" s="1137"/>
      <c r="E42" s="1137"/>
      <c r="F42" s="1137"/>
      <c r="G42" s="1137"/>
      <c r="H42" s="1137"/>
      <c r="I42" s="1137"/>
      <c r="J42" s="1137"/>
      <c r="K42" s="1137"/>
      <c r="L42" s="646"/>
      <c r="N42" s="1138">
        <v>40</v>
      </c>
      <c r="O42" s="669"/>
      <c r="P42" s="1137"/>
      <c r="Q42" s="1137"/>
      <c r="R42" s="1137"/>
      <c r="S42" s="1137"/>
      <c r="T42" s="1137"/>
      <c r="U42" s="1137"/>
      <c r="V42" s="1137"/>
      <c r="W42" s="1137"/>
      <c r="X42" s="1137"/>
      <c r="Y42" s="646"/>
      <c r="AA42" s="1139">
        <v>40</v>
      </c>
      <c r="AB42" s="669">
        <f>IF(ISNUMBER(System!$C43),PlotData!B43+SensA!$E$2* $AF$1*B42,PlotData!$CB$3)</f>
        <v>0</v>
      </c>
      <c r="AC42" s="1137">
        <f>IF(ISNUMBER(System!$C43),PlotData!C43+SensA!$E$2* $AF$1*C42,PlotData!$CB$3)</f>
        <v>0</v>
      </c>
      <c r="AD42" s="1137">
        <f>IF(ISNUMBER(System!$C43),PlotData!D43+SensA!$E$2* $AF$1*D42,PlotData!$CB$3)</f>
        <v>0</v>
      </c>
      <c r="AE42" s="1137">
        <f>IF(ISNUMBER(System!$C43),PlotData!E43+SensA!$E$2* $AF$1*E42,PlotData!$CB$3)</f>
        <v>0</v>
      </c>
      <c r="AF42" s="1137">
        <f>IF(ISNUMBER(System!$C43),PlotData!F43+SensA!$E$2* $AF$1*F42,PlotData!$CB$3)</f>
        <v>0</v>
      </c>
      <c r="AG42" s="1137">
        <f>IF(ISNUMBER(System!$C43),PlotData!G43+SensA!$E$2* $AF$1*G42,PlotData!$CB$3)</f>
        <v>0</v>
      </c>
      <c r="AH42" s="1137">
        <f>IF(ISNUMBER(System!$C43),PlotData!H43+SensA!$E$2* $AF$1*H42,PlotData!$CB$3)</f>
        <v>0</v>
      </c>
      <c r="AI42" s="1137">
        <f>IF(ISNUMBER(System!$C43),PlotData!I43+SensA!$E$2* $AF$1*I42,PlotData!$CB$3)</f>
        <v>0</v>
      </c>
      <c r="AJ42" s="1137">
        <f>IF(ISNUMBER(System!$C43),PlotData!J43+SensA!$E$2* $AF$1*J42,PlotData!$CB$3)</f>
        <v>0</v>
      </c>
      <c r="AK42" s="1137">
        <f>IF(ISNUMBER(System!$C43),PlotData!K43+SensA!$E$2* $AF$1*K42,PlotData!$CB$3)</f>
        <v>0</v>
      </c>
      <c r="AL42" s="646">
        <f>IF(ISNUMBER(System!$C43),PlotData!L43+SensA!$E$2* $AF$1*L42,PlotData!$CB$3)</f>
        <v>0</v>
      </c>
      <c r="AM42" s="1148">
        <f>IF(ISNUMBER(System!$C43),PlotData!L43,PlotData!$CB$3)</f>
        <v>0</v>
      </c>
      <c r="AN42" s="1137">
        <f>IF(ISNUMBER(System!$C43),PlotData!B43,PlotData!$CB$3)</f>
        <v>0</v>
      </c>
      <c r="AO42" s="646">
        <f>IF(ISNUMBER(System!$C43),AB42,PlotData!$CB$3)</f>
        <v>0</v>
      </c>
      <c r="AQ42" s="1139">
        <v>40</v>
      </c>
      <c r="AR42" s="669">
        <f>IF(ISNUMBER(System!$C43),PlotData!O43+ SensA!$E$2*$AF$1*O42,PlotData!$CB$4)</f>
        <v>0</v>
      </c>
      <c r="AS42" s="1137">
        <f>IF(ISNUMBER(System!$C43),PlotData!P43+ SensA!$E$2*$AF$1*P42,PlotData!$CB$4)</f>
        <v>0</v>
      </c>
      <c r="AT42" s="1137">
        <f>IF(ISNUMBER(System!$C43),PlotData!Q43+ SensA!$E$2*$AF$1*Q42,PlotData!$CB$4)</f>
        <v>0</v>
      </c>
      <c r="AU42" s="1137">
        <f>IF(ISNUMBER(System!$C43),PlotData!R43+ SensA!$E$2*$AF$1*R42,PlotData!$CB$4)</f>
        <v>0</v>
      </c>
      <c r="AV42" s="1137">
        <f>IF(ISNUMBER(System!$C43),PlotData!S43+ SensA!$E$2*$AF$1*S42,PlotData!$CB$4)</f>
        <v>0</v>
      </c>
      <c r="AW42" s="1137">
        <f>IF(ISNUMBER(System!$C43),PlotData!T43+ SensA!$E$2*$AF$1*T42,PlotData!$CB$4)</f>
        <v>0</v>
      </c>
      <c r="AX42" s="1137">
        <f>IF(ISNUMBER(System!$C43),PlotData!U43+ SensA!$E$2*$AF$1*U42,PlotData!$CB$4)</f>
        <v>0</v>
      </c>
      <c r="AY42" s="1137">
        <f>IF(ISNUMBER(System!$C43),PlotData!V43+ SensA!$E$2*$AF$1*V42,PlotData!$CB$4)</f>
        <v>0</v>
      </c>
      <c r="AZ42" s="1137">
        <f>IF(ISNUMBER(System!$C43),PlotData!W43+ SensA!$E$2*$AF$1*W42,PlotData!$CB$4)</f>
        <v>0</v>
      </c>
      <c r="BA42" s="1137">
        <f>IF(ISNUMBER(System!$C43),PlotData!X43+ SensA!$E$2*$AF$1*X42,PlotData!$CB$4)</f>
        <v>0</v>
      </c>
      <c r="BB42" s="646">
        <f>IF(ISNUMBER(System!$C43),PlotData!Y43+ SensA!$E$2*$AF$1*Y42,PlotData!$CB$4)</f>
        <v>0</v>
      </c>
      <c r="BC42" s="1148">
        <f>IF(ISNUMBER(System!$C43),PlotData!Y43, PlotData!CB$4)</f>
        <v>0</v>
      </c>
      <c r="BD42" s="1137">
        <f>IF(ISNUMBER(System!$C43),PlotData!O43, PlotData!$CB$4)</f>
        <v>0</v>
      </c>
      <c r="BE42" s="646">
        <f>IF(ISNUMBER(System!$C43), AR42,PlotData!$CB$4)</f>
        <v>0</v>
      </c>
    </row>
  </sheetData>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2"/>
  <dimension ref="A1:BI134"/>
  <sheetViews>
    <sheetView topLeftCell="Q8" zoomScale="60" zoomScaleNormal="60" workbookViewId="0">
      <selection activeCell="AE12" sqref="AE12"/>
    </sheetView>
  </sheetViews>
  <sheetFormatPr defaultColWidth="11.44140625" defaultRowHeight="13.2" x14ac:dyDescent="0.25"/>
  <cols>
    <col min="1" max="1" width="6.44140625" style="41" customWidth="1"/>
    <col min="2" max="12" width="11.44140625" style="41"/>
    <col min="13" max="13" width="4.44140625" style="41" customWidth="1"/>
    <col min="14" max="14" width="6.44140625" style="41" customWidth="1"/>
    <col min="15" max="15" width="10.44140625" style="41" customWidth="1"/>
    <col min="16" max="17" width="11.44140625" style="41" customWidth="1"/>
    <col min="18" max="25" width="11.44140625" style="41"/>
    <col min="26" max="26" width="3.44140625" style="1141" customWidth="1"/>
    <col min="27" max="27" width="7.44140625" style="41" customWidth="1"/>
    <col min="28" max="38" width="11.44140625" style="41"/>
    <col min="39" max="39" width="12.5546875" style="41" bestFit="1" customWidth="1"/>
    <col min="40" max="41" width="11.44140625" style="41"/>
    <col min="42" max="42" width="3.5546875" style="41" customWidth="1"/>
    <col min="43" max="43" width="8.44140625" style="41" customWidth="1"/>
    <col min="44" max="16384" width="11.44140625" style="41"/>
  </cols>
  <sheetData>
    <row r="1" spans="1:61" ht="18" thickBot="1" x14ac:dyDescent="0.35">
      <c r="B1" s="1154" t="s">
        <v>209</v>
      </c>
      <c r="C1" s="1154"/>
      <c r="D1" s="424" t="s">
        <v>479</v>
      </c>
      <c r="E1" s="424"/>
      <c r="F1" s="424"/>
      <c r="G1" s="424"/>
      <c r="O1" s="41">
        <v>15</v>
      </c>
      <c r="P1" s="424" t="s">
        <v>480</v>
      </c>
      <c r="Q1" s="424"/>
      <c r="R1" s="424"/>
      <c r="S1" s="424"/>
      <c r="AB1" s="41">
        <f>COLUMN(AB5)</f>
        <v>28</v>
      </c>
      <c r="AC1" s="41" t="s">
        <v>463</v>
      </c>
      <c r="AE1" s="670" t="s">
        <v>464</v>
      </c>
      <c r="AF1" s="671">
        <f>Querverschiebung!D6</f>
        <v>5.2578884210238366</v>
      </c>
      <c r="AH1" s="670" t="s">
        <v>178</v>
      </c>
      <c r="AI1" s="671">
        <f>(MAX(AB3:AL42)+MIN(AB3:AL42))/2</f>
        <v>2.1182746313677185</v>
      </c>
      <c r="AJ1" s="670" t="s">
        <v>465</v>
      </c>
      <c r="AK1" s="671">
        <f>(MAX(AB3:AL42)-MIN(AB3:AL42))/2</f>
        <v>102.11827463136768</v>
      </c>
      <c r="AR1" s="1155">
        <f>COLUMN(AR4)</f>
        <v>44</v>
      </c>
      <c r="AS1" s="670" t="s">
        <v>222</v>
      </c>
      <c r="AT1" s="801">
        <f>(MAX(AR3:BB42)+MIN(AR3:BB42))/2</f>
        <v>9.4404900270959047E-3</v>
      </c>
      <c r="AU1" s="670" t="s">
        <v>466</v>
      </c>
      <c r="AV1" s="671">
        <f>(MAX(AR3:BB42)-MIN(AR3:BB42))/2</f>
        <v>102.68856793294262</v>
      </c>
      <c r="AW1" s="41" t="s">
        <v>196</v>
      </c>
      <c r="AX1" s="41">
        <f>SQRT(AK1^2+AV1^2)</f>
        <v>144.82086865436901</v>
      </c>
      <c r="BG1" s="41" t="s">
        <v>209</v>
      </c>
    </row>
    <row r="2" spans="1:61" ht="13.8" thickBot="1" x14ac:dyDescent="0.3">
      <c r="A2" s="1105" t="s">
        <v>16</v>
      </c>
      <c r="B2" s="670">
        <v>0</v>
      </c>
      <c r="C2" s="1107">
        <v>0.1</v>
      </c>
      <c r="D2" s="1107">
        <v>0.2</v>
      </c>
      <c r="E2" s="1107">
        <v>0.3</v>
      </c>
      <c r="F2" s="1107">
        <v>0.4</v>
      </c>
      <c r="G2" s="1107">
        <v>0.5</v>
      </c>
      <c r="H2" s="1107">
        <v>0.6</v>
      </c>
      <c r="I2" s="1107">
        <v>0.7</v>
      </c>
      <c r="J2" s="1107">
        <v>0.8</v>
      </c>
      <c r="K2" s="1107">
        <v>0.9</v>
      </c>
      <c r="L2" s="671">
        <v>1</v>
      </c>
      <c r="N2" s="1105" t="s">
        <v>228</v>
      </c>
      <c r="O2" s="670">
        <v>0</v>
      </c>
      <c r="P2" s="1107">
        <v>0.1</v>
      </c>
      <c r="Q2" s="1107">
        <v>0.2</v>
      </c>
      <c r="R2" s="1107">
        <v>0.3</v>
      </c>
      <c r="S2" s="1107">
        <v>0.4</v>
      </c>
      <c r="T2" s="1107">
        <v>0.5</v>
      </c>
      <c r="U2" s="1107">
        <v>0.6</v>
      </c>
      <c r="V2" s="1107">
        <v>0.7</v>
      </c>
      <c r="W2" s="1107">
        <v>0.8</v>
      </c>
      <c r="X2" s="1107">
        <v>0.9</v>
      </c>
      <c r="Y2" s="671">
        <v>1</v>
      </c>
      <c r="AA2" s="1156" t="s">
        <v>16</v>
      </c>
      <c r="AB2" s="1108">
        <v>0</v>
      </c>
      <c r="AC2" s="1109">
        <v>0.1</v>
      </c>
      <c r="AD2" s="1109">
        <v>0.2</v>
      </c>
      <c r="AE2" s="846">
        <v>0.3</v>
      </c>
      <c r="AF2" s="846">
        <v>0.4</v>
      </c>
      <c r="AG2" s="1109">
        <v>0.5</v>
      </c>
      <c r="AH2" s="846">
        <v>0.6</v>
      </c>
      <c r="AI2" s="846">
        <v>0.7</v>
      </c>
      <c r="AJ2" s="846">
        <v>0.8</v>
      </c>
      <c r="AK2" s="846">
        <v>0.9</v>
      </c>
      <c r="AL2" s="1142">
        <v>1</v>
      </c>
      <c r="AM2" s="1108">
        <v>1</v>
      </c>
      <c r="AN2" s="1109">
        <v>0</v>
      </c>
      <c r="AO2" s="1110">
        <v>0</v>
      </c>
      <c r="AQ2" s="1156" t="s">
        <v>228</v>
      </c>
      <c r="AR2" s="1157">
        <v>0</v>
      </c>
      <c r="AS2" s="846">
        <v>0.1</v>
      </c>
      <c r="AT2" s="1109">
        <v>0.2</v>
      </c>
      <c r="AU2" s="846">
        <v>0.3</v>
      </c>
      <c r="AV2" s="846">
        <v>0.4</v>
      </c>
      <c r="AW2" s="1109">
        <v>0.5</v>
      </c>
      <c r="AX2" s="1109">
        <v>0.6</v>
      </c>
      <c r="AY2" s="1109">
        <v>0.7</v>
      </c>
      <c r="AZ2" s="1109">
        <v>0.8</v>
      </c>
      <c r="BA2" s="1109">
        <v>0.9</v>
      </c>
      <c r="BB2" s="1142">
        <v>1</v>
      </c>
      <c r="BC2" s="1108">
        <v>1</v>
      </c>
      <c r="BD2" s="1109">
        <v>0</v>
      </c>
      <c r="BE2" s="1110">
        <v>0</v>
      </c>
      <c r="BG2" s="745" t="s">
        <v>178</v>
      </c>
      <c r="BH2" s="1117">
        <f>PlotU!$AI$1</f>
        <v>2.1182746313677185</v>
      </c>
      <c r="BI2" s="632"/>
    </row>
    <row r="3" spans="1:61" x14ac:dyDescent="0.25">
      <c r="A3" s="1118">
        <v>1</v>
      </c>
      <c r="B3" s="745">
        <v>0.85431463342070157</v>
      </c>
      <c r="C3" s="1117">
        <v>2.2902608826513089</v>
      </c>
      <c r="D3" s="1117">
        <v>3.2457720647537025</v>
      </c>
      <c r="E3" s="1117">
        <v>3.7742298538532397</v>
      </c>
      <c r="F3" s="1117">
        <v>3.9290159240752756</v>
      </c>
      <c r="G3" s="1117">
        <v>3.7635119495451703</v>
      </c>
      <c r="H3" s="1117">
        <v>3.3310996043882795</v>
      </c>
      <c r="I3" s="1117">
        <v>2.6851605627299593</v>
      </c>
      <c r="J3" s="1117">
        <v>1.8790764986955686</v>
      </c>
      <c r="K3" s="1117">
        <v>0.96622908641046334</v>
      </c>
      <c r="L3" s="632">
        <v>1.0826073727465937E-15</v>
      </c>
      <c r="N3" s="1118">
        <v>1</v>
      </c>
      <c r="O3" s="745">
        <v>-1.43822407811824</v>
      </c>
      <c r="P3" s="1117">
        <v>-3.3229052870699864</v>
      </c>
      <c r="Q3" s="1117">
        <v>-4.5670064065174474</v>
      </c>
      <c r="R3" s="1117">
        <v>-5.2417030019611</v>
      </c>
      <c r="S3" s="1117">
        <v>-5.418170638901417</v>
      </c>
      <c r="T3" s="1117">
        <v>-5.16758488283888</v>
      </c>
      <c r="U3" s="1117">
        <v>-4.5611212992739611</v>
      </c>
      <c r="V3" s="1117">
        <v>-3.6699554537071375</v>
      </c>
      <c r="W3" s="1117">
        <v>-2.5652629116388859</v>
      </c>
      <c r="X3" s="1117">
        <v>-1.3182192385696816</v>
      </c>
      <c r="Y3" s="632">
        <v>-1.476687475432126E-15</v>
      </c>
      <c r="AA3" s="1158">
        <v>1</v>
      </c>
      <c r="AB3" s="745">
        <f>IF(ISNUMBER(System!$C4),PlotData!B4+Querverschiebung!$E$2* $AF$1*B3,PlotData!$CB$3)</f>
        <v>28.983782037947861</v>
      </c>
      <c r="AC3" s="1117">
        <f>IF(ISNUMBER(System!$C4),PlotData!C4+ Querverschiebung!$E$2*$AF$1*C3,PlotData!$CB$3)</f>
        <v>52.083872352032301</v>
      </c>
      <c r="AD3" s="1117">
        <f>IF(ISNUMBER(System!$C4),PlotData!D4+Querverschiebung!$E$2* $AF$1*D3,PlotData!$CB$3)</f>
        <v>70.131814713102244</v>
      </c>
      <c r="AE3" s="1117">
        <f>IF(ISNUMBER(System!$C4),PlotData!E4+ Querverschiebung!$E$2*$AF$1*E3,PlotData!$CB$3)</f>
        <v>83.688958893714869</v>
      </c>
      <c r="AF3" s="1117">
        <f>IF(ISNUMBER(System!$C4),PlotData!F4+ Querverschiebung!$E$2*$AF$1*F3,PlotData!$CB$3)</f>
        <v>93.316654666427326</v>
      </c>
      <c r="AG3" s="1117">
        <f>IF(ISNUMBER(System!$C4),PlotData!G4+Querverschiebung!$E$2* $AF$1*G3,PlotData!$CB$3)</f>
        <v>99.576251803796794</v>
      </c>
      <c r="AH3" s="1117">
        <f>IF(ISNUMBER(System!$C4),PlotData!H4+ Querverschiebung!$E$2*$AF$1*H3,PlotData!$CB$3)</f>
        <v>103.02910007838044</v>
      </c>
      <c r="AI3" s="1117">
        <f>IF(ISNUMBER(System!$C4),PlotData!I4+Querverschiebung!$E$2* $AF$1*I3,PlotData!$CB$3)</f>
        <v>104.23654926273541</v>
      </c>
      <c r="AJ3" s="1117">
        <f>IF(ISNUMBER(System!$C4),PlotData!J4+ Querverschiebung!$E$2*$AF$1*J3,PlotData!$CB$3)</f>
        <v>103.75994912941889</v>
      </c>
      <c r="AK3" s="1117">
        <f>IF(ISNUMBER(System!$C4),PlotData!K4+ Querverschiebung!$E$2*$AF$1*K3,PlotData!$CB$3)</f>
        <v>102.16064945098803</v>
      </c>
      <c r="AL3" s="632">
        <f>IF(ISNUMBER(System!$C4),PlotData!L4+Querverschiebung!$E$2* $AF$1*L3,PlotData!$CB$3)</f>
        <v>100.00000000000001</v>
      </c>
      <c r="AM3" s="745">
        <f>IF(ISNUMBER(System!$C4),PlotData!L4,PlotData!$CB$3)</f>
        <v>100</v>
      </c>
      <c r="AN3" s="1117">
        <f>IF(ISNUMBER(System!$C4),PlotData!B4,PlotData!$CB$3)</f>
        <v>20</v>
      </c>
      <c r="AO3" s="632">
        <f>IF(ISNUMBER(System!$C4),AB3,PlotData!$CB$3)</f>
        <v>28.983782037947861</v>
      </c>
      <c r="AQ3" s="1158">
        <v>1</v>
      </c>
      <c r="AR3" s="745">
        <f>IF(ISNUMBER(System!$C4),PlotData!O4+ Querverschiebung!$E$2*$AF$1*O3,PlotData!$CB$4)</f>
        <v>-55.124043454351153</v>
      </c>
      <c r="AS3" s="1117">
        <f>IF(ISNUMBER(System!$C4),PlotData!P4+ Querverschiebung!$E$2*$AF$1*P3,PlotData!$CB$4)</f>
        <v>-68.942930466088342</v>
      </c>
      <c r="AT3" s="1117">
        <f>IF(ISNUMBER(System!$C4),PlotData!Q4+ Querverschiebung!$E$2*$AF$1*Q3,PlotData!$CB$4)</f>
        <v>-76.025620207139525</v>
      </c>
      <c r="AU3" s="1117">
        <f>IF(ISNUMBER(System!$C4),PlotData!R4+ Querverschiebung!$E$2*$AF$1*R3,PlotData!$CB$4)</f>
        <v>-77.120579040914294</v>
      </c>
      <c r="AV3" s="1117">
        <f>IF(ISNUMBER(System!$C4),PlotData!S4+ Querverschiebung!$E$2*$AF$1*S3,PlotData!$CB$4)</f>
        <v>-72.976273330822167</v>
      </c>
      <c r="AW3" s="1117">
        <f>IF(ISNUMBER(System!$C4),PlotData!T4+ Querverschiebung!$E$2*$AF$1*T3,PlotData!$CB$4)</f>
        <v>-64.341169440272722</v>
      </c>
      <c r="AX3" s="1117">
        <f>IF(ISNUMBER(System!$C4),PlotData!U4+ Querverschiebung!$E$2*$AF$1*U3,PlotData!$CB$4)</f>
        <v>-51.963733732675514</v>
      </c>
      <c r="AY3" s="1117">
        <f>IF(ISNUMBER(System!$C4),PlotData!V4+ Querverschiebung!$E$2*$AF$1*V3,PlotData!$CB$4)</f>
        <v>-36.592432571440078</v>
      </c>
      <c r="AZ3" s="1117">
        <f>IF(ISNUMBER(System!$C4),PlotData!W4+ Querverschiebung!$E$2*$AF$1*W3,PlotData!$CB$4)</f>
        <v>-18.975732319975982</v>
      </c>
      <c r="BA3" s="1117">
        <f>IF(ISNUMBER(System!$C4),PlotData!X4+ Querverschiebung!$E$2*$AF$1*X3,PlotData!$CB$4)</f>
        <v>0.13790065830722575</v>
      </c>
      <c r="BB3" s="632">
        <f>IF(ISNUMBER(System!$C4),PlotData!Y4+ Querverschiebung!$E$2*$AF$1*Y3,PlotData!$CB$4)</f>
        <v>19.999999999999986</v>
      </c>
      <c r="BC3" s="745">
        <f>IF(ISNUMBER(System!$C4),PlotData!Y4, PlotData!CB$4)</f>
        <v>20</v>
      </c>
      <c r="BD3" s="1117">
        <f>IF(ISNUMBER(System!$C4),PlotData!O4, PlotData!$CB$4)</f>
        <v>-40</v>
      </c>
      <c r="BE3" s="632">
        <f>IF(ISNUMBER(System!$C4), AR3,PlotData!$CB$4)</f>
        <v>-55.124043454351153</v>
      </c>
      <c r="BG3" s="668" t="s">
        <v>179</v>
      </c>
      <c r="BH3" s="721">
        <f>PlotU!$AT$1</f>
        <v>9.4404900270959047E-3</v>
      </c>
      <c r="BI3" s="639"/>
    </row>
    <row r="4" spans="1:61" x14ac:dyDescent="0.25">
      <c r="A4" s="1124">
        <v>2</v>
      </c>
      <c r="B4" s="668">
        <v>0.85431463342070157</v>
      </c>
      <c r="C4" s="721">
        <v>2.2779842632261174</v>
      </c>
      <c r="D4" s="721">
        <v>3.2250956530902215</v>
      </c>
      <c r="E4" s="721">
        <v>3.7485997185620494</v>
      </c>
      <c r="F4" s="721">
        <v>3.9014473751906342</v>
      </c>
      <c r="G4" s="721">
        <v>3.7365895385250125</v>
      </c>
      <c r="H4" s="721">
        <v>3.3069771241142178</v>
      </c>
      <c r="I4" s="721">
        <v>2.6655610475072846</v>
      </c>
      <c r="J4" s="721">
        <v>1.8652922242532479</v>
      </c>
      <c r="K4" s="721">
        <v>0.95912156990114195</v>
      </c>
      <c r="L4" s="639">
        <v>1.0746367379217933E-15</v>
      </c>
      <c r="N4" s="1124">
        <v>2</v>
      </c>
      <c r="O4" s="668">
        <v>-1.43822407811824</v>
      </c>
      <c r="P4" s="721">
        <v>-1.2944016703064161</v>
      </c>
      <c r="Q4" s="721">
        <v>-1.1505792624945921</v>
      </c>
      <c r="R4" s="721">
        <v>-1.0067568546827679</v>
      </c>
      <c r="S4" s="721">
        <v>-0.86293444687094401</v>
      </c>
      <c r="T4" s="721">
        <v>-0.71911203905912002</v>
      </c>
      <c r="U4" s="721">
        <v>-0.57528963124729604</v>
      </c>
      <c r="V4" s="721">
        <v>-0.43146722343547206</v>
      </c>
      <c r="W4" s="721">
        <v>-0.28764481562364813</v>
      </c>
      <c r="X4" s="721">
        <v>-0.14382240781182412</v>
      </c>
      <c r="Y4" s="639">
        <v>-1.5967494860971599E-16</v>
      </c>
      <c r="AA4" s="1159">
        <v>2</v>
      </c>
      <c r="AB4" s="668">
        <f>IF(ISNUMBER(System!$C5),PlotData!B5+Querverschiebung!$E$2* $AF$1*B4,PlotData!$CB$3)</f>
        <v>28.983782037947861</v>
      </c>
      <c r="AC4" s="721">
        <f>IF(ISNUMBER(System!$C5),PlotData!C5+ Querverschiebung!$E$2*$AF$1*C4,PlotData!$CB$3)</f>
        <v>43.95477416178224</v>
      </c>
      <c r="AD4" s="721">
        <f>IF(ISNUMBER(System!$C5),PlotData!D5+Querverschiebung!$E$2* $AF$1*D4,PlotData!$CB$3)</f>
        <v>53.914386182154765</v>
      </c>
      <c r="AE4" s="721">
        <f>IF(ISNUMBER(System!$C5),PlotData!E5+ Querverschiebung!$E$2*$AF$1*E4,PlotData!$CB$3)</f>
        <v>59.419438110561224</v>
      </c>
      <c r="AF4" s="721">
        <f>IF(ISNUMBER(System!$C5),PlotData!F5+ Querverschiebung!$E$2*$AF$1*F4,PlotData!$CB$3)</f>
        <v>61.026749958497348</v>
      </c>
      <c r="AG4" s="721">
        <f>IF(ISNUMBER(System!$C5),PlotData!G5+Querverschiebung!$E$2* $AF$1*G4,PlotData!$CB$3)</f>
        <v>59.293141737458932</v>
      </c>
      <c r="AH4" s="721">
        <f>IF(ISNUMBER(System!$C5),PlotData!H5+ Querverschiebung!$E$2*$AF$1*H4,PlotData!$CB$3)</f>
        <v>54.775433458941706</v>
      </c>
      <c r="AI4" s="721">
        <f>IF(ISNUMBER(System!$C5),PlotData!I5+Querverschiebung!$E$2* $AF$1*I4,PlotData!$CB$3)</f>
        <v>48.030445134441436</v>
      </c>
      <c r="AJ4" s="721">
        <f>IF(ISNUMBER(System!$C5),PlotData!J5+ Querverschiebung!$E$2*$AF$1*J4,PlotData!$CB$3)</f>
        <v>39.614996775453903</v>
      </c>
      <c r="AK4" s="721">
        <f>IF(ISNUMBER(System!$C5),PlotData!K5+ Querverschiebung!$E$2*$AF$1*K4,PlotData!$CB$3)</f>
        <v>30.085908393474838</v>
      </c>
      <c r="AL4" s="639">
        <f>IF(ISNUMBER(System!$C5),PlotData!L5+Querverschiebung!$E$2* $AF$1*L4,PlotData!$CB$3)</f>
        <v>20.000000000000011</v>
      </c>
      <c r="AM4" s="668">
        <f>IF(ISNUMBER(System!$C5),PlotData!L5,PlotData!$CB$3)</f>
        <v>20</v>
      </c>
      <c r="AN4" s="721">
        <f>IF(ISNUMBER(System!$C5),PlotData!B5,PlotData!$CB$3)</f>
        <v>20</v>
      </c>
      <c r="AO4" s="639">
        <f>IF(ISNUMBER(System!$C5),AB4,PlotData!$CB$3)</f>
        <v>28.983782037947861</v>
      </c>
      <c r="AQ4" s="1159">
        <v>2</v>
      </c>
      <c r="AR4" s="668">
        <f>IF(ISNUMBER(System!$C5),PlotData!O5+ Querverschiebung!$E$2*$AF$1*O4,PlotData!$CB$4)</f>
        <v>-55.124043454351153</v>
      </c>
      <c r="AS4" s="721">
        <f>IF(ISNUMBER(System!$C5),PlotData!P5+ Querverschiebung!$E$2*$AF$1*P4,PlotData!$CB$4)</f>
        <v>-47.611639108916037</v>
      </c>
      <c r="AT4" s="721">
        <f>IF(ISNUMBER(System!$C5),PlotData!Q5+ Querverschiebung!$E$2*$AF$1*Q4,PlotData!$CB$4)</f>
        <v>-40.099234763480922</v>
      </c>
      <c r="AU4" s="721">
        <f>IF(ISNUMBER(System!$C5),PlotData!R5+ Querverschiebung!$E$2*$AF$1*R4,PlotData!$CB$4)</f>
        <v>-32.586830418045807</v>
      </c>
      <c r="AV4" s="721">
        <f>IF(ISNUMBER(System!$C5),PlotData!S5+ Querverschiebung!$E$2*$AF$1*S4,PlotData!$CB$4)</f>
        <v>-25.074426072610692</v>
      </c>
      <c r="AW4" s="721">
        <f>IF(ISNUMBER(System!$C5),PlotData!T5+ Querverschiebung!$E$2*$AF$1*T4,PlotData!$CB$4)</f>
        <v>-17.562021727175576</v>
      </c>
      <c r="AX4" s="721">
        <f>IF(ISNUMBER(System!$C5),PlotData!U5+ Querverschiebung!$E$2*$AF$1*U4,PlotData!$CB$4)</f>
        <v>-10.049617381740461</v>
      </c>
      <c r="AY4" s="721">
        <f>IF(ISNUMBER(System!$C5),PlotData!V5+ Querverschiebung!$E$2*$AF$1*V4,PlotData!$CB$4)</f>
        <v>-2.5372130363053458</v>
      </c>
      <c r="AZ4" s="721">
        <f>IF(ISNUMBER(System!$C5),PlotData!W5+ Querverschiebung!$E$2*$AF$1*W4,PlotData!$CB$4)</f>
        <v>4.9751913091297677</v>
      </c>
      <c r="BA4" s="721">
        <f>IF(ISNUMBER(System!$C5),PlotData!X5+ Querverschiebung!$E$2*$AF$1*X4,PlotData!$CB$4)</f>
        <v>12.487595654564883</v>
      </c>
      <c r="BB4" s="639">
        <f>IF(ISNUMBER(System!$C5),PlotData!Y5+ Querverschiebung!$E$2*$AF$1*Y4,PlotData!$CB$4)</f>
        <v>20</v>
      </c>
      <c r="BC4" s="668">
        <f>IF(ISNUMBER(System!$C5),PlotData!Y5, PlotData!CB$4)</f>
        <v>20</v>
      </c>
      <c r="BD4" s="721">
        <f>IF(ISNUMBER(System!$C5),PlotData!O5, PlotData!$CB$4)</f>
        <v>-40</v>
      </c>
      <c r="BE4" s="639">
        <f>IF(ISNUMBER(System!$C5), AR4,PlotData!$CB$4)</f>
        <v>-55.124043454351153</v>
      </c>
      <c r="BG4" s="668" t="s">
        <v>196</v>
      </c>
      <c r="BH4" s="721">
        <f>BH5  * PlotU!$AX$1</f>
        <v>144.82086865436901</v>
      </c>
      <c r="BI4" s="639"/>
    </row>
    <row r="5" spans="1:61" x14ac:dyDescent="0.25">
      <c r="A5" s="1124">
        <v>3</v>
      </c>
      <c r="B5" s="668">
        <v>0.85431463342070169</v>
      </c>
      <c r="C5" s="721">
        <v>-0.67335970203887896</v>
      </c>
      <c r="D5" s="721">
        <v>-1.7455889199876662</v>
      </c>
      <c r="E5" s="721">
        <v>-2.4129780334824171</v>
      </c>
      <c r="F5" s="721">
        <v>-2.7261320555798818</v>
      </c>
      <c r="G5" s="721">
        <v>-2.7356559993368212</v>
      </c>
      <c r="H5" s="721">
        <v>-2.4921548778099849</v>
      </c>
      <c r="I5" s="721">
        <v>-2.0462337040561307</v>
      </c>
      <c r="J5" s="721">
        <v>-1.4484974911320119</v>
      </c>
      <c r="K5" s="721">
        <v>-0.74955125209438378</v>
      </c>
      <c r="L5" s="639">
        <v>-8.415328666546436E-16</v>
      </c>
      <c r="N5" s="1124">
        <v>3</v>
      </c>
      <c r="O5" s="668">
        <v>-1.4382240781182403</v>
      </c>
      <c r="P5" s="721">
        <v>-2.2558969183847566</v>
      </c>
      <c r="Q5" s="721">
        <v>-2.7699396803107441</v>
      </c>
      <c r="R5" s="721">
        <v>-3.0140890392673736</v>
      </c>
      <c r="S5" s="721">
        <v>-3.0220816706258127</v>
      </c>
      <c r="T5" s="721">
        <v>-2.8276542497572348</v>
      </c>
      <c r="U5" s="721">
        <v>-2.4645434520328067</v>
      </c>
      <c r="V5" s="721">
        <v>-1.9664859528236998</v>
      </c>
      <c r="W5" s="721">
        <v>-1.367218427501083</v>
      </c>
      <c r="X5" s="721">
        <v>-0.70047755143612689</v>
      </c>
      <c r="Y5" s="639">
        <v>-7.8392884479933598E-16</v>
      </c>
      <c r="AA5" s="1159">
        <v>3</v>
      </c>
      <c r="AB5" s="668">
        <f>IF(ISNUMBER(System!$C6),PlotData!B6+Querverschiebung!$E$2* $AF$1*B5,PlotData!$CB$3)</f>
        <v>28.983782037947861</v>
      </c>
      <c r="AC5" s="721">
        <f>IF(ISNUMBER(System!$C6),PlotData!C6+ Querverschiebung!$E$2*$AF$1*C5,PlotData!$CB$3)</f>
        <v>16.919099638931435</v>
      </c>
      <c r="AD5" s="721">
        <f>IF(ISNUMBER(System!$C6),PlotData!D6+Querverschiebung!$E$2* $AF$1*D5,PlotData!$CB$3)</f>
        <v>9.6437764594586923</v>
      </c>
      <c r="AE5" s="721">
        <f>IF(ISNUMBER(System!$C6),PlotData!E6+ Querverschiebung!$E$2*$AF$1*E5,PlotData!$CB$3)</f>
        <v>6.625661475135864</v>
      </c>
      <c r="AF5" s="721">
        <f>IF(ISNUMBER(System!$C6),PlotData!F6+ Querverschiebung!$E$2*$AF$1*F5,PlotData!$CB$3)</f>
        <v>7.3326036615692587</v>
      </c>
      <c r="AG5" s="721">
        <f>IF(ISNUMBER(System!$C6),PlotData!G6+Querverschiebung!$E$2* $AF$1*G5,PlotData!$CB$3)</f>
        <v>11.232451994365071</v>
      </c>
      <c r="AH5" s="721">
        <f>IF(ISNUMBER(System!$C6),PlotData!H6+ Querverschiebung!$E$2*$AF$1*H5,PlotData!$CB$3)</f>
        <v>17.793055449129611</v>
      </c>
      <c r="AI5" s="721">
        <f>IF(ISNUMBER(System!$C6),PlotData!I6+Querverschiebung!$E$2* $AF$1*I5,PlotData!$CB$3)</f>
        <v>26.482263001469107</v>
      </c>
      <c r="AJ5" s="721">
        <f>IF(ISNUMBER(System!$C6),PlotData!J6+ Querverschiebung!$E$2*$AF$1*J5,PlotData!$CB$3)</f>
        <v>36.767923626989834</v>
      </c>
      <c r="AK5" s="721">
        <f>IF(ISNUMBER(System!$C6),PlotData!K6+ Querverschiebung!$E$2*$AF$1*K5,PlotData!$CB$3)</f>
        <v>48.117886301298043</v>
      </c>
      <c r="AL5" s="639">
        <f>IF(ISNUMBER(System!$C6),PlotData!L6+Querverschiebung!$E$2* $AF$1*L5,PlotData!$CB$3)</f>
        <v>59.999999999999993</v>
      </c>
      <c r="AM5" s="668">
        <f>IF(ISNUMBER(System!$C6),PlotData!L6,PlotData!$CB$3)</f>
        <v>60</v>
      </c>
      <c r="AN5" s="721">
        <f>IF(ISNUMBER(System!$C6),PlotData!B6,PlotData!$CB$3)</f>
        <v>20</v>
      </c>
      <c r="AO5" s="639">
        <f>IF(ISNUMBER(System!$C6),AB5,PlotData!$CB$3)</f>
        <v>28.983782037947861</v>
      </c>
      <c r="AQ5" s="1159">
        <v>3</v>
      </c>
      <c r="AR5" s="668">
        <f>IF(ISNUMBER(System!$C6),PlotData!O6+ Querverschiebung!$E$2*$AF$1*O5,PlotData!$CB$4)</f>
        <v>-55.124043454351153</v>
      </c>
      <c r="AS5" s="721">
        <f>IF(ISNUMBER(System!$C6),PlotData!P6+ Querverschiebung!$E$2*$AF$1*P5,PlotData!$CB$4)</f>
        <v>-69.722508572397132</v>
      </c>
      <c r="AT5" s="721">
        <f>IF(ISNUMBER(System!$C6),PlotData!Q6+ Querverschiebung!$E$2*$AF$1*Q5,PlotData!$CB$4)</f>
        <v>-81.128067544080665</v>
      </c>
      <c r="AU5" s="721">
        <f>IF(ISNUMBER(System!$C6),PlotData!R6+ Querverschiebung!$E$2*$AF$1*R5,PlotData!$CB$4)</f>
        <v>-89.695487718997569</v>
      </c>
      <c r="AV5" s="721">
        <f>IF(ISNUMBER(System!$C6),PlotData!S6+ Querverschiebung!$E$2*$AF$1*S5,PlotData!$CB$4)</f>
        <v>-95.779536446743663</v>
      </c>
      <c r="AW5" s="721">
        <f>IF(ISNUMBER(System!$C6),PlotData!T6+ Querverschiebung!$E$2*$AF$1*T5,PlotData!$CB$4)</f>
        <v>-99.734981076914821</v>
      </c>
      <c r="AX5" s="721">
        <f>IF(ISNUMBER(System!$C6),PlotData!U6+ Querverschiebung!$E$2*$AF$1*U5,PlotData!$CB$4)</f>
        <v>-101.91658895910682</v>
      </c>
      <c r="AY5" s="721">
        <f>IF(ISNUMBER(System!$C6),PlotData!V6+ Querverschiebung!$E$2*$AF$1*V5,PlotData!$CB$4)</f>
        <v>-102.67912744291552</v>
      </c>
      <c r="AZ5" s="721">
        <f>IF(ISNUMBER(System!$C6),PlotData!W6+ Querverschiebung!$E$2*$AF$1*W5,PlotData!$CB$4)</f>
        <v>-102.37736387793673</v>
      </c>
      <c r="BA5" s="721">
        <f>IF(ISNUMBER(System!$C6),PlotData!X6+ Querverschiebung!$E$2*$AF$1*X5,PlotData!$CB$4)</f>
        <v>-101.36606561376628</v>
      </c>
      <c r="BB5" s="639">
        <f>IF(ISNUMBER(System!$C6),PlotData!Y6+ Querverschiebung!$E$2*$AF$1*Y5,PlotData!$CB$4)</f>
        <v>-100.00000000000001</v>
      </c>
      <c r="BC5" s="668">
        <f>IF(ISNUMBER(System!$C6),PlotData!Y6, PlotData!CB$4)</f>
        <v>-100</v>
      </c>
      <c r="BD5" s="721">
        <f>IF(ISNUMBER(System!$C6),PlotData!O6, PlotData!$CB$4)</f>
        <v>-40</v>
      </c>
      <c r="BE5" s="639">
        <f>IF(ISNUMBER(System!$C6), AR5,PlotData!$CB$4)</f>
        <v>-55.124043454351153</v>
      </c>
      <c r="BG5" s="668" t="s">
        <v>269</v>
      </c>
      <c r="BH5" s="721">
        <f>1/Querverschiebung!$G$2</f>
        <v>1</v>
      </c>
      <c r="BI5" s="639"/>
    </row>
    <row r="6" spans="1:61" x14ac:dyDescent="0.25">
      <c r="A6" s="1124">
        <v>4</v>
      </c>
      <c r="B6" s="668">
        <v>0.85431463342070146</v>
      </c>
      <c r="C6" s="721">
        <v>0.10671192654359798</v>
      </c>
      <c r="D6" s="721">
        <v>-0.43178407184875806</v>
      </c>
      <c r="E6" s="721">
        <v>-0.7844074404768947</v>
      </c>
      <c r="F6" s="721">
        <v>-0.97439225806133789</v>
      </c>
      <c r="G6" s="721">
        <v>-1.0249726033226172</v>
      </c>
      <c r="H6" s="721">
        <v>-0.95938255498125835</v>
      </c>
      <c r="I6" s="721">
        <v>-0.80085619175779021</v>
      </c>
      <c r="J6" s="721">
        <v>-0.5726275923727393</v>
      </c>
      <c r="K6" s="721">
        <v>-0.29793083554663358</v>
      </c>
      <c r="L6" s="639">
        <v>-3.350688415615972E-16</v>
      </c>
      <c r="N6" s="1124">
        <v>4</v>
      </c>
      <c r="O6" s="668">
        <v>-1.4382240781182396</v>
      </c>
      <c r="P6" s="721">
        <v>0.25066456460866199</v>
      </c>
      <c r="Q6" s="721">
        <v>1.4516375542044864</v>
      </c>
      <c r="R6" s="721">
        <v>2.2189077410171323</v>
      </c>
      <c r="S6" s="721">
        <v>2.6066879753944932</v>
      </c>
      <c r="T6" s="721">
        <v>2.6691911076844717</v>
      </c>
      <c r="U6" s="721">
        <v>2.4606299882349618</v>
      </c>
      <c r="V6" s="721">
        <v>2.035217467393863</v>
      </c>
      <c r="W6" s="721">
        <v>1.4471663955090712</v>
      </c>
      <c r="X6" s="721">
        <v>0.75068962292848473</v>
      </c>
      <c r="Y6" s="639">
        <v>8.4346429617017893E-16</v>
      </c>
      <c r="AA6" s="1159">
        <v>4</v>
      </c>
      <c r="AB6" s="668">
        <f>IF(ISNUMBER(System!$C7),PlotData!B7+Querverschiebung!$E$2* $AF$1*B6,PlotData!$CB$3)</f>
        <v>28.983782037947861</v>
      </c>
      <c r="AC6" s="721">
        <f>IF(ISNUMBER(System!$C7),PlotData!C7+ Querverschiebung!$E$2*$AF$1*C6,PlotData!$CB$3)</f>
        <v>14.12215880591746</v>
      </c>
      <c r="AD6" s="721">
        <f>IF(ISNUMBER(System!$C7),PlotData!D7+Querverschiebung!$E$2* $AF$1*D6,PlotData!$CB$3)</f>
        <v>1.4594550564877817</v>
      </c>
      <c r="AE6" s="721">
        <f>IF(ISNUMBER(System!$C7),PlotData!E7+ Querverschiebung!$E$2*$AF$1*E6,PlotData!$CB$3)</f>
        <v>-9.2486535972968174</v>
      </c>
      <c r="AF6" s="721">
        <f>IF(ISNUMBER(System!$C7),PlotData!F7+ Querverschiebung!$E$2*$AF$1*F6,PlotData!$CB$3)</f>
        <v>-18.246491542391958</v>
      </c>
      <c r="AG6" s="721">
        <f>IF(ISNUMBER(System!$C7),PlotData!G7+Querverschiebung!$E$2* $AF$1*G6,PlotData!$CB$3)</f>
        <v>-25.778383165753294</v>
      </c>
      <c r="AH6" s="721">
        <f>IF(ISNUMBER(System!$C7),PlotData!H7+ Querverschiebung!$E$2*$AF$1*H6,PlotData!$CB$3)</f>
        <v>-32.088652854336445</v>
      </c>
      <c r="AI6" s="721">
        <f>IF(ISNUMBER(System!$C7),PlotData!I7+Querverschiebung!$E$2* $AF$1*I6,PlotData!$CB$3)</f>
        <v>-37.421624995097062</v>
      </c>
      <c r="AJ6" s="721">
        <f>IF(ISNUMBER(System!$C7),PlotData!J7+ Querverschiebung!$E$2*$AF$1*J6,PlotData!$CB$3)</f>
        <v>-42.021623974990767</v>
      </c>
      <c r="AK6" s="721">
        <f>IF(ISNUMBER(System!$C7),PlotData!K7+ Querverschiebung!$E$2*$AF$1*K6,PlotData!$CB$3)</f>
        <v>-46.1329741809732</v>
      </c>
      <c r="AL6" s="639">
        <f>IF(ISNUMBER(System!$C7),PlotData!L7+Querverschiebung!$E$2* $AF$1*L6,PlotData!$CB$3)</f>
        <v>-50</v>
      </c>
      <c r="AM6" s="668">
        <f>IF(ISNUMBER(System!$C7),PlotData!L7,PlotData!$CB$3)</f>
        <v>-50</v>
      </c>
      <c r="AN6" s="721">
        <f>IF(ISNUMBER(System!$C7),PlotData!B7,PlotData!$CB$3)</f>
        <v>20</v>
      </c>
      <c r="AO6" s="639">
        <f>IF(ISNUMBER(System!$C7),AB6,PlotData!$CB$3)</f>
        <v>28.983782037947861</v>
      </c>
      <c r="AQ6" s="1159">
        <v>4</v>
      </c>
      <c r="AR6" s="668">
        <f>IF(ISNUMBER(System!$C7),PlotData!O7+ Querverschiebung!$E$2*$AF$1*O6,PlotData!$CB$4)</f>
        <v>-55.124043454351145</v>
      </c>
      <c r="AS6" s="721">
        <f>IF(ISNUMBER(System!$C7),PlotData!P7+ Querverschiebung!$E$2*$AF$1*P6,PlotData!$CB$4)</f>
        <v>-40.364067376366272</v>
      </c>
      <c r="AT6" s="721">
        <f>IF(ISNUMBER(System!$C7),PlotData!Q7+ Querverschiebung!$E$2*$AF$1*Q6,PlotData!$CB$4)</f>
        <v>-30.73490342444974</v>
      </c>
      <c r="AU6" s="721">
        <f>IF(ISNUMBER(System!$C7),PlotData!R7+ Querverschiebung!$E$2*$AF$1*R6,PlotData!$CB$4)</f>
        <v>-25.666461362371724</v>
      </c>
      <c r="AV6" s="721">
        <f>IF(ISNUMBER(System!$C7),PlotData!S7+ Querverschiebung!$E$2*$AF$1*S6,PlotData!$CB$4)</f>
        <v>-24.588650953902455</v>
      </c>
      <c r="AW6" s="721">
        <f>IF(ISNUMBER(System!$C7),PlotData!T7+ Querverschiebung!$E$2*$AF$1*T6,PlotData!$CB$4)</f>
        <v>-26.931381962812058</v>
      </c>
      <c r="AX6" s="721">
        <f>IF(ISNUMBER(System!$C7),PlotData!U7+ Querverschiebung!$E$2*$AF$1*U6,PlotData!$CB$4)</f>
        <v>-32.124564152870747</v>
      </c>
      <c r="AY6" s="721">
        <f>IF(ISNUMBER(System!$C7),PlotData!V7+ Querverschiebung!$E$2*$AF$1*V6,PlotData!$CB$4)</f>
        <v>-39.598107287848698</v>
      </c>
      <c r="AZ6" s="721">
        <f>IF(ISNUMBER(System!$C7),PlotData!W7+ Querverschiebung!$E$2*$AF$1*W6,PlotData!$CB$4)</f>
        <v>-48.781921131516107</v>
      </c>
      <c r="BA6" s="721">
        <f>IF(ISNUMBER(System!$C7),PlotData!X7+ Querverschiebung!$E$2*$AF$1*X6,PlotData!$CB$4)</f>
        <v>-59.105915447643142</v>
      </c>
      <c r="BB6" s="639">
        <f>IF(ISNUMBER(System!$C7),PlotData!Y7+ Querverschiebung!$E$2*$AF$1*Y6,PlotData!$CB$4)</f>
        <v>-69.999999999999986</v>
      </c>
      <c r="BC6" s="668">
        <f>IF(ISNUMBER(System!$C7),PlotData!Y7, PlotData!CB$4)</f>
        <v>-70</v>
      </c>
      <c r="BD6" s="721">
        <f>IF(ISNUMBER(System!$C7),PlotData!O7, PlotData!$CB$4)</f>
        <v>-40</v>
      </c>
      <c r="BE6" s="639">
        <f>IF(ISNUMBER(System!$C7), AR6,PlotData!$CB$4)</f>
        <v>-55.124043454351145</v>
      </c>
      <c r="BG6" s="668" t="s">
        <v>471</v>
      </c>
      <c r="BH6" s="721">
        <f>BH2-BH4</f>
        <v>-142.7025940230013</v>
      </c>
      <c r="BI6" s="639">
        <f>BH3+BH4</f>
        <v>144.8303091443961</v>
      </c>
    </row>
    <row r="7" spans="1:61" x14ac:dyDescent="0.25">
      <c r="A7" s="1124">
        <v>5</v>
      </c>
      <c r="B7" s="668">
        <v>0.85431463342070146</v>
      </c>
      <c r="C7" s="721">
        <v>4.101030208159572</v>
      </c>
      <c r="D7" s="721">
        <v>6.2954888235044617</v>
      </c>
      <c r="E7" s="721">
        <v>7.554607919388034</v>
      </c>
      <c r="F7" s="721">
        <v>7.9953049357429524</v>
      </c>
      <c r="G7" s="721">
        <v>7.7344973125018868</v>
      </c>
      <c r="H7" s="721">
        <v>6.889102489597497</v>
      </c>
      <c r="I7" s="721">
        <v>5.5760379069624495</v>
      </c>
      <c r="J7" s="721">
        <v>3.9122210045294086</v>
      </c>
      <c r="K7" s="721">
        <v>2.0145692222310374</v>
      </c>
      <c r="L7" s="639">
        <v>2.2582552075210017E-15</v>
      </c>
      <c r="N7" s="1124">
        <v>5</v>
      </c>
      <c r="O7" s="668">
        <v>-1.4382240781182398</v>
      </c>
      <c r="P7" s="721">
        <v>1.5617243623343906</v>
      </c>
      <c r="Q7" s="721">
        <v>3.659738266163608</v>
      </c>
      <c r="R7" s="721">
        <v>4.9560325818831261</v>
      </c>
      <c r="S7" s="721">
        <v>5.5508222580066553</v>
      </c>
      <c r="T7" s="721">
        <v>5.5443222430479109</v>
      </c>
      <c r="U7" s="721">
        <v>5.0367474855206043</v>
      </c>
      <c r="V7" s="721">
        <v>4.1283129339384468</v>
      </c>
      <c r="W7" s="721">
        <v>2.9192335368151534</v>
      </c>
      <c r="X7" s="721">
        <v>1.5097242426644335</v>
      </c>
      <c r="Y7" s="639">
        <v>1.6946741055827545E-15</v>
      </c>
      <c r="AA7" s="1159">
        <v>5</v>
      </c>
      <c r="AB7" s="668">
        <f>IF(ISNUMBER(System!$C8),PlotData!B8+Querverschiebung!$E$2* $AF$1*B7,PlotData!$CB$3)</f>
        <v>28.983782037947861</v>
      </c>
      <c r="AC7" s="721">
        <f>IF(ISNUMBER(System!$C8),PlotData!C8+ Querverschiebung!$E$2*$AF$1*C7,PlotData!$CB$3)</f>
        <v>51.125518491502376</v>
      </c>
      <c r="AD7" s="721">
        <f>IF(ISNUMBER(System!$C8),PlotData!D8+Querverschiebung!$E$2* $AF$1*D7,PlotData!$CB$3)</f>
        <v>62.201955579578168</v>
      </c>
      <c r="AE7" s="721">
        <f>IF(ISNUMBER(System!$C8),PlotData!E8+ Querverschiebung!$E$2*$AF$1*E7,PlotData!$CB$3)</f>
        <v>63.442571009450646</v>
      </c>
      <c r="AF7" s="721">
        <f>IF(ISNUMBER(System!$C8),PlotData!F8+ Querverschiebung!$E$2*$AF$1*F7,PlotData!$CB$3)</f>
        <v>56.076842488395201</v>
      </c>
      <c r="AG7" s="721">
        <f>IF(ISNUMBER(System!$C8),PlotData!G8+Querverschiebung!$E$2* $AF$1*G7,PlotData!$CB$3)</f>
        <v>41.334247723687312</v>
      </c>
      <c r="AH7" s="721">
        <f>IF(ISNUMBER(System!$C8),PlotData!H8+ Querverschiebung!$E$2*$AF$1*H7,PlotData!$CB$3)</f>
        <v>20.44426442260233</v>
      </c>
      <c r="AI7" s="721">
        <f>IF(ISNUMBER(System!$C8),PlotData!I8+Querverschiebung!$E$2* $AF$1*I7,PlotData!$CB$3)</f>
        <v>-5.3636297075842947</v>
      </c>
      <c r="AJ7" s="721">
        <f>IF(ISNUMBER(System!$C8),PlotData!J8+ Querverschiebung!$E$2*$AF$1*J7,PlotData!$CB$3)</f>
        <v>-34.859956959597163</v>
      </c>
      <c r="AK7" s="721">
        <f>IF(ISNUMBER(System!$C8),PlotData!K8+ Querverschiebung!$E$2*$AF$1*K7,PlotData!$CB$3)</f>
        <v>-66.81523962616086</v>
      </c>
      <c r="AL7" s="639">
        <f>IF(ISNUMBER(System!$C8),PlotData!L8+Querverschiebung!$E$2* $AF$1*L7,PlotData!$CB$3)</f>
        <v>-99.999999999999972</v>
      </c>
      <c r="AM7" s="668">
        <f>IF(ISNUMBER(System!$C8),PlotData!L8,PlotData!$CB$3)</f>
        <v>-100</v>
      </c>
      <c r="AN7" s="721">
        <f>IF(ISNUMBER(System!$C8),PlotData!B8,PlotData!$CB$3)</f>
        <v>20</v>
      </c>
      <c r="AO7" s="639">
        <f>IF(ISNUMBER(System!$C8),AB7,PlotData!$CB$3)</f>
        <v>28.983782037947861</v>
      </c>
      <c r="AQ7" s="1159">
        <v>5</v>
      </c>
      <c r="AR7" s="668">
        <f>IF(ISNUMBER(System!$C8),PlotData!O8+ Querverschiebung!$E$2*$AF$1*O7,PlotData!$CB$4)</f>
        <v>-55.124043454351153</v>
      </c>
      <c r="AS7" s="721">
        <f>IF(ISNUMBER(System!$C8),PlotData!P8+ Querverschiebung!$E$2*$AF$1*P7,PlotData!$CB$4)</f>
        <v>-9.5772551169023465</v>
      </c>
      <c r="AT7" s="721">
        <f>IF(ISNUMBER(System!$C8),PlotData!Q8+ Querverschiebung!$E$2*$AF$1*Q7,PlotData!$CB$4)</f>
        <v>26.48499090727897</v>
      </c>
      <c r="AU7" s="721">
        <f>IF(ISNUMBER(System!$C8),PlotData!R8+ Querverschiebung!$E$2*$AF$1*R7,PlotData!$CB$4)</f>
        <v>54.116532653000313</v>
      </c>
      <c r="AV7" s="721">
        <f>IF(ISNUMBER(System!$C8),PlotData!S8+ Querverschiebung!$E$2*$AF$1*S7,PlotData!$CB$4)</f>
        <v>74.371208155069155</v>
      </c>
      <c r="AW7" s="721">
        <f>IF(ISNUMBER(System!$C8),PlotData!T8+ Querverschiebung!$E$2*$AF$1*T7,PlotData!$CB$4)</f>
        <v>88.30285544829303</v>
      </c>
      <c r="AX7" s="721">
        <f>IF(ISNUMBER(System!$C8),PlotData!U8+ Querverschiebung!$E$2*$AF$1*U7,PlotData!$CB$4)</f>
        <v>96.965312567479415</v>
      </c>
      <c r="AY7" s="721">
        <f>IF(ISNUMBER(System!$C8),PlotData!V8+ Querverschiebung!$E$2*$AF$1*V7,PlotData!$CB$4)</f>
        <v>101.41241754743581</v>
      </c>
      <c r="AZ7" s="721">
        <f>IF(ISNUMBER(System!$C8),PlotData!W8+ Querverschiebung!$E$2*$AF$1*W7,PlotData!$CB$4)</f>
        <v>102.69800842296971</v>
      </c>
      <c r="BA7" s="721">
        <f>IF(ISNUMBER(System!$C8),PlotData!X8+ Querverschiebung!$E$2*$AF$1*X7,PlotData!$CB$4)</f>
        <v>101.87592322888861</v>
      </c>
      <c r="BB7" s="639">
        <f>IF(ISNUMBER(System!$C8),PlotData!Y8+ Querverschiebung!$E$2*$AF$1*Y7,PlotData!$CB$4)</f>
        <v>100.00000000000001</v>
      </c>
      <c r="BC7" s="668">
        <f>IF(ISNUMBER(System!$C8),PlotData!Y8, PlotData!CB$4)</f>
        <v>100</v>
      </c>
      <c r="BD7" s="721">
        <f>IF(ISNUMBER(System!$C8),PlotData!O8, PlotData!$CB$4)</f>
        <v>-40</v>
      </c>
      <c r="BE7" s="639">
        <f>IF(ISNUMBER(System!$C8), AR7,PlotData!$CB$4)</f>
        <v>-55.124043454351153</v>
      </c>
      <c r="BG7" s="668" t="s">
        <v>472</v>
      </c>
      <c r="BH7" s="721">
        <f>BH2+BH4</f>
        <v>146.93914328573672</v>
      </c>
      <c r="BI7" s="639">
        <f>BH3+BH4</f>
        <v>144.8303091443961</v>
      </c>
    </row>
    <row r="8" spans="1:61" x14ac:dyDescent="0.25">
      <c r="A8" s="1124">
        <v>6</v>
      </c>
      <c r="B8" s="668"/>
      <c r="C8" s="721"/>
      <c r="D8" s="721"/>
      <c r="E8" s="721"/>
      <c r="F8" s="721"/>
      <c r="G8" s="721"/>
      <c r="H8" s="721"/>
      <c r="I8" s="721"/>
      <c r="J8" s="721"/>
      <c r="K8" s="721"/>
      <c r="L8" s="639"/>
      <c r="N8" s="1124">
        <v>6</v>
      </c>
      <c r="O8" s="668"/>
      <c r="P8" s="721"/>
      <c r="Q8" s="721"/>
      <c r="R8" s="721"/>
      <c r="S8" s="721"/>
      <c r="T8" s="721"/>
      <c r="U8" s="721"/>
      <c r="V8" s="721"/>
      <c r="W8" s="721"/>
      <c r="X8" s="721"/>
      <c r="Y8" s="639"/>
      <c r="AA8" s="1159">
        <v>6</v>
      </c>
      <c r="AB8" s="668">
        <f>IF(ISNUMBER(System!$C9),PlotData!B9+Querverschiebung!$E$2* $AF$1*B8,PlotData!$CB$3)</f>
        <v>0</v>
      </c>
      <c r="AC8" s="721">
        <f>IF(ISNUMBER(System!$C9),PlotData!C9+ Querverschiebung!$E$2*$AF$1*C8,PlotData!$CB$3)</f>
        <v>0</v>
      </c>
      <c r="AD8" s="721">
        <f>IF(ISNUMBER(System!$C9),PlotData!D9+Querverschiebung!$E$2* $AF$1*D8,PlotData!$CB$3)</f>
        <v>0</v>
      </c>
      <c r="AE8" s="721">
        <f>IF(ISNUMBER(System!$C9),PlotData!E9+ Querverschiebung!$E$2*$AF$1*E8,PlotData!$CB$3)</f>
        <v>0</v>
      </c>
      <c r="AF8" s="721">
        <f>IF(ISNUMBER(System!$C9),PlotData!F9+ Querverschiebung!$E$2*$AF$1*F8,PlotData!$CB$3)</f>
        <v>0</v>
      </c>
      <c r="AG8" s="721">
        <f>IF(ISNUMBER(System!$C9),PlotData!G9+Querverschiebung!$E$2* $AF$1*G8,PlotData!$CB$3)</f>
        <v>0</v>
      </c>
      <c r="AH8" s="721">
        <f>IF(ISNUMBER(System!$C9),PlotData!H9+ Querverschiebung!$E$2*$AF$1*H8,PlotData!$CB$3)</f>
        <v>0</v>
      </c>
      <c r="AI8" s="721">
        <f>IF(ISNUMBER(System!$C9),PlotData!I9+Querverschiebung!$E$2* $AF$1*I8,PlotData!$CB$3)</f>
        <v>0</v>
      </c>
      <c r="AJ8" s="721">
        <f>IF(ISNUMBER(System!$C9),PlotData!J9+ Querverschiebung!$E$2*$AF$1*J8,PlotData!$CB$3)</f>
        <v>0</v>
      </c>
      <c r="AK8" s="721">
        <f>IF(ISNUMBER(System!$C9),PlotData!K9+ Querverschiebung!$E$2*$AF$1*K8,PlotData!$CB$3)</f>
        <v>0</v>
      </c>
      <c r="AL8" s="639">
        <f>IF(ISNUMBER(System!$C9),PlotData!L9+Querverschiebung!$E$2* $AF$1*L8,PlotData!$CB$3)</f>
        <v>0</v>
      </c>
      <c r="AM8" s="668">
        <f>IF(ISNUMBER(System!$C9),PlotData!L9,PlotData!$CB$3)</f>
        <v>0</v>
      </c>
      <c r="AN8" s="721">
        <f>IF(ISNUMBER(System!$C9),PlotData!B9,PlotData!$CB$3)</f>
        <v>0</v>
      </c>
      <c r="AO8" s="639">
        <f>IF(ISNUMBER(System!$C9),AB8,PlotData!$CB$3)</f>
        <v>0</v>
      </c>
      <c r="AQ8" s="1159">
        <v>6</v>
      </c>
      <c r="AR8" s="668">
        <f>IF(ISNUMBER(System!$C9),PlotData!O9+ Querverschiebung!$E$2*$AF$1*O8,PlotData!$CB$4)</f>
        <v>0</v>
      </c>
      <c r="AS8" s="721">
        <f>IF(ISNUMBER(System!$C9),PlotData!P9+ Querverschiebung!$E$2*$AF$1*P8,PlotData!$CB$4)</f>
        <v>0</v>
      </c>
      <c r="AT8" s="721">
        <f>IF(ISNUMBER(System!$C9),PlotData!Q9+ Querverschiebung!$E$2*$AF$1*Q8,PlotData!$CB$4)</f>
        <v>0</v>
      </c>
      <c r="AU8" s="721">
        <f>IF(ISNUMBER(System!$C9),PlotData!R9+ Querverschiebung!$E$2*$AF$1*R8,PlotData!$CB$4)</f>
        <v>0</v>
      </c>
      <c r="AV8" s="721">
        <f>IF(ISNUMBER(System!$C9),PlotData!S9+ Querverschiebung!$E$2*$AF$1*S8,PlotData!$CB$4)</f>
        <v>0</v>
      </c>
      <c r="AW8" s="721">
        <f>IF(ISNUMBER(System!$C9),PlotData!T9+ Querverschiebung!$E$2*$AF$1*T8,PlotData!$CB$4)</f>
        <v>0</v>
      </c>
      <c r="AX8" s="721">
        <f>IF(ISNUMBER(System!$C9),PlotData!U9+ Querverschiebung!$E$2*$AF$1*U8,PlotData!$CB$4)</f>
        <v>0</v>
      </c>
      <c r="AY8" s="721">
        <f>IF(ISNUMBER(System!$C9),PlotData!V9+ Querverschiebung!$E$2*$AF$1*V8,PlotData!$CB$4)</f>
        <v>0</v>
      </c>
      <c r="AZ8" s="721">
        <f>IF(ISNUMBER(System!$C9),PlotData!W9+ Querverschiebung!$E$2*$AF$1*W8,PlotData!$CB$4)</f>
        <v>0</v>
      </c>
      <c r="BA8" s="721">
        <f>IF(ISNUMBER(System!$C9),PlotData!X9+ Querverschiebung!$E$2*$AF$1*X8,PlotData!$CB$4)</f>
        <v>0</v>
      </c>
      <c r="BB8" s="639">
        <f>IF(ISNUMBER(System!$C9),PlotData!Y9+ Querverschiebung!$E$2*$AF$1*Y8,PlotData!$CB$4)</f>
        <v>0</v>
      </c>
      <c r="BC8" s="668">
        <f>IF(ISNUMBER(System!$C9),PlotData!Y9, PlotData!CB$4)</f>
        <v>0</v>
      </c>
      <c r="BD8" s="721">
        <f>IF(ISNUMBER(System!$C9),PlotData!O9, PlotData!$CB$4)</f>
        <v>0</v>
      </c>
      <c r="BE8" s="639">
        <f>IF(ISNUMBER(System!$C9), AR8,PlotData!$CB$4)</f>
        <v>0</v>
      </c>
      <c r="BG8" s="668" t="s">
        <v>473</v>
      </c>
      <c r="BH8" s="721">
        <f>BH7</f>
        <v>146.93914328573672</v>
      </c>
      <c r="BI8" s="639">
        <f>BH3-BH4</f>
        <v>-144.81142816434192</v>
      </c>
    </row>
    <row r="9" spans="1:61" ht="13.8" thickBot="1" x14ac:dyDescent="0.3">
      <c r="A9" s="1124">
        <v>7</v>
      </c>
      <c r="B9" s="668"/>
      <c r="C9" s="721"/>
      <c r="D9" s="721"/>
      <c r="E9" s="721"/>
      <c r="F9" s="721"/>
      <c r="G9" s="721"/>
      <c r="H9" s="721"/>
      <c r="I9" s="721"/>
      <c r="J9" s="721"/>
      <c r="K9" s="721"/>
      <c r="L9" s="639"/>
      <c r="N9" s="1124">
        <v>7</v>
      </c>
      <c r="O9" s="668"/>
      <c r="P9" s="721"/>
      <c r="Q9" s="721"/>
      <c r="R9" s="721"/>
      <c r="S9" s="721"/>
      <c r="T9" s="721"/>
      <c r="U9" s="721"/>
      <c r="V9" s="721"/>
      <c r="W9" s="721"/>
      <c r="X9" s="721"/>
      <c r="Y9" s="639"/>
      <c r="AA9" s="1159">
        <v>7</v>
      </c>
      <c r="AB9" s="668">
        <f>IF(ISNUMBER(System!$C10),PlotData!B10+Querverschiebung!$E$2* $AF$1*B9,PlotData!$CB$3)</f>
        <v>0</v>
      </c>
      <c r="AC9" s="721">
        <f>IF(ISNUMBER(System!$C10),PlotData!C10+ Querverschiebung!$E$2*$AF$1*C9,PlotData!$CB$3)</f>
        <v>0</v>
      </c>
      <c r="AD9" s="721">
        <f>IF(ISNUMBER(System!$C10),PlotData!D10+Querverschiebung!$E$2* $AF$1*D9,PlotData!$CB$3)</f>
        <v>0</v>
      </c>
      <c r="AE9" s="721">
        <f>IF(ISNUMBER(System!$C10),PlotData!E10+ Querverschiebung!$E$2*$AF$1*E9,PlotData!$CB$3)</f>
        <v>0</v>
      </c>
      <c r="AF9" s="721">
        <f>IF(ISNUMBER(System!$C10),PlotData!F10+ Querverschiebung!$E$2*$AF$1*F9,PlotData!$CB$3)</f>
        <v>0</v>
      </c>
      <c r="AG9" s="721">
        <f>IF(ISNUMBER(System!$C10),PlotData!G10+Querverschiebung!$E$2* $AF$1*G9,PlotData!$CB$3)</f>
        <v>0</v>
      </c>
      <c r="AH9" s="721">
        <f>IF(ISNUMBER(System!$C10),PlotData!H10+ Querverschiebung!$E$2*$AF$1*H9,PlotData!$CB$3)</f>
        <v>0</v>
      </c>
      <c r="AI9" s="721">
        <f>IF(ISNUMBER(System!$C10),PlotData!I10+Querverschiebung!$E$2* $AF$1*I9,PlotData!$CB$3)</f>
        <v>0</v>
      </c>
      <c r="AJ9" s="721">
        <f>IF(ISNUMBER(System!$C10),PlotData!J10+ Querverschiebung!$E$2*$AF$1*J9,PlotData!$CB$3)</f>
        <v>0</v>
      </c>
      <c r="AK9" s="721">
        <f>IF(ISNUMBER(System!$C10),PlotData!K10+ Querverschiebung!$E$2*$AF$1*K9,PlotData!$CB$3)</f>
        <v>0</v>
      </c>
      <c r="AL9" s="639">
        <f>IF(ISNUMBER(System!$C10),PlotData!L10+Querverschiebung!$E$2* $AF$1*L9,PlotData!$CB$3)</f>
        <v>0</v>
      </c>
      <c r="AM9" s="668">
        <f>IF(ISNUMBER(System!$C10),PlotData!L10,PlotData!$CB$3)</f>
        <v>0</v>
      </c>
      <c r="AN9" s="721">
        <f>IF(ISNUMBER(System!$C10),PlotData!B10,PlotData!$CB$3)</f>
        <v>0</v>
      </c>
      <c r="AO9" s="639">
        <f>IF(ISNUMBER(System!$C10),AB9,PlotData!$CB$3)</f>
        <v>0</v>
      </c>
      <c r="AQ9" s="1159">
        <v>7</v>
      </c>
      <c r="AR9" s="668">
        <f>IF(ISNUMBER(System!$C10),PlotData!O10+ Querverschiebung!$E$2*$AF$1*O9,PlotData!$CB$4)</f>
        <v>0</v>
      </c>
      <c r="AS9" s="721">
        <f>IF(ISNUMBER(System!$C10),PlotData!P10+ Querverschiebung!$E$2*$AF$1*P9,PlotData!$CB$4)</f>
        <v>0</v>
      </c>
      <c r="AT9" s="721">
        <f>IF(ISNUMBER(System!$C10),PlotData!Q10+ Querverschiebung!$E$2*$AF$1*Q9,PlotData!$CB$4)</f>
        <v>0</v>
      </c>
      <c r="AU9" s="721">
        <f>IF(ISNUMBER(System!$C10),PlotData!R10+ Querverschiebung!$E$2*$AF$1*R9,PlotData!$CB$4)</f>
        <v>0</v>
      </c>
      <c r="AV9" s="721">
        <f>IF(ISNUMBER(System!$C10),PlotData!S10+ Querverschiebung!$E$2*$AF$1*S9,PlotData!$CB$4)</f>
        <v>0</v>
      </c>
      <c r="AW9" s="721">
        <f>IF(ISNUMBER(System!$C10),PlotData!T10+ Querverschiebung!$E$2*$AF$1*T9,PlotData!$CB$4)</f>
        <v>0</v>
      </c>
      <c r="AX9" s="721">
        <f>IF(ISNUMBER(System!$C10),PlotData!U10+ Querverschiebung!$E$2*$AF$1*U9,PlotData!$CB$4)</f>
        <v>0</v>
      </c>
      <c r="AY9" s="721">
        <f>IF(ISNUMBER(System!$C10),PlotData!V10+ Querverschiebung!$E$2*$AF$1*V9,PlotData!$CB$4)</f>
        <v>0</v>
      </c>
      <c r="AZ9" s="721">
        <f>IF(ISNUMBER(System!$C10),PlotData!W10+ Querverschiebung!$E$2*$AF$1*W9,PlotData!$CB$4)</f>
        <v>0</v>
      </c>
      <c r="BA9" s="721">
        <f>IF(ISNUMBER(System!$C10),PlotData!X10+ Querverschiebung!$E$2*$AF$1*X9,PlotData!$CB$4)</f>
        <v>0</v>
      </c>
      <c r="BB9" s="639">
        <f>IF(ISNUMBER(System!$C10),PlotData!Y10+ Querverschiebung!$E$2*$AF$1*Y9,PlotData!$CB$4)</f>
        <v>0</v>
      </c>
      <c r="BC9" s="668">
        <f>IF(ISNUMBER(System!$C10),PlotData!Y10, PlotData!CB$4)</f>
        <v>0</v>
      </c>
      <c r="BD9" s="721">
        <f>IF(ISNUMBER(System!$C10),PlotData!O10, PlotData!$CB$4)</f>
        <v>0</v>
      </c>
      <c r="BE9" s="639">
        <f>IF(ISNUMBER(System!$C10), AR9,PlotData!$CB$4)</f>
        <v>0</v>
      </c>
      <c r="BG9" s="669" t="s">
        <v>474</v>
      </c>
      <c r="BH9" s="1137">
        <f>BH6</f>
        <v>-142.7025940230013</v>
      </c>
      <c r="BI9" s="646">
        <f>BI8</f>
        <v>-144.81142816434192</v>
      </c>
    </row>
    <row r="10" spans="1:61" x14ac:dyDescent="0.25">
      <c r="A10" s="1124">
        <v>8</v>
      </c>
      <c r="B10" s="668"/>
      <c r="C10" s="721"/>
      <c r="D10" s="721"/>
      <c r="E10" s="721"/>
      <c r="F10" s="721"/>
      <c r="G10" s="721"/>
      <c r="H10" s="721"/>
      <c r="I10" s="721"/>
      <c r="J10" s="721"/>
      <c r="K10" s="721"/>
      <c r="L10" s="639"/>
      <c r="N10" s="1124">
        <v>8</v>
      </c>
      <c r="O10" s="668"/>
      <c r="P10" s="721"/>
      <c r="Q10" s="721"/>
      <c r="R10" s="721"/>
      <c r="S10" s="721"/>
      <c r="T10" s="721"/>
      <c r="U10" s="721"/>
      <c r="V10" s="721"/>
      <c r="W10" s="721"/>
      <c r="X10" s="721"/>
      <c r="Y10" s="639"/>
      <c r="AA10" s="1159">
        <v>8</v>
      </c>
      <c r="AB10" s="668">
        <f>IF(ISNUMBER(System!$C11),PlotData!B11+Querverschiebung!$E$2* $AF$1*B10,PlotData!$CB$3)</f>
        <v>0</v>
      </c>
      <c r="AC10" s="721">
        <f>IF(ISNUMBER(System!$C11),PlotData!C11+ Querverschiebung!$E$2*$AF$1*C10,PlotData!$CB$3)</f>
        <v>0</v>
      </c>
      <c r="AD10" s="721">
        <f>IF(ISNUMBER(System!$C11),PlotData!D11+Querverschiebung!$E$2* $AF$1*D10,PlotData!$CB$3)</f>
        <v>0</v>
      </c>
      <c r="AE10" s="721">
        <f>IF(ISNUMBER(System!$C11),PlotData!E11+ Querverschiebung!$E$2*$AF$1*E10,PlotData!$CB$3)</f>
        <v>0</v>
      </c>
      <c r="AF10" s="721">
        <f>IF(ISNUMBER(System!$C11),PlotData!F11+ Querverschiebung!$E$2*$AF$1*F10,PlotData!$CB$3)</f>
        <v>0</v>
      </c>
      <c r="AG10" s="721">
        <f>IF(ISNUMBER(System!$C11),PlotData!G11+Querverschiebung!$E$2* $AF$1*G10,PlotData!$CB$3)</f>
        <v>0</v>
      </c>
      <c r="AH10" s="721">
        <f>IF(ISNUMBER(System!$C11),PlotData!H11+ Querverschiebung!$E$2*$AF$1*H10,PlotData!$CB$3)</f>
        <v>0</v>
      </c>
      <c r="AI10" s="721">
        <f>IF(ISNUMBER(System!$C11),PlotData!I11+Querverschiebung!$E$2* $AF$1*I10,PlotData!$CB$3)</f>
        <v>0</v>
      </c>
      <c r="AJ10" s="721">
        <f>IF(ISNUMBER(System!$C11),PlotData!J11+ Querverschiebung!$E$2*$AF$1*J10,PlotData!$CB$3)</f>
        <v>0</v>
      </c>
      <c r="AK10" s="721">
        <f>IF(ISNUMBER(System!$C11),PlotData!K11+ Querverschiebung!$E$2*$AF$1*K10,PlotData!$CB$3)</f>
        <v>0</v>
      </c>
      <c r="AL10" s="639">
        <f>IF(ISNUMBER(System!$C11),PlotData!L11+Querverschiebung!$E$2* $AF$1*L10,PlotData!$CB$3)</f>
        <v>0</v>
      </c>
      <c r="AM10" s="668">
        <f>IF(ISNUMBER(System!$C11),PlotData!L11,PlotData!$CB$3)</f>
        <v>0</v>
      </c>
      <c r="AN10" s="721">
        <f>IF(ISNUMBER(System!$C11),PlotData!B11,PlotData!$CB$3)</f>
        <v>0</v>
      </c>
      <c r="AO10" s="639">
        <f>IF(ISNUMBER(System!$C11),AB10,PlotData!$CB$3)</f>
        <v>0</v>
      </c>
      <c r="AQ10" s="1159">
        <v>8</v>
      </c>
      <c r="AR10" s="668">
        <f>IF(ISNUMBER(System!$C11),PlotData!O11+ Querverschiebung!$E$2*$AF$1*O10,PlotData!$CB$4)</f>
        <v>0</v>
      </c>
      <c r="AS10" s="721">
        <f>IF(ISNUMBER(System!$C11),PlotData!P11+ Querverschiebung!$E$2*$AF$1*P10,PlotData!$CB$4)</f>
        <v>0</v>
      </c>
      <c r="AT10" s="721">
        <f>IF(ISNUMBER(System!$C11),PlotData!Q11+ Querverschiebung!$E$2*$AF$1*Q10,PlotData!$CB$4)</f>
        <v>0</v>
      </c>
      <c r="AU10" s="721">
        <f>IF(ISNUMBER(System!$C11),PlotData!R11+ Querverschiebung!$E$2*$AF$1*R10,PlotData!$CB$4)</f>
        <v>0</v>
      </c>
      <c r="AV10" s="721">
        <f>IF(ISNUMBER(System!$C11),PlotData!S11+ Querverschiebung!$E$2*$AF$1*S10,PlotData!$CB$4)</f>
        <v>0</v>
      </c>
      <c r="AW10" s="721">
        <f>IF(ISNUMBER(System!$C11),PlotData!T11+ Querverschiebung!$E$2*$AF$1*T10,PlotData!$CB$4)</f>
        <v>0</v>
      </c>
      <c r="AX10" s="721">
        <f>IF(ISNUMBER(System!$C11),PlotData!U11+ Querverschiebung!$E$2*$AF$1*U10,PlotData!$CB$4)</f>
        <v>0</v>
      </c>
      <c r="AY10" s="721">
        <f>IF(ISNUMBER(System!$C11),PlotData!V11+ Querverschiebung!$E$2*$AF$1*V10,PlotData!$CB$4)</f>
        <v>0</v>
      </c>
      <c r="AZ10" s="721">
        <f>IF(ISNUMBER(System!$C11),PlotData!W11+ Querverschiebung!$E$2*$AF$1*W10,PlotData!$CB$4)</f>
        <v>0</v>
      </c>
      <c r="BA10" s="721">
        <f>IF(ISNUMBER(System!$C11),PlotData!X11+ Querverschiebung!$E$2*$AF$1*X10,PlotData!$CB$4)</f>
        <v>0</v>
      </c>
      <c r="BB10" s="639">
        <f>IF(ISNUMBER(System!$C11),PlotData!Y11+ Querverschiebung!$E$2*$AF$1*Y10,PlotData!$CB$4)</f>
        <v>0</v>
      </c>
      <c r="BC10" s="668">
        <f>IF(ISNUMBER(System!$C11),PlotData!Y11, PlotData!CB$4)</f>
        <v>0</v>
      </c>
      <c r="BD10" s="721">
        <f>IF(ISNUMBER(System!$C11),PlotData!O11, PlotData!$CB$4)</f>
        <v>0</v>
      </c>
      <c r="BE10" s="639">
        <f>IF(ISNUMBER(System!$C11), AR10,PlotData!$CB$4)</f>
        <v>0</v>
      </c>
    </row>
    <row r="11" spans="1:61" x14ac:dyDescent="0.25">
      <c r="A11" s="1124">
        <v>9</v>
      </c>
      <c r="B11" s="668"/>
      <c r="C11" s="721"/>
      <c r="D11" s="721"/>
      <c r="E11" s="721"/>
      <c r="F11" s="721"/>
      <c r="G11" s="721"/>
      <c r="H11" s="721"/>
      <c r="I11" s="721"/>
      <c r="J11" s="721"/>
      <c r="K11" s="721"/>
      <c r="L11" s="639"/>
      <c r="N11" s="1124">
        <v>9</v>
      </c>
      <c r="O11" s="668"/>
      <c r="P11" s="721"/>
      <c r="Q11" s="721"/>
      <c r="R11" s="721"/>
      <c r="S11" s="721"/>
      <c r="T11" s="721"/>
      <c r="U11" s="721"/>
      <c r="V11" s="721"/>
      <c r="W11" s="721"/>
      <c r="X11" s="721"/>
      <c r="Y11" s="639"/>
      <c r="AA11" s="1159">
        <v>9</v>
      </c>
      <c r="AB11" s="668">
        <f>IF(ISNUMBER(System!$C12),PlotData!B12+Querverschiebung!$E$2* $AF$1*B11,PlotData!$CB$3)</f>
        <v>0</v>
      </c>
      <c r="AC11" s="721">
        <f>IF(ISNUMBER(System!$C12),PlotData!C12+ Querverschiebung!$E$2*$AF$1*C11,PlotData!$CB$3)</f>
        <v>0</v>
      </c>
      <c r="AD11" s="721">
        <f>IF(ISNUMBER(System!$C12),PlotData!D12+Querverschiebung!$E$2* $AF$1*D11,PlotData!$CB$3)</f>
        <v>0</v>
      </c>
      <c r="AE11" s="721">
        <f>IF(ISNUMBER(System!$C12),PlotData!E12+ Querverschiebung!$E$2*$AF$1*E11,PlotData!$CB$3)</f>
        <v>0</v>
      </c>
      <c r="AF11" s="721">
        <f>IF(ISNUMBER(System!$C12),PlotData!F12+ Querverschiebung!$E$2*$AF$1*F11,PlotData!$CB$3)</f>
        <v>0</v>
      </c>
      <c r="AG11" s="721">
        <f>IF(ISNUMBER(System!$C12),PlotData!G12+Querverschiebung!$E$2* $AF$1*G11,PlotData!$CB$3)</f>
        <v>0</v>
      </c>
      <c r="AH11" s="721">
        <f>IF(ISNUMBER(System!$C12),PlotData!H12+ Querverschiebung!$E$2*$AF$1*H11,PlotData!$CB$3)</f>
        <v>0</v>
      </c>
      <c r="AI11" s="721">
        <f>IF(ISNUMBER(System!$C12),PlotData!I12+Querverschiebung!$E$2* $AF$1*I11,PlotData!$CB$3)</f>
        <v>0</v>
      </c>
      <c r="AJ11" s="721">
        <f>IF(ISNUMBER(System!$C12),PlotData!J12+ Querverschiebung!$E$2*$AF$1*J11,PlotData!$CB$3)</f>
        <v>0</v>
      </c>
      <c r="AK11" s="721">
        <f>IF(ISNUMBER(System!$C12),PlotData!K12+ Querverschiebung!$E$2*$AF$1*K11,PlotData!$CB$3)</f>
        <v>0</v>
      </c>
      <c r="AL11" s="639">
        <f>IF(ISNUMBER(System!$C12),PlotData!L12+Querverschiebung!$E$2* $AF$1*L11,PlotData!$CB$3)</f>
        <v>0</v>
      </c>
      <c r="AM11" s="668">
        <f>IF(ISNUMBER(System!$C12),PlotData!L12,PlotData!$CB$3)</f>
        <v>0</v>
      </c>
      <c r="AN11" s="721">
        <f>IF(ISNUMBER(System!$C12),PlotData!B12,PlotData!$CB$3)</f>
        <v>0</v>
      </c>
      <c r="AO11" s="639">
        <f>IF(ISNUMBER(System!$C12),AB11,PlotData!$CB$3)</f>
        <v>0</v>
      </c>
      <c r="AQ11" s="1159">
        <v>9</v>
      </c>
      <c r="AR11" s="668">
        <f>IF(ISNUMBER(System!$C12),PlotData!O12+ Querverschiebung!$E$2*$AF$1*O11,PlotData!$CB$4)</f>
        <v>0</v>
      </c>
      <c r="AS11" s="721">
        <f>IF(ISNUMBER(System!$C12),PlotData!P12+ Querverschiebung!$E$2*$AF$1*P11,PlotData!$CB$4)</f>
        <v>0</v>
      </c>
      <c r="AT11" s="721">
        <f>IF(ISNUMBER(System!$C12),PlotData!Q12+ Querverschiebung!$E$2*$AF$1*Q11,PlotData!$CB$4)</f>
        <v>0</v>
      </c>
      <c r="AU11" s="721">
        <f>IF(ISNUMBER(System!$C12),PlotData!R12+ Querverschiebung!$E$2*$AF$1*R11,PlotData!$CB$4)</f>
        <v>0</v>
      </c>
      <c r="AV11" s="721">
        <f>IF(ISNUMBER(System!$C12),PlotData!S12+ Querverschiebung!$E$2*$AF$1*S11,PlotData!$CB$4)</f>
        <v>0</v>
      </c>
      <c r="AW11" s="721">
        <f>IF(ISNUMBER(System!$C12),PlotData!T12+ Querverschiebung!$E$2*$AF$1*T11,PlotData!$CB$4)</f>
        <v>0</v>
      </c>
      <c r="AX11" s="721">
        <f>IF(ISNUMBER(System!$C12),PlotData!U12+ Querverschiebung!$E$2*$AF$1*U11,PlotData!$CB$4)</f>
        <v>0</v>
      </c>
      <c r="AY11" s="721">
        <f>IF(ISNUMBER(System!$C12),PlotData!V12+ Querverschiebung!$E$2*$AF$1*V11,PlotData!$CB$4)</f>
        <v>0</v>
      </c>
      <c r="AZ11" s="721">
        <f>IF(ISNUMBER(System!$C12),PlotData!W12+ Querverschiebung!$E$2*$AF$1*W11,PlotData!$CB$4)</f>
        <v>0</v>
      </c>
      <c r="BA11" s="721">
        <f>IF(ISNUMBER(System!$C12),PlotData!X12+ Querverschiebung!$E$2*$AF$1*X11,PlotData!$CB$4)</f>
        <v>0</v>
      </c>
      <c r="BB11" s="639">
        <f>IF(ISNUMBER(System!$C12),PlotData!Y12+ Querverschiebung!$E$2*$AF$1*Y11,PlotData!$CB$4)</f>
        <v>0</v>
      </c>
      <c r="BC11" s="668">
        <f>IF(ISNUMBER(System!$C12),PlotData!Y12, PlotData!CB$4)</f>
        <v>0</v>
      </c>
      <c r="BD11" s="721">
        <f>IF(ISNUMBER(System!$C12),PlotData!O12, PlotData!$CB$4)</f>
        <v>0</v>
      </c>
      <c r="BE11" s="639">
        <f>IF(ISNUMBER(System!$C12), AR11,PlotData!$CB$4)</f>
        <v>0</v>
      </c>
    </row>
    <row r="12" spans="1:61" x14ac:dyDescent="0.25">
      <c r="A12" s="1124">
        <v>10</v>
      </c>
      <c r="B12" s="668"/>
      <c r="C12" s="721"/>
      <c r="D12" s="721"/>
      <c r="E12" s="721"/>
      <c r="F12" s="721"/>
      <c r="G12" s="721"/>
      <c r="H12" s="721"/>
      <c r="I12" s="721"/>
      <c r="J12" s="721"/>
      <c r="K12" s="721"/>
      <c r="L12" s="639"/>
      <c r="N12" s="1124">
        <v>10</v>
      </c>
      <c r="O12" s="668"/>
      <c r="P12" s="721"/>
      <c r="Q12" s="721"/>
      <c r="R12" s="721"/>
      <c r="S12" s="721"/>
      <c r="T12" s="721"/>
      <c r="U12" s="721"/>
      <c r="V12" s="721"/>
      <c r="W12" s="721"/>
      <c r="X12" s="721"/>
      <c r="Y12" s="639"/>
      <c r="AA12" s="1159">
        <v>10</v>
      </c>
      <c r="AB12" s="668">
        <f>IF(ISNUMBER(System!$C13),PlotData!B13+Querverschiebung!$E$2* $AF$1*B12,PlotData!$CB$3)</f>
        <v>0</v>
      </c>
      <c r="AC12" s="721">
        <f>IF(ISNUMBER(System!$C13),PlotData!C13+ Querverschiebung!$E$2*$AF$1*C12,PlotData!$CB$3)</f>
        <v>0</v>
      </c>
      <c r="AD12" s="721">
        <f>IF(ISNUMBER(System!$C13),PlotData!D13+Querverschiebung!$E$2* $AF$1*D12,PlotData!$CB$3)</f>
        <v>0</v>
      </c>
      <c r="AE12" s="721">
        <f>IF(ISNUMBER(System!$C13),PlotData!E13+ Querverschiebung!$E$2*$AF$1*E12,PlotData!$CB$3)</f>
        <v>0</v>
      </c>
      <c r="AF12" s="721">
        <f>IF(ISNUMBER(System!$C13),PlotData!F13+ Querverschiebung!$E$2*$AF$1*F12,PlotData!$CB$3)</f>
        <v>0</v>
      </c>
      <c r="AG12" s="721">
        <f>IF(ISNUMBER(System!$C13),PlotData!G13+Querverschiebung!$E$2* $AF$1*G12,PlotData!$CB$3)</f>
        <v>0</v>
      </c>
      <c r="AH12" s="721">
        <f>IF(ISNUMBER(System!$C13),PlotData!H13+ Querverschiebung!$E$2*$AF$1*H12,PlotData!$CB$3)</f>
        <v>0</v>
      </c>
      <c r="AI12" s="721">
        <f>IF(ISNUMBER(System!$C13),PlotData!I13+Querverschiebung!$E$2* $AF$1*I12,PlotData!$CB$3)</f>
        <v>0</v>
      </c>
      <c r="AJ12" s="721">
        <f>IF(ISNUMBER(System!$C13),PlotData!J13+ Querverschiebung!$E$2*$AF$1*J12,PlotData!$CB$3)</f>
        <v>0</v>
      </c>
      <c r="AK12" s="721">
        <f>IF(ISNUMBER(System!$C13),PlotData!K13+ Querverschiebung!$E$2*$AF$1*K12,PlotData!$CB$3)</f>
        <v>0</v>
      </c>
      <c r="AL12" s="639">
        <f>IF(ISNUMBER(System!$C13),PlotData!L13+Querverschiebung!$E$2* $AF$1*L12,PlotData!$CB$3)</f>
        <v>0</v>
      </c>
      <c r="AM12" s="668">
        <f>IF(ISNUMBER(System!$C13),PlotData!L13,PlotData!$CB$3)</f>
        <v>0</v>
      </c>
      <c r="AN12" s="721">
        <f>IF(ISNUMBER(System!$C13),PlotData!B13,PlotData!$CB$3)</f>
        <v>0</v>
      </c>
      <c r="AO12" s="639">
        <f>IF(ISNUMBER(System!$C13),AB12,PlotData!$CB$3)</f>
        <v>0</v>
      </c>
      <c r="AQ12" s="1159">
        <v>10</v>
      </c>
      <c r="AR12" s="668">
        <f>IF(ISNUMBER(System!$C13),PlotData!O13+ Querverschiebung!$E$2*$AF$1*O12,PlotData!$CB$4)</f>
        <v>0</v>
      </c>
      <c r="AS12" s="721">
        <f>IF(ISNUMBER(System!$C13),PlotData!P13+ Querverschiebung!$E$2*$AF$1*P12,PlotData!$CB$4)</f>
        <v>0</v>
      </c>
      <c r="AT12" s="721">
        <f>IF(ISNUMBER(System!$C13),PlotData!Q13+ Querverschiebung!$E$2*$AF$1*Q12,PlotData!$CB$4)</f>
        <v>0</v>
      </c>
      <c r="AU12" s="721">
        <f>IF(ISNUMBER(System!$C13),PlotData!R13+ Querverschiebung!$E$2*$AF$1*R12,PlotData!$CB$4)</f>
        <v>0</v>
      </c>
      <c r="AV12" s="721">
        <f>IF(ISNUMBER(System!$C13),PlotData!S13+ Querverschiebung!$E$2*$AF$1*S12,PlotData!$CB$4)</f>
        <v>0</v>
      </c>
      <c r="AW12" s="721">
        <f>IF(ISNUMBER(System!$C13),PlotData!T13+ Querverschiebung!$E$2*$AF$1*T12,PlotData!$CB$4)</f>
        <v>0</v>
      </c>
      <c r="AX12" s="721">
        <f>IF(ISNUMBER(System!$C13),PlotData!U13+ Querverschiebung!$E$2*$AF$1*U12,PlotData!$CB$4)</f>
        <v>0</v>
      </c>
      <c r="AY12" s="721">
        <f>IF(ISNUMBER(System!$C13),PlotData!V13+ Querverschiebung!$E$2*$AF$1*V12,PlotData!$CB$4)</f>
        <v>0</v>
      </c>
      <c r="AZ12" s="721">
        <f>IF(ISNUMBER(System!$C13),PlotData!W13+ Querverschiebung!$E$2*$AF$1*W12,PlotData!$CB$4)</f>
        <v>0</v>
      </c>
      <c r="BA12" s="721">
        <f>IF(ISNUMBER(System!$C13),PlotData!X13+ Querverschiebung!$E$2*$AF$1*X12,PlotData!$CB$4)</f>
        <v>0</v>
      </c>
      <c r="BB12" s="639">
        <f>IF(ISNUMBER(System!$C13),PlotData!Y13+ Querverschiebung!$E$2*$AF$1*Y12,PlotData!$CB$4)</f>
        <v>0</v>
      </c>
      <c r="BC12" s="668">
        <f>IF(ISNUMBER(System!$C13),PlotData!Y13, PlotData!CB$4)</f>
        <v>0</v>
      </c>
      <c r="BD12" s="721">
        <f>IF(ISNUMBER(System!$C13),PlotData!O13, PlotData!$CB$4)</f>
        <v>0</v>
      </c>
      <c r="BE12" s="639">
        <f>IF(ISNUMBER(System!$C13), AR12,PlotData!$CB$4)</f>
        <v>0</v>
      </c>
    </row>
    <row r="13" spans="1:61" x14ac:dyDescent="0.25">
      <c r="A13" s="1124">
        <v>11</v>
      </c>
      <c r="B13" s="668"/>
      <c r="C13" s="721"/>
      <c r="D13" s="721"/>
      <c r="E13" s="721"/>
      <c r="F13" s="721"/>
      <c r="G13" s="721"/>
      <c r="H13" s="721"/>
      <c r="I13" s="721"/>
      <c r="J13" s="721"/>
      <c r="K13" s="721"/>
      <c r="L13" s="639"/>
      <c r="N13" s="1124">
        <v>11</v>
      </c>
      <c r="O13" s="668"/>
      <c r="P13" s="721"/>
      <c r="Q13" s="721"/>
      <c r="R13" s="721"/>
      <c r="S13" s="721"/>
      <c r="T13" s="721"/>
      <c r="U13" s="721"/>
      <c r="V13" s="721"/>
      <c r="W13" s="721"/>
      <c r="X13" s="721"/>
      <c r="Y13" s="639"/>
      <c r="AA13" s="1159">
        <v>11</v>
      </c>
      <c r="AB13" s="668">
        <f>IF(ISNUMBER(System!$C14),PlotData!B14+Querverschiebung!$E$2* $AF$1*B13,PlotData!$CB$3)</f>
        <v>0</v>
      </c>
      <c r="AC13" s="721">
        <f>IF(ISNUMBER(System!$C14),PlotData!C14+ Querverschiebung!$E$2*$AF$1*C13,PlotData!$CB$3)</f>
        <v>0</v>
      </c>
      <c r="AD13" s="721">
        <f>IF(ISNUMBER(System!$C14),PlotData!D14+Querverschiebung!$E$2* $AF$1*D13,PlotData!$CB$3)</f>
        <v>0</v>
      </c>
      <c r="AE13" s="721">
        <f>IF(ISNUMBER(System!$C14),PlotData!E14+ Querverschiebung!$E$2*$AF$1*E13,PlotData!$CB$3)</f>
        <v>0</v>
      </c>
      <c r="AF13" s="721">
        <f>IF(ISNUMBER(System!$C14),PlotData!F14+ Querverschiebung!$E$2*$AF$1*F13,PlotData!$CB$3)</f>
        <v>0</v>
      </c>
      <c r="AG13" s="721">
        <f>IF(ISNUMBER(System!$C14),PlotData!G14+Querverschiebung!$E$2* $AF$1*G13,PlotData!$CB$3)</f>
        <v>0</v>
      </c>
      <c r="AH13" s="721">
        <f>IF(ISNUMBER(System!$C14),PlotData!H14+ Querverschiebung!$E$2*$AF$1*H13,PlotData!$CB$3)</f>
        <v>0</v>
      </c>
      <c r="AI13" s="721">
        <f>IF(ISNUMBER(System!$C14),PlotData!I14+Querverschiebung!$E$2* $AF$1*I13,PlotData!$CB$3)</f>
        <v>0</v>
      </c>
      <c r="AJ13" s="721">
        <f>IF(ISNUMBER(System!$C14),PlotData!J14+ Querverschiebung!$E$2*$AF$1*J13,PlotData!$CB$3)</f>
        <v>0</v>
      </c>
      <c r="AK13" s="721">
        <f>IF(ISNUMBER(System!$C14),PlotData!K14+ Querverschiebung!$E$2*$AF$1*K13,PlotData!$CB$3)</f>
        <v>0</v>
      </c>
      <c r="AL13" s="639">
        <f>IF(ISNUMBER(System!$C14),PlotData!L14+Querverschiebung!$E$2* $AF$1*L13,PlotData!$CB$3)</f>
        <v>0</v>
      </c>
      <c r="AM13" s="668">
        <f>IF(ISNUMBER(System!$C14),PlotData!L14,PlotData!$CB$3)</f>
        <v>0</v>
      </c>
      <c r="AN13" s="721">
        <f>IF(ISNUMBER(System!$C14),PlotData!B14,PlotData!$CB$3)</f>
        <v>0</v>
      </c>
      <c r="AO13" s="639">
        <f>IF(ISNUMBER(System!$C14),AB13,PlotData!$CB$3)</f>
        <v>0</v>
      </c>
      <c r="AQ13" s="1159">
        <v>11</v>
      </c>
      <c r="AR13" s="668">
        <f>IF(ISNUMBER(System!$C14),PlotData!O14+ Querverschiebung!$E$2*$AF$1*O13,PlotData!$CB$4)</f>
        <v>0</v>
      </c>
      <c r="AS13" s="721">
        <f>IF(ISNUMBER(System!$C14),PlotData!P14+ Querverschiebung!$E$2*$AF$1*P13,PlotData!$CB$4)</f>
        <v>0</v>
      </c>
      <c r="AT13" s="721">
        <f>IF(ISNUMBER(System!$C14),PlotData!Q14+ Querverschiebung!$E$2*$AF$1*Q13,PlotData!$CB$4)</f>
        <v>0</v>
      </c>
      <c r="AU13" s="721">
        <f>IF(ISNUMBER(System!$C14),PlotData!R14+ Querverschiebung!$E$2*$AF$1*R13,PlotData!$CB$4)</f>
        <v>0</v>
      </c>
      <c r="AV13" s="721">
        <f>IF(ISNUMBER(System!$C14),PlotData!S14+ Querverschiebung!$E$2*$AF$1*S13,PlotData!$CB$4)</f>
        <v>0</v>
      </c>
      <c r="AW13" s="721">
        <f>IF(ISNUMBER(System!$C14),PlotData!T14+ Querverschiebung!$E$2*$AF$1*T13,PlotData!$CB$4)</f>
        <v>0</v>
      </c>
      <c r="AX13" s="721">
        <f>IF(ISNUMBER(System!$C14),PlotData!U14+ Querverschiebung!$E$2*$AF$1*U13,PlotData!$CB$4)</f>
        <v>0</v>
      </c>
      <c r="AY13" s="721">
        <f>IF(ISNUMBER(System!$C14),PlotData!V14+ Querverschiebung!$E$2*$AF$1*V13,PlotData!$CB$4)</f>
        <v>0</v>
      </c>
      <c r="AZ13" s="721">
        <f>IF(ISNUMBER(System!$C14),PlotData!W14+ Querverschiebung!$E$2*$AF$1*W13,PlotData!$CB$4)</f>
        <v>0</v>
      </c>
      <c r="BA13" s="721">
        <f>IF(ISNUMBER(System!$C14),PlotData!X14+ Querverschiebung!$E$2*$AF$1*X13,PlotData!$CB$4)</f>
        <v>0</v>
      </c>
      <c r="BB13" s="639">
        <f>IF(ISNUMBER(System!$C14),PlotData!Y14+ Querverschiebung!$E$2*$AF$1*Y13,PlotData!$CB$4)</f>
        <v>0</v>
      </c>
      <c r="BC13" s="668">
        <f>IF(ISNUMBER(System!$C14),PlotData!Y14, PlotData!CB$4)</f>
        <v>0</v>
      </c>
      <c r="BD13" s="721">
        <f>IF(ISNUMBER(System!$C14),PlotData!O14, PlotData!$CB$4)</f>
        <v>0</v>
      </c>
      <c r="BE13" s="639">
        <f>IF(ISNUMBER(System!$C14), AR13,PlotData!$CB$4)</f>
        <v>0</v>
      </c>
    </row>
    <row r="14" spans="1:61" x14ac:dyDescent="0.25">
      <c r="A14" s="1124">
        <v>12</v>
      </c>
      <c r="B14" s="668"/>
      <c r="C14" s="721"/>
      <c r="D14" s="721"/>
      <c r="E14" s="721"/>
      <c r="F14" s="721"/>
      <c r="G14" s="721"/>
      <c r="H14" s="721"/>
      <c r="I14" s="721"/>
      <c r="J14" s="721"/>
      <c r="K14" s="721"/>
      <c r="L14" s="639"/>
      <c r="N14" s="1124">
        <v>12</v>
      </c>
      <c r="O14" s="668"/>
      <c r="P14" s="721"/>
      <c r="Q14" s="721"/>
      <c r="R14" s="721"/>
      <c r="S14" s="721"/>
      <c r="T14" s="721"/>
      <c r="U14" s="721"/>
      <c r="V14" s="721"/>
      <c r="W14" s="721"/>
      <c r="X14" s="721"/>
      <c r="Y14" s="639"/>
      <c r="AA14" s="1159">
        <v>12</v>
      </c>
      <c r="AB14" s="668">
        <f>IF(ISNUMBER(System!$C15),PlotData!B15+Querverschiebung!$E$2* $AF$1*B14,PlotData!$CB$3)</f>
        <v>0</v>
      </c>
      <c r="AC14" s="721">
        <f>IF(ISNUMBER(System!$C15),PlotData!C15+ Querverschiebung!$E$2*$AF$1*C14,PlotData!$CB$3)</f>
        <v>0</v>
      </c>
      <c r="AD14" s="721">
        <f>IF(ISNUMBER(System!$C15),PlotData!D15+Querverschiebung!$E$2* $AF$1*D14,PlotData!$CB$3)</f>
        <v>0</v>
      </c>
      <c r="AE14" s="721">
        <f>IF(ISNUMBER(System!$C15),PlotData!E15+ Querverschiebung!$E$2*$AF$1*E14,PlotData!$CB$3)</f>
        <v>0</v>
      </c>
      <c r="AF14" s="721">
        <f>IF(ISNUMBER(System!$C15),PlotData!F15+ Querverschiebung!$E$2*$AF$1*F14,PlotData!$CB$3)</f>
        <v>0</v>
      </c>
      <c r="AG14" s="721">
        <f>IF(ISNUMBER(System!$C15),PlotData!G15+Querverschiebung!$E$2* $AF$1*G14,PlotData!$CB$3)</f>
        <v>0</v>
      </c>
      <c r="AH14" s="721">
        <f>IF(ISNUMBER(System!$C15),PlotData!H15+ Querverschiebung!$E$2*$AF$1*H14,PlotData!$CB$3)</f>
        <v>0</v>
      </c>
      <c r="AI14" s="721">
        <f>IF(ISNUMBER(System!$C15),PlotData!I15+Querverschiebung!$E$2* $AF$1*I14,PlotData!$CB$3)</f>
        <v>0</v>
      </c>
      <c r="AJ14" s="721">
        <f>IF(ISNUMBER(System!$C15),PlotData!J15+ Querverschiebung!$E$2*$AF$1*J14,PlotData!$CB$3)</f>
        <v>0</v>
      </c>
      <c r="AK14" s="721">
        <f>IF(ISNUMBER(System!$C15),PlotData!K15+ Querverschiebung!$E$2*$AF$1*K14,PlotData!$CB$3)</f>
        <v>0</v>
      </c>
      <c r="AL14" s="639">
        <f>IF(ISNUMBER(System!$C15),PlotData!L15+Querverschiebung!$E$2* $AF$1*L14,PlotData!$CB$3)</f>
        <v>0</v>
      </c>
      <c r="AM14" s="668">
        <f>IF(ISNUMBER(System!$C15),PlotData!L15,PlotData!$CB$3)</f>
        <v>0</v>
      </c>
      <c r="AN14" s="721">
        <f>IF(ISNUMBER(System!$C15),PlotData!B15,PlotData!$CB$3)</f>
        <v>0</v>
      </c>
      <c r="AO14" s="639">
        <f>IF(ISNUMBER(System!$C15),AB14,PlotData!$CB$3)</f>
        <v>0</v>
      </c>
      <c r="AQ14" s="1159">
        <v>12</v>
      </c>
      <c r="AR14" s="668">
        <f>IF(ISNUMBER(System!$C15),PlotData!O15+ Querverschiebung!$E$2*$AF$1*O14,PlotData!$CB$4)</f>
        <v>0</v>
      </c>
      <c r="AS14" s="721">
        <f>IF(ISNUMBER(System!$C15),PlotData!P15+ Querverschiebung!$E$2*$AF$1*P14,PlotData!$CB$4)</f>
        <v>0</v>
      </c>
      <c r="AT14" s="721">
        <f>IF(ISNUMBER(System!$C15),PlotData!Q15+ Querverschiebung!$E$2*$AF$1*Q14,PlotData!$CB$4)</f>
        <v>0</v>
      </c>
      <c r="AU14" s="721">
        <f>IF(ISNUMBER(System!$C15),PlotData!R15+ Querverschiebung!$E$2*$AF$1*R14,PlotData!$CB$4)</f>
        <v>0</v>
      </c>
      <c r="AV14" s="721">
        <f>IF(ISNUMBER(System!$C15),PlotData!S15+ Querverschiebung!$E$2*$AF$1*S14,PlotData!$CB$4)</f>
        <v>0</v>
      </c>
      <c r="AW14" s="721">
        <f>IF(ISNUMBER(System!$C15),PlotData!T15+ Querverschiebung!$E$2*$AF$1*T14,PlotData!$CB$4)</f>
        <v>0</v>
      </c>
      <c r="AX14" s="721">
        <f>IF(ISNUMBER(System!$C15),PlotData!U15+ Querverschiebung!$E$2*$AF$1*U14,PlotData!$CB$4)</f>
        <v>0</v>
      </c>
      <c r="AY14" s="721">
        <f>IF(ISNUMBER(System!$C15),PlotData!V15+ Querverschiebung!$E$2*$AF$1*V14,PlotData!$CB$4)</f>
        <v>0</v>
      </c>
      <c r="AZ14" s="721">
        <f>IF(ISNUMBER(System!$C15),PlotData!W15+ Querverschiebung!$E$2*$AF$1*W14,PlotData!$CB$4)</f>
        <v>0</v>
      </c>
      <c r="BA14" s="721">
        <f>IF(ISNUMBER(System!$C15),PlotData!X15+ Querverschiebung!$E$2*$AF$1*X14,PlotData!$CB$4)</f>
        <v>0</v>
      </c>
      <c r="BB14" s="639">
        <f>IF(ISNUMBER(System!$C15),PlotData!Y15+ Querverschiebung!$E$2*$AF$1*Y14,PlotData!$CB$4)</f>
        <v>0</v>
      </c>
      <c r="BC14" s="668">
        <f>IF(ISNUMBER(System!$C15),PlotData!Y15, PlotData!CB$4)</f>
        <v>0</v>
      </c>
      <c r="BD14" s="721">
        <f>IF(ISNUMBER(System!$C15),PlotData!O15, PlotData!$CB$4)</f>
        <v>0</v>
      </c>
      <c r="BE14" s="639">
        <f>IF(ISNUMBER(System!$C15), AR14,PlotData!$CB$4)</f>
        <v>0</v>
      </c>
    </row>
    <row r="15" spans="1:61" x14ac:dyDescent="0.25">
      <c r="A15" s="1124">
        <v>13</v>
      </c>
      <c r="B15" s="668"/>
      <c r="C15" s="721"/>
      <c r="D15" s="721"/>
      <c r="E15" s="721"/>
      <c r="F15" s="721"/>
      <c r="G15" s="721"/>
      <c r="H15" s="721"/>
      <c r="I15" s="721"/>
      <c r="J15" s="721"/>
      <c r="K15" s="721"/>
      <c r="L15" s="639"/>
      <c r="N15" s="1124">
        <v>13</v>
      </c>
      <c r="O15" s="668"/>
      <c r="P15" s="721"/>
      <c r="Q15" s="721"/>
      <c r="R15" s="721"/>
      <c r="S15" s="721"/>
      <c r="T15" s="721"/>
      <c r="U15" s="721"/>
      <c r="V15" s="721"/>
      <c r="W15" s="721"/>
      <c r="X15" s="721"/>
      <c r="Y15" s="639"/>
      <c r="AA15" s="1159">
        <v>13</v>
      </c>
      <c r="AB15" s="668">
        <f>IF(ISNUMBER(System!$C16),PlotData!B16+Querverschiebung!$E$2* $AF$1*B15,PlotData!$CB$3)</f>
        <v>0</v>
      </c>
      <c r="AC15" s="721">
        <f>IF(ISNUMBER(System!$C16),PlotData!C16+ Querverschiebung!$E$2*$AF$1*C15,PlotData!$CB$3)</f>
        <v>0</v>
      </c>
      <c r="AD15" s="721">
        <f>IF(ISNUMBER(System!$C16),PlotData!D16+Querverschiebung!$E$2* $AF$1*D15,PlotData!$CB$3)</f>
        <v>0</v>
      </c>
      <c r="AE15" s="721">
        <f>IF(ISNUMBER(System!$C16),PlotData!E16+ Querverschiebung!$E$2*$AF$1*E15,PlotData!$CB$3)</f>
        <v>0</v>
      </c>
      <c r="AF15" s="721">
        <f>IF(ISNUMBER(System!$C16),PlotData!F16+ Querverschiebung!$E$2*$AF$1*F15,PlotData!$CB$3)</f>
        <v>0</v>
      </c>
      <c r="AG15" s="721">
        <f>IF(ISNUMBER(System!$C16),PlotData!G16+Querverschiebung!$E$2* $AF$1*G15,PlotData!$CB$3)</f>
        <v>0</v>
      </c>
      <c r="AH15" s="721">
        <f>IF(ISNUMBER(System!$C16),PlotData!H16+ Querverschiebung!$E$2*$AF$1*H15,PlotData!$CB$3)</f>
        <v>0</v>
      </c>
      <c r="AI15" s="721">
        <f>IF(ISNUMBER(System!$C16),PlotData!I16+Querverschiebung!$E$2* $AF$1*I15,PlotData!$CB$3)</f>
        <v>0</v>
      </c>
      <c r="AJ15" s="721">
        <f>IF(ISNUMBER(System!$C16),PlotData!J16+ Querverschiebung!$E$2*$AF$1*J15,PlotData!$CB$3)</f>
        <v>0</v>
      </c>
      <c r="AK15" s="721">
        <f>IF(ISNUMBER(System!$C16),PlotData!K16+ Querverschiebung!$E$2*$AF$1*K15,PlotData!$CB$3)</f>
        <v>0</v>
      </c>
      <c r="AL15" s="639">
        <f>IF(ISNUMBER(System!$C16),PlotData!L16+Querverschiebung!$E$2* $AF$1*L15,PlotData!$CB$3)</f>
        <v>0</v>
      </c>
      <c r="AM15" s="668">
        <f>IF(ISNUMBER(System!$C16),PlotData!L16,PlotData!$CB$3)</f>
        <v>0</v>
      </c>
      <c r="AN15" s="721">
        <f>IF(ISNUMBER(System!$C16),PlotData!B16,PlotData!$CB$3)</f>
        <v>0</v>
      </c>
      <c r="AO15" s="639">
        <f>IF(ISNUMBER(System!$C16),AB15,PlotData!$CB$3)</f>
        <v>0</v>
      </c>
      <c r="AQ15" s="1159">
        <v>13</v>
      </c>
      <c r="AR15" s="668">
        <f>IF(ISNUMBER(System!$C16),PlotData!O16+ Querverschiebung!$E$2*$AF$1*O15,PlotData!$CB$4)</f>
        <v>0</v>
      </c>
      <c r="AS15" s="721">
        <f>IF(ISNUMBER(System!$C16),PlotData!P16+ Querverschiebung!$E$2*$AF$1*P15,PlotData!$CB$4)</f>
        <v>0</v>
      </c>
      <c r="AT15" s="721">
        <f>IF(ISNUMBER(System!$C16),PlotData!Q16+ Querverschiebung!$E$2*$AF$1*Q15,PlotData!$CB$4)</f>
        <v>0</v>
      </c>
      <c r="AU15" s="721">
        <f>IF(ISNUMBER(System!$C16),PlotData!R16+ Querverschiebung!$E$2*$AF$1*R15,PlotData!$CB$4)</f>
        <v>0</v>
      </c>
      <c r="AV15" s="721">
        <f>IF(ISNUMBER(System!$C16),PlotData!S16+ Querverschiebung!$E$2*$AF$1*S15,PlotData!$CB$4)</f>
        <v>0</v>
      </c>
      <c r="AW15" s="721">
        <f>IF(ISNUMBER(System!$C16),PlotData!T16+ Querverschiebung!$E$2*$AF$1*T15,PlotData!$CB$4)</f>
        <v>0</v>
      </c>
      <c r="AX15" s="721">
        <f>IF(ISNUMBER(System!$C16),PlotData!U16+ Querverschiebung!$E$2*$AF$1*U15,PlotData!$CB$4)</f>
        <v>0</v>
      </c>
      <c r="AY15" s="721">
        <f>IF(ISNUMBER(System!$C16),PlotData!V16+ Querverschiebung!$E$2*$AF$1*V15,PlotData!$CB$4)</f>
        <v>0</v>
      </c>
      <c r="AZ15" s="721">
        <f>IF(ISNUMBER(System!$C16),PlotData!W16+ Querverschiebung!$E$2*$AF$1*W15,PlotData!$CB$4)</f>
        <v>0</v>
      </c>
      <c r="BA15" s="721">
        <f>IF(ISNUMBER(System!$C16),PlotData!X16+ Querverschiebung!$E$2*$AF$1*X15,PlotData!$CB$4)</f>
        <v>0</v>
      </c>
      <c r="BB15" s="639">
        <f>IF(ISNUMBER(System!$C16),PlotData!Y16+ Querverschiebung!$E$2*$AF$1*Y15,PlotData!$CB$4)</f>
        <v>0</v>
      </c>
      <c r="BC15" s="668">
        <f>IF(ISNUMBER(System!$C16),PlotData!Y16, PlotData!CB$4)</f>
        <v>0</v>
      </c>
      <c r="BD15" s="721">
        <f>IF(ISNUMBER(System!$C16),PlotData!O16, PlotData!$CB$4)</f>
        <v>0</v>
      </c>
      <c r="BE15" s="639">
        <f>IF(ISNUMBER(System!$C16), AR15,PlotData!$CB$4)</f>
        <v>0</v>
      </c>
    </row>
    <row r="16" spans="1:61" x14ac:dyDescent="0.25">
      <c r="A16" s="1124">
        <v>14</v>
      </c>
      <c r="B16" s="668"/>
      <c r="C16" s="721"/>
      <c r="D16" s="721"/>
      <c r="E16" s="721"/>
      <c r="F16" s="721"/>
      <c r="G16" s="721"/>
      <c r="H16" s="721"/>
      <c r="I16" s="721"/>
      <c r="J16" s="721"/>
      <c r="K16" s="721"/>
      <c r="L16" s="639"/>
      <c r="N16" s="1124">
        <v>14</v>
      </c>
      <c r="O16" s="668"/>
      <c r="P16" s="721"/>
      <c r="Q16" s="721"/>
      <c r="R16" s="721"/>
      <c r="S16" s="721"/>
      <c r="T16" s="721"/>
      <c r="U16" s="721"/>
      <c r="V16" s="721"/>
      <c r="W16" s="721"/>
      <c r="X16" s="721"/>
      <c r="Y16" s="639"/>
      <c r="AA16" s="1159">
        <v>14</v>
      </c>
      <c r="AB16" s="668">
        <f>IF(ISNUMBER(System!$C17),PlotData!B17+Querverschiebung!$E$2* $AF$1*B16,PlotData!$CB$3)</f>
        <v>0</v>
      </c>
      <c r="AC16" s="721">
        <f>IF(ISNUMBER(System!$C17),PlotData!C17+ Querverschiebung!$E$2*$AF$1*C16,PlotData!$CB$3)</f>
        <v>0</v>
      </c>
      <c r="AD16" s="721">
        <f>IF(ISNUMBER(System!$C17),PlotData!D17+Querverschiebung!$E$2* $AF$1*D16,PlotData!$CB$3)</f>
        <v>0</v>
      </c>
      <c r="AE16" s="721">
        <f>IF(ISNUMBER(System!$C17),PlotData!E17+ Querverschiebung!$E$2*$AF$1*E16,PlotData!$CB$3)</f>
        <v>0</v>
      </c>
      <c r="AF16" s="721">
        <f>IF(ISNUMBER(System!$C17),PlotData!F17+ Querverschiebung!$E$2*$AF$1*F16,PlotData!$CB$3)</f>
        <v>0</v>
      </c>
      <c r="AG16" s="721">
        <f>IF(ISNUMBER(System!$C17),PlotData!G17+Querverschiebung!$E$2* $AF$1*G16,PlotData!$CB$3)</f>
        <v>0</v>
      </c>
      <c r="AH16" s="721">
        <f>IF(ISNUMBER(System!$C17),PlotData!H17+ Querverschiebung!$E$2*$AF$1*H16,PlotData!$CB$3)</f>
        <v>0</v>
      </c>
      <c r="AI16" s="721">
        <f>IF(ISNUMBER(System!$C17),PlotData!I17+Querverschiebung!$E$2* $AF$1*I16,PlotData!$CB$3)</f>
        <v>0</v>
      </c>
      <c r="AJ16" s="721">
        <f>IF(ISNUMBER(System!$C17),PlotData!J17+ Querverschiebung!$E$2*$AF$1*J16,PlotData!$CB$3)</f>
        <v>0</v>
      </c>
      <c r="AK16" s="721">
        <f>IF(ISNUMBER(System!$C17),PlotData!K17+ Querverschiebung!$E$2*$AF$1*K16,PlotData!$CB$3)</f>
        <v>0</v>
      </c>
      <c r="AL16" s="639">
        <f>IF(ISNUMBER(System!$C17),PlotData!L17+Querverschiebung!$E$2* $AF$1*L16,PlotData!$CB$3)</f>
        <v>0</v>
      </c>
      <c r="AM16" s="668">
        <f>IF(ISNUMBER(System!$C17),PlotData!L17,PlotData!$CB$3)</f>
        <v>0</v>
      </c>
      <c r="AN16" s="721">
        <f>IF(ISNUMBER(System!$C17),PlotData!B17,PlotData!$CB$3)</f>
        <v>0</v>
      </c>
      <c r="AO16" s="639">
        <f>IF(ISNUMBER(System!$C17),AB16,PlotData!$CB$3)</f>
        <v>0</v>
      </c>
      <c r="AQ16" s="1159">
        <v>14</v>
      </c>
      <c r="AR16" s="668">
        <f>IF(ISNUMBER(System!$C17),PlotData!O17+ Querverschiebung!$E$2*$AF$1*O16,PlotData!$CB$4)</f>
        <v>0</v>
      </c>
      <c r="AS16" s="721">
        <f>IF(ISNUMBER(System!$C17),PlotData!P17+ Querverschiebung!$E$2*$AF$1*P16,PlotData!$CB$4)</f>
        <v>0</v>
      </c>
      <c r="AT16" s="721">
        <f>IF(ISNUMBER(System!$C17),PlotData!Q17+ Querverschiebung!$E$2*$AF$1*Q16,PlotData!$CB$4)</f>
        <v>0</v>
      </c>
      <c r="AU16" s="721">
        <f>IF(ISNUMBER(System!$C17),PlotData!R17+ Querverschiebung!$E$2*$AF$1*R16,PlotData!$CB$4)</f>
        <v>0</v>
      </c>
      <c r="AV16" s="721">
        <f>IF(ISNUMBER(System!$C17),PlotData!S17+ Querverschiebung!$E$2*$AF$1*S16,PlotData!$CB$4)</f>
        <v>0</v>
      </c>
      <c r="AW16" s="721">
        <f>IF(ISNUMBER(System!$C17),PlotData!T17+ Querverschiebung!$E$2*$AF$1*T16,PlotData!$CB$4)</f>
        <v>0</v>
      </c>
      <c r="AX16" s="721">
        <f>IF(ISNUMBER(System!$C17),PlotData!U17+ Querverschiebung!$E$2*$AF$1*U16,PlotData!$CB$4)</f>
        <v>0</v>
      </c>
      <c r="AY16" s="721">
        <f>IF(ISNUMBER(System!$C17),PlotData!V17+ Querverschiebung!$E$2*$AF$1*V16,PlotData!$CB$4)</f>
        <v>0</v>
      </c>
      <c r="AZ16" s="721">
        <f>IF(ISNUMBER(System!$C17),PlotData!W17+ Querverschiebung!$E$2*$AF$1*W16,PlotData!$CB$4)</f>
        <v>0</v>
      </c>
      <c r="BA16" s="721">
        <f>IF(ISNUMBER(System!$C17),PlotData!X17+ Querverschiebung!$E$2*$AF$1*X16,PlotData!$CB$4)</f>
        <v>0</v>
      </c>
      <c r="BB16" s="639">
        <f>IF(ISNUMBER(System!$C17),PlotData!Y17+ Querverschiebung!$E$2*$AF$1*Y16,PlotData!$CB$4)</f>
        <v>0</v>
      </c>
      <c r="BC16" s="668">
        <f>IF(ISNUMBER(System!$C17),PlotData!Y17, PlotData!CB$4)</f>
        <v>0</v>
      </c>
      <c r="BD16" s="721">
        <f>IF(ISNUMBER(System!$C17),PlotData!O17, PlotData!$CB$4)</f>
        <v>0</v>
      </c>
      <c r="BE16" s="639">
        <f>IF(ISNUMBER(System!$C17), AR16,PlotData!$CB$4)</f>
        <v>0</v>
      </c>
    </row>
    <row r="17" spans="1:57" x14ac:dyDescent="0.25">
      <c r="A17" s="1124">
        <v>15</v>
      </c>
      <c r="B17" s="668"/>
      <c r="C17" s="721"/>
      <c r="D17" s="721"/>
      <c r="E17" s="721"/>
      <c r="F17" s="721"/>
      <c r="G17" s="721"/>
      <c r="H17" s="721"/>
      <c r="I17" s="721"/>
      <c r="J17" s="721"/>
      <c r="K17" s="721"/>
      <c r="L17" s="639"/>
      <c r="N17" s="1124">
        <v>15</v>
      </c>
      <c r="O17" s="668"/>
      <c r="P17" s="721"/>
      <c r="Q17" s="721"/>
      <c r="R17" s="721"/>
      <c r="S17" s="721"/>
      <c r="T17" s="721"/>
      <c r="U17" s="721"/>
      <c r="V17" s="721"/>
      <c r="W17" s="721"/>
      <c r="X17" s="721"/>
      <c r="Y17" s="639"/>
      <c r="AA17" s="1159">
        <v>15</v>
      </c>
      <c r="AB17" s="668">
        <f>IF(ISNUMBER(System!$C18),PlotData!B18+Querverschiebung!$E$2* $AF$1*B17,PlotData!$CB$3)</f>
        <v>0</v>
      </c>
      <c r="AC17" s="721">
        <f>IF(ISNUMBER(System!$C18),PlotData!C18+ Querverschiebung!$E$2*$AF$1*C17,PlotData!$CB$3)</f>
        <v>0</v>
      </c>
      <c r="AD17" s="721">
        <f>IF(ISNUMBER(System!$C18),PlotData!D18+Querverschiebung!$E$2* $AF$1*D17,PlotData!$CB$3)</f>
        <v>0</v>
      </c>
      <c r="AE17" s="721">
        <f>IF(ISNUMBER(System!$C18),PlotData!E18+ Querverschiebung!$E$2*$AF$1*E17,PlotData!$CB$3)</f>
        <v>0</v>
      </c>
      <c r="AF17" s="721">
        <f>IF(ISNUMBER(System!$C18),PlotData!F18+ Querverschiebung!$E$2*$AF$1*F17,PlotData!$CB$3)</f>
        <v>0</v>
      </c>
      <c r="AG17" s="721">
        <f>IF(ISNUMBER(System!$C18),PlotData!G18+Querverschiebung!$E$2* $AF$1*G17,PlotData!$CB$3)</f>
        <v>0</v>
      </c>
      <c r="AH17" s="721">
        <f>IF(ISNUMBER(System!$C18),PlotData!H18+ Querverschiebung!$E$2*$AF$1*H17,PlotData!$CB$3)</f>
        <v>0</v>
      </c>
      <c r="AI17" s="721">
        <f>IF(ISNUMBER(System!$C18),PlotData!I18+Querverschiebung!$E$2* $AF$1*I17,PlotData!$CB$3)</f>
        <v>0</v>
      </c>
      <c r="AJ17" s="721">
        <f>IF(ISNUMBER(System!$C18),PlotData!J18+ Querverschiebung!$E$2*$AF$1*J17,PlotData!$CB$3)</f>
        <v>0</v>
      </c>
      <c r="AK17" s="721">
        <f>IF(ISNUMBER(System!$C18),PlotData!K18+ Querverschiebung!$E$2*$AF$1*K17,PlotData!$CB$3)</f>
        <v>0</v>
      </c>
      <c r="AL17" s="639">
        <f>IF(ISNUMBER(System!$C18),PlotData!L18+Querverschiebung!$E$2* $AF$1*L17,PlotData!$CB$3)</f>
        <v>0</v>
      </c>
      <c r="AM17" s="668">
        <f>IF(ISNUMBER(System!$C18),PlotData!L18,PlotData!$CB$3)</f>
        <v>0</v>
      </c>
      <c r="AN17" s="721">
        <f>IF(ISNUMBER(System!$C18),PlotData!B18,PlotData!$CB$3)</f>
        <v>0</v>
      </c>
      <c r="AO17" s="639">
        <f>IF(ISNUMBER(System!$C18),AB17,PlotData!$CB$3)</f>
        <v>0</v>
      </c>
      <c r="AQ17" s="1159">
        <v>15</v>
      </c>
      <c r="AR17" s="668">
        <f>IF(ISNUMBER(System!$C18),PlotData!O18+ Querverschiebung!$E$2*$AF$1*O17,PlotData!$CB$4)</f>
        <v>0</v>
      </c>
      <c r="AS17" s="721">
        <f>IF(ISNUMBER(System!$C18),PlotData!P18+ Querverschiebung!$E$2*$AF$1*P17,PlotData!$CB$4)</f>
        <v>0</v>
      </c>
      <c r="AT17" s="721">
        <f>IF(ISNUMBER(System!$C18),PlotData!Q18+ Querverschiebung!$E$2*$AF$1*Q17,PlotData!$CB$4)</f>
        <v>0</v>
      </c>
      <c r="AU17" s="721">
        <f>IF(ISNUMBER(System!$C18),PlotData!R18+ Querverschiebung!$E$2*$AF$1*R17,PlotData!$CB$4)</f>
        <v>0</v>
      </c>
      <c r="AV17" s="721">
        <f>IF(ISNUMBER(System!$C18),PlotData!S18+ Querverschiebung!$E$2*$AF$1*S17,PlotData!$CB$4)</f>
        <v>0</v>
      </c>
      <c r="AW17" s="721">
        <f>IF(ISNUMBER(System!$C18),PlotData!T18+ Querverschiebung!$E$2*$AF$1*T17,PlotData!$CB$4)</f>
        <v>0</v>
      </c>
      <c r="AX17" s="721">
        <f>IF(ISNUMBER(System!$C18),PlotData!U18+ Querverschiebung!$E$2*$AF$1*U17,PlotData!$CB$4)</f>
        <v>0</v>
      </c>
      <c r="AY17" s="721">
        <f>IF(ISNUMBER(System!$C18),PlotData!V18+ Querverschiebung!$E$2*$AF$1*V17,PlotData!$CB$4)</f>
        <v>0</v>
      </c>
      <c r="AZ17" s="721">
        <f>IF(ISNUMBER(System!$C18),PlotData!W18+ Querverschiebung!$E$2*$AF$1*W17,PlotData!$CB$4)</f>
        <v>0</v>
      </c>
      <c r="BA17" s="721">
        <f>IF(ISNUMBER(System!$C18),PlotData!X18+ Querverschiebung!$E$2*$AF$1*X17,PlotData!$CB$4)</f>
        <v>0</v>
      </c>
      <c r="BB17" s="639">
        <f>IF(ISNUMBER(System!$C18),PlotData!Y18+ Querverschiebung!$E$2*$AF$1*Y17,PlotData!$CB$4)</f>
        <v>0</v>
      </c>
      <c r="BC17" s="668">
        <f>IF(ISNUMBER(System!$C18),PlotData!Y18, PlotData!CB$4)</f>
        <v>0</v>
      </c>
      <c r="BD17" s="721">
        <f>IF(ISNUMBER(System!$C18),PlotData!O18, PlotData!$CB$4)</f>
        <v>0</v>
      </c>
      <c r="BE17" s="639">
        <f>IF(ISNUMBER(System!$C18), AR17,PlotData!$CB$4)</f>
        <v>0</v>
      </c>
    </row>
    <row r="18" spans="1:57" x14ac:dyDescent="0.25">
      <c r="A18" s="1124">
        <v>16</v>
      </c>
      <c r="B18" s="668"/>
      <c r="C18" s="721"/>
      <c r="D18" s="721"/>
      <c r="E18" s="721"/>
      <c r="F18" s="721"/>
      <c r="G18" s="721"/>
      <c r="H18" s="721"/>
      <c r="I18" s="721"/>
      <c r="J18" s="721"/>
      <c r="K18" s="721"/>
      <c r="L18" s="639"/>
      <c r="N18" s="1124">
        <v>16</v>
      </c>
      <c r="O18" s="668"/>
      <c r="P18" s="721"/>
      <c r="Q18" s="721"/>
      <c r="R18" s="721"/>
      <c r="S18" s="721"/>
      <c r="T18" s="721"/>
      <c r="U18" s="721"/>
      <c r="V18" s="721"/>
      <c r="W18" s="721"/>
      <c r="X18" s="721"/>
      <c r="Y18" s="639"/>
      <c r="AA18" s="1159">
        <v>16</v>
      </c>
      <c r="AB18" s="668">
        <f>IF(ISNUMBER(System!$C19),PlotData!B19+Querverschiebung!$E$2* $AF$1*B18,PlotData!$CB$3)</f>
        <v>0</v>
      </c>
      <c r="AC18" s="721">
        <f>IF(ISNUMBER(System!$C19),PlotData!C19+ Querverschiebung!$E$2*$AF$1*C18,PlotData!$CB$3)</f>
        <v>0</v>
      </c>
      <c r="AD18" s="721">
        <f>IF(ISNUMBER(System!$C19),PlotData!D19+Querverschiebung!$E$2* $AF$1*D18,PlotData!$CB$3)</f>
        <v>0</v>
      </c>
      <c r="AE18" s="721">
        <f>IF(ISNUMBER(System!$C19),PlotData!E19+ Querverschiebung!$E$2*$AF$1*E18,PlotData!$CB$3)</f>
        <v>0</v>
      </c>
      <c r="AF18" s="721">
        <f>IF(ISNUMBER(System!$C19),PlotData!F19+ Querverschiebung!$E$2*$AF$1*F18,PlotData!$CB$3)</f>
        <v>0</v>
      </c>
      <c r="AG18" s="721">
        <f>IF(ISNUMBER(System!$C19),PlotData!G19+Querverschiebung!$E$2* $AF$1*G18,PlotData!$CB$3)</f>
        <v>0</v>
      </c>
      <c r="AH18" s="721">
        <f>IF(ISNUMBER(System!$C19),PlotData!H19+ Querverschiebung!$E$2*$AF$1*H18,PlotData!$CB$3)</f>
        <v>0</v>
      </c>
      <c r="AI18" s="721">
        <f>IF(ISNUMBER(System!$C19),PlotData!I19+Querverschiebung!$E$2* $AF$1*I18,PlotData!$CB$3)</f>
        <v>0</v>
      </c>
      <c r="AJ18" s="721">
        <f>IF(ISNUMBER(System!$C19),PlotData!J19+ Querverschiebung!$E$2*$AF$1*J18,PlotData!$CB$3)</f>
        <v>0</v>
      </c>
      <c r="AK18" s="721">
        <f>IF(ISNUMBER(System!$C19),PlotData!K19+ Querverschiebung!$E$2*$AF$1*K18,PlotData!$CB$3)</f>
        <v>0</v>
      </c>
      <c r="AL18" s="639">
        <f>IF(ISNUMBER(System!$C19),PlotData!L19+Querverschiebung!$E$2* $AF$1*L18,PlotData!$CB$3)</f>
        <v>0</v>
      </c>
      <c r="AM18" s="668">
        <f>IF(ISNUMBER(System!$C19),PlotData!L19,PlotData!$CB$3)</f>
        <v>0</v>
      </c>
      <c r="AN18" s="721">
        <f>IF(ISNUMBER(System!$C19),PlotData!B19,PlotData!$CB$3)</f>
        <v>0</v>
      </c>
      <c r="AO18" s="639">
        <f>IF(ISNUMBER(System!$C19),AB18,PlotData!$CB$3)</f>
        <v>0</v>
      </c>
      <c r="AQ18" s="1159">
        <v>16</v>
      </c>
      <c r="AR18" s="668">
        <f>IF(ISNUMBER(System!$C19),PlotData!O19+ Querverschiebung!$E$2*$AF$1*O18,PlotData!$CB$4)</f>
        <v>0</v>
      </c>
      <c r="AS18" s="721">
        <f>IF(ISNUMBER(System!$C19),PlotData!P19+ Querverschiebung!$E$2*$AF$1*P18,PlotData!$CB$4)</f>
        <v>0</v>
      </c>
      <c r="AT18" s="721">
        <f>IF(ISNUMBER(System!$C19),PlotData!Q19+ Querverschiebung!$E$2*$AF$1*Q18,PlotData!$CB$4)</f>
        <v>0</v>
      </c>
      <c r="AU18" s="721">
        <f>IF(ISNUMBER(System!$C19),PlotData!R19+ Querverschiebung!$E$2*$AF$1*R18,PlotData!$CB$4)</f>
        <v>0</v>
      </c>
      <c r="AV18" s="721">
        <f>IF(ISNUMBER(System!$C19),PlotData!S19+ Querverschiebung!$E$2*$AF$1*S18,PlotData!$CB$4)</f>
        <v>0</v>
      </c>
      <c r="AW18" s="721">
        <f>IF(ISNUMBER(System!$C19),PlotData!T19+ Querverschiebung!$E$2*$AF$1*T18,PlotData!$CB$4)</f>
        <v>0</v>
      </c>
      <c r="AX18" s="721">
        <f>IF(ISNUMBER(System!$C19),PlotData!U19+ Querverschiebung!$E$2*$AF$1*U18,PlotData!$CB$4)</f>
        <v>0</v>
      </c>
      <c r="AY18" s="721">
        <f>IF(ISNUMBER(System!$C19),PlotData!V19+ Querverschiebung!$E$2*$AF$1*V18,PlotData!$CB$4)</f>
        <v>0</v>
      </c>
      <c r="AZ18" s="721">
        <f>IF(ISNUMBER(System!$C19),PlotData!W19+ Querverschiebung!$E$2*$AF$1*W18,PlotData!$CB$4)</f>
        <v>0</v>
      </c>
      <c r="BA18" s="721">
        <f>IF(ISNUMBER(System!$C19),PlotData!X19+ Querverschiebung!$E$2*$AF$1*X18,PlotData!$CB$4)</f>
        <v>0</v>
      </c>
      <c r="BB18" s="639">
        <f>IF(ISNUMBER(System!$C19),PlotData!Y19+ Querverschiebung!$E$2*$AF$1*Y18,PlotData!$CB$4)</f>
        <v>0</v>
      </c>
      <c r="BC18" s="668">
        <f>IF(ISNUMBER(System!$C19),PlotData!Y19, PlotData!CB$4)</f>
        <v>0</v>
      </c>
      <c r="BD18" s="721">
        <f>IF(ISNUMBER(System!$C19),PlotData!O19, PlotData!$CB$4)</f>
        <v>0</v>
      </c>
      <c r="BE18" s="639">
        <f>IF(ISNUMBER(System!$C19), AR18,PlotData!$CB$4)</f>
        <v>0</v>
      </c>
    </row>
    <row r="19" spans="1:57" x14ac:dyDescent="0.25">
      <c r="A19" s="1124">
        <v>17</v>
      </c>
      <c r="B19" s="668"/>
      <c r="C19" s="721"/>
      <c r="D19" s="721"/>
      <c r="E19" s="721"/>
      <c r="F19" s="721"/>
      <c r="G19" s="721"/>
      <c r="H19" s="721"/>
      <c r="I19" s="721"/>
      <c r="J19" s="721"/>
      <c r="K19" s="721"/>
      <c r="L19" s="639"/>
      <c r="N19" s="1124">
        <v>17</v>
      </c>
      <c r="O19" s="668"/>
      <c r="P19" s="721"/>
      <c r="Q19" s="721"/>
      <c r="R19" s="721"/>
      <c r="S19" s="721"/>
      <c r="T19" s="721"/>
      <c r="U19" s="721"/>
      <c r="V19" s="721"/>
      <c r="W19" s="721"/>
      <c r="X19" s="721"/>
      <c r="Y19" s="639"/>
      <c r="AA19" s="1159">
        <v>17</v>
      </c>
      <c r="AB19" s="668">
        <f>IF(ISNUMBER(System!$C20),PlotData!B20+Querverschiebung!$E$2* $AF$1*B19,PlotData!$CB$3)</f>
        <v>0</v>
      </c>
      <c r="AC19" s="721">
        <f>IF(ISNUMBER(System!$C20),PlotData!C20+ Querverschiebung!$E$2*$AF$1*C19,PlotData!$CB$3)</f>
        <v>0</v>
      </c>
      <c r="AD19" s="721">
        <f>IF(ISNUMBER(System!$C20),PlotData!D20+Querverschiebung!$E$2* $AF$1*D19,PlotData!$CB$3)</f>
        <v>0</v>
      </c>
      <c r="AE19" s="721">
        <f>IF(ISNUMBER(System!$C20),PlotData!E20+ Querverschiebung!$E$2*$AF$1*E19,PlotData!$CB$3)</f>
        <v>0</v>
      </c>
      <c r="AF19" s="721">
        <f>IF(ISNUMBER(System!$C20),PlotData!F20+ Querverschiebung!$E$2*$AF$1*F19,PlotData!$CB$3)</f>
        <v>0</v>
      </c>
      <c r="AG19" s="721">
        <f>IF(ISNUMBER(System!$C20),PlotData!G20+Querverschiebung!$E$2* $AF$1*G19,PlotData!$CB$3)</f>
        <v>0</v>
      </c>
      <c r="AH19" s="721">
        <f>IF(ISNUMBER(System!$C20),PlotData!H20+ Querverschiebung!$E$2*$AF$1*H19,PlotData!$CB$3)</f>
        <v>0</v>
      </c>
      <c r="AI19" s="721">
        <f>IF(ISNUMBER(System!$C20),PlotData!I20+Querverschiebung!$E$2* $AF$1*I19,PlotData!$CB$3)</f>
        <v>0</v>
      </c>
      <c r="AJ19" s="721">
        <f>IF(ISNUMBER(System!$C20),PlotData!J20+ Querverschiebung!$E$2*$AF$1*J19,PlotData!$CB$3)</f>
        <v>0</v>
      </c>
      <c r="AK19" s="721">
        <f>IF(ISNUMBER(System!$C20),PlotData!K20+ Querverschiebung!$E$2*$AF$1*K19,PlotData!$CB$3)</f>
        <v>0</v>
      </c>
      <c r="AL19" s="639">
        <f>IF(ISNUMBER(System!$C20),PlotData!L20+Querverschiebung!$E$2* $AF$1*L19,PlotData!$CB$3)</f>
        <v>0</v>
      </c>
      <c r="AM19" s="668">
        <f>IF(ISNUMBER(System!$C20),PlotData!L20,PlotData!$CB$3)</f>
        <v>0</v>
      </c>
      <c r="AN19" s="721">
        <f>IF(ISNUMBER(System!$C20),PlotData!B20,PlotData!$CB$3)</f>
        <v>0</v>
      </c>
      <c r="AO19" s="639">
        <f>IF(ISNUMBER(System!$C20),AB19,PlotData!$CB$3)</f>
        <v>0</v>
      </c>
      <c r="AQ19" s="1159">
        <v>17</v>
      </c>
      <c r="AR19" s="668">
        <f>IF(ISNUMBER(System!$C20),PlotData!O20+ Querverschiebung!$E$2*$AF$1*O19,PlotData!$CB$4)</f>
        <v>0</v>
      </c>
      <c r="AS19" s="721">
        <f>IF(ISNUMBER(System!$C20),PlotData!P20+ Querverschiebung!$E$2*$AF$1*P19,PlotData!$CB$4)</f>
        <v>0</v>
      </c>
      <c r="AT19" s="721">
        <f>IF(ISNUMBER(System!$C20),PlotData!Q20+ Querverschiebung!$E$2*$AF$1*Q19,PlotData!$CB$4)</f>
        <v>0</v>
      </c>
      <c r="AU19" s="721">
        <f>IF(ISNUMBER(System!$C20),PlotData!R20+ Querverschiebung!$E$2*$AF$1*R19,PlotData!$CB$4)</f>
        <v>0</v>
      </c>
      <c r="AV19" s="721">
        <f>IF(ISNUMBER(System!$C20),PlotData!S20+ Querverschiebung!$E$2*$AF$1*S19,PlotData!$CB$4)</f>
        <v>0</v>
      </c>
      <c r="AW19" s="721">
        <f>IF(ISNUMBER(System!$C20),PlotData!T20+ Querverschiebung!$E$2*$AF$1*T19,PlotData!$CB$4)</f>
        <v>0</v>
      </c>
      <c r="AX19" s="721">
        <f>IF(ISNUMBER(System!$C20),PlotData!U20+ Querverschiebung!$E$2*$AF$1*U19,PlotData!$CB$4)</f>
        <v>0</v>
      </c>
      <c r="AY19" s="721">
        <f>IF(ISNUMBER(System!$C20),PlotData!V20+ Querverschiebung!$E$2*$AF$1*V19,PlotData!$CB$4)</f>
        <v>0</v>
      </c>
      <c r="AZ19" s="721">
        <f>IF(ISNUMBER(System!$C20),PlotData!W20+ Querverschiebung!$E$2*$AF$1*W19,PlotData!$CB$4)</f>
        <v>0</v>
      </c>
      <c r="BA19" s="721">
        <f>IF(ISNUMBER(System!$C20),PlotData!X20+ Querverschiebung!$E$2*$AF$1*X19,PlotData!$CB$4)</f>
        <v>0</v>
      </c>
      <c r="BB19" s="639">
        <f>IF(ISNUMBER(System!$C20),PlotData!Y20+ Querverschiebung!$E$2*$AF$1*Y19,PlotData!$CB$4)</f>
        <v>0</v>
      </c>
      <c r="BC19" s="668">
        <f>IF(ISNUMBER(System!$C20),PlotData!Y20, PlotData!CB$4)</f>
        <v>0</v>
      </c>
      <c r="BD19" s="721">
        <f>IF(ISNUMBER(System!$C20),PlotData!O20, PlotData!$CB$4)</f>
        <v>0</v>
      </c>
      <c r="BE19" s="639">
        <f>IF(ISNUMBER(System!$C20), AR19,PlotData!$CB$4)</f>
        <v>0</v>
      </c>
    </row>
    <row r="20" spans="1:57" x14ac:dyDescent="0.25">
      <c r="A20" s="1124">
        <v>18</v>
      </c>
      <c r="B20" s="668"/>
      <c r="C20" s="721"/>
      <c r="D20" s="721"/>
      <c r="E20" s="721"/>
      <c r="F20" s="721"/>
      <c r="G20" s="721"/>
      <c r="H20" s="721"/>
      <c r="I20" s="721"/>
      <c r="J20" s="721"/>
      <c r="K20" s="721"/>
      <c r="L20" s="639"/>
      <c r="N20" s="1124">
        <v>18</v>
      </c>
      <c r="O20" s="668"/>
      <c r="P20" s="721"/>
      <c r="Q20" s="721"/>
      <c r="R20" s="721"/>
      <c r="S20" s="721"/>
      <c r="T20" s="721"/>
      <c r="U20" s="721"/>
      <c r="V20" s="721"/>
      <c r="W20" s="721"/>
      <c r="X20" s="721"/>
      <c r="Y20" s="639"/>
      <c r="AA20" s="1159">
        <v>18</v>
      </c>
      <c r="AB20" s="668">
        <f>IF(ISNUMBER(System!$C21),PlotData!B21+Querverschiebung!$E$2* $AF$1*B20,PlotData!$CB$3)</f>
        <v>0</v>
      </c>
      <c r="AC20" s="721">
        <f>IF(ISNUMBER(System!$C21),PlotData!C21+ Querverschiebung!$E$2*$AF$1*C20,PlotData!$CB$3)</f>
        <v>0</v>
      </c>
      <c r="AD20" s="721">
        <f>IF(ISNUMBER(System!$C21),PlotData!D21+Querverschiebung!$E$2* $AF$1*D20,PlotData!$CB$3)</f>
        <v>0</v>
      </c>
      <c r="AE20" s="721">
        <f>IF(ISNUMBER(System!$C21),PlotData!E21+ Querverschiebung!$E$2*$AF$1*E20,PlotData!$CB$3)</f>
        <v>0</v>
      </c>
      <c r="AF20" s="721">
        <f>IF(ISNUMBER(System!$C21),PlotData!F21+ Querverschiebung!$E$2*$AF$1*F20,PlotData!$CB$3)</f>
        <v>0</v>
      </c>
      <c r="AG20" s="721">
        <f>IF(ISNUMBER(System!$C21),PlotData!G21+Querverschiebung!$E$2* $AF$1*G20,PlotData!$CB$3)</f>
        <v>0</v>
      </c>
      <c r="AH20" s="721">
        <f>IF(ISNUMBER(System!$C21),PlotData!H21+ Querverschiebung!$E$2*$AF$1*H20,PlotData!$CB$3)</f>
        <v>0</v>
      </c>
      <c r="AI20" s="721">
        <f>IF(ISNUMBER(System!$C21),PlotData!I21+Querverschiebung!$E$2* $AF$1*I20,PlotData!$CB$3)</f>
        <v>0</v>
      </c>
      <c r="AJ20" s="721">
        <f>IF(ISNUMBER(System!$C21),PlotData!J21+ Querverschiebung!$E$2*$AF$1*J20,PlotData!$CB$3)</f>
        <v>0</v>
      </c>
      <c r="AK20" s="721">
        <f>IF(ISNUMBER(System!$C21),PlotData!K21+ Querverschiebung!$E$2*$AF$1*K20,PlotData!$CB$3)</f>
        <v>0</v>
      </c>
      <c r="AL20" s="639">
        <f>IF(ISNUMBER(System!$C21),PlotData!L21+Querverschiebung!$E$2* $AF$1*L20,PlotData!$CB$3)</f>
        <v>0</v>
      </c>
      <c r="AM20" s="668">
        <f>IF(ISNUMBER(System!$C21),PlotData!L21,PlotData!$CB$3)</f>
        <v>0</v>
      </c>
      <c r="AN20" s="721">
        <f>IF(ISNUMBER(System!$C21),PlotData!B21,PlotData!$CB$3)</f>
        <v>0</v>
      </c>
      <c r="AO20" s="639">
        <f>IF(ISNUMBER(System!$C21),AB20,PlotData!$CB$3)</f>
        <v>0</v>
      </c>
      <c r="AQ20" s="1159">
        <v>18</v>
      </c>
      <c r="AR20" s="668">
        <f>IF(ISNUMBER(System!$C21),PlotData!O21+ Querverschiebung!$E$2*$AF$1*O20,PlotData!$CB$4)</f>
        <v>0</v>
      </c>
      <c r="AS20" s="721">
        <f>IF(ISNUMBER(System!$C21),PlotData!P21+ Querverschiebung!$E$2*$AF$1*P20,PlotData!$CB$4)</f>
        <v>0</v>
      </c>
      <c r="AT20" s="721">
        <f>IF(ISNUMBER(System!$C21),PlotData!Q21+ Querverschiebung!$E$2*$AF$1*Q20,PlotData!$CB$4)</f>
        <v>0</v>
      </c>
      <c r="AU20" s="721">
        <f>IF(ISNUMBER(System!$C21),PlotData!R21+ Querverschiebung!$E$2*$AF$1*R20,PlotData!$CB$4)</f>
        <v>0</v>
      </c>
      <c r="AV20" s="721">
        <f>IF(ISNUMBER(System!$C21),PlotData!S21+ Querverschiebung!$E$2*$AF$1*S20,PlotData!$CB$4)</f>
        <v>0</v>
      </c>
      <c r="AW20" s="721">
        <f>IF(ISNUMBER(System!$C21),PlotData!T21+ Querverschiebung!$E$2*$AF$1*T20,PlotData!$CB$4)</f>
        <v>0</v>
      </c>
      <c r="AX20" s="721">
        <f>IF(ISNUMBER(System!$C21),PlotData!U21+ Querverschiebung!$E$2*$AF$1*U20,PlotData!$CB$4)</f>
        <v>0</v>
      </c>
      <c r="AY20" s="721">
        <f>IF(ISNUMBER(System!$C21),PlotData!V21+ Querverschiebung!$E$2*$AF$1*V20,PlotData!$CB$4)</f>
        <v>0</v>
      </c>
      <c r="AZ20" s="721">
        <f>IF(ISNUMBER(System!$C21),PlotData!W21+ Querverschiebung!$E$2*$AF$1*W20,PlotData!$CB$4)</f>
        <v>0</v>
      </c>
      <c r="BA20" s="721">
        <f>IF(ISNUMBER(System!$C21),PlotData!X21+ Querverschiebung!$E$2*$AF$1*X20,PlotData!$CB$4)</f>
        <v>0</v>
      </c>
      <c r="BB20" s="639">
        <f>IF(ISNUMBER(System!$C21),PlotData!Y21+ Querverschiebung!$E$2*$AF$1*Y20,PlotData!$CB$4)</f>
        <v>0</v>
      </c>
      <c r="BC20" s="668">
        <f>IF(ISNUMBER(System!$C21),PlotData!Y21, PlotData!CB$4)</f>
        <v>0</v>
      </c>
      <c r="BD20" s="721">
        <f>IF(ISNUMBER(System!$C21),PlotData!O21, PlotData!$CB$4)</f>
        <v>0</v>
      </c>
      <c r="BE20" s="639">
        <f>IF(ISNUMBER(System!$C21), AR20,PlotData!$CB$4)</f>
        <v>0</v>
      </c>
    </row>
    <row r="21" spans="1:57" x14ac:dyDescent="0.25">
      <c r="A21" s="1124">
        <v>19</v>
      </c>
      <c r="B21" s="668"/>
      <c r="C21" s="721"/>
      <c r="D21" s="721"/>
      <c r="E21" s="721"/>
      <c r="F21" s="721"/>
      <c r="G21" s="721"/>
      <c r="H21" s="721"/>
      <c r="I21" s="721"/>
      <c r="J21" s="721"/>
      <c r="K21" s="721"/>
      <c r="L21" s="639"/>
      <c r="N21" s="1124">
        <v>19</v>
      </c>
      <c r="O21" s="668"/>
      <c r="P21" s="721"/>
      <c r="Q21" s="721"/>
      <c r="R21" s="721"/>
      <c r="S21" s="721"/>
      <c r="T21" s="721"/>
      <c r="U21" s="721"/>
      <c r="V21" s="721"/>
      <c r="W21" s="721"/>
      <c r="X21" s="721"/>
      <c r="Y21" s="639"/>
      <c r="AA21" s="1159">
        <v>19</v>
      </c>
      <c r="AB21" s="668">
        <f>IF(ISNUMBER(System!$C22),PlotData!B22+Querverschiebung!$E$2* $AF$1*B21,PlotData!$CB$3)</f>
        <v>0</v>
      </c>
      <c r="AC21" s="721">
        <f>IF(ISNUMBER(System!$C22),PlotData!C22+ Querverschiebung!$E$2*$AF$1*C21,PlotData!$CB$3)</f>
        <v>0</v>
      </c>
      <c r="AD21" s="721">
        <f>IF(ISNUMBER(System!$C22),PlotData!D22+Querverschiebung!$E$2* $AF$1*D21,PlotData!$CB$3)</f>
        <v>0</v>
      </c>
      <c r="AE21" s="721">
        <f>IF(ISNUMBER(System!$C22),PlotData!E22+ Querverschiebung!$E$2*$AF$1*E21,PlotData!$CB$3)</f>
        <v>0</v>
      </c>
      <c r="AF21" s="721">
        <f>IF(ISNUMBER(System!$C22),PlotData!F22+ Querverschiebung!$E$2*$AF$1*F21,PlotData!$CB$3)</f>
        <v>0</v>
      </c>
      <c r="AG21" s="721">
        <f>IF(ISNUMBER(System!$C22),PlotData!G22+Querverschiebung!$E$2* $AF$1*G21,PlotData!$CB$3)</f>
        <v>0</v>
      </c>
      <c r="AH21" s="721">
        <f>IF(ISNUMBER(System!$C22),PlotData!H22+ Querverschiebung!$E$2*$AF$1*H21,PlotData!$CB$3)</f>
        <v>0</v>
      </c>
      <c r="AI21" s="721">
        <f>IF(ISNUMBER(System!$C22),PlotData!I22+Querverschiebung!$E$2* $AF$1*I21,PlotData!$CB$3)</f>
        <v>0</v>
      </c>
      <c r="AJ21" s="721">
        <f>IF(ISNUMBER(System!$C22),PlotData!J22+ Querverschiebung!$E$2*$AF$1*J21,PlotData!$CB$3)</f>
        <v>0</v>
      </c>
      <c r="AK21" s="721">
        <f>IF(ISNUMBER(System!$C22),PlotData!K22+ Querverschiebung!$E$2*$AF$1*K21,PlotData!$CB$3)</f>
        <v>0</v>
      </c>
      <c r="AL21" s="639">
        <f>IF(ISNUMBER(System!$C22),PlotData!L22+Querverschiebung!$E$2* $AF$1*L21,PlotData!$CB$3)</f>
        <v>0</v>
      </c>
      <c r="AM21" s="668">
        <f>IF(ISNUMBER(System!$C22),PlotData!L22,PlotData!$CB$3)</f>
        <v>0</v>
      </c>
      <c r="AN21" s="721">
        <f>IF(ISNUMBER(System!$C22),PlotData!B22,PlotData!$CB$3)</f>
        <v>0</v>
      </c>
      <c r="AO21" s="639">
        <f>IF(ISNUMBER(System!$C22),AB21,PlotData!$CB$3)</f>
        <v>0</v>
      </c>
      <c r="AQ21" s="1159">
        <v>19</v>
      </c>
      <c r="AR21" s="668">
        <f>IF(ISNUMBER(System!$C22),PlotData!O22+ Querverschiebung!$E$2*$AF$1*O21,PlotData!$CB$4)</f>
        <v>0</v>
      </c>
      <c r="AS21" s="721">
        <f>IF(ISNUMBER(System!$C22),PlotData!P22+ Querverschiebung!$E$2*$AF$1*P21,PlotData!$CB$4)</f>
        <v>0</v>
      </c>
      <c r="AT21" s="721">
        <f>IF(ISNUMBER(System!$C22),PlotData!Q22+ Querverschiebung!$E$2*$AF$1*Q21,PlotData!$CB$4)</f>
        <v>0</v>
      </c>
      <c r="AU21" s="721">
        <f>IF(ISNUMBER(System!$C22),PlotData!R22+ Querverschiebung!$E$2*$AF$1*R21,PlotData!$CB$4)</f>
        <v>0</v>
      </c>
      <c r="AV21" s="721">
        <f>IF(ISNUMBER(System!$C22),PlotData!S22+ Querverschiebung!$E$2*$AF$1*S21,PlotData!$CB$4)</f>
        <v>0</v>
      </c>
      <c r="AW21" s="721">
        <f>IF(ISNUMBER(System!$C22),PlotData!T22+ Querverschiebung!$E$2*$AF$1*T21,PlotData!$CB$4)</f>
        <v>0</v>
      </c>
      <c r="AX21" s="721">
        <f>IF(ISNUMBER(System!$C22),PlotData!U22+ Querverschiebung!$E$2*$AF$1*U21,PlotData!$CB$4)</f>
        <v>0</v>
      </c>
      <c r="AY21" s="721">
        <f>IF(ISNUMBER(System!$C22),PlotData!V22+ Querverschiebung!$E$2*$AF$1*V21,PlotData!$CB$4)</f>
        <v>0</v>
      </c>
      <c r="AZ21" s="721">
        <f>IF(ISNUMBER(System!$C22),PlotData!W22+ Querverschiebung!$E$2*$AF$1*W21,PlotData!$CB$4)</f>
        <v>0</v>
      </c>
      <c r="BA21" s="721">
        <f>IF(ISNUMBER(System!$C22),PlotData!X22+ Querverschiebung!$E$2*$AF$1*X21,PlotData!$CB$4)</f>
        <v>0</v>
      </c>
      <c r="BB21" s="639">
        <f>IF(ISNUMBER(System!$C22),PlotData!Y22+ Querverschiebung!$E$2*$AF$1*Y21,PlotData!$CB$4)</f>
        <v>0</v>
      </c>
      <c r="BC21" s="668">
        <f>IF(ISNUMBER(System!$C22),PlotData!Y22, PlotData!CB$4)</f>
        <v>0</v>
      </c>
      <c r="BD21" s="721">
        <f>IF(ISNUMBER(System!$C22),PlotData!O22, PlotData!$CB$4)</f>
        <v>0</v>
      </c>
      <c r="BE21" s="639">
        <f>IF(ISNUMBER(System!$C22), AR21,PlotData!$CB$4)</f>
        <v>0</v>
      </c>
    </row>
    <row r="22" spans="1:57" x14ac:dyDescent="0.25">
      <c r="A22" s="1147">
        <v>20</v>
      </c>
      <c r="B22" s="1132"/>
      <c r="C22" s="1133"/>
      <c r="D22" s="1133"/>
      <c r="E22" s="1133"/>
      <c r="F22" s="1133"/>
      <c r="G22" s="1133"/>
      <c r="H22" s="1133"/>
      <c r="I22" s="1133"/>
      <c r="J22" s="1133"/>
      <c r="K22" s="1133"/>
      <c r="L22" s="1134"/>
      <c r="N22" s="1147">
        <v>20</v>
      </c>
      <c r="O22" s="1132"/>
      <c r="P22" s="1133"/>
      <c r="Q22" s="1133"/>
      <c r="R22" s="1133"/>
      <c r="S22" s="1133"/>
      <c r="T22" s="1133"/>
      <c r="U22" s="1133"/>
      <c r="V22" s="1133"/>
      <c r="W22" s="1133"/>
      <c r="X22" s="1133"/>
      <c r="Y22" s="1134"/>
      <c r="AA22" s="1160">
        <v>20</v>
      </c>
      <c r="AB22" s="668">
        <f>IF(ISNUMBER(System!$C23),PlotData!B23+Querverschiebung!$E$2* $AF$1*B22,PlotData!$CB$3)</f>
        <v>0</v>
      </c>
      <c r="AC22" s="721">
        <f>IF(ISNUMBER(System!$C23),PlotData!C23+ Querverschiebung!$E$2*$AF$1*C22,PlotData!$CB$3)</f>
        <v>0</v>
      </c>
      <c r="AD22" s="721">
        <f>IF(ISNUMBER(System!$C23),PlotData!D23+Querverschiebung!$E$2* $AF$1*D22,PlotData!$CB$3)</f>
        <v>0</v>
      </c>
      <c r="AE22" s="721">
        <f>IF(ISNUMBER(System!$C23),PlotData!E23+ Querverschiebung!$E$2*$AF$1*E22,PlotData!$CB$3)</f>
        <v>0</v>
      </c>
      <c r="AF22" s="721">
        <f>IF(ISNUMBER(System!$C23),PlotData!F23+ Querverschiebung!$E$2*$AF$1*F22,PlotData!$CB$3)</f>
        <v>0</v>
      </c>
      <c r="AG22" s="721">
        <f>IF(ISNUMBER(System!$C23),PlotData!G23+Querverschiebung!$E$2* $AF$1*G22,PlotData!$CB$3)</f>
        <v>0</v>
      </c>
      <c r="AH22" s="721">
        <f>IF(ISNUMBER(System!$C23),PlotData!H23+ Querverschiebung!$E$2*$AF$1*H22,PlotData!$CB$3)</f>
        <v>0</v>
      </c>
      <c r="AI22" s="721">
        <f>IF(ISNUMBER(System!$C23),PlotData!I23+Querverschiebung!$E$2* $AF$1*I22,PlotData!$CB$3)</f>
        <v>0</v>
      </c>
      <c r="AJ22" s="721">
        <f>IF(ISNUMBER(System!$C23),PlotData!J23+ Querverschiebung!$E$2*$AF$1*J22,PlotData!$CB$3)</f>
        <v>0</v>
      </c>
      <c r="AK22" s="721">
        <f>IF(ISNUMBER(System!$C23),PlotData!K23+ Querverschiebung!$E$2*$AF$1*K22,PlotData!$CB$3)</f>
        <v>0</v>
      </c>
      <c r="AL22" s="639">
        <f>IF(ISNUMBER(System!$C23),PlotData!L23+Querverschiebung!$E$2* $AF$1*L22,PlotData!$CB$3)</f>
        <v>0</v>
      </c>
      <c r="AM22" s="668">
        <f>IF(ISNUMBER(System!$C23),PlotData!L23,PlotData!$CB$3)</f>
        <v>0</v>
      </c>
      <c r="AN22" s="721">
        <f>IF(ISNUMBER(System!$C23),PlotData!B23,PlotData!$CB$3)</f>
        <v>0</v>
      </c>
      <c r="AO22" s="639">
        <f>IF(ISNUMBER(System!$C23),AB22,PlotData!$CB$3)</f>
        <v>0</v>
      </c>
      <c r="AQ22" s="1160">
        <v>20</v>
      </c>
      <c r="AR22" s="668">
        <f>IF(ISNUMBER(System!$C23),PlotData!O23+ Querverschiebung!$E$2*$AF$1*O22,PlotData!$CB$4)</f>
        <v>0</v>
      </c>
      <c r="AS22" s="721">
        <f>IF(ISNUMBER(System!$C23),PlotData!P23+ Querverschiebung!$E$2*$AF$1*P22,PlotData!$CB$4)</f>
        <v>0</v>
      </c>
      <c r="AT22" s="721">
        <f>IF(ISNUMBER(System!$C23),PlotData!Q23+ Querverschiebung!$E$2*$AF$1*Q22,PlotData!$CB$4)</f>
        <v>0</v>
      </c>
      <c r="AU22" s="721">
        <f>IF(ISNUMBER(System!$C23),PlotData!R23+ Querverschiebung!$E$2*$AF$1*R22,PlotData!$CB$4)</f>
        <v>0</v>
      </c>
      <c r="AV22" s="721">
        <f>IF(ISNUMBER(System!$C23),PlotData!S23+ Querverschiebung!$E$2*$AF$1*S22,PlotData!$CB$4)</f>
        <v>0</v>
      </c>
      <c r="AW22" s="721">
        <f>IF(ISNUMBER(System!$C23),PlotData!T23+ Querverschiebung!$E$2*$AF$1*T22,PlotData!$CB$4)</f>
        <v>0</v>
      </c>
      <c r="AX22" s="721">
        <f>IF(ISNUMBER(System!$C23),PlotData!U23+ Querverschiebung!$E$2*$AF$1*U22,PlotData!$CB$4)</f>
        <v>0</v>
      </c>
      <c r="AY22" s="721">
        <f>IF(ISNUMBER(System!$C23),PlotData!V23+ Querverschiebung!$E$2*$AF$1*V22,PlotData!$CB$4)</f>
        <v>0</v>
      </c>
      <c r="AZ22" s="721">
        <f>IF(ISNUMBER(System!$C23),PlotData!W23+ Querverschiebung!$E$2*$AF$1*W22,PlotData!$CB$4)</f>
        <v>0</v>
      </c>
      <c r="BA22" s="721">
        <f>IF(ISNUMBER(System!$C23),PlotData!X23+ Querverschiebung!$E$2*$AF$1*X22,PlotData!$CB$4)</f>
        <v>0</v>
      </c>
      <c r="BB22" s="639">
        <f>IF(ISNUMBER(System!$C23),PlotData!Y23+ Querverschiebung!$E$2*$AF$1*Y22,PlotData!$CB$4)</f>
        <v>0</v>
      </c>
      <c r="BC22" s="668">
        <f>IF(ISNUMBER(System!$C23),PlotData!Y23, PlotData!CB$4)</f>
        <v>0</v>
      </c>
      <c r="BD22" s="721">
        <f>IF(ISNUMBER(System!$C23),PlotData!O23, PlotData!$CB$4)</f>
        <v>0</v>
      </c>
      <c r="BE22" s="639">
        <f>IF(ISNUMBER(System!$C23), AR22,PlotData!$CB$4)</f>
        <v>0</v>
      </c>
    </row>
    <row r="23" spans="1:57" x14ac:dyDescent="0.25">
      <c r="A23" s="1124">
        <v>21</v>
      </c>
      <c r="B23" s="668"/>
      <c r="C23" s="721"/>
      <c r="D23" s="721"/>
      <c r="E23" s="721"/>
      <c r="F23" s="721"/>
      <c r="G23" s="721"/>
      <c r="H23" s="721"/>
      <c r="I23" s="721"/>
      <c r="J23" s="721"/>
      <c r="K23" s="721"/>
      <c r="L23" s="639"/>
      <c r="N23" s="1124">
        <v>21</v>
      </c>
      <c r="O23" s="668"/>
      <c r="P23" s="721"/>
      <c r="Q23" s="721"/>
      <c r="R23" s="721"/>
      <c r="S23" s="721"/>
      <c r="T23" s="721"/>
      <c r="U23" s="721"/>
      <c r="V23" s="721"/>
      <c r="W23" s="721"/>
      <c r="X23" s="721"/>
      <c r="Y23" s="639"/>
      <c r="AA23" s="1159">
        <v>21</v>
      </c>
      <c r="AB23" s="668">
        <f>IF(ISNUMBER(System!$C24),PlotData!B24+Querverschiebung!$E$2* $AF$1*B23,PlotData!$CB$3)</f>
        <v>0</v>
      </c>
      <c r="AC23" s="721">
        <f>IF(ISNUMBER(System!$C24),PlotData!C24+ Querverschiebung!$E$2*$AF$1*C23,PlotData!$CB$3)</f>
        <v>0</v>
      </c>
      <c r="AD23" s="721">
        <f>IF(ISNUMBER(System!$C24),PlotData!D24+Querverschiebung!$E$2* $AF$1*D23,PlotData!$CB$3)</f>
        <v>0</v>
      </c>
      <c r="AE23" s="721">
        <f>IF(ISNUMBER(System!$C24),PlotData!E24+ Querverschiebung!$E$2*$AF$1*E23,PlotData!$CB$3)</f>
        <v>0</v>
      </c>
      <c r="AF23" s="721">
        <f>IF(ISNUMBER(System!$C24),PlotData!F24+ Querverschiebung!$E$2*$AF$1*F23,PlotData!$CB$3)</f>
        <v>0</v>
      </c>
      <c r="AG23" s="721">
        <f>IF(ISNUMBER(System!$C24),PlotData!G24+Querverschiebung!$E$2* $AF$1*G23,PlotData!$CB$3)</f>
        <v>0</v>
      </c>
      <c r="AH23" s="721">
        <f>IF(ISNUMBER(System!$C24),PlotData!H24+ Querverschiebung!$E$2*$AF$1*H23,PlotData!$CB$3)</f>
        <v>0</v>
      </c>
      <c r="AI23" s="721">
        <f>IF(ISNUMBER(System!$C24),PlotData!I24+Querverschiebung!$E$2* $AF$1*I23,PlotData!$CB$3)</f>
        <v>0</v>
      </c>
      <c r="AJ23" s="721">
        <f>IF(ISNUMBER(System!$C24),PlotData!J24+ Querverschiebung!$E$2*$AF$1*J23,PlotData!$CB$3)</f>
        <v>0</v>
      </c>
      <c r="AK23" s="721">
        <f>IF(ISNUMBER(System!$C24),PlotData!K24+ Querverschiebung!$E$2*$AF$1*K23,PlotData!$CB$3)</f>
        <v>0</v>
      </c>
      <c r="AL23" s="639">
        <f>IF(ISNUMBER(System!$C24),PlotData!L24+Querverschiebung!$E$2* $AF$1*L23,PlotData!$CB$3)</f>
        <v>0</v>
      </c>
      <c r="AM23" s="668">
        <f>IF(ISNUMBER(System!$C24),PlotData!L24,PlotData!$CB$3)</f>
        <v>0</v>
      </c>
      <c r="AN23" s="721">
        <f>IF(ISNUMBER(System!$C24),PlotData!B24,PlotData!$CB$3)</f>
        <v>0</v>
      </c>
      <c r="AO23" s="639">
        <f>IF(ISNUMBER(System!$C24),AB23,PlotData!$CB$3)</f>
        <v>0</v>
      </c>
      <c r="AQ23" s="1159">
        <v>21</v>
      </c>
      <c r="AR23" s="668">
        <f>IF(ISNUMBER(System!$C24),PlotData!O24+ Querverschiebung!$E$2*$AF$1*O23,PlotData!$CB$4)</f>
        <v>0</v>
      </c>
      <c r="AS23" s="721">
        <f>IF(ISNUMBER(System!$C24),PlotData!P24+ Querverschiebung!$E$2*$AF$1*P23,PlotData!$CB$4)</f>
        <v>0</v>
      </c>
      <c r="AT23" s="721">
        <f>IF(ISNUMBER(System!$C24),PlotData!Q24+ Querverschiebung!$E$2*$AF$1*Q23,PlotData!$CB$4)</f>
        <v>0</v>
      </c>
      <c r="AU23" s="721">
        <f>IF(ISNUMBER(System!$C24),PlotData!R24+ Querverschiebung!$E$2*$AF$1*R23,PlotData!$CB$4)</f>
        <v>0</v>
      </c>
      <c r="AV23" s="721">
        <f>IF(ISNUMBER(System!$C24),PlotData!S24+ Querverschiebung!$E$2*$AF$1*S23,PlotData!$CB$4)</f>
        <v>0</v>
      </c>
      <c r="AW23" s="721">
        <f>IF(ISNUMBER(System!$C24),PlotData!T24+ Querverschiebung!$E$2*$AF$1*T23,PlotData!$CB$4)</f>
        <v>0</v>
      </c>
      <c r="AX23" s="721">
        <f>IF(ISNUMBER(System!$C24),PlotData!U24+ Querverschiebung!$E$2*$AF$1*U23,PlotData!$CB$4)</f>
        <v>0</v>
      </c>
      <c r="AY23" s="721">
        <f>IF(ISNUMBER(System!$C24),PlotData!V24+ Querverschiebung!$E$2*$AF$1*V23,PlotData!$CB$4)</f>
        <v>0</v>
      </c>
      <c r="AZ23" s="721">
        <f>IF(ISNUMBER(System!$C24),PlotData!W24+ Querverschiebung!$E$2*$AF$1*W23,PlotData!$CB$4)</f>
        <v>0</v>
      </c>
      <c r="BA23" s="721">
        <f>IF(ISNUMBER(System!$C24),PlotData!X24+ Querverschiebung!$E$2*$AF$1*X23,PlotData!$CB$4)</f>
        <v>0</v>
      </c>
      <c r="BB23" s="639">
        <f>IF(ISNUMBER(System!$C24),PlotData!Y24+ Querverschiebung!$E$2*$AF$1*Y23,PlotData!$CB$4)</f>
        <v>0</v>
      </c>
      <c r="BC23" s="668">
        <f>IF(ISNUMBER(System!$C24),PlotData!Y24, PlotData!CB$4)</f>
        <v>0</v>
      </c>
      <c r="BD23" s="721">
        <f>IF(ISNUMBER(System!$C24),PlotData!O24, PlotData!$CB$4)</f>
        <v>0</v>
      </c>
      <c r="BE23" s="639">
        <f>IF(ISNUMBER(System!$C24), AR23,PlotData!$CB$4)</f>
        <v>0</v>
      </c>
    </row>
    <row r="24" spans="1:57" x14ac:dyDescent="0.25">
      <c r="A24" s="1124">
        <v>22</v>
      </c>
      <c r="B24" s="668"/>
      <c r="C24" s="721"/>
      <c r="D24" s="721"/>
      <c r="E24" s="721"/>
      <c r="F24" s="721"/>
      <c r="G24" s="721"/>
      <c r="H24" s="721"/>
      <c r="I24" s="721"/>
      <c r="J24" s="721"/>
      <c r="K24" s="721"/>
      <c r="L24" s="639"/>
      <c r="N24" s="1124">
        <v>22</v>
      </c>
      <c r="O24" s="668"/>
      <c r="P24" s="721"/>
      <c r="Q24" s="721"/>
      <c r="R24" s="721"/>
      <c r="S24" s="721"/>
      <c r="T24" s="721"/>
      <c r="U24" s="721"/>
      <c r="V24" s="721"/>
      <c r="W24" s="721"/>
      <c r="X24" s="721"/>
      <c r="Y24" s="639"/>
      <c r="AA24" s="1159">
        <v>22</v>
      </c>
      <c r="AB24" s="668">
        <f>IF(ISNUMBER(System!$C25),PlotData!B25+Querverschiebung!$E$2* $AF$1*B24,PlotData!$CB$3)</f>
        <v>0</v>
      </c>
      <c r="AC24" s="721">
        <f>IF(ISNUMBER(System!$C25),PlotData!C25+ Querverschiebung!$E$2*$AF$1*C24,PlotData!$CB$3)</f>
        <v>0</v>
      </c>
      <c r="AD24" s="721">
        <f>IF(ISNUMBER(System!$C25),PlotData!D25+Querverschiebung!$E$2* $AF$1*D24,PlotData!$CB$3)</f>
        <v>0</v>
      </c>
      <c r="AE24" s="721">
        <f>IF(ISNUMBER(System!$C25),PlotData!E25+ Querverschiebung!$E$2*$AF$1*E24,PlotData!$CB$3)</f>
        <v>0</v>
      </c>
      <c r="AF24" s="721">
        <f>IF(ISNUMBER(System!$C25),PlotData!F25+ Querverschiebung!$E$2*$AF$1*F24,PlotData!$CB$3)</f>
        <v>0</v>
      </c>
      <c r="AG24" s="721">
        <f>IF(ISNUMBER(System!$C25),PlotData!G25+Querverschiebung!$E$2* $AF$1*G24,PlotData!$CB$3)</f>
        <v>0</v>
      </c>
      <c r="AH24" s="721">
        <f>IF(ISNUMBER(System!$C25),PlotData!H25+ Querverschiebung!$E$2*$AF$1*H24,PlotData!$CB$3)</f>
        <v>0</v>
      </c>
      <c r="AI24" s="721">
        <f>IF(ISNUMBER(System!$C25),PlotData!I25+Querverschiebung!$E$2* $AF$1*I24,PlotData!$CB$3)</f>
        <v>0</v>
      </c>
      <c r="AJ24" s="721">
        <f>IF(ISNUMBER(System!$C25),PlotData!J25+ Querverschiebung!$E$2*$AF$1*J24,PlotData!$CB$3)</f>
        <v>0</v>
      </c>
      <c r="AK24" s="721">
        <f>IF(ISNUMBER(System!$C25),PlotData!K25+ Querverschiebung!$E$2*$AF$1*K24,PlotData!$CB$3)</f>
        <v>0</v>
      </c>
      <c r="AL24" s="639">
        <f>IF(ISNUMBER(System!$C25),PlotData!L25+Querverschiebung!$E$2* $AF$1*L24,PlotData!$CB$3)</f>
        <v>0</v>
      </c>
      <c r="AM24" s="668">
        <f>IF(ISNUMBER(System!$C25),PlotData!L25,PlotData!$CB$3)</f>
        <v>0</v>
      </c>
      <c r="AN24" s="721">
        <f>IF(ISNUMBER(System!$C25),PlotData!B25,PlotData!$CB$3)</f>
        <v>0</v>
      </c>
      <c r="AO24" s="639">
        <f>IF(ISNUMBER(System!$C25),AB24,PlotData!$CB$3)</f>
        <v>0</v>
      </c>
      <c r="AQ24" s="1159">
        <v>22</v>
      </c>
      <c r="AR24" s="668">
        <f>IF(ISNUMBER(System!$C25),PlotData!O25+ Querverschiebung!$E$2*$AF$1*O24,PlotData!$CB$4)</f>
        <v>0</v>
      </c>
      <c r="AS24" s="721">
        <f>IF(ISNUMBER(System!$C25),PlotData!P25+ Querverschiebung!$E$2*$AF$1*P24,PlotData!$CB$4)</f>
        <v>0</v>
      </c>
      <c r="AT24" s="721">
        <f>IF(ISNUMBER(System!$C25),PlotData!Q25+ Querverschiebung!$E$2*$AF$1*Q24,PlotData!$CB$4)</f>
        <v>0</v>
      </c>
      <c r="AU24" s="721">
        <f>IF(ISNUMBER(System!$C25),PlotData!R25+ Querverschiebung!$E$2*$AF$1*R24,PlotData!$CB$4)</f>
        <v>0</v>
      </c>
      <c r="AV24" s="721">
        <f>IF(ISNUMBER(System!$C25),PlotData!S25+ Querverschiebung!$E$2*$AF$1*S24,PlotData!$CB$4)</f>
        <v>0</v>
      </c>
      <c r="AW24" s="721">
        <f>IF(ISNUMBER(System!$C25),PlotData!T25+ Querverschiebung!$E$2*$AF$1*T24,PlotData!$CB$4)</f>
        <v>0</v>
      </c>
      <c r="AX24" s="721">
        <f>IF(ISNUMBER(System!$C25),PlotData!U25+ Querverschiebung!$E$2*$AF$1*U24,PlotData!$CB$4)</f>
        <v>0</v>
      </c>
      <c r="AY24" s="721">
        <f>IF(ISNUMBER(System!$C25),PlotData!V25+ Querverschiebung!$E$2*$AF$1*V24,PlotData!$CB$4)</f>
        <v>0</v>
      </c>
      <c r="AZ24" s="721">
        <f>IF(ISNUMBER(System!$C25),PlotData!W25+ Querverschiebung!$E$2*$AF$1*W24,PlotData!$CB$4)</f>
        <v>0</v>
      </c>
      <c r="BA24" s="721">
        <f>IF(ISNUMBER(System!$C25),PlotData!X25+ Querverschiebung!$E$2*$AF$1*X24,PlotData!$CB$4)</f>
        <v>0</v>
      </c>
      <c r="BB24" s="639">
        <f>IF(ISNUMBER(System!$C25),PlotData!Y25+ Querverschiebung!$E$2*$AF$1*Y24,PlotData!$CB$4)</f>
        <v>0</v>
      </c>
      <c r="BC24" s="668">
        <f>IF(ISNUMBER(System!$C25),PlotData!Y25, PlotData!CB$4)</f>
        <v>0</v>
      </c>
      <c r="BD24" s="721">
        <f>IF(ISNUMBER(System!$C25),PlotData!O25, PlotData!$CB$4)</f>
        <v>0</v>
      </c>
      <c r="BE24" s="639">
        <f>IF(ISNUMBER(System!$C25), AR24,PlotData!$CB$4)</f>
        <v>0</v>
      </c>
    </row>
    <row r="25" spans="1:57" x14ac:dyDescent="0.25">
      <c r="A25" s="1124">
        <v>23</v>
      </c>
      <c r="B25" s="668"/>
      <c r="C25" s="721"/>
      <c r="D25" s="721"/>
      <c r="E25" s="721"/>
      <c r="F25" s="721"/>
      <c r="G25" s="721"/>
      <c r="H25" s="721"/>
      <c r="I25" s="721"/>
      <c r="J25" s="721"/>
      <c r="K25" s="721"/>
      <c r="L25" s="639"/>
      <c r="N25" s="1124">
        <v>23</v>
      </c>
      <c r="O25" s="668"/>
      <c r="P25" s="721"/>
      <c r="Q25" s="721"/>
      <c r="R25" s="721"/>
      <c r="S25" s="721"/>
      <c r="T25" s="721"/>
      <c r="U25" s="721"/>
      <c r="V25" s="721"/>
      <c r="W25" s="721"/>
      <c r="X25" s="721"/>
      <c r="Y25" s="639"/>
      <c r="AA25" s="1159">
        <v>23</v>
      </c>
      <c r="AB25" s="668">
        <f>IF(ISNUMBER(System!$C26),PlotData!B26+Querverschiebung!$E$2* $AF$1*B25,PlotData!$CB$3)</f>
        <v>0</v>
      </c>
      <c r="AC25" s="721">
        <f>IF(ISNUMBER(System!$C26),PlotData!C26+ Querverschiebung!$E$2*$AF$1*C25,PlotData!$CB$3)</f>
        <v>0</v>
      </c>
      <c r="AD25" s="721">
        <f>IF(ISNUMBER(System!$C26),PlotData!D26+Querverschiebung!$E$2* $AF$1*D25,PlotData!$CB$3)</f>
        <v>0</v>
      </c>
      <c r="AE25" s="721">
        <f>IF(ISNUMBER(System!$C26),PlotData!E26+ Querverschiebung!$E$2*$AF$1*E25,PlotData!$CB$3)</f>
        <v>0</v>
      </c>
      <c r="AF25" s="721">
        <f>IF(ISNUMBER(System!$C26),PlotData!F26+ Querverschiebung!$E$2*$AF$1*F25,PlotData!$CB$3)</f>
        <v>0</v>
      </c>
      <c r="AG25" s="721">
        <f>IF(ISNUMBER(System!$C26),PlotData!G26+Querverschiebung!$E$2* $AF$1*G25,PlotData!$CB$3)</f>
        <v>0</v>
      </c>
      <c r="AH25" s="721">
        <f>IF(ISNUMBER(System!$C26),PlotData!H26+ Querverschiebung!$E$2*$AF$1*H25,PlotData!$CB$3)</f>
        <v>0</v>
      </c>
      <c r="AI25" s="721">
        <f>IF(ISNUMBER(System!$C26),PlotData!I26+Querverschiebung!$E$2* $AF$1*I25,PlotData!$CB$3)</f>
        <v>0</v>
      </c>
      <c r="AJ25" s="721">
        <f>IF(ISNUMBER(System!$C26),PlotData!J26+ Querverschiebung!$E$2*$AF$1*J25,PlotData!$CB$3)</f>
        <v>0</v>
      </c>
      <c r="AK25" s="721">
        <f>IF(ISNUMBER(System!$C26),PlotData!K26+ Querverschiebung!$E$2*$AF$1*K25,PlotData!$CB$3)</f>
        <v>0</v>
      </c>
      <c r="AL25" s="639">
        <f>IF(ISNUMBER(System!$C26),PlotData!L26+Querverschiebung!$E$2* $AF$1*L25,PlotData!$CB$3)</f>
        <v>0</v>
      </c>
      <c r="AM25" s="668">
        <f>IF(ISNUMBER(System!$C26),PlotData!L26,PlotData!$CB$3)</f>
        <v>0</v>
      </c>
      <c r="AN25" s="721">
        <f>IF(ISNUMBER(System!$C26),PlotData!B26,PlotData!$CB$3)</f>
        <v>0</v>
      </c>
      <c r="AO25" s="639">
        <f>IF(ISNUMBER(System!$C26),AB25,PlotData!$CB$3)</f>
        <v>0</v>
      </c>
      <c r="AQ25" s="1159">
        <v>23</v>
      </c>
      <c r="AR25" s="668">
        <f>IF(ISNUMBER(System!$C26),PlotData!O26+ Querverschiebung!$E$2*$AF$1*O25,PlotData!$CB$4)</f>
        <v>0</v>
      </c>
      <c r="AS25" s="721">
        <f>IF(ISNUMBER(System!$C26),PlotData!P26+ Querverschiebung!$E$2*$AF$1*P25,PlotData!$CB$4)</f>
        <v>0</v>
      </c>
      <c r="AT25" s="721">
        <f>IF(ISNUMBER(System!$C26),PlotData!Q26+ Querverschiebung!$E$2*$AF$1*Q25,PlotData!$CB$4)</f>
        <v>0</v>
      </c>
      <c r="AU25" s="721">
        <f>IF(ISNUMBER(System!$C26),PlotData!R26+ Querverschiebung!$E$2*$AF$1*R25,PlotData!$CB$4)</f>
        <v>0</v>
      </c>
      <c r="AV25" s="721">
        <f>IF(ISNUMBER(System!$C26),PlotData!S26+ Querverschiebung!$E$2*$AF$1*S25,PlotData!$CB$4)</f>
        <v>0</v>
      </c>
      <c r="AW25" s="721">
        <f>IF(ISNUMBER(System!$C26),PlotData!T26+ Querverschiebung!$E$2*$AF$1*T25,PlotData!$CB$4)</f>
        <v>0</v>
      </c>
      <c r="AX25" s="721">
        <f>IF(ISNUMBER(System!$C26),PlotData!U26+ Querverschiebung!$E$2*$AF$1*U25,PlotData!$CB$4)</f>
        <v>0</v>
      </c>
      <c r="AY25" s="721">
        <f>IF(ISNUMBER(System!$C26),PlotData!V26+ Querverschiebung!$E$2*$AF$1*V25,PlotData!$CB$4)</f>
        <v>0</v>
      </c>
      <c r="AZ25" s="721">
        <f>IF(ISNUMBER(System!$C26),PlotData!W26+ Querverschiebung!$E$2*$AF$1*W25,PlotData!$CB$4)</f>
        <v>0</v>
      </c>
      <c r="BA25" s="721">
        <f>IF(ISNUMBER(System!$C26),PlotData!X26+ Querverschiebung!$E$2*$AF$1*X25,PlotData!$CB$4)</f>
        <v>0</v>
      </c>
      <c r="BB25" s="639">
        <f>IF(ISNUMBER(System!$C26),PlotData!Y26+ Querverschiebung!$E$2*$AF$1*Y25,PlotData!$CB$4)</f>
        <v>0</v>
      </c>
      <c r="BC25" s="668">
        <f>IF(ISNUMBER(System!$C26),PlotData!Y26, PlotData!CB$4)</f>
        <v>0</v>
      </c>
      <c r="BD25" s="721">
        <f>IF(ISNUMBER(System!$C26),PlotData!O26, PlotData!$CB$4)</f>
        <v>0</v>
      </c>
      <c r="BE25" s="639">
        <f>IF(ISNUMBER(System!$C26), AR25,PlotData!$CB$4)</f>
        <v>0</v>
      </c>
    </row>
    <row r="26" spans="1:57" x14ac:dyDescent="0.25">
      <c r="A26" s="1124">
        <v>24</v>
      </c>
      <c r="B26" s="668"/>
      <c r="C26" s="721"/>
      <c r="D26" s="721"/>
      <c r="E26" s="721"/>
      <c r="F26" s="721"/>
      <c r="G26" s="721"/>
      <c r="H26" s="721"/>
      <c r="I26" s="721"/>
      <c r="J26" s="721"/>
      <c r="K26" s="721"/>
      <c r="L26" s="639"/>
      <c r="N26" s="1124">
        <v>24</v>
      </c>
      <c r="O26" s="668"/>
      <c r="P26" s="721"/>
      <c r="Q26" s="721"/>
      <c r="R26" s="721"/>
      <c r="S26" s="721"/>
      <c r="T26" s="721"/>
      <c r="U26" s="721"/>
      <c r="V26" s="721"/>
      <c r="W26" s="721"/>
      <c r="X26" s="721"/>
      <c r="Y26" s="639"/>
      <c r="AA26" s="1159">
        <v>24</v>
      </c>
      <c r="AB26" s="668">
        <f>IF(ISNUMBER(System!$C27),PlotData!B27+Querverschiebung!$E$2* $AF$1*B26,PlotData!$CB$3)</f>
        <v>0</v>
      </c>
      <c r="AC26" s="721">
        <f>IF(ISNUMBER(System!$C27),PlotData!C27+ Querverschiebung!$E$2*$AF$1*C26,PlotData!$CB$3)</f>
        <v>0</v>
      </c>
      <c r="AD26" s="721">
        <f>IF(ISNUMBER(System!$C27),PlotData!D27+Querverschiebung!$E$2* $AF$1*D26,PlotData!$CB$3)</f>
        <v>0</v>
      </c>
      <c r="AE26" s="721">
        <f>IF(ISNUMBER(System!$C27),PlotData!E27+ Querverschiebung!$E$2*$AF$1*E26,PlotData!$CB$3)</f>
        <v>0</v>
      </c>
      <c r="AF26" s="721">
        <f>IF(ISNUMBER(System!$C27),PlotData!F27+ Querverschiebung!$E$2*$AF$1*F26,PlotData!$CB$3)</f>
        <v>0</v>
      </c>
      <c r="AG26" s="721">
        <f>IF(ISNUMBER(System!$C27),PlotData!G27+Querverschiebung!$E$2* $AF$1*G26,PlotData!$CB$3)</f>
        <v>0</v>
      </c>
      <c r="AH26" s="721">
        <f>IF(ISNUMBER(System!$C27),PlotData!H27+ Querverschiebung!$E$2*$AF$1*H26,PlotData!$CB$3)</f>
        <v>0</v>
      </c>
      <c r="AI26" s="721">
        <f>IF(ISNUMBER(System!$C27),PlotData!I27+Querverschiebung!$E$2* $AF$1*I26,PlotData!$CB$3)</f>
        <v>0</v>
      </c>
      <c r="AJ26" s="721">
        <f>IF(ISNUMBER(System!$C27),PlotData!J27+ Querverschiebung!$E$2*$AF$1*J26,PlotData!$CB$3)</f>
        <v>0</v>
      </c>
      <c r="AK26" s="721">
        <f>IF(ISNUMBER(System!$C27),PlotData!K27+ Querverschiebung!$E$2*$AF$1*K26,PlotData!$CB$3)</f>
        <v>0</v>
      </c>
      <c r="AL26" s="639">
        <f>IF(ISNUMBER(System!$C27),PlotData!L27+Querverschiebung!$E$2* $AF$1*L26,PlotData!$CB$3)</f>
        <v>0</v>
      </c>
      <c r="AM26" s="668">
        <f>IF(ISNUMBER(System!$C27),PlotData!L27,PlotData!$CB$3)</f>
        <v>0</v>
      </c>
      <c r="AN26" s="721">
        <f>IF(ISNUMBER(System!$C27),PlotData!B27,PlotData!$CB$3)</f>
        <v>0</v>
      </c>
      <c r="AO26" s="639">
        <f>IF(ISNUMBER(System!$C27),AB26,PlotData!$CB$3)</f>
        <v>0</v>
      </c>
      <c r="AQ26" s="1159">
        <v>24</v>
      </c>
      <c r="AR26" s="668">
        <f>IF(ISNUMBER(System!$C27),PlotData!O27+ Querverschiebung!$E$2*$AF$1*O26,PlotData!$CB$4)</f>
        <v>0</v>
      </c>
      <c r="AS26" s="721">
        <f>IF(ISNUMBER(System!$C27),PlotData!P27+ Querverschiebung!$E$2*$AF$1*P26,PlotData!$CB$4)</f>
        <v>0</v>
      </c>
      <c r="AT26" s="721">
        <f>IF(ISNUMBER(System!$C27),PlotData!Q27+ Querverschiebung!$E$2*$AF$1*Q26,PlotData!$CB$4)</f>
        <v>0</v>
      </c>
      <c r="AU26" s="721">
        <f>IF(ISNUMBER(System!$C27),PlotData!R27+ Querverschiebung!$E$2*$AF$1*R26,PlotData!$CB$4)</f>
        <v>0</v>
      </c>
      <c r="AV26" s="721">
        <f>IF(ISNUMBER(System!$C27),PlotData!S27+ Querverschiebung!$E$2*$AF$1*S26,PlotData!$CB$4)</f>
        <v>0</v>
      </c>
      <c r="AW26" s="721">
        <f>IF(ISNUMBER(System!$C27),PlotData!T27+ Querverschiebung!$E$2*$AF$1*T26,PlotData!$CB$4)</f>
        <v>0</v>
      </c>
      <c r="AX26" s="721">
        <f>IF(ISNUMBER(System!$C27),PlotData!U27+ Querverschiebung!$E$2*$AF$1*U26,PlotData!$CB$4)</f>
        <v>0</v>
      </c>
      <c r="AY26" s="721">
        <f>IF(ISNUMBER(System!$C27),PlotData!V27+ Querverschiebung!$E$2*$AF$1*V26,PlotData!$CB$4)</f>
        <v>0</v>
      </c>
      <c r="AZ26" s="721">
        <f>IF(ISNUMBER(System!$C27),PlotData!W27+ Querverschiebung!$E$2*$AF$1*W26,PlotData!$CB$4)</f>
        <v>0</v>
      </c>
      <c r="BA26" s="721">
        <f>IF(ISNUMBER(System!$C27),PlotData!X27+ Querverschiebung!$E$2*$AF$1*X26,PlotData!$CB$4)</f>
        <v>0</v>
      </c>
      <c r="BB26" s="639">
        <f>IF(ISNUMBER(System!$C27),PlotData!Y27+ Querverschiebung!$E$2*$AF$1*Y26,PlotData!$CB$4)</f>
        <v>0</v>
      </c>
      <c r="BC26" s="668">
        <f>IF(ISNUMBER(System!$C27),PlotData!Y27, PlotData!CB$4)</f>
        <v>0</v>
      </c>
      <c r="BD26" s="721">
        <f>IF(ISNUMBER(System!$C27),PlotData!O27, PlotData!$CB$4)</f>
        <v>0</v>
      </c>
      <c r="BE26" s="639">
        <f>IF(ISNUMBER(System!$C27), AR26,PlotData!$CB$4)</f>
        <v>0</v>
      </c>
    </row>
    <row r="27" spans="1:57" x14ac:dyDescent="0.25">
      <c r="A27" s="1124">
        <v>25</v>
      </c>
      <c r="B27" s="668"/>
      <c r="C27" s="721"/>
      <c r="D27" s="721"/>
      <c r="E27" s="721"/>
      <c r="F27" s="721"/>
      <c r="G27" s="721"/>
      <c r="H27" s="721"/>
      <c r="I27" s="721"/>
      <c r="J27" s="721"/>
      <c r="K27" s="721"/>
      <c r="L27" s="639"/>
      <c r="N27" s="1124">
        <v>25</v>
      </c>
      <c r="O27" s="668"/>
      <c r="P27" s="721"/>
      <c r="Q27" s="721"/>
      <c r="R27" s="721"/>
      <c r="S27" s="721"/>
      <c r="T27" s="721"/>
      <c r="U27" s="721"/>
      <c r="V27" s="721"/>
      <c r="W27" s="721"/>
      <c r="X27" s="721"/>
      <c r="Y27" s="639"/>
      <c r="AA27" s="1159">
        <v>25</v>
      </c>
      <c r="AB27" s="668">
        <f>IF(ISNUMBER(System!$C28),PlotData!B28+Querverschiebung!$E$2* $AF$1*B27,PlotData!$CB$3)</f>
        <v>0</v>
      </c>
      <c r="AC27" s="721">
        <f>IF(ISNUMBER(System!$C28),PlotData!C28+ Querverschiebung!$E$2*$AF$1*C27,PlotData!$CB$3)</f>
        <v>0</v>
      </c>
      <c r="AD27" s="721">
        <f>IF(ISNUMBER(System!$C28),PlotData!D28+Querverschiebung!$E$2* $AF$1*D27,PlotData!$CB$3)</f>
        <v>0</v>
      </c>
      <c r="AE27" s="721">
        <f>IF(ISNUMBER(System!$C28),PlotData!E28+ Querverschiebung!$E$2*$AF$1*E27,PlotData!$CB$3)</f>
        <v>0</v>
      </c>
      <c r="AF27" s="721">
        <f>IF(ISNUMBER(System!$C28),PlotData!F28+ Querverschiebung!$E$2*$AF$1*F27,PlotData!$CB$3)</f>
        <v>0</v>
      </c>
      <c r="AG27" s="721">
        <f>IF(ISNUMBER(System!$C28),PlotData!G28+Querverschiebung!$E$2* $AF$1*G27,PlotData!$CB$3)</f>
        <v>0</v>
      </c>
      <c r="AH27" s="721">
        <f>IF(ISNUMBER(System!$C28),PlotData!H28+ Querverschiebung!$E$2*$AF$1*H27,PlotData!$CB$3)</f>
        <v>0</v>
      </c>
      <c r="AI27" s="721">
        <f>IF(ISNUMBER(System!$C28),PlotData!I28+Querverschiebung!$E$2* $AF$1*I27,PlotData!$CB$3)</f>
        <v>0</v>
      </c>
      <c r="AJ27" s="721">
        <f>IF(ISNUMBER(System!$C28),PlotData!J28+ Querverschiebung!$E$2*$AF$1*J27,PlotData!$CB$3)</f>
        <v>0</v>
      </c>
      <c r="AK27" s="721">
        <f>IF(ISNUMBER(System!$C28),PlotData!K28+ Querverschiebung!$E$2*$AF$1*K27,PlotData!$CB$3)</f>
        <v>0</v>
      </c>
      <c r="AL27" s="639">
        <f>IF(ISNUMBER(System!$C28),PlotData!L28+Querverschiebung!$E$2* $AF$1*L27,PlotData!$CB$3)</f>
        <v>0</v>
      </c>
      <c r="AM27" s="668">
        <f>IF(ISNUMBER(System!$C28),PlotData!L28,PlotData!$CB$3)</f>
        <v>0</v>
      </c>
      <c r="AN27" s="721">
        <f>IF(ISNUMBER(System!$C28),PlotData!B28,PlotData!$CB$3)</f>
        <v>0</v>
      </c>
      <c r="AO27" s="639">
        <f>IF(ISNUMBER(System!$C28),AB27,PlotData!$CB$3)</f>
        <v>0</v>
      </c>
      <c r="AQ27" s="1159">
        <v>25</v>
      </c>
      <c r="AR27" s="668">
        <f>IF(ISNUMBER(System!$C28),PlotData!O28+ Querverschiebung!$E$2*$AF$1*O27,PlotData!$CB$4)</f>
        <v>0</v>
      </c>
      <c r="AS27" s="721">
        <f>IF(ISNUMBER(System!$C28),PlotData!P28+ Querverschiebung!$E$2*$AF$1*P27,PlotData!$CB$4)</f>
        <v>0</v>
      </c>
      <c r="AT27" s="721">
        <f>IF(ISNUMBER(System!$C28),PlotData!Q28+ Querverschiebung!$E$2*$AF$1*Q27,PlotData!$CB$4)</f>
        <v>0</v>
      </c>
      <c r="AU27" s="721">
        <f>IF(ISNUMBER(System!$C28),PlotData!R28+ Querverschiebung!$E$2*$AF$1*R27,PlotData!$CB$4)</f>
        <v>0</v>
      </c>
      <c r="AV27" s="721">
        <f>IF(ISNUMBER(System!$C28),PlotData!S28+ Querverschiebung!$E$2*$AF$1*S27,PlotData!$CB$4)</f>
        <v>0</v>
      </c>
      <c r="AW27" s="721">
        <f>IF(ISNUMBER(System!$C28),PlotData!T28+ Querverschiebung!$E$2*$AF$1*T27,PlotData!$CB$4)</f>
        <v>0</v>
      </c>
      <c r="AX27" s="721">
        <f>IF(ISNUMBER(System!$C28),PlotData!U28+ Querverschiebung!$E$2*$AF$1*U27,PlotData!$CB$4)</f>
        <v>0</v>
      </c>
      <c r="AY27" s="721">
        <f>IF(ISNUMBER(System!$C28),PlotData!V28+ Querverschiebung!$E$2*$AF$1*V27,PlotData!$CB$4)</f>
        <v>0</v>
      </c>
      <c r="AZ27" s="721">
        <f>IF(ISNUMBER(System!$C28),PlotData!W28+ Querverschiebung!$E$2*$AF$1*W27,PlotData!$CB$4)</f>
        <v>0</v>
      </c>
      <c r="BA27" s="721">
        <f>IF(ISNUMBER(System!$C28),PlotData!X28+ Querverschiebung!$E$2*$AF$1*X27,PlotData!$CB$4)</f>
        <v>0</v>
      </c>
      <c r="BB27" s="639">
        <f>IF(ISNUMBER(System!$C28),PlotData!Y28+ Querverschiebung!$E$2*$AF$1*Y27,PlotData!$CB$4)</f>
        <v>0</v>
      </c>
      <c r="BC27" s="668">
        <f>IF(ISNUMBER(System!$C28),PlotData!Y28, PlotData!CB$4)</f>
        <v>0</v>
      </c>
      <c r="BD27" s="721">
        <f>IF(ISNUMBER(System!$C28),PlotData!O28, PlotData!$CB$4)</f>
        <v>0</v>
      </c>
      <c r="BE27" s="639">
        <f>IF(ISNUMBER(System!$C28), AR27,PlotData!$CB$4)</f>
        <v>0</v>
      </c>
    </row>
    <row r="28" spans="1:57" x14ac:dyDescent="0.25">
      <c r="A28" s="1124">
        <v>26</v>
      </c>
      <c r="B28" s="668"/>
      <c r="C28" s="721"/>
      <c r="D28" s="721"/>
      <c r="E28" s="721"/>
      <c r="F28" s="721"/>
      <c r="G28" s="721"/>
      <c r="H28" s="721"/>
      <c r="I28" s="721"/>
      <c r="J28" s="721"/>
      <c r="K28" s="721"/>
      <c r="L28" s="639"/>
      <c r="N28" s="1124">
        <v>26</v>
      </c>
      <c r="O28" s="668"/>
      <c r="P28" s="721"/>
      <c r="Q28" s="721"/>
      <c r="R28" s="721"/>
      <c r="S28" s="721"/>
      <c r="T28" s="721"/>
      <c r="U28" s="721"/>
      <c r="V28" s="721"/>
      <c r="W28" s="721"/>
      <c r="X28" s="721"/>
      <c r="Y28" s="639"/>
      <c r="AA28" s="1159">
        <v>26</v>
      </c>
      <c r="AB28" s="668">
        <f>IF(ISNUMBER(System!$C29),PlotData!B29+Querverschiebung!$E$2* $AF$1*B28,PlotData!$CB$3)</f>
        <v>0</v>
      </c>
      <c r="AC28" s="721">
        <f>IF(ISNUMBER(System!$C29),PlotData!C29+ Querverschiebung!$E$2*$AF$1*C28,PlotData!$CB$3)</f>
        <v>0</v>
      </c>
      <c r="AD28" s="721">
        <f>IF(ISNUMBER(System!$C29),PlotData!D29+Querverschiebung!$E$2* $AF$1*D28,PlotData!$CB$3)</f>
        <v>0</v>
      </c>
      <c r="AE28" s="721">
        <f>IF(ISNUMBER(System!$C29),PlotData!E29+ Querverschiebung!$E$2*$AF$1*E28,PlotData!$CB$3)</f>
        <v>0</v>
      </c>
      <c r="AF28" s="721">
        <f>IF(ISNUMBER(System!$C29),PlotData!F29+ Querverschiebung!$E$2*$AF$1*F28,PlotData!$CB$3)</f>
        <v>0</v>
      </c>
      <c r="AG28" s="721">
        <f>IF(ISNUMBER(System!$C29),PlotData!G29+Querverschiebung!$E$2* $AF$1*G28,PlotData!$CB$3)</f>
        <v>0</v>
      </c>
      <c r="AH28" s="721">
        <f>IF(ISNUMBER(System!$C29),PlotData!H29+ Querverschiebung!$E$2*$AF$1*H28,PlotData!$CB$3)</f>
        <v>0</v>
      </c>
      <c r="AI28" s="721">
        <f>IF(ISNUMBER(System!$C29),PlotData!I29+Querverschiebung!$E$2* $AF$1*I28,PlotData!$CB$3)</f>
        <v>0</v>
      </c>
      <c r="AJ28" s="721">
        <f>IF(ISNUMBER(System!$C29),PlotData!J29+ Querverschiebung!$E$2*$AF$1*J28,PlotData!$CB$3)</f>
        <v>0</v>
      </c>
      <c r="AK28" s="721">
        <f>IF(ISNUMBER(System!$C29),PlotData!K29+ Querverschiebung!$E$2*$AF$1*K28,PlotData!$CB$3)</f>
        <v>0</v>
      </c>
      <c r="AL28" s="639">
        <f>IF(ISNUMBER(System!$C29),PlotData!L29+Querverschiebung!$E$2* $AF$1*L28,PlotData!$CB$3)</f>
        <v>0</v>
      </c>
      <c r="AM28" s="668">
        <f>IF(ISNUMBER(System!$C29),PlotData!L29,PlotData!$CB$3)</f>
        <v>0</v>
      </c>
      <c r="AN28" s="721">
        <f>IF(ISNUMBER(System!$C29),PlotData!B29,PlotData!$CB$3)</f>
        <v>0</v>
      </c>
      <c r="AO28" s="639">
        <f>IF(ISNUMBER(System!$C29),AB28,PlotData!$CB$3)</f>
        <v>0</v>
      </c>
      <c r="AQ28" s="1159">
        <v>26</v>
      </c>
      <c r="AR28" s="668">
        <f>IF(ISNUMBER(System!$C29),PlotData!O29+ Querverschiebung!$E$2*$AF$1*O28,PlotData!$CB$4)</f>
        <v>0</v>
      </c>
      <c r="AS28" s="721">
        <f>IF(ISNUMBER(System!$C29),PlotData!P29+ Querverschiebung!$E$2*$AF$1*P28,PlotData!$CB$4)</f>
        <v>0</v>
      </c>
      <c r="AT28" s="721">
        <f>IF(ISNUMBER(System!$C29),PlotData!Q29+ Querverschiebung!$E$2*$AF$1*Q28,PlotData!$CB$4)</f>
        <v>0</v>
      </c>
      <c r="AU28" s="721">
        <f>IF(ISNUMBER(System!$C29),PlotData!R29+ Querverschiebung!$E$2*$AF$1*R28,PlotData!$CB$4)</f>
        <v>0</v>
      </c>
      <c r="AV28" s="721">
        <f>IF(ISNUMBER(System!$C29),PlotData!S29+ Querverschiebung!$E$2*$AF$1*S28,PlotData!$CB$4)</f>
        <v>0</v>
      </c>
      <c r="AW28" s="721">
        <f>IF(ISNUMBER(System!$C29),PlotData!T29+ Querverschiebung!$E$2*$AF$1*T28,PlotData!$CB$4)</f>
        <v>0</v>
      </c>
      <c r="AX28" s="721">
        <f>IF(ISNUMBER(System!$C29),PlotData!U29+ Querverschiebung!$E$2*$AF$1*U28,PlotData!$CB$4)</f>
        <v>0</v>
      </c>
      <c r="AY28" s="721">
        <f>IF(ISNUMBER(System!$C29),PlotData!V29+ Querverschiebung!$E$2*$AF$1*V28,PlotData!$CB$4)</f>
        <v>0</v>
      </c>
      <c r="AZ28" s="721">
        <f>IF(ISNUMBER(System!$C29),PlotData!W29+ Querverschiebung!$E$2*$AF$1*W28,PlotData!$CB$4)</f>
        <v>0</v>
      </c>
      <c r="BA28" s="721">
        <f>IF(ISNUMBER(System!$C29),PlotData!X29+ Querverschiebung!$E$2*$AF$1*X28,PlotData!$CB$4)</f>
        <v>0</v>
      </c>
      <c r="BB28" s="639">
        <f>IF(ISNUMBER(System!$C29),PlotData!Y29+ Querverschiebung!$E$2*$AF$1*Y28,PlotData!$CB$4)</f>
        <v>0</v>
      </c>
      <c r="BC28" s="668">
        <f>IF(ISNUMBER(System!$C29),PlotData!Y29, PlotData!CB$4)</f>
        <v>0</v>
      </c>
      <c r="BD28" s="721">
        <f>IF(ISNUMBER(System!$C29),PlotData!O29, PlotData!$CB$4)</f>
        <v>0</v>
      </c>
      <c r="BE28" s="639">
        <f>IF(ISNUMBER(System!$C29), AR28,PlotData!$CB$4)</f>
        <v>0</v>
      </c>
    </row>
    <row r="29" spans="1:57" x14ac:dyDescent="0.25">
      <c r="A29" s="1124">
        <v>27</v>
      </c>
      <c r="B29" s="668"/>
      <c r="C29" s="721"/>
      <c r="D29" s="721"/>
      <c r="E29" s="721"/>
      <c r="F29" s="721"/>
      <c r="G29" s="721"/>
      <c r="H29" s="721"/>
      <c r="I29" s="721"/>
      <c r="J29" s="721"/>
      <c r="K29" s="721"/>
      <c r="L29" s="639"/>
      <c r="N29" s="1124">
        <v>27</v>
      </c>
      <c r="O29" s="668"/>
      <c r="P29" s="721"/>
      <c r="Q29" s="721"/>
      <c r="R29" s="721"/>
      <c r="S29" s="721"/>
      <c r="T29" s="721"/>
      <c r="U29" s="721"/>
      <c r="V29" s="721"/>
      <c r="W29" s="721"/>
      <c r="X29" s="721"/>
      <c r="Y29" s="639"/>
      <c r="AA29" s="1159">
        <v>27</v>
      </c>
      <c r="AB29" s="668">
        <f>IF(ISNUMBER(System!$C30),PlotData!B30+Querverschiebung!$E$2* $AF$1*B29,PlotData!$CB$3)</f>
        <v>0</v>
      </c>
      <c r="AC29" s="721">
        <f>IF(ISNUMBER(System!$C30),PlotData!C30+ Querverschiebung!$E$2*$AF$1*C29,PlotData!$CB$3)</f>
        <v>0</v>
      </c>
      <c r="AD29" s="721">
        <f>IF(ISNUMBER(System!$C30),PlotData!D30+Querverschiebung!$E$2* $AF$1*D29,PlotData!$CB$3)</f>
        <v>0</v>
      </c>
      <c r="AE29" s="721">
        <f>IF(ISNUMBER(System!$C30),PlotData!E30+ Querverschiebung!$E$2*$AF$1*E29,PlotData!$CB$3)</f>
        <v>0</v>
      </c>
      <c r="AF29" s="721">
        <f>IF(ISNUMBER(System!$C30),PlotData!F30+ Querverschiebung!$E$2*$AF$1*F29,PlotData!$CB$3)</f>
        <v>0</v>
      </c>
      <c r="AG29" s="721">
        <f>IF(ISNUMBER(System!$C30),PlotData!G30+Querverschiebung!$E$2* $AF$1*G29,PlotData!$CB$3)</f>
        <v>0</v>
      </c>
      <c r="AH29" s="721">
        <f>IF(ISNUMBER(System!$C30),PlotData!H30+ Querverschiebung!$E$2*$AF$1*H29,PlotData!$CB$3)</f>
        <v>0</v>
      </c>
      <c r="AI29" s="721">
        <f>IF(ISNUMBER(System!$C30),PlotData!I30+Querverschiebung!$E$2* $AF$1*I29,PlotData!$CB$3)</f>
        <v>0</v>
      </c>
      <c r="AJ29" s="721">
        <f>IF(ISNUMBER(System!$C30),PlotData!J30+ Querverschiebung!$E$2*$AF$1*J29,PlotData!$CB$3)</f>
        <v>0</v>
      </c>
      <c r="AK29" s="721">
        <f>IF(ISNUMBER(System!$C30),PlotData!K30+ Querverschiebung!$E$2*$AF$1*K29,PlotData!$CB$3)</f>
        <v>0</v>
      </c>
      <c r="AL29" s="639">
        <f>IF(ISNUMBER(System!$C30),PlotData!L30+Querverschiebung!$E$2* $AF$1*L29,PlotData!$CB$3)</f>
        <v>0</v>
      </c>
      <c r="AM29" s="668">
        <f>IF(ISNUMBER(System!$C30),PlotData!L30,PlotData!$CB$3)</f>
        <v>0</v>
      </c>
      <c r="AN29" s="721">
        <f>IF(ISNUMBER(System!$C30),PlotData!B30,PlotData!$CB$3)</f>
        <v>0</v>
      </c>
      <c r="AO29" s="639">
        <f>IF(ISNUMBER(System!$C30),AB29,PlotData!$CB$3)</f>
        <v>0</v>
      </c>
      <c r="AQ29" s="1159">
        <v>27</v>
      </c>
      <c r="AR29" s="668">
        <f>IF(ISNUMBER(System!$C30),PlotData!O30+ Querverschiebung!$E$2*$AF$1*O29,PlotData!$CB$4)</f>
        <v>0</v>
      </c>
      <c r="AS29" s="721">
        <f>IF(ISNUMBER(System!$C30),PlotData!P30+ Querverschiebung!$E$2*$AF$1*P29,PlotData!$CB$4)</f>
        <v>0</v>
      </c>
      <c r="AT29" s="721">
        <f>IF(ISNUMBER(System!$C30),PlotData!Q30+ Querverschiebung!$E$2*$AF$1*Q29,PlotData!$CB$4)</f>
        <v>0</v>
      </c>
      <c r="AU29" s="721">
        <f>IF(ISNUMBER(System!$C30),PlotData!R30+ Querverschiebung!$E$2*$AF$1*R29,PlotData!$CB$4)</f>
        <v>0</v>
      </c>
      <c r="AV29" s="721">
        <f>IF(ISNUMBER(System!$C30),PlotData!S30+ Querverschiebung!$E$2*$AF$1*S29,PlotData!$CB$4)</f>
        <v>0</v>
      </c>
      <c r="AW29" s="721">
        <f>IF(ISNUMBER(System!$C30),PlotData!T30+ Querverschiebung!$E$2*$AF$1*T29,PlotData!$CB$4)</f>
        <v>0</v>
      </c>
      <c r="AX29" s="721">
        <f>IF(ISNUMBER(System!$C30),PlotData!U30+ Querverschiebung!$E$2*$AF$1*U29,PlotData!$CB$4)</f>
        <v>0</v>
      </c>
      <c r="AY29" s="721">
        <f>IF(ISNUMBER(System!$C30),PlotData!V30+ Querverschiebung!$E$2*$AF$1*V29,PlotData!$CB$4)</f>
        <v>0</v>
      </c>
      <c r="AZ29" s="721">
        <f>IF(ISNUMBER(System!$C30),PlotData!W30+ Querverschiebung!$E$2*$AF$1*W29,PlotData!$CB$4)</f>
        <v>0</v>
      </c>
      <c r="BA29" s="721">
        <f>IF(ISNUMBER(System!$C30),PlotData!X30+ Querverschiebung!$E$2*$AF$1*X29,PlotData!$CB$4)</f>
        <v>0</v>
      </c>
      <c r="BB29" s="639">
        <f>IF(ISNUMBER(System!$C30),PlotData!Y30+ Querverschiebung!$E$2*$AF$1*Y29,PlotData!$CB$4)</f>
        <v>0</v>
      </c>
      <c r="BC29" s="668">
        <f>IF(ISNUMBER(System!$C30),PlotData!Y30, PlotData!CB$4)</f>
        <v>0</v>
      </c>
      <c r="BD29" s="721">
        <f>IF(ISNUMBER(System!$C30),PlotData!O30, PlotData!$CB$4)</f>
        <v>0</v>
      </c>
      <c r="BE29" s="639">
        <f>IF(ISNUMBER(System!$C30), AR29,PlotData!$CB$4)</f>
        <v>0</v>
      </c>
    </row>
    <row r="30" spans="1:57" x14ac:dyDescent="0.25">
      <c r="A30" s="1124">
        <v>28</v>
      </c>
      <c r="B30" s="668"/>
      <c r="C30" s="721"/>
      <c r="D30" s="721"/>
      <c r="E30" s="721"/>
      <c r="F30" s="721"/>
      <c r="G30" s="721"/>
      <c r="H30" s="721"/>
      <c r="I30" s="721"/>
      <c r="J30" s="721"/>
      <c r="K30" s="721"/>
      <c r="L30" s="639"/>
      <c r="N30" s="1124">
        <v>28</v>
      </c>
      <c r="O30" s="668"/>
      <c r="P30" s="721"/>
      <c r="Q30" s="721"/>
      <c r="R30" s="721"/>
      <c r="S30" s="721"/>
      <c r="T30" s="721"/>
      <c r="U30" s="721"/>
      <c r="V30" s="721"/>
      <c r="W30" s="721"/>
      <c r="X30" s="721"/>
      <c r="Y30" s="639"/>
      <c r="AA30" s="1159">
        <v>28</v>
      </c>
      <c r="AB30" s="668">
        <f>IF(ISNUMBER(System!$C31),PlotData!B31+Querverschiebung!$E$2* $AF$1*B30,PlotData!$CB$3)</f>
        <v>0</v>
      </c>
      <c r="AC30" s="721">
        <f>IF(ISNUMBER(System!$C31),PlotData!C31+ Querverschiebung!$E$2*$AF$1*C30,PlotData!$CB$3)</f>
        <v>0</v>
      </c>
      <c r="AD30" s="721">
        <f>IF(ISNUMBER(System!$C31),PlotData!D31+Querverschiebung!$E$2* $AF$1*D30,PlotData!$CB$3)</f>
        <v>0</v>
      </c>
      <c r="AE30" s="721">
        <f>IF(ISNUMBER(System!$C31),PlotData!E31+ Querverschiebung!$E$2*$AF$1*E30,PlotData!$CB$3)</f>
        <v>0</v>
      </c>
      <c r="AF30" s="721">
        <f>IF(ISNUMBER(System!$C31),PlotData!F31+ Querverschiebung!$E$2*$AF$1*F30,PlotData!$CB$3)</f>
        <v>0</v>
      </c>
      <c r="AG30" s="721">
        <f>IF(ISNUMBER(System!$C31),PlotData!G31+Querverschiebung!$E$2* $AF$1*G30,PlotData!$CB$3)</f>
        <v>0</v>
      </c>
      <c r="AH30" s="721">
        <f>IF(ISNUMBER(System!$C31),PlotData!H31+ Querverschiebung!$E$2*$AF$1*H30,PlotData!$CB$3)</f>
        <v>0</v>
      </c>
      <c r="AI30" s="721">
        <f>IF(ISNUMBER(System!$C31),PlotData!I31+Querverschiebung!$E$2* $AF$1*I30,PlotData!$CB$3)</f>
        <v>0</v>
      </c>
      <c r="AJ30" s="721">
        <f>IF(ISNUMBER(System!$C31),PlotData!J31+ Querverschiebung!$E$2*$AF$1*J30,PlotData!$CB$3)</f>
        <v>0</v>
      </c>
      <c r="AK30" s="721">
        <f>IF(ISNUMBER(System!$C31),PlotData!K31+ Querverschiebung!$E$2*$AF$1*K30,PlotData!$CB$3)</f>
        <v>0</v>
      </c>
      <c r="AL30" s="639">
        <f>IF(ISNUMBER(System!$C31),PlotData!L31+Querverschiebung!$E$2* $AF$1*L30,PlotData!$CB$3)</f>
        <v>0</v>
      </c>
      <c r="AM30" s="668">
        <f>IF(ISNUMBER(System!$C31),PlotData!L31,PlotData!$CB$3)</f>
        <v>0</v>
      </c>
      <c r="AN30" s="721">
        <f>IF(ISNUMBER(System!$C31),PlotData!B31,PlotData!$CB$3)</f>
        <v>0</v>
      </c>
      <c r="AO30" s="639">
        <f>IF(ISNUMBER(System!$C31),AB30,PlotData!$CB$3)</f>
        <v>0</v>
      </c>
      <c r="AQ30" s="1159">
        <v>28</v>
      </c>
      <c r="AR30" s="668">
        <f>IF(ISNUMBER(System!$C31),PlotData!O31+ Querverschiebung!$E$2*$AF$1*O30,PlotData!$CB$4)</f>
        <v>0</v>
      </c>
      <c r="AS30" s="721">
        <f>IF(ISNUMBER(System!$C31),PlotData!P31+ Querverschiebung!$E$2*$AF$1*P30,PlotData!$CB$4)</f>
        <v>0</v>
      </c>
      <c r="AT30" s="721">
        <f>IF(ISNUMBER(System!$C31),PlotData!Q31+ Querverschiebung!$E$2*$AF$1*Q30,PlotData!$CB$4)</f>
        <v>0</v>
      </c>
      <c r="AU30" s="721">
        <f>IF(ISNUMBER(System!$C31),PlotData!R31+ Querverschiebung!$E$2*$AF$1*R30,PlotData!$CB$4)</f>
        <v>0</v>
      </c>
      <c r="AV30" s="721">
        <f>IF(ISNUMBER(System!$C31),PlotData!S31+ Querverschiebung!$E$2*$AF$1*S30,PlotData!$CB$4)</f>
        <v>0</v>
      </c>
      <c r="AW30" s="721">
        <f>IF(ISNUMBER(System!$C31),PlotData!T31+ Querverschiebung!$E$2*$AF$1*T30,PlotData!$CB$4)</f>
        <v>0</v>
      </c>
      <c r="AX30" s="721">
        <f>IF(ISNUMBER(System!$C31),PlotData!U31+ Querverschiebung!$E$2*$AF$1*U30,PlotData!$CB$4)</f>
        <v>0</v>
      </c>
      <c r="AY30" s="721">
        <f>IF(ISNUMBER(System!$C31),PlotData!V31+ Querverschiebung!$E$2*$AF$1*V30,PlotData!$CB$4)</f>
        <v>0</v>
      </c>
      <c r="AZ30" s="721">
        <f>IF(ISNUMBER(System!$C31),PlotData!W31+ Querverschiebung!$E$2*$AF$1*W30,PlotData!$CB$4)</f>
        <v>0</v>
      </c>
      <c r="BA30" s="721">
        <f>IF(ISNUMBER(System!$C31),PlotData!X31+ Querverschiebung!$E$2*$AF$1*X30,PlotData!$CB$4)</f>
        <v>0</v>
      </c>
      <c r="BB30" s="639">
        <f>IF(ISNUMBER(System!$C31),PlotData!Y31+ Querverschiebung!$E$2*$AF$1*Y30,PlotData!$CB$4)</f>
        <v>0</v>
      </c>
      <c r="BC30" s="668">
        <f>IF(ISNUMBER(System!$C31),PlotData!Y31, PlotData!CB$4)</f>
        <v>0</v>
      </c>
      <c r="BD30" s="721">
        <f>IF(ISNUMBER(System!$C31),PlotData!O31, PlotData!$CB$4)</f>
        <v>0</v>
      </c>
      <c r="BE30" s="639">
        <f>IF(ISNUMBER(System!$C31), AR30,PlotData!$CB$4)</f>
        <v>0</v>
      </c>
    </row>
    <row r="31" spans="1:57" x14ac:dyDescent="0.25">
      <c r="A31" s="1124">
        <v>29</v>
      </c>
      <c r="B31" s="668"/>
      <c r="C31" s="721"/>
      <c r="D31" s="721"/>
      <c r="E31" s="721"/>
      <c r="F31" s="721"/>
      <c r="G31" s="721"/>
      <c r="H31" s="721"/>
      <c r="I31" s="721"/>
      <c r="J31" s="721"/>
      <c r="K31" s="721"/>
      <c r="L31" s="639"/>
      <c r="N31" s="1124">
        <v>29</v>
      </c>
      <c r="O31" s="668"/>
      <c r="P31" s="721"/>
      <c r="Q31" s="721"/>
      <c r="R31" s="721"/>
      <c r="S31" s="721"/>
      <c r="T31" s="721"/>
      <c r="U31" s="721"/>
      <c r="V31" s="721"/>
      <c r="W31" s="721"/>
      <c r="X31" s="721"/>
      <c r="Y31" s="639"/>
      <c r="AA31" s="1159">
        <v>29</v>
      </c>
      <c r="AB31" s="668">
        <f>IF(ISNUMBER(System!$C32),PlotData!B32+Querverschiebung!$E$2* $AF$1*B31,PlotData!$CB$3)</f>
        <v>0</v>
      </c>
      <c r="AC31" s="721">
        <f>IF(ISNUMBER(System!$C32),PlotData!C32+ Querverschiebung!$E$2*$AF$1*C31,PlotData!$CB$3)</f>
        <v>0</v>
      </c>
      <c r="AD31" s="721">
        <f>IF(ISNUMBER(System!$C32),PlotData!D32+Querverschiebung!$E$2* $AF$1*D31,PlotData!$CB$3)</f>
        <v>0</v>
      </c>
      <c r="AE31" s="721">
        <f>IF(ISNUMBER(System!$C32),PlotData!E32+ Querverschiebung!$E$2*$AF$1*E31,PlotData!$CB$3)</f>
        <v>0</v>
      </c>
      <c r="AF31" s="721">
        <f>IF(ISNUMBER(System!$C32),PlotData!F32+ Querverschiebung!$E$2*$AF$1*F31,PlotData!$CB$3)</f>
        <v>0</v>
      </c>
      <c r="AG31" s="721">
        <f>IF(ISNUMBER(System!$C32),PlotData!G32+Querverschiebung!$E$2* $AF$1*G31,PlotData!$CB$3)</f>
        <v>0</v>
      </c>
      <c r="AH31" s="721">
        <f>IF(ISNUMBER(System!$C32),PlotData!H32+ Querverschiebung!$E$2*$AF$1*H31,PlotData!$CB$3)</f>
        <v>0</v>
      </c>
      <c r="AI31" s="721">
        <f>IF(ISNUMBER(System!$C32),PlotData!I32+Querverschiebung!$E$2* $AF$1*I31,PlotData!$CB$3)</f>
        <v>0</v>
      </c>
      <c r="AJ31" s="721">
        <f>IF(ISNUMBER(System!$C32),PlotData!J32+ Querverschiebung!$E$2*$AF$1*J31,PlotData!$CB$3)</f>
        <v>0</v>
      </c>
      <c r="AK31" s="721">
        <f>IF(ISNUMBER(System!$C32),PlotData!K32+ Querverschiebung!$E$2*$AF$1*K31,PlotData!$CB$3)</f>
        <v>0</v>
      </c>
      <c r="AL31" s="639">
        <f>IF(ISNUMBER(System!$C32),PlotData!L32+Querverschiebung!$E$2* $AF$1*L31,PlotData!$CB$3)</f>
        <v>0</v>
      </c>
      <c r="AM31" s="668">
        <f>IF(ISNUMBER(System!$C32),PlotData!L32,PlotData!$CB$3)</f>
        <v>0</v>
      </c>
      <c r="AN31" s="721">
        <f>IF(ISNUMBER(System!$C32),PlotData!B32,PlotData!$CB$3)</f>
        <v>0</v>
      </c>
      <c r="AO31" s="639">
        <f>IF(ISNUMBER(System!$C32),AB31,PlotData!$CB$3)</f>
        <v>0</v>
      </c>
      <c r="AQ31" s="1159">
        <v>29</v>
      </c>
      <c r="AR31" s="668">
        <f>IF(ISNUMBER(System!$C32),PlotData!O32+ Querverschiebung!$E$2*$AF$1*O31,PlotData!$CB$4)</f>
        <v>0</v>
      </c>
      <c r="AS31" s="721">
        <f>IF(ISNUMBER(System!$C32),PlotData!P32+ Querverschiebung!$E$2*$AF$1*P31,PlotData!$CB$4)</f>
        <v>0</v>
      </c>
      <c r="AT31" s="721">
        <f>IF(ISNUMBER(System!$C32),PlotData!Q32+ Querverschiebung!$E$2*$AF$1*Q31,PlotData!$CB$4)</f>
        <v>0</v>
      </c>
      <c r="AU31" s="721">
        <f>IF(ISNUMBER(System!$C32),PlotData!R32+ Querverschiebung!$E$2*$AF$1*R31,PlotData!$CB$4)</f>
        <v>0</v>
      </c>
      <c r="AV31" s="721">
        <f>IF(ISNUMBER(System!$C32),PlotData!S32+ Querverschiebung!$E$2*$AF$1*S31,PlotData!$CB$4)</f>
        <v>0</v>
      </c>
      <c r="AW31" s="721">
        <f>IF(ISNUMBER(System!$C32),PlotData!T32+ Querverschiebung!$E$2*$AF$1*T31,PlotData!$CB$4)</f>
        <v>0</v>
      </c>
      <c r="AX31" s="721">
        <f>IF(ISNUMBER(System!$C32),PlotData!U32+ Querverschiebung!$E$2*$AF$1*U31,PlotData!$CB$4)</f>
        <v>0</v>
      </c>
      <c r="AY31" s="721">
        <f>IF(ISNUMBER(System!$C32),PlotData!V32+ Querverschiebung!$E$2*$AF$1*V31,PlotData!$CB$4)</f>
        <v>0</v>
      </c>
      <c r="AZ31" s="721">
        <f>IF(ISNUMBER(System!$C32),PlotData!W32+ Querverschiebung!$E$2*$AF$1*W31,PlotData!$CB$4)</f>
        <v>0</v>
      </c>
      <c r="BA31" s="721">
        <f>IF(ISNUMBER(System!$C32),PlotData!X32+ Querverschiebung!$E$2*$AF$1*X31,PlotData!$CB$4)</f>
        <v>0</v>
      </c>
      <c r="BB31" s="639">
        <f>IF(ISNUMBER(System!$C32),PlotData!Y32+ Querverschiebung!$E$2*$AF$1*Y31,PlotData!$CB$4)</f>
        <v>0</v>
      </c>
      <c r="BC31" s="668">
        <f>IF(ISNUMBER(System!$C32),PlotData!Y32, PlotData!CB$4)</f>
        <v>0</v>
      </c>
      <c r="BD31" s="721">
        <f>IF(ISNUMBER(System!$C32),PlotData!O32, PlotData!$CB$4)</f>
        <v>0</v>
      </c>
      <c r="BE31" s="639">
        <f>IF(ISNUMBER(System!$C32), AR31,PlotData!$CB$4)</f>
        <v>0</v>
      </c>
    </row>
    <row r="32" spans="1:57" x14ac:dyDescent="0.25">
      <c r="A32" s="1124">
        <v>30</v>
      </c>
      <c r="B32" s="668"/>
      <c r="C32" s="721"/>
      <c r="D32" s="721"/>
      <c r="E32" s="721"/>
      <c r="F32" s="721"/>
      <c r="G32" s="721"/>
      <c r="H32" s="721"/>
      <c r="I32" s="721"/>
      <c r="J32" s="721"/>
      <c r="K32" s="721"/>
      <c r="L32" s="639"/>
      <c r="N32" s="1124">
        <v>30</v>
      </c>
      <c r="O32" s="668"/>
      <c r="P32" s="721"/>
      <c r="Q32" s="721"/>
      <c r="R32" s="721"/>
      <c r="S32" s="721"/>
      <c r="T32" s="721"/>
      <c r="U32" s="721"/>
      <c r="V32" s="721"/>
      <c r="W32" s="721"/>
      <c r="X32" s="721"/>
      <c r="Y32" s="639"/>
      <c r="AA32" s="1159">
        <v>30</v>
      </c>
      <c r="AB32" s="668">
        <f>IF(ISNUMBER(System!$C33),PlotData!B33+Querverschiebung!$E$2* $AF$1*B32,PlotData!$CB$3)</f>
        <v>0</v>
      </c>
      <c r="AC32" s="721">
        <f>IF(ISNUMBER(System!$C33),PlotData!C33+ Querverschiebung!$E$2*$AF$1*C32,PlotData!$CB$3)</f>
        <v>0</v>
      </c>
      <c r="AD32" s="721">
        <f>IF(ISNUMBER(System!$C33),PlotData!D33+Querverschiebung!$E$2* $AF$1*D32,PlotData!$CB$3)</f>
        <v>0</v>
      </c>
      <c r="AE32" s="721">
        <f>IF(ISNUMBER(System!$C33),PlotData!E33+ Querverschiebung!$E$2*$AF$1*E32,PlotData!$CB$3)</f>
        <v>0</v>
      </c>
      <c r="AF32" s="721">
        <f>IF(ISNUMBER(System!$C33),PlotData!F33+ Querverschiebung!$E$2*$AF$1*F32,PlotData!$CB$3)</f>
        <v>0</v>
      </c>
      <c r="AG32" s="721">
        <f>IF(ISNUMBER(System!$C33),PlotData!G33+Querverschiebung!$E$2* $AF$1*G32,PlotData!$CB$3)</f>
        <v>0</v>
      </c>
      <c r="AH32" s="721">
        <f>IF(ISNUMBER(System!$C33),PlotData!H33+ Querverschiebung!$E$2*$AF$1*H32,PlotData!$CB$3)</f>
        <v>0</v>
      </c>
      <c r="AI32" s="721">
        <f>IF(ISNUMBER(System!$C33),PlotData!I33+Querverschiebung!$E$2* $AF$1*I32,PlotData!$CB$3)</f>
        <v>0</v>
      </c>
      <c r="AJ32" s="721">
        <f>IF(ISNUMBER(System!$C33),PlotData!J33+ Querverschiebung!$E$2*$AF$1*J32,PlotData!$CB$3)</f>
        <v>0</v>
      </c>
      <c r="AK32" s="721">
        <f>IF(ISNUMBER(System!$C33),PlotData!K33+ Querverschiebung!$E$2*$AF$1*K32,PlotData!$CB$3)</f>
        <v>0</v>
      </c>
      <c r="AL32" s="639">
        <f>IF(ISNUMBER(System!$C33),PlotData!L33+Querverschiebung!$E$2* $AF$1*L32,PlotData!$CB$3)</f>
        <v>0</v>
      </c>
      <c r="AM32" s="668">
        <f>IF(ISNUMBER(System!$C33),PlotData!L33,PlotData!$CB$3)</f>
        <v>0</v>
      </c>
      <c r="AN32" s="721">
        <f>IF(ISNUMBER(System!$C33),PlotData!B33,PlotData!$CB$3)</f>
        <v>0</v>
      </c>
      <c r="AO32" s="639">
        <f>IF(ISNUMBER(System!$C33),AB32,PlotData!$CB$3)</f>
        <v>0</v>
      </c>
      <c r="AQ32" s="1159">
        <v>30</v>
      </c>
      <c r="AR32" s="668">
        <f>IF(ISNUMBER(System!$C33),PlotData!O33+ Querverschiebung!$E$2*$AF$1*O32,PlotData!$CB$4)</f>
        <v>0</v>
      </c>
      <c r="AS32" s="721">
        <f>IF(ISNUMBER(System!$C33),PlotData!P33+ Querverschiebung!$E$2*$AF$1*P32,PlotData!$CB$4)</f>
        <v>0</v>
      </c>
      <c r="AT32" s="721">
        <f>IF(ISNUMBER(System!$C33),PlotData!Q33+ Querverschiebung!$E$2*$AF$1*Q32,PlotData!$CB$4)</f>
        <v>0</v>
      </c>
      <c r="AU32" s="721">
        <f>IF(ISNUMBER(System!$C33),PlotData!R33+ Querverschiebung!$E$2*$AF$1*R32,PlotData!$CB$4)</f>
        <v>0</v>
      </c>
      <c r="AV32" s="721">
        <f>IF(ISNUMBER(System!$C33),PlotData!S33+ Querverschiebung!$E$2*$AF$1*S32,PlotData!$CB$4)</f>
        <v>0</v>
      </c>
      <c r="AW32" s="721">
        <f>IF(ISNUMBER(System!$C33),PlotData!T33+ Querverschiebung!$E$2*$AF$1*T32,PlotData!$CB$4)</f>
        <v>0</v>
      </c>
      <c r="AX32" s="721">
        <f>IF(ISNUMBER(System!$C33),PlotData!U33+ Querverschiebung!$E$2*$AF$1*U32,PlotData!$CB$4)</f>
        <v>0</v>
      </c>
      <c r="AY32" s="721">
        <f>IF(ISNUMBER(System!$C33),PlotData!V33+ Querverschiebung!$E$2*$AF$1*V32,PlotData!$CB$4)</f>
        <v>0</v>
      </c>
      <c r="AZ32" s="721">
        <f>IF(ISNUMBER(System!$C33),PlotData!W33+ Querverschiebung!$E$2*$AF$1*W32,PlotData!$CB$4)</f>
        <v>0</v>
      </c>
      <c r="BA32" s="721">
        <f>IF(ISNUMBER(System!$C33),PlotData!X33+ Querverschiebung!$E$2*$AF$1*X32,PlotData!$CB$4)</f>
        <v>0</v>
      </c>
      <c r="BB32" s="639">
        <f>IF(ISNUMBER(System!$C33),PlotData!Y33+ Querverschiebung!$E$2*$AF$1*Y32,PlotData!$CB$4)</f>
        <v>0</v>
      </c>
      <c r="BC32" s="668">
        <f>IF(ISNUMBER(System!$C33),PlotData!Y33, PlotData!CB$4)</f>
        <v>0</v>
      </c>
      <c r="BD32" s="721">
        <f>IF(ISNUMBER(System!$C33),PlotData!O33, PlotData!$CB$4)</f>
        <v>0</v>
      </c>
      <c r="BE32" s="639">
        <f>IF(ISNUMBER(System!$C33), AR32,PlotData!$CB$4)</f>
        <v>0</v>
      </c>
    </row>
    <row r="33" spans="1:61" x14ac:dyDescent="0.25">
      <c r="A33" s="1124">
        <v>31</v>
      </c>
      <c r="B33" s="668"/>
      <c r="C33" s="721"/>
      <c r="D33" s="721"/>
      <c r="E33" s="721"/>
      <c r="F33" s="721"/>
      <c r="G33" s="721"/>
      <c r="H33" s="721"/>
      <c r="I33" s="721"/>
      <c r="J33" s="721"/>
      <c r="K33" s="721"/>
      <c r="L33" s="639"/>
      <c r="N33" s="1124">
        <v>31</v>
      </c>
      <c r="O33" s="668"/>
      <c r="P33" s="721"/>
      <c r="Q33" s="721"/>
      <c r="R33" s="721"/>
      <c r="S33" s="721"/>
      <c r="T33" s="721"/>
      <c r="U33" s="721"/>
      <c r="V33" s="721"/>
      <c r="W33" s="721"/>
      <c r="X33" s="721"/>
      <c r="Y33" s="639"/>
      <c r="AA33" s="1159">
        <v>31</v>
      </c>
      <c r="AB33" s="668">
        <f>IF(ISNUMBER(System!$C34),PlotData!B34+Querverschiebung!$E$2* $AF$1*B33,PlotData!$CB$3)</f>
        <v>0</v>
      </c>
      <c r="AC33" s="721">
        <f>IF(ISNUMBER(System!$C34),PlotData!C34+ Querverschiebung!$E$2*$AF$1*C33,PlotData!$CB$3)</f>
        <v>0</v>
      </c>
      <c r="AD33" s="721">
        <f>IF(ISNUMBER(System!$C34),PlotData!D34+Querverschiebung!$E$2* $AF$1*D33,PlotData!$CB$3)</f>
        <v>0</v>
      </c>
      <c r="AE33" s="721">
        <f>IF(ISNUMBER(System!$C34),PlotData!E34+ Querverschiebung!$E$2*$AF$1*E33,PlotData!$CB$3)</f>
        <v>0</v>
      </c>
      <c r="AF33" s="721">
        <f>IF(ISNUMBER(System!$C34),PlotData!F34+ Querverschiebung!$E$2*$AF$1*F33,PlotData!$CB$3)</f>
        <v>0</v>
      </c>
      <c r="AG33" s="721">
        <f>IF(ISNUMBER(System!$C34),PlotData!G34+Querverschiebung!$E$2* $AF$1*G33,PlotData!$CB$3)</f>
        <v>0</v>
      </c>
      <c r="AH33" s="721">
        <f>IF(ISNUMBER(System!$C34),PlotData!H34+ Querverschiebung!$E$2*$AF$1*H33,PlotData!$CB$3)</f>
        <v>0</v>
      </c>
      <c r="AI33" s="721">
        <f>IF(ISNUMBER(System!$C34),PlotData!I34+Querverschiebung!$E$2* $AF$1*I33,PlotData!$CB$3)</f>
        <v>0</v>
      </c>
      <c r="AJ33" s="721">
        <f>IF(ISNUMBER(System!$C34),PlotData!J34+ Querverschiebung!$E$2*$AF$1*J33,PlotData!$CB$3)</f>
        <v>0</v>
      </c>
      <c r="AK33" s="721">
        <f>IF(ISNUMBER(System!$C34),PlotData!K34+ Querverschiebung!$E$2*$AF$1*K33,PlotData!$CB$3)</f>
        <v>0</v>
      </c>
      <c r="AL33" s="639">
        <f>IF(ISNUMBER(System!$C34),PlotData!L34+Querverschiebung!$E$2* $AF$1*L33,PlotData!$CB$3)</f>
        <v>0</v>
      </c>
      <c r="AM33" s="668">
        <f>IF(ISNUMBER(System!$C34),PlotData!L34,PlotData!$CB$3)</f>
        <v>0</v>
      </c>
      <c r="AN33" s="721">
        <f>IF(ISNUMBER(System!$C34),PlotData!B34,PlotData!$CB$3)</f>
        <v>0</v>
      </c>
      <c r="AO33" s="639">
        <f>IF(ISNUMBER(System!$C34),AB33,PlotData!$CB$3)</f>
        <v>0</v>
      </c>
      <c r="AQ33" s="1159">
        <v>31</v>
      </c>
      <c r="AR33" s="668">
        <f>IF(ISNUMBER(System!$C34),PlotData!O34+ Querverschiebung!$E$2*$AF$1*O33,PlotData!$CB$4)</f>
        <v>0</v>
      </c>
      <c r="AS33" s="721">
        <f>IF(ISNUMBER(System!$C34),PlotData!P34+ Querverschiebung!$E$2*$AF$1*P33,PlotData!$CB$4)</f>
        <v>0</v>
      </c>
      <c r="AT33" s="721">
        <f>IF(ISNUMBER(System!$C34),PlotData!Q34+ Querverschiebung!$E$2*$AF$1*Q33,PlotData!$CB$4)</f>
        <v>0</v>
      </c>
      <c r="AU33" s="721">
        <f>IF(ISNUMBER(System!$C34),PlotData!R34+ Querverschiebung!$E$2*$AF$1*R33,PlotData!$CB$4)</f>
        <v>0</v>
      </c>
      <c r="AV33" s="721">
        <f>IF(ISNUMBER(System!$C34),PlotData!S34+ Querverschiebung!$E$2*$AF$1*S33,PlotData!$CB$4)</f>
        <v>0</v>
      </c>
      <c r="AW33" s="721">
        <f>IF(ISNUMBER(System!$C34),PlotData!T34+ Querverschiebung!$E$2*$AF$1*T33,PlotData!$CB$4)</f>
        <v>0</v>
      </c>
      <c r="AX33" s="721">
        <f>IF(ISNUMBER(System!$C34),PlotData!U34+ Querverschiebung!$E$2*$AF$1*U33,PlotData!$CB$4)</f>
        <v>0</v>
      </c>
      <c r="AY33" s="721">
        <f>IF(ISNUMBER(System!$C34),PlotData!V34+ Querverschiebung!$E$2*$AF$1*V33,PlotData!$CB$4)</f>
        <v>0</v>
      </c>
      <c r="AZ33" s="721">
        <f>IF(ISNUMBER(System!$C34),PlotData!W34+ Querverschiebung!$E$2*$AF$1*W33,PlotData!$CB$4)</f>
        <v>0</v>
      </c>
      <c r="BA33" s="721">
        <f>IF(ISNUMBER(System!$C34),PlotData!X34+ Querverschiebung!$E$2*$AF$1*X33,PlotData!$CB$4)</f>
        <v>0</v>
      </c>
      <c r="BB33" s="639">
        <f>IF(ISNUMBER(System!$C34),PlotData!Y34+ Querverschiebung!$E$2*$AF$1*Y33,PlotData!$CB$4)</f>
        <v>0</v>
      </c>
      <c r="BC33" s="668">
        <f>IF(ISNUMBER(System!$C34),PlotData!Y34, PlotData!CB$4)</f>
        <v>0</v>
      </c>
      <c r="BD33" s="721">
        <f>IF(ISNUMBER(System!$C34),PlotData!O34, PlotData!$CB$4)</f>
        <v>0</v>
      </c>
      <c r="BE33" s="639">
        <f>IF(ISNUMBER(System!$C34), AR33,PlotData!$CB$4)</f>
        <v>0</v>
      </c>
    </row>
    <row r="34" spans="1:61" x14ac:dyDescent="0.25">
      <c r="A34" s="1124">
        <v>32</v>
      </c>
      <c r="B34" s="668"/>
      <c r="C34" s="721"/>
      <c r="D34" s="721"/>
      <c r="E34" s="721"/>
      <c r="F34" s="721"/>
      <c r="G34" s="721"/>
      <c r="H34" s="721"/>
      <c r="I34" s="721"/>
      <c r="J34" s="721"/>
      <c r="K34" s="721"/>
      <c r="L34" s="639"/>
      <c r="N34" s="1124">
        <v>32</v>
      </c>
      <c r="O34" s="668"/>
      <c r="P34" s="721"/>
      <c r="Q34" s="721"/>
      <c r="R34" s="721"/>
      <c r="S34" s="721"/>
      <c r="T34" s="721"/>
      <c r="U34" s="721"/>
      <c r="V34" s="721"/>
      <c r="W34" s="721"/>
      <c r="X34" s="721"/>
      <c r="Y34" s="639"/>
      <c r="AA34" s="1159">
        <v>32</v>
      </c>
      <c r="AB34" s="668">
        <f>IF(ISNUMBER(System!$C35),PlotData!B35+Querverschiebung!$E$2* $AF$1*B34,PlotData!$CB$3)</f>
        <v>0</v>
      </c>
      <c r="AC34" s="721">
        <f>IF(ISNUMBER(System!$C35),PlotData!C35+ Querverschiebung!$E$2*$AF$1*C34,PlotData!$CB$3)</f>
        <v>0</v>
      </c>
      <c r="AD34" s="721">
        <f>IF(ISNUMBER(System!$C35),PlotData!D35+Querverschiebung!$E$2* $AF$1*D34,PlotData!$CB$3)</f>
        <v>0</v>
      </c>
      <c r="AE34" s="721">
        <f>IF(ISNUMBER(System!$C35),PlotData!E35+ Querverschiebung!$E$2*$AF$1*E34,PlotData!$CB$3)</f>
        <v>0</v>
      </c>
      <c r="AF34" s="721">
        <f>IF(ISNUMBER(System!$C35),PlotData!F35+ Querverschiebung!$E$2*$AF$1*F34,PlotData!$CB$3)</f>
        <v>0</v>
      </c>
      <c r="AG34" s="721">
        <f>IF(ISNUMBER(System!$C35),PlotData!G35+Querverschiebung!$E$2* $AF$1*G34,PlotData!$CB$3)</f>
        <v>0</v>
      </c>
      <c r="AH34" s="721">
        <f>IF(ISNUMBER(System!$C35),PlotData!H35+ Querverschiebung!$E$2*$AF$1*H34,PlotData!$CB$3)</f>
        <v>0</v>
      </c>
      <c r="AI34" s="721">
        <f>IF(ISNUMBER(System!$C35),PlotData!I35+Querverschiebung!$E$2* $AF$1*I34,PlotData!$CB$3)</f>
        <v>0</v>
      </c>
      <c r="AJ34" s="721">
        <f>IF(ISNUMBER(System!$C35),PlotData!J35+ Querverschiebung!$E$2*$AF$1*J34,PlotData!$CB$3)</f>
        <v>0</v>
      </c>
      <c r="AK34" s="721">
        <f>IF(ISNUMBER(System!$C35),PlotData!K35+ Querverschiebung!$E$2*$AF$1*K34,PlotData!$CB$3)</f>
        <v>0</v>
      </c>
      <c r="AL34" s="639">
        <f>IF(ISNUMBER(System!$C35),PlotData!L35+Querverschiebung!$E$2* $AF$1*L34,PlotData!$CB$3)</f>
        <v>0</v>
      </c>
      <c r="AM34" s="668">
        <f>IF(ISNUMBER(System!$C35),PlotData!L35,PlotData!$CB$3)</f>
        <v>0</v>
      </c>
      <c r="AN34" s="721">
        <f>IF(ISNUMBER(System!$C35),PlotData!B35,PlotData!$CB$3)</f>
        <v>0</v>
      </c>
      <c r="AO34" s="639">
        <f>IF(ISNUMBER(System!$C35),AB34,PlotData!$CB$3)</f>
        <v>0</v>
      </c>
      <c r="AQ34" s="1159">
        <v>32</v>
      </c>
      <c r="AR34" s="668">
        <f>IF(ISNUMBER(System!$C35),PlotData!O35+ Querverschiebung!$E$2*$AF$1*O34,PlotData!$CB$4)</f>
        <v>0</v>
      </c>
      <c r="AS34" s="721">
        <f>IF(ISNUMBER(System!$C35),PlotData!P35+ Querverschiebung!$E$2*$AF$1*P34,PlotData!$CB$4)</f>
        <v>0</v>
      </c>
      <c r="AT34" s="721">
        <f>IF(ISNUMBER(System!$C35),PlotData!Q35+ Querverschiebung!$E$2*$AF$1*Q34,PlotData!$CB$4)</f>
        <v>0</v>
      </c>
      <c r="AU34" s="721">
        <f>IF(ISNUMBER(System!$C35),PlotData!R35+ Querverschiebung!$E$2*$AF$1*R34,PlotData!$CB$4)</f>
        <v>0</v>
      </c>
      <c r="AV34" s="721">
        <f>IF(ISNUMBER(System!$C35),PlotData!S35+ Querverschiebung!$E$2*$AF$1*S34,PlotData!$CB$4)</f>
        <v>0</v>
      </c>
      <c r="AW34" s="721">
        <f>IF(ISNUMBER(System!$C35),PlotData!T35+ Querverschiebung!$E$2*$AF$1*T34,PlotData!$CB$4)</f>
        <v>0</v>
      </c>
      <c r="AX34" s="721">
        <f>IF(ISNUMBER(System!$C35),PlotData!U35+ Querverschiebung!$E$2*$AF$1*U34,PlotData!$CB$4)</f>
        <v>0</v>
      </c>
      <c r="AY34" s="721">
        <f>IF(ISNUMBER(System!$C35),PlotData!V35+ Querverschiebung!$E$2*$AF$1*V34,PlotData!$CB$4)</f>
        <v>0</v>
      </c>
      <c r="AZ34" s="721">
        <f>IF(ISNUMBER(System!$C35),PlotData!W35+ Querverschiebung!$E$2*$AF$1*W34,PlotData!$CB$4)</f>
        <v>0</v>
      </c>
      <c r="BA34" s="721">
        <f>IF(ISNUMBER(System!$C35),PlotData!X35+ Querverschiebung!$E$2*$AF$1*X34,PlotData!$CB$4)</f>
        <v>0</v>
      </c>
      <c r="BB34" s="639">
        <f>IF(ISNUMBER(System!$C35),PlotData!Y35+ Querverschiebung!$E$2*$AF$1*Y34,PlotData!$CB$4)</f>
        <v>0</v>
      </c>
      <c r="BC34" s="668">
        <f>IF(ISNUMBER(System!$C35),PlotData!Y35, PlotData!CB$4)</f>
        <v>0</v>
      </c>
      <c r="BD34" s="721">
        <f>IF(ISNUMBER(System!$C35),PlotData!O35, PlotData!$CB$4)</f>
        <v>0</v>
      </c>
      <c r="BE34" s="639">
        <f>IF(ISNUMBER(System!$C35), AR34,PlotData!$CB$4)</f>
        <v>0</v>
      </c>
    </row>
    <row r="35" spans="1:61" x14ac:dyDescent="0.25">
      <c r="A35" s="1124">
        <v>33</v>
      </c>
      <c r="B35" s="668"/>
      <c r="C35" s="721"/>
      <c r="D35" s="721"/>
      <c r="E35" s="721"/>
      <c r="F35" s="721"/>
      <c r="G35" s="721"/>
      <c r="H35" s="721"/>
      <c r="I35" s="721"/>
      <c r="J35" s="721"/>
      <c r="K35" s="721"/>
      <c r="L35" s="639"/>
      <c r="N35" s="1124">
        <v>33</v>
      </c>
      <c r="O35" s="668"/>
      <c r="P35" s="721"/>
      <c r="Q35" s="721"/>
      <c r="R35" s="721"/>
      <c r="S35" s="721"/>
      <c r="T35" s="721"/>
      <c r="U35" s="721"/>
      <c r="V35" s="721"/>
      <c r="W35" s="721"/>
      <c r="X35" s="721"/>
      <c r="Y35" s="639"/>
      <c r="AA35" s="1159">
        <v>33</v>
      </c>
      <c r="AB35" s="668">
        <f>IF(ISNUMBER(System!$C36),PlotData!B36+Querverschiebung!$E$2* $AF$1*B35,PlotData!$CB$3)</f>
        <v>0</v>
      </c>
      <c r="AC35" s="721">
        <f>IF(ISNUMBER(System!$C36),PlotData!C36+ Querverschiebung!$E$2*$AF$1*C35,PlotData!$CB$3)</f>
        <v>0</v>
      </c>
      <c r="AD35" s="721">
        <f>IF(ISNUMBER(System!$C36),PlotData!D36+Querverschiebung!$E$2* $AF$1*D35,PlotData!$CB$3)</f>
        <v>0</v>
      </c>
      <c r="AE35" s="721">
        <f>IF(ISNUMBER(System!$C36),PlotData!E36+ Querverschiebung!$E$2*$AF$1*E35,PlotData!$CB$3)</f>
        <v>0</v>
      </c>
      <c r="AF35" s="721">
        <f>IF(ISNUMBER(System!$C36),PlotData!F36+ Querverschiebung!$E$2*$AF$1*F35,PlotData!$CB$3)</f>
        <v>0</v>
      </c>
      <c r="AG35" s="721">
        <f>IF(ISNUMBER(System!$C36),PlotData!G36+Querverschiebung!$E$2* $AF$1*G35,PlotData!$CB$3)</f>
        <v>0</v>
      </c>
      <c r="AH35" s="721">
        <f>IF(ISNUMBER(System!$C36),PlotData!H36+ Querverschiebung!$E$2*$AF$1*H35,PlotData!$CB$3)</f>
        <v>0</v>
      </c>
      <c r="AI35" s="721">
        <f>IF(ISNUMBER(System!$C36),PlotData!I36+Querverschiebung!$E$2* $AF$1*I35,PlotData!$CB$3)</f>
        <v>0</v>
      </c>
      <c r="AJ35" s="721">
        <f>IF(ISNUMBER(System!$C36),PlotData!J36+ Querverschiebung!$E$2*$AF$1*J35,PlotData!$CB$3)</f>
        <v>0</v>
      </c>
      <c r="AK35" s="721">
        <f>IF(ISNUMBER(System!$C36),PlotData!K36+ Querverschiebung!$E$2*$AF$1*K35,PlotData!$CB$3)</f>
        <v>0</v>
      </c>
      <c r="AL35" s="639">
        <f>IF(ISNUMBER(System!$C36),PlotData!L36+Querverschiebung!$E$2* $AF$1*L35,PlotData!$CB$3)</f>
        <v>0</v>
      </c>
      <c r="AM35" s="668">
        <f>IF(ISNUMBER(System!$C36),PlotData!L36,PlotData!$CB$3)</f>
        <v>0</v>
      </c>
      <c r="AN35" s="721">
        <f>IF(ISNUMBER(System!$C36),PlotData!B36,PlotData!$CB$3)</f>
        <v>0</v>
      </c>
      <c r="AO35" s="639">
        <f>IF(ISNUMBER(System!$C36),AB35,PlotData!$CB$3)</f>
        <v>0</v>
      </c>
      <c r="AQ35" s="1159">
        <v>33</v>
      </c>
      <c r="AR35" s="668">
        <f>IF(ISNUMBER(System!$C36),PlotData!O36+ Querverschiebung!$E$2*$AF$1*O35,PlotData!$CB$4)</f>
        <v>0</v>
      </c>
      <c r="AS35" s="721">
        <f>IF(ISNUMBER(System!$C36),PlotData!P36+ Querverschiebung!$E$2*$AF$1*P35,PlotData!$CB$4)</f>
        <v>0</v>
      </c>
      <c r="AT35" s="721">
        <f>IF(ISNUMBER(System!$C36),PlotData!Q36+ Querverschiebung!$E$2*$AF$1*Q35,PlotData!$CB$4)</f>
        <v>0</v>
      </c>
      <c r="AU35" s="721">
        <f>IF(ISNUMBER(System!$C36),PlotData!R36+ Querverschiebung!$E$2*$AF$1*R35,PlotData!$CB$4)</f>
        <v>0</v>
      </c>
      <c r="AV35" s="721">
        <f>IF(ISNUMBER(System!$C36),PlotData!S36+ Querverschiebung!$E$2*$AF$1*S35,PlotData!$CB$4)</f>
        <v>0</v>
      </c>
      <c r="AW35" s="721">
        <f>IF(ISNUMBER(System!$C36),PlotData!T36+ Querverschiebung!$E$2*$AF$1*T35,PlotData!$CB$4)</f>
        <v>0</v>
      </c>
      <c r="AX35" s="721">
        <f>IF(ISNUMBER(System!$C36),PlotData!U36+ Querverschiebung!$E$2*$AF$1*U35,PlotData!$CB$4)</f>
        <v>0</v>
      </c>
      <c r="AY35" s="721">
        <f>IF(ISNUMBER(System!$C36),PlotData!V36+ Querverschiebung!$E$2*$AF$1*V35,PlotData!$CB$4)</f>
        <v>0</v>
      </c>
      <c r="AZ35" s="721">
        <f>IF(ISNUMBER(System!$C36),PlotData!W36+ Querverschiebung!$E$2*$AF$1*W35,PlotData!$CB$4)</f>
        <v>0</v>
      </c>
      <c r="BA35" s="721">
        <f>IF(ISNUMBER(System!$C36),PlotData!X36+ Querverschiebung!$E$2*$AF$1*X35,PlotData!$CB$4)</f>
        <v>0</v>
      </c>
      <c r="BB35" s="639">
        <f>IF(ISNUMBER(System!$C36),PlotData!Y36+ Querverschiebung!$E$2*$AF$1*Y35,PlotData!$CB$4)</f>
        <v>0</v>
      </c>
      <c r="BC35" s="668">
        <f>IF(ISNUMBER(System!$C36),PlotData!Y36, PlotData!CB$4)</f>
        <v>0</v>
      </c>
      <c r="BD35" s="721">
        <f>IF(ISNUMBER(System!$C36),PlotData!O36, PlotData!$CB$4)</f>
        <v>0</v>
      </c>
      <c r="BE35" s="639">
        <f>IF(ISNUMBER(System!$C36), AR35,PlotData!$CB$4)</f>
        <v>0</v>
      </c>
    </row>
    <row r="36" spans="1:61" x14ac:dyDescent="0.25">
      <c r="A36" s="1124">
        <v>34</v>
      </c>
      <c r="B36" s="668"/>
      <c r="C36" s="721"/>
      <c r="D36" s="721"/>
      <c r="E36" s="721"/>
      <c r="F36" s="721"/>
      <c r="G36" s="721"/>
      <c r="H36" s="721"/>
      <c r="I36" s="721"/>
      <c r="J36" s="721"/>
      <c r="K36" s="721"/>
      <c r="L36" s="639"/>
      <c r="N36" s="1124">
        <v>34</v>
      </c>
      <c r="O36" s="668"/>
      <c r="P36" s="721"/>
      <c r="Q36" s="721"/>
      <c r="R36" s="721"/>
      <c r="S36" s="721"/>
      <c r="T36" s="721"/>
      <c r="U36" s="721"/>
      <c r="V36" s="721"/>
      <c r="W36" s="721"/>
      <c r="X36" s="721"/>
      <c r="Y36" s="639"/>
      <c r="AA36" s="1159">
        <v>34</v>
      </c>
      <c r="AB36" s="668">
        <f>IF(ISNUMBER(System!$C37),PlotData!B37+Querverschiebung!$E$2* $AF$1*B36,PlotData!$CB$3)</f>
        <v>0</v>
      </c>
      <c r="AC36" s="721">
        <f>IF(ISNUMBER(System!$C37),PlotData!C37+ Querverschiebung!$E$2*$AF$1*C36,PlotData!$CB$3)</f>
        <v>0</v>
      </c>
      <c r="AD36" s="721">
        <f>IF(ISNUMBER(System!$C37),PlotData!D37+Querverschiebung!$E$2* $AF$1*D36,PlotData!$CB$3)</f>
        <v>0</v>
      </c>
      <c r="AE36" s="721">
        <f>IF(ISNUMBER(System!$C37),PlotData!E37+ Querverschiebung!$E$2*$AF$1*E36,PlotData!$CB$3)</f>
        <v>0</v>
      </c>
      <c r="AF36" s="721">
        <f>IF(ISNUMBER(System!$C37),PlotData!F37+ Querverschiebung!$E$2*$AF$1*F36,PlotData!$CB$3)</f>
        <v>0</v>
      </c>
      <c r="AG36" s="721">
        <f>IF(ISNUMBER(System!$C37),PlotData!G37+Querverschiebung!$E$2* $AF$1*G36,PlotData!$CB$3)</f>
        <v>0</v>
      </c>
      <c r="AH36" s="721">
        <f>IF(ISNUMBER(System!$C37),PlotData!H37+ Querverschiebung!$E$2*$AF$1*H36,PlotData!$CB$3)</f>
        <v>0</v>
      </c>
      <c r="AI36" s="721">
        <f>IF(ISNUMBER(System!$C37),PlotData!I37+Querverschiebung!$E$2* $AF$1*I36,PlotData!$CB$3)</f>
        <v>0</v>
      </c>
      <c r="AJ36" s="721">
        <f>IF(ISNUMBER(System!$C37),PlotData!J37+ Querverschiebung!$E$2*$AF$1*J36,PlotData!$CB$3)</f>
        <v>0</v>
      </c>
      <c r="AK36" s="721">
        <f>IF(ISNUMBER(System!$C37),PlotData!K37+ Querverschiebung!$E$2*$AF$1*K36,PlotData!$CB$3)</f>
        <v>0</v>
      </c>
      <c r="AL36" s="639">
        <f>IF(ISNUMBER(System!$C37),PlotData!L37+Querverschiebung!$E$2* $AF$1*L36,PlotData!$CB$3)</f>
        <v>0</v>
      </c>
      <c r="AM36" s="668">
        <f>IF(ISNUMBER(System!$C37),PlotData!L37,PlotData!$CB$3)</f>
        <v>0</v>
      </c>
      <c r="AN36" s="721">
        <f>IF(ISNUMBER(System!$C37),PlotData!B37,PlotData!$CB$3)</f>
        <v>0</v>
      </c>
      <c r="AO36" s="639">
        <f>IF(ISNUMBER(System!$C37),AB36,PlotData!$CB$3)</f>
        <v>0</v>
      </c>
      <c r="AQ36" s="1159">
        <v>34</v>
      </c>
      <c r="AR36" s="668">
        <f>IF(ISNUMBER(System!$C37),PlotData!O37+ Querverschiebung!$E$2*$AF$1*O36,PlotData!$CB$4)</f>
        <v>0</v>
      </c>
      <c r="AS36" s="721">
        <f>IF(ISNUMBER(System!$C37),PlotData!P37+ Querverschiebung!$E$2*$AF$1*P36,PlotData!$CB$4)</f>
        <v>0</v>
      </c>
      <c r="AT36" s="721">
        <f>IF(ISNUMBER(System!$C37),PlotData!Q37+ Querverschiebung!$E$2*$AF$1*Q36,PlotData!$CB$4)</f>
        <v>0</v>
      </c>
      <c r="AU36" s="721">
        <f>IF(ISNUMBER(System!$C37),PlotData!R37+ Querverschiebung!$E$2*$AF$1*R36,PlotData!$CB$4)</f>
        <v>0</v>
      </c>
      <c r="AV36" s="721">
        <f>IF(ISNUMBER(System!$C37),PlotData!S37+ Querverschiebung!$E$2*$AF$1*S36,PlotData!$CB$4)</f>
        <v>0</v>
      </c>
      <c r="AW36" s="721">
        <f>IF(ISNUMBER(System!$C37),PlotData!T37+ Querverschiebung!$E$2*$AF$1*T36,PlotData!$CB$4)</f>
        <v>0</v>
      </c>
      <c r="AX36" s="721">
        <f>IF(ISNUMBER(System!$C37),PlotData!U37+ Querverschiebung!$E$2*$AF$1*U36,PlotData!$CB$4)</f>
        <v>0</v>
      </c>
      <c r="AY36" s="721">
        <f>IF(ISNUMBER(System!$C37),PlotData!V37+ Querverschiebung!$E$2*$AF$1*V36,PlotData!$CB$4)</f>
        <v>0</v>
      </c>
      <c r="AZ36" s="721">
        <f>IF(ISNUMBER(System!$C37),PlotData!W37+ Querverschiebung!$E$2*$AF$1*W36,PlotData!$CB$4)</f>
        <v>0</v>
      </c>
      <c r="BA36" s="721">
        <f>IF(ISNUMBER(System!$C37),PlotData!X37+ Querverschiebung!$E$2*$AF$1*X36,PlotData!$CB$4)</f>
        <v>0</v>
      </c>
      <c r="BB36" s="639">
        <f>IF(ISNUMBER(System!$C37),PlotData!Y37+ Querverschiebung!$E$2*$AF$1*Y36,PlotData!$CB$4)</f>
        <v>0</v>
      </c>
      <c r="BC36" s="668">
        <f>IF(ISNUMBER(System!$C37),PlotData!Y37, PlotData!CB$4)</f>
        <v>0</v>
      </c>
      <c r="BD36" s="721">
        <f>IF(ISNUMBER(System!$C37),PlotData!O37, PlotData!$CB$4)</f>
        <v>0</v>
      </c>
      <c r="BE36" s="639">
        <f>IF(ISNUMBER(System!$C37), AR36,PlotData!$CB$4)</f>
        <v>0</v>
      </c>
    </row>
    <row r="37" spans="1:61" x14ac:dyDescent="0.25">
      <c r="A37" s="1124">
        <v>35</v>
      </c>
      <c r="B37" s="668"/>
      <c r="C37" s="721"/>
      <c r="D37" s="721"/>
      <c r="E37" s="721"/>
      <c r="F37" s="721"/>
      <c r="G37" s="721"/>
      <c r="H37" s="721"/>
      <c r="I37" s="721"/>
      <c r="J37" s="721"/>
      <c r="K37" s="721"/>
      <c r="L37" s="639"/>
      <c r="N37" s="1124">
        <v>35</v>
      </c>
      <c r="O37" s="668"/>
      <c r="P37" s="721"/>
      <c r="Q37" s="721"/>
      <c r="R37" s="721"/>
      <c r="S37" s="721"/>
      <c r="T37" s="721"/>
      <c r="U37" s="721"/>
      <c r="V37" s="721"/>
      <c r="W37" s="721"/>
      <c r="X37" s="721"/>
      <c r="Y37" s="639"/>
      <c r="AA37" s="1159">
        <v>35</v>
      </c>
      <c r="AB37" s="668">
        <f>IF(ISNUMBER(System!$C38),PlotData!B38+Querverschiebung!$E$2* $AF$1*B37,PlotData!$CB$3)</f>
        <v>0</v>
      </c>
      <c r="AC37" s="721">
        <f>IF(ISNUMBER(System!$C38),PlotData!C38+ Querverschiebung!$E$2*$AF$1*C37,PlotData!$CB$3)</f>
        <v>0</v>
      </c>
      <c r="AD37" s="721">
        <f>IF(ISNUMBER(System!$C38),PlotData!D38+Querverschiebung!$E$2* $AF$1*D37,PlotData!$CB$3)</f>
        <v>0</v>
      </c>
      <c r="AE37" s="721">
        <f>IF(ISNUMBER(System!$C38),PlotData!E38+ Querverschiebung!$E$2*$AF$1*E37,PlotData!$CB$3)</f>
        <v>0</v>
      </c>
      <c r="AF37" s="721">
        <f>IF(ISNUMBER(System!$C38),PlotData!F38+ Querverschiebung!$E$2*$AF$1*F37,PlotData!$CB$3)</f>
        <v>0</v>
      </c>
      <c r="AG37" s="721">
        <f>IF(ISNUMBER(System!$C38),PlotData!G38+Querverschiebung!$E$2* $AF$1*G37,PlotData!$CB$3)</f>
        <v>0</v>
      </c>
      <c r="AH37" s="721">
        <f>IF(ISNUMBER(System!$C38),PlotData!H38+ Querverschiebung!$E$2*$AF$1*H37,PlotData!$CB$3)</f>
        <v>0</v>
      </c>
      <c r="AI37" s="721">
        <f>IF(ISNUMBER(System!$C38),PlotData!I38+Querverschiebung!$E$2* $AF$1*I37,PlotData!$CB$3)</f>
        <v>0</v>
      </c>
      <c r="AJ37" s="721">
        <f>IF(ISNUMBER(System!$C38),PlotData!J38+ Querverschiebung!$E$2*$AF$1*J37,PlotData!$CB$3)</f>
        <v>0</v>
      </c>
      <c r="AK37" s="721">
        <f>IF(ISNUMBER(System!$C38),PlotData!K38+ Querverschiebung!$E$2*$AF$1*K37,PlotData!$CB$3)</f>
        <v>0</v>
      </c>
      <c r="AL37" s="639">
        <f>IF(ISNUMBER(System!$C38),PlotData!L38+Querverschiebung!$E$2* $AF$1*L37,PlotData!$CB$3)</f>
        <v>0</v>
      </c>
      <c r="AM37" s="668">
        <f>IF(ISNUMBER(System!$C38),PlotData!L38,PlotData!$CB$3)</f>
        <v>0</v>
      </c>
      <c r="AN37" s="721">
        <f>IF(ISNUMBER(System!$C38),PlotData!B38,PlotData!$CB$3)</f>
        <v>0</v>
      </c>
      <c r="AO37" s="639">
        <f>IF(ISNUMBER(System!$C38),AB37,PlotData!$CB$3)</f>
        <v>0</v>
      </c>
      <c r="AQ37" s="1159">
        <v>35</v>
      </c>
      <c r="AR37" s="668">
        <f>IF(ISNUMBER(System!$C38),PlotData!O38+ Querverschiebung!$E$2*$AF$1*O37,PlotData!$CB$4)</f>
        <v>0</v>
      </c>
      <c r="AS37" s="721">
        <f>IF(ISNUMBER(System!$C38),PlotData!P38+ Querverschiebung!$E$2*$AF$1*P37,PlotData!$CB$4)</f>
        <v>0</v>
      </c>
      <c r="AT37" s="721">
        <f>IF(ISNUMBER(System!$C38),PlotData!Q38+ Querverschiebung!$E$2*$AF$1*Q37,PlotData!$CB$4)</f>
        <v>0</v>
      </c>
      <c r="AU37" s="721">
        <f>IF(ISNUMBER(System!$C38),PlotData!R38+ Querverschiebung!$E$2*$AF$1*R37,PlotData!$CB$4)</f>
        <v>0</v>
      </c>
      <c r="AV37" s="721">
        <f>IF(ISNUMBER(System!$C38),PlotData!S38+ Querverschiebung!$E$2*$AF$1*S37,PlotData!$CB$4)</f>
        <v>0</v>
      </c>
      <c r="AW37" s="721">
        <f>IF(ISNUMBER(System!$C38),PlotData!T38+ Querverschiebung!$E$2*$AF$1*T37,PlotData!$CB$4)</f>
        <v>0</v>
      </c>
      <c r="AX37" s="721">
        <f>IF(ISNUMBER(System!$C38),PlotData!U38+ Querverschiebung!$E$2*$AF$1*U37,PlotData!$CB$4)</f>
        <v>0</v>
      </c>
      <c r="AY37" s="721">
        <f>IF(ISNUMBER(System!$C38),PlotData!V38+ Querverschiebung!$E$2*$AF$1*V37,PlotData!$CB$4)</f>
        <v>0</v>
      </c>
      <c r="AZ37" s="721">
        <f>IF(ISNUMBER(System!$C38),PlotData!W38+ Querverschiebung!$E$2*$AF$1*W37,PlotData!$CB$4)</f>
        <v>0</v>
      </c>
      <c r="BA37" s="721">
        <f>IF(ISNUMBER(System!$C38),PlotData!X38+ Querverschiebung!$E$2*$AF$1*X37,PlotData!$CB$4)</f>
        <v>0</v>
      </c>
      <c r="BB37" s="639">
        <f>IF(ISNUMBER(System!$C38),PlotData!Y38+ Querverschiebung!$E$2*$AF$1*Y37,PlotData!$CB$4)</f>
        <v>0</v>
      </c>
      <c r="BC37" s="668">
        <f>IF(ISNUMBER(System!$C38),PlotData!Y38, PlotData!CB$4)</f>
        <v>0</v>
      </c>
      <c r="BD37" s="721">
        <f>IF(ISNUMBER(System!$C38),PlotData!O38, PlotData!$CB$4)</f>
        <v>0</v>
      </c>
      <c r="BE37" s="639">
        <f>IF(ISNUMBER(System!$C38), AR37,PlotData!$CB$4)</f>
        <v>0</v>
      </c>
    </row>
    <row r="38" spans="1:61" x14ac:dyDescent="0.25">
      <c r="A38" s="1124">
        <v>36</v>
      </c>
      <c r="B38" s="668"/>
      <c r="C38" s="721"/>
      <c r="D38" s="721"/>
      <c r="E38" s="721"/>
      <c r="F38" s="721"/>
      <c r="G38" s="721"/>
      <c r="H38" s="721"/>
      <c r="I38" s="721"/>
      <c r="J38" s="721"/>
      <c r="K38" s="721"/>
      <c r="L38" s="639"/>
      <c r="N38" s="1124">
        <v>36</v>
      </c>
      <c r="O38" s="668"/>
      <c r="P38" s="721"/>
      <c r="Q38" s="721"/>
      <c r="R38" s="721"/>
      <c r="S38" s="721"/>
      <c r="T38" s="721"/>
      <c r="U38" s="721"/>
      <c r="V38" s="721"/>
      <c r="W38" s="721"/>
      <c r="X38" s="721"/>
      <c r="Y38" s="639"/>
      <c r="AA38" s="1159">
        <v>36</v>
      </c>
      <c r="AB38" s="668">
        <f>IF(ISNUMBER(System!$C39),PlotData!B39+Querverschiebung!$E$2* $AF$1*B38,PlotData!$CB$3)</f>
        <v>0</v>
      </c>
      <c r="AC38" s="721">
        <f>IF(ISNUMBER(System!$C39),PlotData!C39+ Querverschiebung!$E$2*$AF$1*C38,PlotData!$CB$3)</f>
        <v>0</v>
      </c>
      <c r="AD38" s="721">
        <f>IF(ISNUMBER(System!$C39),PlotData!D39+Querverschiebung!$E$2* $AF$1*D38,PlotData!$CB$3)</f>
        <v>0</v>
      </c>
      <c r="AE38" s="721">
        <f>IF(ISNUMBER(System!$C39),PlotData!E39+ Querverschiebung!$E$2*$AF$1*E38,PlotData!$CB$3)</f>
        <v>0</v>
      </c>
      <c r="AF38" s="721">
        <f>IF(ISNUMBER(System!$C39),PlotData!F39+ Querverschiebung!$E$2*$AF$1*F38,PlotData!$CB$3)</f>
        <v>0</v>
      </c>
      <c r="AG38" s="721">
        <f>IF(ISNUMBER(System!$C39),PlotData!G39+Querverschiebung!$E$2* $AF$1*G38,PlotData!$CB$3)</f>
        <v>0</v>
      </c>
      <c r="AH38" s="721">
        <f>IF(ISNUMBER(System!$C39),PlotData!H39+ Querverschiebung!$E$2*$AF$1*H38,PlotData!$CB$3)</f>
        <v>0</v>
      </c>
      <c r="AI38" s="721">
        <f>IF(ISNUMBER(System!$C39),PlotData!I39+Querverschiebung!$E$2* $AF$1*I38,PlotData!$CB$3)</f>
        <v>0</v>
      </c>
      <c r="AJ38" s="721">
        <f>IF(ISNUMBER(System!$C39),PlotData!J39+ Querverschiebung!$E$2*$AF$1*J38,PlotData!$CB$3)</f>
        <v>0</v>
      </c>
      <c r="AK38" s="721">
        <f>IF(ISNUMBER(System!$C39),PlotData!K39+ Querverschiebung!$E$2*$AF$1*K38,PlotData!$CB$3)</f>
        <v>0</v>
      </c>
      <c r="AL38" s="639">
        <f>IF(ISNUMBER(System!$C39),PlotData!L39+Querverschiebung!$E$2* $AF$1*L38,PlotData!$CB$3)</f>
        <v>0</v>
      </c>
      <c r="AM38" s="668">
        <f>IF(ISNUMBER(System!$C39),PlotData!L39,PlotData!$CB$3)</f>
        <v>0</v>
      </c>
      <c r="AN38" s="721">
        <f>IF(ISNUMBER(System!$C39),PlotData!B39,PlotData!$CB$3)</f>
        <v>0</v>
      </c>
      <c r="AO38" s="639">
        <f>IF(ISNUMBER(System!$C39),AB38,PlotData!$CB$3)</f>
        <v>0</v>
      </c>
      <c r="AQ38" s="1159">
        <v>36</v>
      </c>
      <c r="AR38" s="668">
        <f>IF(ISNUMBER(System!$C39),PlotData!O39+ Querverschiebung!$E$2*$AF$1*O38,PlotData!$CB$4)</f>
        <v>0</v>
      </c>
      <c r="AS38" s="721">
        <f>IF(ISNUMBER(System!$C39),PlotData!P39+ Querverschiebung!$E$2*$AF$1*P38,PlotData!$CB$4)</f>
        <v>0</v>
      </c>
      <c r="AT38" s="721">
        <f>IF(ISNUMBER(System!$C39),PlotData!Q39+ Querverschiebung!$E$2*$AF$1*Q38,PlotData!$CB$4)</f>
        <v>0</v>
      </c>
      <c r="AU38" s="721">
        <f>IF(ISNUMBER(System!$C39),PlotData!R39+ Querverschiebung!$E$2*$AF$1*R38,PlotData!$CB$4)</f>
        <v>0</v>
      </c>
      <c r="AV38" s="721">
        <f>IF(ISNUMBER(System!$C39),PlotData!S39+ Querverschiebung!$E$2*$AF$1*S38,PlotData!$CB$4)</f>
        <v>0</v>
      </c>
      <c r="AW38" s="721">
        <f>IF(ISNUMBER(System!$C39),PlotData!T39+ Querverschiebung!$E$2*$AF$1*T38,PlotData!$CB$4)</f>
        <v>0</v>
      </c>
      <c r="AX38" s="721">
        <f>IF(ISNUMBER(System!$C39),PlotData!U39+ Querverschiebung!$E$2*$AF$1*U38,PlotData!$CB$4)</f>
        <v>0</v>
      </c>
      <c r="AY38" s="721">
        <f>IF(ISNUMBER(System!$C39),PlotData!V39+ Querverschiebung!$E$2*$AF$1*V38,PlotData!$CB$4)</f>
        <v>0</v>
      </c>
      <c r="AZ38" s="721">
        <f>IF(ISNUMBER(System!$C39),PlotData!W39+ Querverschiebung!$E$2*$AF$1*W38,PlotData!$CB$4)</f>
        <v>0</v>
      </c>
      <c r="BA38" s="721">
        <f>IF(ISNUMBER(System!$C39),PlotData!X39+ Querverschiebung!$E$2*$AF$1*X38,PlotData!$CB$4)</f>
        <v>0</v>
      </c>
      <c r="BB38" s="639">
        <f>IF(ISNUMBER(System!$C39),PlotData!Y39+ Querverschiebung!$E$2*$AF$1*Y38,PlotData!$CB$4)</f>
        <v>0</v>
      </c>
      <c r="BC38" s="668">
        <f>IF(ISNUMBER(System!$C39),PlotData!Y39, PlotData!CB$4)</f>
        <v>0</v>
      </c>
      <c r="BD38" s="721">
        <f>IF(ISNUMBER(System!$C39),PlotData!O39, PlotData!$CB$4)</f>
        <v>0</v>
      </c>
      <c r="BE38" s="639">
        <f>IF(ISNUMBER(System!$C39), AR38,PlotData!$CB$4)</f>
        <v>0</v>
      </c>
    </row>
    <row r="39" spans="1:61" x14ac:dyDescent="0.25">
      <c r="A39" s="1124">
        <v>37</v>
      </c>
      <c r="B39" s="668"/>
      <c r="C39" s="721"/>
      <c r="D39" s="721"/>
      <c r="E39" s="721"/>
      <c r="F39" s="721"/>
      <c r="G39" s="721"/>
      <c r="H39" s="721"/>
      <c r="I39" s="721"/>
      <c r="J39" s="721"/>
      <c r="K39" s="721"/>
      <c r="L39" s="639"/>
      <c r="N39" s="1124">
        <v>37</v>
      </c>
      <c r="O39" s="668"/>
      <c r="P39" s="721"/>
      <c r="Q39" s="721"/>
      <c r="R39" s="721"/>
      <c r="S39" s="721"/>
      <c r="T39" s="721"/>
      <c r="U39" s="721"/>
      <c r="V39" s="721"/>
      <c r="W39" s="721"/>
      <c r="X39" s="721"/>
      <c r="Y39" s="639"/>
      <c r="AA39" s="1159">
        <v>37</v>
      </c>
      <c r="AB39" s="668">
        <f>IF(ISNUMBER(System!$C40),PlotData!B40+Querverschiebung!$E$2* $AF$1*B39,PlotData!$CB$3)</f>
        <v>0</v>
      </c>
      <c r="AC39" s="721">
        <f>IF(ISNUMBER(System!$C40),PlotData!C40+ Querverschiebung!$E$2*$AF$1*C39,PlotData!$CB$3)</f>
        <v>0</v>
      </c>
      <c r="AD39" s="721">
        <f>IF(ISNUMBER(System!$C40),PlotData!D40+Querverschiebung!$E$2* $AF$1*D39,PlotData!$CB$3)</f>
        <v>0</v>
      </c>
      <c r="AE39" s="721">
        <f>IF(ISNUMBER(System!$C40),PlotData!E40+ Querverschiebung!$E$2*$AF$1*E39,PlotData!$CB$3)</f>
        <v>0</v>
      </c>
      <c r="AF39" s="721">
        <f>IF(ISNUMBER(System!$C40),PlotData!F40+ Querverschiebung!$E$2*$AF$1*F39,PlotData!$CB$3)</f>
        <v>0</v>
      </c>
      <c r="AG39" s="721">
        <f>IF(ISNUMBER(System!$C40),PlotData!G40+Querverschiebung!$E$2* $AF$1*G39,PlotData!$CB$3)</f>
        <v>0</v>
      </c>
      <c r="AH39" s="721">
        <f>IF(ISNUMBER(System!$C40),PlotData!H40+ Querverschiebung!$E$2*$AF$1*H39,PlotData!$CB$3)</f>
        <v>0</v>
      </c>
      <c r="AI39" s="721">
        <f>IF(ISNUMBER(System!$C40),PlotData!I40+Querverschiebung!$E$2* $AF$1*I39,PlotData!$CB$3)</f>
        <v>0</v>
      </c>
      <c r="AJ39" s="721">
        <f>IF(ISNUMBER(System!$C40),PlotData!J40+ Querverschiebung!$E$2*$AF$1*J39,PlotData!$CB$3)</f>
        <v>0</v>
      </c>
      <c r="AK39" s="721">
        <f>IF(ISNUMBER(System!$C40),PlotData!K40+ Querverschiebung!$E$2*$AF$1*K39,PlotData!$CB$3)</f>
        <v>0</v>
      </c>
      <c r="AL39" s="639">
        <f>IF(ISNUMBER(System!$C40),PlotData!L40+Querverschiebung!$E$2* $AF$1*L39,PlotData!$CB$3)</f>
        <v>0</v>
      </c>
      <c r="AM39" s="668">
        <f>IF(ISNUMBER(System!$C40),PlotData!L40,PlotData!$CB$3)</f>
        <v>0</v>
      </c>
      <c r="AN39" s="721">
        <f>IF(ISNUMBER(System!$C40),PlotData!B40,PlotData!$CB$3)</f>
        <v>0</v>
      </c>
      <c r="AO39" s="639">
        <f>IF(ISNUMBER(System!$C40),AB39,PlotData!$CB$3)</f>
        <v>0</v>
      </c>
      <c r="AQ39" s="1159">
        <v>37</v>
      </c>
      <c r="AR39" s="668">
        <f>IF(ISNUMBER(System!$C40),PlotData!O40+ Querverschiebung!$E$2*$AF$1*O39,PlotData!$CB$4)</f>
        <v>0</v>
      </c>
      <c r="AS39" s="721">
        <f>IF(ISNUMBER(System!$C40),PlotData!P40+ Querverschiebung!$E$2*$AF$1*P39,PlotData!$CB$4)</f>
        <v>0</v>
      </c>
      <c r="AT39" s="721">
        <f>IF(ISNUMBER(System!$C40),PlotData!Q40+ Querverschiebung!$E$2*$AF$1*Q39,PlotData!$CB$4)</f>
        <v>0</v>
      </c>
      <c r="AU39" s="721">
        <f>IF(ISNUMBER(System!$C40),PlotData!R40+ Querverschiebung!$E$2*$AF$1*R39,PlotData!$CB$4)</f>
        <v>0</v>
      </c>
      <c r="AV39" s="721">
        <f>IF(ISNUMBER(System!$C40),PlotData!S40+ Querverschiebung!$E$2*$AF$1*S39,PlotData!$CB$4)</f>
        <v>0</v>
      </c>
      <c r="AW39" s="721">
        <f>IF(ISNUMBER(System!$C40),PlotData!T40+ Querverschiebung!$E$2*$AF$1*T39,PlotData!$CB$4)</f>
        <v>0</v>
      </c>
      <c r="AX39" s="721">
        <f>IF(ISNUMBER(System!$C40),PlotData!U40+ Querverschiebung!$E$2*$AF$1*U39,PlotData!$CB$4)</f>
        <v>0</v>
      </c>
      <c r="AY39" s="721">
        <f>IF(ISNUMBER(System!$C40),PlotData!V40+ Querverschiebung!$E$2*$AF$1*V39,PlotData!$CB$4)</f>
        <v>0</v>
      </c>
      <c r="AZ39" s="721">
        <f>IF(ISNUMBER(System!$C40),PlotData!W40+ Querverschiebung!$E$2*$AF$1*W39,PlotData!$CB$4)</f>
        <v>0</v>
      </c>
      <c r="BA39" s="721">
        <f>IF(ISNUMBER(System!$C40),PlotData!X40+ Querverschiebung!$E$2*$AF$1*X39,PlotData!$CB$4)</f>
        <v>0</v>
      </c>
      <c r="BB39" s="639">
        <f>IF(ISNUMBER(System!$C40),PlotData!Y40+ Querverschiebung!$E$2*$AF$1*Y39,PlotData!$CB$4)</f>
        <v>0</v>
      </c>
      <c r="BC39" s="668">
        <f>IF(ISNUMBER(System!$C40),PlotData!Y40, PlotData!CB$4)</f>
        <v>0</v>
      </c>
      <c r="BD39" s="721">
        <f>IF(ISNUMBER(System!$C40),PlotData!O40, PlotData!$CB$4)</f>
        <v>0</v>
      </c>
      <c r="BE39" s="639">
        <f>IF(ISNUMBER(System!$C40), AR39,PlotData!$CB$4)</f>
        <v>0</v>
      </c>
    </row>
    <row r="40" spans="1:61" x14ac:dyDescent="0.25">
      <c r="A40" s="1124">
        <v>38</v>
      </c>
      <c r="B40" s="668"/>
      <c r="C40" s="721"/>
      <c r="D40" s="721"/>
      <c r="E40" s="721"/>
      <c r="F40" s="721"/>
      <c r="G40" s="721"/>
      <c r="H40" s="721"/>
      <c r="I40" s="721"/>
      <c r="J40" s="721"/>
      <c r="K40" s="721"/>
      <c r="L40" s="639"/>
      <c r="N40" s="1124">
        <v>38</v>
      </c>
      <c r="O40" s="668"/>
      <c r="P40" s="721"/>
      <c r="Q40" s="721"/>
      <c r="R40" s="721"/>
      <c r="S40" s="721"/>
      <c r="T40" s="721"/>
      <c r="U40" s="721"/>
      <c r="V40" s="721"/>
      <c r="W40" s="721"/>
      <c r="X40" s="721"/>
      <c r="Y40" s="639"/>
      <c r="AA40" s="1159">
        <v>38</v>
      </c>
      <c r="AB40" s="668">
        <f>IF(ISNUMBER(System!$C41),PlotData!B41+Querverschiebung!$E$2* $AF$1*B40,PlotData!$CB$3)</f>
        <v>0</v>
      </c>
      <c r="AC40" s="721">
        <f>IF(ISNUMBER(System!$C41),PlotData!C41+ Querverschiebung!$E$2*$AF$1*C40,PlotData!$CB$3)</f>
        <v>0</v>
      </c>
      <c r="AD40" s="721">
        <f>IF(ISNUMBER(System!$C41),PlotData!D41+Querverschiebung!$E$2* $AF$1*D40,PlotData!$CB$3)</f>
        <v>0</v>
      </c>
      <c r="AE40" s="721">
        <f>IF(ISNUMBER(System!$C41),PlotData!E41+ Querverschiebung!$E$2*$AF$1*E40,PlotData!$CB$3)</f>
        <v>0</v>
      </c>
      <c r="AF40" s="721">
        <f>IF(ISNUMBER(System!$C41),PlotData!F41+ Querverschiebung!$E$2*$AF$1*F40,PlotData!$CB$3)</f>
        <v>0</v>
      </c>
      <c r="AG40" s="721">
        <f>IF(ISNUMBER(System!$C41),PlotData!G41+Querverschiebung!$E$2* $AF$1*G40,PlotData!$CB$3)</f>
        <v>0</v>
      </c>
      <c r="AH40" s="721">
        <f>IF(ISNUMBER(System!$C41),PlotData!H41+ Querverschiebung!$E$2*$AF$1*H40,PlotData!$CB$3)</f>
        <v>0</v>
      </c>
      <c r="AI40" s="721">
        <f>IF(ISNUMBER(System!$C41),PlotData!I41+Querverschiebung!$E$2* $AF$1*I40,PlotData!$CB$3)</f>
        <v>0</v>
      </c>
      <c r="AJ40" s="721">
        <f>IF(ISNUMBER(System!$C41),PlotData!J41+ Querverschiebung!$E$2*$AF$1*J40,PlotData!$CB$3)</f>
        <v>0</v>
      </c>
      <c r="AK40" s="721">
        <f>IF(ISNUMBER(System!$C41),PlotData!K41+ Querverschiebung!$E$2*$AF$1*K40,PlotData!$CB$3)</f>
        <v>0</v>
      </c>
      <c r="AL40" s="639">
        <f>IF(ISNUMBER(System!$C41),PlotData!L41+Querverschiebung!$E$2* $AF$1*L40,PlotData!$CB$3)</f>
        <v>0</v>
      </c>
      <c r="AM40" s="668">
        <f>IF(ISNUMBER(System!$C41),PlotData!L41,PlotData!$CB$3)</f>
        <v>0</v>
      </c>
      <c r="AN40" s="721">
        <f>IF(ISNUMBER(System!$C41),PlotData!B41,PlotData!$CB$3)</f>
        <v>0</v>
      </c>
      <c r="AO40" s="639">
        <f>IF(ISNUMBER(System!$C41),AB40,PlotData!$CB$3)</f>
        <v>0</v>
      </c>
      <c r="AQ40" s="1159">
        <v>38</v>
      </c>
      <c r="AR40" s="668">
        <f>IF(ISNUMBER(System!$C41),PlotData!O41+ Querverschiebung!$E$2*$AF$1*O40,PlotData!$CB$4)</f>
        <v>0</v>
      </c>
      <c r="AS40" s="721">
        <f>IF(ISNUMBER(System!$C41),PlotData!P41+ Querverschiebung!$E$2*$AF$1*P40,PlotData!$CB$4)</f>
        <v>0</v>
      </c>
      <c r="AT40" s="721">
        <f>IF(ISNUMBER(System!$C41),PlotData!Q41+ Querverschiebung!$E$2*$AF$1*Q40,PlotData!$CB$4)</f>
        <v>0</v>
      </c>
      <c r="AU40" s="721">
        <f>IF(ISNUMBER(System!$C41),PlotData!R41+ Querverschiebung!$E$2*$AF$1*R40,PlotData!$CB$4)</f>
        <v>0</v>
      </c>
      <c r="AV40" s="721">
        <f>IF(ISNUMBER(System!$C41),PlotData!S41+ Querverschiebung!$E$2*$AF$1*S40,PlotData!$CB$4)</f>
        <v>0</v>
      </c>
      <c r="AW40" s="721">
        <f>IF(ISNUMBER(System!$C41),PlotData!T41+ Querverschiebung!$E$2*$AF$1*T40,PlotData!$CB$4)</f>
        <v>0</v>
      </c>
      <c r="AX40" s="721">
        <f>IF(ISNUMBER(System!$C41),PlotData!U41+ Querverschiebung!$E$2*$AF$1*U40,PlotData!$CB$4)</f>
        <v>0</v>
      </c>
      <c r="AY40" s="721">
        <f>IF(ISNUMBER(System!$C41),PlotData!V41+ Querverschiebung!$E$2*$AF$1*V40,PlotData!$CB$4)</f>
        <v>0</v>
      </c>
      <c r="AZ40" s="721">
        <f>IF(ISNUMBER(System!$C41),PlotData!W41+ Querverschiebung!$E$2*$AF$1*W40,PlotData!$CB$4)</f>
        <v>0</v>
      </c>
      <c r="BA40" s="721">
        <f>IF(ISNUMBER(System!$C41),PlotData!X41+ Querverschiebung!$E$2*$AF$1*X40,PlotData!$CB$4)</f>
        <v>0</v>
      </c>
      <c r="BB40" s="639">
        <f>IF(ISNUMBER(System!$C41),PlotData!Y41+ Querverschiebung!$E$2*$AF$1*Y40,PlotData!$CB$4)</f>
        <v>0</v>
      </c>
      <c r="BC40" s="668">
        <f>IF(ISNUMBER(System!$C41),PlotData!Y41, PlotData!CB$4)</f>
        <v>0</v>
      </c>
      <c r="BD40" s="721">
        <f>IF(ISNUMBER(System!$C41),PlotData!O41, PlotData!$CB$4)</f>
        <v>0</v>
      </c>
      <c r="BE40" s="639">
        <f>IF(ISNUMBER(System!$C41), AR40,PlotData!$CB$4)</f>
        <v>0</v>
      </c>
    </row>
    <row r="41" spans="1:61" x14ac:dyDescent="0.25">
      <c r="A41" s="1124">
        <v>39</v>
      </c>
      <c r="B41" s="668"/>
      <c r="C41" s="721"/>
      <c r="D41" s="721"/>
      <c r="E41" s="721"/>
      <c r="F41" s="721"/>
      <c r="G41" s="721"/>
      <c r="H41" s="721"/>
      <c r="I41" s="721"/>
      <c r="J41" s="721"/>
      <c r="K41" s="721"/>
      <c r="L41" s="639"/>
      <c r="N41" s="1124">
        <v>39</v>
      </c>
      <c r="O41" s="668"/>
      <c r="P41" s="721"/>
      <c r="Q41" s="721"/>
      <c r="R41" s="721"/>
      <c r="S41" s="721"/>
      <c r="T41" s="721"/>
      <c r="U41" s="721"/>
      <c r="V41" s="721"/>
      <c r="W41" s="721"/>
      <c r="X41" s="721"/>
      <c r="Y41" s="639"/>
      <c r="AA41" s="1159">
        <v>39</v>
      </c>
      <c r="AB41" s="668">
        <f>IF(ISNUMBER(System!$C42),PlotData!B42+Querverschiebung!$E$2* $AF$1*B41,PlotData!$CB$3)</f>
        <v>0</v>
      </c>
      <c r="AC41" s="721">
        <f>IF(ISNUMBER(System!$C42),PlotData!C42+ Querverschiebung!$E$2*$AF$1*C41,PlotData!$CB$3)</f>
        <v>0</v>
      </c>
      <c r="AD41" s="721">
        <f>IF(ISNUMBER(System!$C42),PlotData!D42+Querverschiebung!$E$2* $AF$1*D41,PlotData!$CB$3)</f>
        <v>0</v>
      </c>
      <c r="AE41" s="721">
        <f>IF(ISNUMBER(System!$C42),PlotData!E42+ Querverschiebung!$E$2*$AF$1*E41,PlotData!$CB$3)</f>
        <v>0</v>
      </c>
      <c r="AF41" s="721">
        <f>IF(ISNUMBER(System!$C42),PlotData!F42+ Querverschiebung!$E$2*$AF$1*F41,PlotData!$CB$3)</f>
        <v>0</v>
      </c>
      <c r="AG41" s="721">
        <f>IF(ISNUMBER(System!$C42),PlotData!G42+Querverschiebung!$E$2* $AF$1*G41,PlotData!$CB$3)</f>
        <v>0</v>
      </c>
      <c r="AH41" s="721">
        <f>IF(ISNUMBER(System!$C42),PlotData!H42+ Querverschiebung!$E$2*$AF$1*H41,PlotData!$CB$3)</f>
        <v>0</v>
      </c>
      <c r="AI41" s="721">
        <f>IF(ISNUMBER(System!$C42),PlotData!I42+Querverschiebung!$E$2* $AF$1*I41,PlotData!$CB$3)</f>
        <v>0</v>
      </c>
      <c r="AJ41" s="721">
        <f>IF(ISNUMBER(System!$C42),PlotData!J42+ Querverschiebung!$E$2*$AF$1*J41,PlotData!$CB$3)</f>
        <v>0</v>
      </c>
      <c r="AK41" s="721">
        <f>IF(ISNUMBER(System!$C42),PlotData!K42+ Querverschiebung!$E$2*$AF$1*K41,PlotData!$CB$3)</f>
        <v>0</v>
      </c>
      <c r="AL41" s="639">
        <f>IF(ISNUMBER(System!$C42),PlotData!L42+Querverschiebung!$E$2* $AF$1*L41,PlotData!$CB$3)</f>
        <v>0</v>
      </c>
      <c r="AM41" s="668">
        <f>IF(ISNUMBER(System!$C42),PlotData!L42,PlotData!$CB$3)</f>
        <v>0</v>
      </c>
      <c r="AN41" s="721">
        <f>IF(ISNUMBER(System!$C42),PlotData!B42,PlotData!$CB$3)</f>
        <v>0</v>
      </c>
      <c r="AO41" s="639">
        <f>IF(ISNUMBER(System!$C42),AB41,PlotData!$CB$3)</f>
        <v>0</v>
      </c>
      <c r="AQ41" s="1159">
        <v>39</v>
      </c>
      <c r="AR41" s="668">
        <f>IF(ISNUMBER(System!$C42),PlotData!O42+ Querverschiebung!$E$2*$AF$1*O41,PlotData!$CB$4)</f>
        <v>0</v>
      </c>
      <c r="AS41" s="721">
        <f>IF(ISNUMBER(System!$C42),PlotData!P42+ Querverschiebung!$E$2*$AF$1*P41,PlotData!$CB$4)</f>
        <v>0</v>
      </c>
      <c r="AT41" s="721">
        <f>IF(ISNUMBER(System!$C42),PlotData!Q42+ Querverschiebung!$E$2*$AF$1*Q41,PlotData!$CB$4)</f>
        <v>0</v>
      </c>
      <c r="AU41" s="721">
        <f>IF(ISNUMBER(System!$C42),PlotData!R42+ Querverschiebung!$E$2*$AF$1*R41,PlotData!$CB$4)</f>
        <v>0</v>
      </c>
      <c r="AV41" s="721">
        <f>IF(ISNUMBER(System!$C42),PlotData!S42+ Querverschiebung!$E$2*$AF$1*S41,PlotData!$CB$4)</f>
        <v>0</v>
      </c>
      <c r="AW41" s="721">
        <f>IF(ISNUMBER(System!$C42),PlotData!T42+ Querverschiebung!$E$2*$AF$1*T41,PlotData!$CB$4)</f>
        <v>0</v>
      </c>
      <c r="AX41" s="721">
        <f>IF(ISNUMBER(System!$C42),PlotData!U42+ Querverschiebung!$E$2*$AF$1*U41,PlotData!$CB$4)</f>
        <v>0</v>
      </c>
      <c r="AY41" s="721">
        <f>IF(ISNUMBER(System!$C42),PlotData!V42+ Querverschiebung!$E$2*$AF$1*V41,PlotData!$CB$4)</f>
        <v>0</v>
      </c>
      <c r="AZ41" s="721">
        <f>IF(ISNUMBER(System!$C42),PlotData!W42+ Querverschiebung!$E$2*$AF$1*W41,PlotData!$CB$4)</f>
        <v>0</v>
      </c>
      <c r="BA41" s="721">
        <f>IF(ISNUMBER(System!$C42),PlotData!X42+ Querverschiebung!$E$2*$AF$1*X41,PlotData!$CB$4)</f>
        <v>0</v>
      </c>
      <c r="BB41" s="639">
        <f>IF(ISNUMBER(System!$C42),PlotData!Y42+ Querverschiebung!$E$2*$AF$1*Y41,PlotData!$CB$4)</f>
        <v>0</v>
      </c>
      <c r="BC41" s="668">
        <f>IF(ISNUMBER(System!$C42),PlotData!Y42, PlotData!CB$4)</f>
        <v>0</v>
      </c>
      <c r="BD41" s="721">
        <f>IF(ISNUMBER(System!$C42),PlotData!O42, PlotData!$CB$4)</f>
        <v>0</v>
      </c>
      <c r="BE41" s="639">
        <f>IF(ISNUMBER(System!$C42), AR41,PlotData!$CB$4)</f>
        <v>0</v>
      </c>
    </row>
    <row r="42" spans="1:61" ht="13.8" thickBot="1" x14ac:dyDescent="0.3">
      <c r="A42" s="1138">
        <v>40</v>
      </c>
      <c r="B42" s="669"/>
      <c r="C42" s="1137"/>
      <c r="D42" s="1137"/>
      <c r="E42" s="1137"/>
      <c r="F42" s="1137"/>
      <c r="G42" s="1137"/>
      <c r="H42" s="1137"/>
      <c r="I42" s="1137"/>
      <c r="J42" s="1137"/>
      <c r="K42" s="1137"/>
      <c r="L42" s="646"/>
      <c r="N42" s="1138">
        <v>40</v>
      </c>
      <c r="O42" s="669"/>
      <c r="P42" s="1137"/>
      <c r="Q42" s="1137"/>
      <c r="R42" s="1137"/>
      <c r="S42" s="1137"/>
      <c r="T42" s="1137"/>
      <c r="U42" s="1137"/>
      <c r="V42" s="1137"/>
      <c r="W42" s="1137"/>
      <c r="X42" s="1137"/>
      <c r="Y42" s="646"/>
      <c r="AA42" s="1161">
        <v>40</v>
      </c>
      <c r="AB42" s="669">
        <f>IF(ISNUMBER(System!$C43),PlotData!B43+Querverschiebung!$E$2* $AF$1*B42,PlotData!$CB$3)</f>
        <v>0</v>
      </c>
      <c r="AC42" s="1137">
        <f>IF(ISNUMBER(System!$C43),PlotData!C43+ Querverschiebung!$E$2*$AF$1*C42,PlotData!$CB$3)</f>
        <v>0</v>
      </c>
      <c r="AD42" s="1137">
        <f>IF(ISNUMBER(System!$C43),PlotData!D43+Querverschiebung!$E$2* $AF$1*D42,PlotData!$CB$3)</f>
        <v>0</v>
      </c>
      <c r="AE42" s="1137">
        <f>IF(ISNUMBER(System!$C43),PlotData!E43+ Querverschiebung!$E$2*$AF$1*E42,PlotData!$CB$3)</f>
        <v>0</v>
      </c>
      <c r="AF42" s="1137">
        <f>IF(ISNUMBER(System!$C43),PlotData!F43+ Querverschiebung!$E$2*$AF$1*F42,PlotData!$CB$3)</f>
        <v>0</v>
      </c>
      <c r="AG42" s="1137">
        <f>IF(ISNUMBER(System!$C43),PlotData!G43+Querverschiebung!$E$2* $AF$1*G42,PlotData!$CB$3)</f>
        <v>0</v>
      </c>
      <c r="AH42" s="1137">
        <f>IF(ISNUMBER(System!$C43),PlotData!H43+ Querverschiebung!$E$2*$AF$1*H42,PlotData!$CB$3)</f>
        <v>0</v>
      </c>
      <c r="AI42" s="1137">
        <f>IF(ISNUMBER(System!$C43),PlotData!I43+Querverschiebung!$E$2* $AF$1*I42,PlotData!$CB$3)</f>
        <v>0</v>
      </c>
      <c r="AJ42" s="1137">
        <f>IF(ISNUMBER(System!$C43),PlotData!J43+ Querverschiebung!$E$2*$AF$1*J42,PlotData!$CB$3)</f>
        <v>0</v>
      </c>
      <c r="AK42" s="1137">
        <f>IF(ISNUMBER(System!$C43),PlotData!K43+ Querverschiebung!$E$2*$AF$1*K42,PlotData!$CB$3)</f>
        <v>0</v>
      </c>
      <c r="AL42" s="646">
        <f>IF(ISNUMBER(System!$C43),PlotData!L43+Querverschiebung!$E$2* $AF$1*L42,PlotData!$CB$3)</f>
        <v>0</v>
      </c>
      <c r="AM42" s="669">
        <f>IF(ISNUMBER(System!$C43),PlotData!L43,PlotData!$CB$3)</f>
        <v>0</v>
      </c>
      <c r="AN42" s="1137">
        <f>IF(ISNUMBER(System!$C43),PlotData!B43,PlotData!$CB$3)</f>
        <v>0</v>
      </c>
      <c r="AO42" s="646">
        <f>IF(ISNUMBER(System!$C43),AB42,PlotData!$CB$3)</f>
        <v>0</v>
      </c>
      <c r="AQ42" s="1161">
        <v>40</v>
      </c>
      <c r="AR42" s="669">
        <f>IF(ISNUMBER(System!$C43),PlotData!O43+ Querverschiebung!$E$2*$AF$1*O42,PlotData!$CB$4)</f>
        <v>0</v>
      </c>
      <c r="AS42" s="1137">
        <f>IF(ISNUMBER(System!$C43),PlotData!P43+ Querverschiebung!$E$2*$AF$1*P42,PlotData!$CB$4)</f>
        <v>0</v>
      </c>
      <c r="AT42" s="1137">
        <f>IF(ISNUMBER(System!$C43),PlotData!Q43+ Querverschiebung!$E$2*$AF$1*Q42,PlotData!$CB$4)</f>
        <v>0</v>
      </c>
      <c r="AU42" s="1137">
        <f>IF(ISNUMBER(System!$C43),PlotData!R43+ Querverschiebung!$E$2*$AF$1*R42,PlotData!$CB$4)</f>
        <v>0</v>
      </c>
      <c r="AV42" s="1137">
        <f>IF(ISNUMBER(System!$C43),PlotData!S43+ Querverschiebung!$E$2*$AF$1*S42,PlotData!$CB$4)</f>
        <v>0</v>
      </c>
      <c r="AW42" s="1137">
        <f>IF(ISNUMBER(System!$C43),PlotData!T43+ Querverschiebung!$E$2*$AF$1*T42,PlotData!$CB$4)</f>
        <v>0</v>
      </c>
      <c r="AX42" s="1137">
        <f>IF(ISNUMBER(System!$C43),PlotData!U43+ Querverschiebung!$E$2*$AF$1*U42,PlotData!$CB$4)</f>
        <v>0</v>
      </c>
      <c r="AY42" s="1137">
        <f>IF(ISNUMBER(System!$C43),PlotData!V43+ Querverschiebung!$E$2*$AF$1*V42,PlotData!$CB$4)</f>
        <v>0</v>
      </c>
      <c r="AZ42" s="1137">
        <f>IF(ISNUMBER(System!$C43),PlotData!W43+ Querverschiebung!$E$2*$AF$1*W42,PlotData!$CB$4)</f>
        <v>0</v>
      </c>
      <c r="BA42" s="1137">
        <f>IF(ISNUMBER(System!$C43),PlotData!X43+ Querverschiebung!$E$2*$AF$1*X42,PlotData!$CB$4)</f>
        <v>0</v>
      </c>
      <c r="BB42" s="646">
        <f>IF(ISNUMBER(System!$C43),PlotData!Y43+ Querverschiebung!$E$2*$AF$1*Y42,PlotData!$CB$4)</f>
        <v>0</v>
      </c>
      <c r="BC42" s="669">
        <f>IF(ISNUMBER(System!$C43),PlotData!Y43, PlotData!CB$4)</f>
        <v>0</v>
      </c>
      <c r="BD42" s="1137">
        <f>IF(ISNUMBER(System!$C43),PlotData!O43, PlotData!$CB$4)</f>
        <v>0</v>
      </c>
      <c r="BE42" s="646">
        <f>IF(ISNUMBER(System!$C43), AR42,PlotData!$CB$4)</f>
        <v>0</v>
      </c>
    </row>
    <row r="43" spans="1:61" x14ac:dyDescent="0.25">
      <c r="AA43" s="602"/>
    </row>
    <row r="44" spans="1:61" x14ac:dyDescent="0.25">
      <c r="AA44" s="602"/>
    </row>
    <row r="45" spans="1:61" ht="22.5" customHeight="1" thickBot="1" x14ac:dyDescent="0.4">
      <c r="B45" s="1162"/>
      <c r="AB45" s="1162" t="s">
        <v>481</v>
      </c>
      <c r="AC45" s="1162" t="s">
        <v>14</v>
      </c>
      <c r="AE45" s="424" t="s">
        <v>482</v>
      </c>
    </row>
    <row r="46" spans="1:61" ht="13.8" thickBot="1" x14ac:dyDescent="0.3">
      <c r="AE46" s="1106" t="s">
        <v>464</v>
      </c>
      <c r="AF46" s="41">
        <f xml:space="preserve"> Einflusslinie!D6</f>
        <v>1</v>
      </c>
      <c r="AH46" s="670" t="s">
        <v>178</v>
      </c>
      <c r="AI46" s="671">
        <f>(MAX(AB49:AL88)+MIN(AB49:AL88))/2</f>
        <v>0</v>
      </c>
      <c r="AJ46" s="670" t="s">
        <v>465</v>
      </c>
      <c r="AK46" s="671">
        <f>(MAX(AB49:AL88)-MIN(AB49:AL88))/2</f>
        <v>0</v>
      </c>
      <c r="AR46" s="1155">
        <f>COLUMN(AR49)</f>
        <v>44</v>
      </c>
      <c r="AS46" s="670" t="s">
        <v>222</v>
      </c>
      <c r="AT46" s="801">
        <f>(MAX(AR49:BB88)+MIN(AR49:BB88))/2</f>
        <v>0</v>
      </c>
      <c r="AU46" s="670" t="s">
        <v>466</v>
      </c>
      <c r="AV46" s="671">
        <f>(MAX(AR49:BB88)-MIN(AR49:BB88))/2</f>
        <v>0</v>
      </c>
      <c r="AW46" s="41" t="s">
        <v>196</v>
      </c>
      <c r="AX46" s="41">
        <f>SQRT(AK46^2+AV46^2)</f>
        <v>0</v>
      </c>
    </row>
    <row r="47" spans="1:61" ht="18" thickBot="1" x14ac:dyDescent="0.35">
      <c r="B47" s="1154"/>
      <c r="C47" s="1154"/>
      <c r="O47" s="1154"/>
      <c r="P47" s="1154"/>
      <c r="AB47" s="1154" t="s">
        <v>483</v>
      </c>
      <c r="AR47" s="1154" t="s">
        <v>484</v>
      </c>
      <c r="BG47" s="41" t="s">
        <v>14</v>
      </c>
    </row>
    <row r="48" spans="1:61" ht="13.8" thickBot="1" x14ac:dyDescent="0.3">
      <c r="A48" s="1163" t="s">
        <v>16</v>
      </c>
      <c r="B48" s="1164"/>
      <c r="C48" s="1104"/>
      <c r="D48" s="1104"/>
      <c r="E48" s="1104"/>
      <c r="F48" s="1104"/>
      <c r="G48" s="1104"/>
      <c r="H48" s="1104"/>
      <c r="I48" s="1104"/>
      <c r="J48" s="1104"/>
      <c r="K48" s="1104"/>
      <c r="L48" s="1165"/>
      <c r="N48" s="1166" t="s">
        <v>16</v>
      </c>
      <c r="O48" s="1167"/>
      <c r="P48" s="1168"/>
      <c r="Q48" s="1168"/>
      <c r="R48" s="1168"/>
      <c r="S48" s="1168"/>
      <c r="T48" s="1168"/>
      <c r="U48" s="1168"/>
      <c r="V48" s="1168"/>
      <c r="W48" s="1168"/>
      <c r="X48" s="1168"/>
      <c r="Y48" s="1169"/>
      <c r="AA48" s="1166" t="s">
        <v>16</v>
      </c>
      <c r="AB48" s="1170">
        <v>0</v>
      </c>
      <c r="AC48" s="1104">
        <v>0.1</v>
      </c>
      <c r="AD48" s="1104">
        <v>0.2</v>
      </c>
      <c r="AE48" s="1104">
        <v>0.3</v>
      </c>
      <c r="AF48" s="1104">
        <v>0.4</v>
      </c>
      <c r="AG48" s="1104">
        <v>0.5</v>
      </c>
      <c r="AH48" s="1104">
        <v>0.6</v>
      </c>
      <c r="AI48" s="1104">
        <v>0.7</v>
      </c>
      <c r="AJ48" s="1104">
        <v>0.8</v>
      </c>
      <c r="AK48" s="1104">
        <v>0.9</v>
      </c>
      <c r="AL48" s="1104">
        <v>1</v>
      </c>
      <c r="AM48" s="1104">
        <v>1</v>
      </c>
      <c r="AN48" s="1104">
        <v>0</v>
      </c>
      <c r="AO48" s="1150">
        <v>0</v>
      </c>
      <c r="AQ48" s="1166" t="s">
        <v>228</v>
      </c>
      <c r="AR48" s="1170">
        <v>0</v>
      </c>
      <c r="AS48" s="1104">
        <v>0.1</v>
      </c>
      <c r="AT48" s="1104">
        <v>0.2</v>
      </c>
      <c r="AU48" s="1104">
        <v>0.3</v>
      </c>
      <c r="AV48" s="1104">
        <v>0.4</v>
      </c>
      <c r="AW48" s="1104">
        <v>0.5</v>
      </c>
      <c r="AX48" s="1104">
        <v>0.6</v>
      </c>
      <c r="AY48" s="1104">
        <v>0.7</v>
      </c>
      <c r="AZ48" s="1104">
        <v>0.8</v>
      </c>
      <c r="BA48" s="1104">
        <v>0.9</v>
      </c>
      <c r="BB48" s="1104">
        <v>1</v>
      </c>
      <c r="BC48" s="1104">
        <v>1</v>
      </c>
      <c r="BD48" s="1104">
        <v>0</v>
      </c>
      <c r="BE48" s="1150">
        <v>0</v>
      </c>
      <c r="BG48" s="745" t="s">
        <v>178</v>
      </c>
      <c r="BH48" s="1117">
        <f>PlotU!$AI$46</f>
        <v>0</v>
      </c>
      <c r="BI48" s="632"/>
    </row>
    <row r="49" spans="1:61" x14ac:dyDescent="0.25">
      <c r="A49" s="1171">
        <v>1</v>
      </c>
      <c r="B49" s="1172"/>
      <c r="C49" s="1144"/>
      <c r="D49" s="1144"/>
      <c r="E49" s="1144"/>
      <c r="F49" s="1144"/>
      <c r="G49" s="1144"/>
      <c r="H49" s="1144"/>
      <c r="I49" s="1144"/>
      <c r="J49" s="1144"/>
      <c r="K49" s="1144"/>
      <c r="L49" s="1155"/>
      <c r="N49" s="1171">
        <v>1</v>
      </c>
      <c r="O49" s="745"/>
      <c r="P49" s="1117"/>
      <c r="Q49" s="1117"/>
      <c r="R49" s="1117"/>
      <c r="S49" s="1117"/>
      <c r="T49" s="1117"/>
      <c r="U49" s="1117"/>
      <c r="V49" s="1117"/>
      <c r="W49" s="1117"/>
      <c r="X49" s="1117"/>
      <c r="Y49" s="1173"/>
      <c r="AA49" s="1171">
        <v>1</v>
      </c>
      <c r="AB49" s="745">
        <f>IF(ISNUMBER(Einflusslinie!$J5),PlotData!B4+ Einflusslinie!$E$2*$AF$46*B49,PlotData!$CB$3)</f>
        <v>0</v>
      </c>
      <c r="AC49" s="1153">
        <f>IF(ISNUMBER(Einflusslinie!$J5),PlotData!C4+Einflusslinie!$E$2* $AF$46*C49,PlotData!$CB$3)</f>
        <v>0</v>
      </c>
      <c r="AD49" s="1153">
        <f>IF(ISNUMBER(Einflusslinie!$J5),PlotData!D4+ Einflusslinie!$E$2*$AF$46*D49,PlotData!$CB$3)</f>
        <v>0</v>
      </c>
      <c r="AE49" s="1153">
        <f>IF(ISNUMBER(Einflusslinie!$J5),PlotData!E4+Einflusslinie!$E$2* $AF$46*E49,PlotData!$CB$3)</f>
        <v>0</v>
      </c>
      <c r="AF49" s="1153">
        <f>IF(ISNUMBER(Einflusslinie!$J5),PlotData!F4+ Einflusslinie!$E$2*$AF$46*F49,PlotData!$CB$3)</f>
        <v>0</v>
      </c>
      <c r="AG49" s="1153">
        <f>IF(ISNUMBER(Einflusslinie!$J5),PlotData!G4+ Einflusslinie!$E$2*$AF$46*G49,PlotData!$CB$3)</f>
        <v>0</v>
      </c>
      <c r="AH49" s="1153">
        <f>IF(ISNUMBER(Einflusslinie!$J5),PlotData!H4+Einflusslinie!$E$2* $AF$46*H49,PlotData!$CB$3)</f>
        <v>0</v>
      </c>
      <c r="AI49" s="1153">
        <f>IF(ISNUMBER(Einflusslinie!$J5),PlotData!I4+ Einflusslinie!$E$2*$AF$46*I49,PlotData!$CB$3)</f>
        <v>0</v>
      </c>
      <c r="AJ49" s="1153">
        <f>IF(ISNUMBER(Einflusslinie!$J5),PlotData!J4+ Einflusslinie!$E$2*$AF$46*J49,PlotData!$CB$3)</f>
        <v>0</v>
      </c>
      <c r="AK49" s="1153">
        <f>IF(ISNUMBER(Einflusslinie!$J5),PlotData!K4+ Einflusslinie!$E$2*$AF$46*K49,PlotData!$CB$3)</f>
        <v>0</v>
      </c>
      <c r="AL49" s="1173">
        <f>IF(ISNUMBER(Einflusslinie!$J5),PlotData!L4+ Einflusslinie!$E$2*$AF$46*L49,PlotData!$CB$3)</f>
        <v>0</v>
      </c>
      <c r="AM49" s="745">
        <f>IF(ISNUMBER(Einflusslinie!$J5),PlotData!L4,PlotData!$CB$3)</f>
        <v>0</v>
      </c>
      <c r="AN49" s="1117">
        <f>IF(ISNUMBER(Einflusslinie!$J5),PlotData!B4,PlotData!$CB$3)</f>
        <v>0</v>
      </c>
      <c r="AO49" s="632">
        <f>IF(ISNUMBER(Einflusslinie!$J5),AB49,PlotData!$CB$3)</f>
        <v>0</v>
      </c>
      <c r="AQ49" s="1174">
        <v>1</v>
      </c>
      <c r="AR49" s="745">
        <f>IF(ISNUMBER(Einflusslinie!$J5),PlotData!O4+ Einflusslinie!$E$2*$AF$46*O49,PlotData!$CB$4)</f>
        <v>0</v>
      </c>
      <c r="AS49" s="1153">
        <f>IF(ISNUMBER(Einflusslinie!$J5),PlotData!P4+Einflusslinie!$E$2* $AF$46*P49,PlotData!$CB$4)</f>
        <v>0</v>
      </c>
      <c r="AT49" s="1153">
        <f>IF(ISNUMBER(Einflusslinie!$J5),PlotData!Q4+Einflusslinie!$E$2* $AF$46*Q49,PlotData!$CB$4)</f>
        <v>0</v>
      </c>
      <c r="AU49" s="1153">
        <f>IF(ISNUMBER(Einflusslinie!$J5),PlotData!R4+ Einflusslinie!$E$2*$AF$46*R49,PlotData!$CB$4)</f>
        <v>0</v>
      </c>
      <c r="AV49" s="1153">
        <f>IF(ISNUMBER(Einflusslinie!$J5),PlotData!S4+ Einflusslinie!$E$2*$AF$46*S49,PlotData!$CB$4)</f>
        <v>0</v>
      </c>
      <c r="AW49" s="1153">
        <f>IF(ISNUMBER(Einflusslinie!$J5),PlotData!T4+ Einflusslinie!$E$2*$AF$46*T49,PlotData!$CB$4)</f>
        <v>0</v>
      </c>
      <c r="AX49" s="1153">
        <f>IF(ISNUMBER(Einflusslinie!$J5),PlotData!U4+ Einflusslinie!$E$2*$AF$46*U49,PlotData!$CB$4)</f>
        <v>0</v>
      </c>
      <c r="AY49" s="1153">
        <f>IF(ISNUMBER(Einflusslinie!$J5),PlotData!V4+ Einflusslinie!$E$2*$AF$46*V49,PlotData!$CB$4)</f>
        <v>0</v>
      </c>
      <c r="AZ49" s="1153">
        <f>IF(ISNUMBER(Einflusslinie!$J5),PlotData!W4+Einflusslinie!$E$2* $AF$46*W49,PlotData!$CB$4)</f>
        <v>0</v>
      </c>
      <c r="BA49" s="1153">
        <f>IF(ISNUMBER(Einflusslinie!$J5),PlotData!X4+ Einflusslinie!$E$2*$AF$46*X49,PlotData!$CB$4)</f>
        <v>0</v>
      </c>
      <c r="BB49" s="1173">
        <f>IF(ISNUMBER(Einflusslinie!$J5),PlotData!Y4+ Einflusslinie!$E$2*$AF$46*Y49,PlotData!$CB$4)</f>
        <v>0</v>
      </c>
      <c r="BC49" s="745">
        <f>IF(ISNUMBER(Einflusslinie!$J5),PlotData!Y4, PlotData!CB$4)</f>
        <v>0</v>
      </c>
      <c r="BD49" s="1117">
        <f>IF(ISNUMBER(Einflusslinie!$J5),PlotData!O4, PlotData!$CB$4)</f>
        <v>0</v>
      </c>
      <c r="BE49" s="632">
        <f>IF(ISNUMBER(Einflusslinie!$J5), AR49,PlotData!$CB$4)</f>
        <v>0</v>
      </c>
      <c r="BG49" s="668" t="s">
        <v>179</v>
      </c>
      <c r="BH49" s="721">
        <f>PlotU!$AT$46</f>
        <v>0</v>
      </c>
      <c r="BI49" s="639"/>
    </row>
    <row r="50" spans="1:61" x14ac:dyDescent="0.25">
      <c r="A50" s="1175">
        <v>2</v>
      </c>
      <c r="B50" s="1125"/>
      <c r="C50" s="721"/>
      <c r="D50" s="721"/>
      <c r="E50" s="721"/>
      <c r="F50" s="721"/>
      <c r="G50" s="721"/>
      <c r="H50" s="721"/>
      <c r="I50" s="721"/>
      <c r="J50" s="721"/>
      <c r="K50" s="721"/>
      <c r="L50" s="1176"/>
      <c r="N50" s="1175">
        <v>2</v>
      </c>
      <c r="O50" s="668"/>
      <c r="P50" s="721"/>
      <c r="Q50" s="721"/>
      <c r="R50" s="721"/>
      <c r="S50" s="721"/>
      <c r="T50" s="721"/>
      <c r="U50" s="721"/>
      <c r="V50" s="721"/>
      <c r="W50" s="721"/>
      <c r="X50" s="721"/>
      <c r="Y50" s="1176"/>
      <c r="AA50" s="1175">
        <v>2</v>
      </c>
      <c r="AB50" s="746">
        <f>IF(ISNUMBER(Einflusslinie!$J6),PlotData!B5+ Einflusslinie!$E$2*$AF$46*B50,PlotData!$CB$3)</f>
        <v>0</v>
      </c>
      <c r="AC50" s="1145">
        <f>IF(ISNUMBER(Einflusslinie!$J6),PlotData!C5+Einflusslinie!$E$2* $AF$46*C50,PlotData!$CB$3)</f>
        <v>0</v>
      </c>
      <c r="AD50" s="1145">
        <f>IF(ISNUMBER(Einflusslinie!$J6),PlotData!D5+ Einflusslinie!$E$2*$AF$46*D50,PlotData!$CB$3)</f>
        <v>0</v>
      </c>
      <c r="AE50" s="1145">
        <f>IF(ISNUMBER(Einflusslinie!$J6),PlotData!E5+Einflusslinie!$E$2* $AF$46*E50,PlotData!$CB$3)</f>
        <v>0</v>
      </c>
      <c r="AF50" s="1145">
        <f>IF(ISNUMBER(Einflusslinie!$J6),PlotData!F5+ Einflusslinie!$E$2*$AF$46*F50,PlotData!$CB$3)</f>
        <v>0</v>
      </c>
      <c r="AG50" s="1145">
        <f>IF(ISNUMBER(Einflusslinie!$J6),PlotData!G5+ Einflusslinie!$E$2*$AF$46*G50,PlotData!$CB$3)</f>
        <v>0</v>
      </c>
      <c r="AH50" s="1145">
        <f>IF(ISNUMBER(Einflusslinie!$J6),PlotData!H5+Einflusslinie!$E$2* $AF$46*H50,PlotData!$CB$3)</f>
        <v>0</v>
      </c>
      <c r="AI50" s="1145">
        <f>IF(ISNUMBER(Einflusslinie!$J6),PlotData!I5+ Einflusslinie!$E$2*$AF$46*I50,PlotData!$CB$3)</f>
        <v>0</v>
      </c>
      <c r="AJ50" s="1145">
        <f>IF(ISNUMBER(Einflusslinie!$J6),PlotData!J5+ Einflusslinie!$E$2*$AF$46*J50,PlotData!$CB$3)</f>
        <v>0</v>
      </c>
      <c r="AK50" s="1145">
        <f>IF(ISNUMBER(Einflusslinie!$J6),PlotData!K5+ Einflusslinie!$E$2*$AF$46*K50,PlotData!$CB$3)</f>
        <v>0</v>
      </c>
      <c r="AL50" s="1155">
        <f>IF(ISNUMBER(Einflusslinie!$J6),PlotData!L5+ Einflusslinie!$E$2*$AF$46*L50,PlotData!$CB$3)</f>
        <v>0</v>
      </c>
      <c r="AM50" s="746">
        <f>IF(ISNUMBER(Einflusslinie!$J6),PlotData!L5,PlotData!$CB$3)</f>
        <v>0</v>
      </c>
      <c r="AN50" s="1144">
        <f>IF(ISNUMBER(Einflusslinie!$J6),PlotData!B5,PlotData!$CB$3)</f>
        <v>0</v>
      </c>
      <c r="AO50" s="747">
        <f>IF(ISNUMBER(Einflusslinie!$J6),AB50,PlotData!$CB$3)</f>
        <v>0</v>
      </c>
      <c r="AQ50" s="1175">
        <v>2</v>
      </c>
      <c r="AR50" s="746">
        <f>IF(ISNUMBER(Einflusslinie!$J6),PlotData!O5+ Einflusslinie!$E$2*$AF$46*O50,PlotData!$CB$4)</f>
        <v>0</v>
      </c>
      <c r="AS50" s="1145">
        <f>IF(ISNUMBER(Einflusslinie!$J6),PlotData!P5+Einflusslinie!$E$2* $AF$46*P50,PlotData!$CB$4)</f>
        <v>0</v>
      </c>
      <c r="AT50" s="1145">
        <f>IF(ISNUMBER(Einflusslinie!$J6),PlotData!Q5+Einflusslinie!$E$2* $AF$46*Q50,PlotData!$CB$4)</f>
        <v>0</v>
      </c>
      <c r="AU50" s="1145">
        <f>IF(ISNUMBER(Einflusslinie!$J6),PlotData!R5+ Einflusslinie!$E$2*$AF$46*R50,PlotData!$CB$4)</f>
        <v>0</v>
      </c>
      <c r="AV50" s="1145">
        <f>IF(ISNUMBER(Einflusslinie!$J6),PlotData!S5+ Einflusslinie!$E$2*$AF$46*S50,PlotData!$CB$4)</f>
        <v>0</v>
      </c>
      <c r="AW50" s="1145">
        <f>IF(ISNUMBER(Einflusslinie!$J6),PlotData!T5+ Einflusslinie!$E$2*$AF$46*T50,PlotData!$CB$4)</f>
        <v>0</v>
      </c>
      <c r="AX50" s="1145">
        <f>IF(ISNUMBER(Einflusslinie!$J6),PlotData!U5+ Einflusslinie!$E$2*$AF$46*U50,PlotData!$CB$4)</f>
        <v>0</v>
      </c>
      <c r="AY50" s="1145">
        <f>IF(ISNUMBER(Einflusslinie!$J6),PlotData!V5+ Einflusslinie!$E$2*$AF$46*V50,PlotData!$CB$4)</f>
        <v>0</v>
      </c>
      <c r="AZ50" s="1145">
        <f>IF(ISNUMBER(Einflusslinie!$J6),PlotData!W5+Einflusslinie!$E$2* $AF$46*W50,PlotData!$CB$4)</f>
        <v>0</v>
      </c>
      <c r="BA50" s="1145">
        <f>IF(ISNUMBER(Einflusslinie!$J6),PlotData!X5+ Einflusslinie!$E$2*$AF$46*X50,PlotData!$CB$4)</f>
        <v>0</v>
      </c>
      <c r="BB50" s="1155">
        <f>IF(ISNUMBER(Einflusslinie!$J6),PlotData!Y5+ Einflusslinie!$E$2*$AF$46*Y50,PlotData!$CB$4)</f>
        <v>0</v>
      </c>
      <c r="BC50" s="746">
        <f>IF(ISNUMBER(Einflusslinie!$J6),PlotData!Y5, PlotData!CB$4)</f>
        <v>0</v>
      </c>
      <c r="BD50" s="1144">
        <f>IF(ISNUMBER(Einflusslinie!$J6),PlotData!O5, PlotData!$CB$4)</f>
        <v>0</v>
      </c>
      <c r="BE50" s="747">
        <f>IF(ISNUMBER(Einflusslinie!$J6), AR50,PlotData!$CB$4)</f>
        <v>0</v>
      </c>
      <c r="BG50" s="668" t="s">
        <v>196</v>
      </c>
      <c r="BH50" s="721">
        <f>BH51  * PlotU!$AX$46</f>
        <v>0</v>
      </c>
      <c r="BI50" s="639"/>
    </row>
    <row r="51" spans="1:61" x14ac:dyDescent="0.25">
      <c r="A51" s="1175">
        <v>3</v>
      </c>
      <c r="B51" s="1125"/>
      <c r="C51" s="721"/>
      <c r="D51" s="721"/>
      <c r="E51" s="721"/>
      <c r="F51" s="721"/>
      <c r="G51" s="721"/>
      <c r="H51" s="721"/>
      <c r="I51" s="721"/>
      <c r="J51" s="721"/>
      <c r="K51" s="721"/>
      <c r="L51" s="1176"/>
      <c r="N51" s="1175">
        <v>3</v>
      </c>
      <c r="O51" s="668"/>
      <c r="P51" s="721"/>
      <c r="Q51" s="721"/>
      <c r="R51" s="721"/>
      <c r="S51" s="721"/>
      <c r="T51" s="721"/>
      <c r="U51" s="721"/>
      <c r="V51" s="721"/>
      <c r="W51" s="721"/>
      <c r="X51" s="721"/>
      <c r="Y51" s="1176"/>
      <c r="AA51" s="1175">
        <v>3</v>
      </c>
      <c r="AB51" s="746">
        <f>IF(ISNUMBER(Einflusslinie!$J7),PlotData!B6+ Einflusslinie!$E$2*$AF$46*B51,PlotData!$CB$3)</f>
        <v>0</v>
      </c>
      <c r="AC51" s="1145">
        <f>IF(ISNUMBER(Einflusslinie!$J7),PlotData!C6+Einflusslinie!$E$2* $AF$46*C51,PlotData!$CB$3)</f>
        <v>0</v>
      </c>
      <c r="AD51" s="1145">
        <f>IF(ISNUMBER(Einflusslinie!$J7),PlotData!D6+ Einflusslinie!$E$2*$AF$46*D51,PlotData!$CB$3)</f>
        <v>0</v>
      </c>
      <c r="AE51" s="1145">
        <f>IF(ISNUMBER(Einflusslinie!$J7),PlotData!E6+Einflusslinie!$E$2* $AF$46*E51,PlotData!$CB$3)</f>
        <v>0</v>
      </c>
      <c r="AF51" s="1145">
        <f>IF(ISNUMBER(Einflusslinie!$J7),PlotData!F6+ Einflusslinie!$E$2*$AF$46*F51,PlotData!$CB$3)</f>
        <v>0</v>
      </c>
      <c r="AG51" s="1145">
        <f>IF(ISNUMBER(Einflusslinie!$J7),PlotData!G6+ Einflusslinie!$E$2*$AF$46*G51,PlotData!$CB$3)</f>
        <v>0</v>
      </c>
      <c r="AH51" s="1145">
        <f>IF(ISNUMBER(Einflusslinie!$J7),PlotData!H6+Einflusslinie!$E$2* $AF$46*H51,PlotData!$CB$3)</f>
        <v>0</v>
      </c>
      <c r="AI51" s="1145">
        <f>IF(ISNUMBER(Einflusslinie!$J7),PlotData!I6+ Einflusslinie!$E$2*$AF$46*I51,PlotData!$CB$3)</f>
        <v>0</v>
      </c>
      <c r="AJ51" s="1145">
        <f>IF(ISNUMBER(Einflusslinie!$J7),PlotData!J6+ Einflusslinie!$E$2*$AF$46*J51,PlotData!$CB$3)</f>
        <v>0</v>
      </c>
      <c r="AK51" s="1145">
        <f>IF(ISNUMBER(Einflusslinie!$J7),PlotData!K6+ Einflusslinie!$E$2*$AF$46*K51,PlotData!$CB$3)</f>
        <v>0</v>
      </c>
      <c r="AL51" s="1155">
        <f>IF(ISNUMBER(Einflusslinie!$J7),PlotData!L6+ Einflusslinie!$E$2*$AF$46*L51,PlotData!$CB$3)</f>
        <v>0</v>
      </c>
      <c r="AM51" s="746">
        <f>IF(ISNUMBER(Einflusslinie!$J7),PlotData!L6,PlotData!$CB$3)</f>
        <v>0</v>
      </c>
      <c r="AN51" s="1144">
        <f>IF(ISNUMBER(Einflusslinie!$J7),PlotData!B6,PlotData!$CB$3)</f>
        <v>0</v>
      </c>
      <c r="AO51" s="747">
        <f>IF(ISNUMBER(Einflusslinie!$J7),AB51,PlotData!$CB$3)</f>
        <v>0</v>
      </c>
      <c r="AQ51" s="1175">
        <v>3</v>
      </c>
      <c r="AR51" s="746">
        <f>IF(ISNUMBER(Einflusslinie!$J7),PlotData!O6+ Einflusslinie!$E$2*$AF$46*O51,PlotData!$CB$4)</f>
        <v>0</v>
      </c>
      <c r="AS51" s="1145">
        <f>IF(ISNUMBER(Einflusslinie!$J7),PlotData!P6+Einflusslinie!$E$2* $AF$46*P51,PlotData!$CB$4)</f>
        <v>0</v>
      </c>
      <c r="AT51" s="1145">
        <f>IF(ISNUMBER(Einflusslinie!$J7),PlotData!Q6+Einflusslinie!$E$2* $AF$46*Q51,PlotData!$CB$4)</f>
        <v>0</v>
      </c>
      <c r="AU51" s="1145">
        <f>IF(ISNUMBER(Einflusslinie!$J7),PlotData!R6+ Einflusslinie!$E$2*$AF$46*R51,PlotData!$CB$4)</f>
        <v>0</v>
      </c>
      <c r="AV51" s="1145">
        <f>IF(ISNUMBER(Einflusslinie!$J7),PlotData!S6+ Einflusslinie!$E$2*$AF$46*S51,PlotData!$CB$4)</f>
        <v>0</v>
      </c>
      <c r="AW51" s="1145">
        <f>IF(ISNUMBER(Einflusslinie!$J7),PlotData!T6+ Einflusslinie!$E$2*$AF$46*T51,PlotData!$CB$4)</f>
        <v>0</v>
      </c>
      <c r="AX51" s="1145">
        <f>IF(ISNUMBER(Einflusslinie!$J7),PlotData!U6+ Einflusslinie!$E$2*$AF$46*U51,PlotData!$CB$4)</f>
        <v>0</v>
      </c>
      <c r="AY51" s="1145">
        <f>IF(ISNUMBER(Einflusslinie!$J7),PlotData!V6+ Einflusslinie!$E$2*$AF$46*V51,PlotData!$CB$4)</f>
        <v>0</v>
      </c>
      <c r="AZ51" s="1145">
        <f>IF(ISNUMBER(Einflusslinie!$J7),PlotData!W6+Einflusslinie!$E$2* $AF$46*W51,PlotData!$CB$4)</f>
        <v>0</v>
      </c>
      <c r="BA51" s="1145">
        <f>IF(ISNUMBER(Einflusslinie!$J7),PlotData!X6+ Einflusslinie!$E$2*$AF$46*X51,PlotData!$CB$4)</f>
        <v>0</v>
      </c>
      <c r="BB51" s="1155">
        <f>IF(ISNUMBER(Einflusslinie!$J7),PlotData!Y6+ Einflusslinie!$E$2*$AF$46*Y51,PlotData!$CB$4)</f>
        <v>0</v>
      </c>
      <c r="BC51" s="746">
        <f>IF(ISNUMBER(Einflusslinie!$J7),PlotData!Y6, PlotData!CB$4)</f>
        <v>0</v>
      </c>
      <c r="BD51" s="1144">
        <f>IF(ISNUMBER(Einflusslinie!$J7),PlotData!O6, PlotData!$CB$4)</f>
        <v>0</v>
      </c>
      <c r="BE51" s="747">
        <f>IF(ISNUMBER(Einflusslinie!$J7), AR51,PlotData!$CB$4)</f>
        <v>0</v>
      </c>
      <c r="BG51" s="668" t="s">
        <v>269</v>
      </c>
      <c r="BH51" s="721">
        <f>1/Einflusslinie!$G$2</f>
        <v>1</v>
      </c>
      <c r="BI51" s="639"/>
    </row>
    <row r="52" spans="1:61" x14ac:dyDescent="0.25">
      <c r="A52" s="1175">
        <v>4</v>
      </c>
      <c r="B52" s="1125"/>
      <c r="C52" s="721"/>
      <c r="D52" s="721"/>
      <c r="E52" s="721"/>
      <c r="F52" s="721"/>
      <c r="G52" s="721"/>
      <c r="H52" s="721"/>
      <c r="I52" s="721"/>
      <c r="J52" s="721"/>
      <c r="K52" s="721"/>
      <c r="L52" s="1176"/>
      <c r="N52" s="1175">
        <v>4</v>
      </c>
      <c r="O52" s="668"/>
      <c r="P52" s="721"/>
      <c r="Q52" s="721"/>
      <c r="R52" s="721"/>
      <c r="S52" s="721"/>
      <c r="T52" s="721"/>
      <c r="U52" s="721"/>
      <c r="V52" s="721"/>
      <c r="W52" s="721"/>
      <c r="X52" s="721"/>
      <c r="Y52" s="1176"/>
      <c r="AA52" s="1175">
        <v>4</v>
      </c>
      <c r="AB52" s="746">
        <f>IF(ISNUMBER(Einflusslinie!$J8),PlotData!B7+ Einflusslinie!$E$2*$AF$46*B52,PlotData!$CB$3)</f>
        <v>0</v>
      </c>
      <c r="AC52" s="1145">
        <f>IF(ISNUMBER(Einflusslinie!$J8),PlotData!C7+Einflusslinie!$E$2* $AF$46*C52,PlotData!$CB$3)</f>
        <v>0</v>
      </c>
      <c r="AD52" s="1145">
        <f>IF(ISNUMBER(Einflusslinie!$J8),PlotData!D7+ Einflusslinie!$E$2*$AF$46*D52,PlotData!$CB$3)</f>
        <v>0</v>
      </c>
      <c r="AE52" s="1145">
        <f>IF(ISNUMBER(Einflusslinie!$J8),PlotData!E7+Einflusslinie!$E$2* $AF$46*E52,PlotData!$CB$3)</f>
        <v>0</v>
      </c>
      <c r="AF52" s="1145">
        <f>IF(ISNUMBER(Einflusslinie!$J8),PlotData!F7+ Einflusslinie!$E$2*$AF$46*F52,PlotData!$CB$3)</f>
        <v>0</v>
      </c>
      <c r="AG52" s="1145">
        <f>IF(ISNUMBER(Einflusslinie!$J8),PlotData!G7+ Einflusslinie!$E$2*$AF$46*G52,PlotData!$CB$3)</f>
        <v>0</v>
      </c>
      <c r="AH52" s="1145">
        <f>IF(ISNUMBER(Einflusslinie!$J8),PlotData!H7+Einflusslinie!$E$2* $AF$46*H52,PlotData!$CB$3)</f>
        <v>0</v>
      </c>
      <c r="AI52" s="1145">
        <f>IF(ISNUMBER(Einflusslinie!$J8),PlotData!I7+ Einflusslinie!$E$2*$AF$46*I52,PlotData!$CB$3)</f>
        <v>0</v>
      </c>
      <c r="AJ52" s="1145">
        <f>IF(ISNUMBER(Einflusslinie!$J8),PlotData!J7+ Einflusslinie!$E$2*$AF$46*J52,PlotData!$CB$3)</f>
        <v>0</v>
      </c>
      <c r="AK52" s="1145">
        <f>IF(ISNUMBER(Einflusslinie!$J8),PlotData!K7+ Einflusslinie!$E$2*$AF$46*K52,PlotData!$CB$3)</f>
        <v>0</v>
      </c>
      <c r="AL52" s="1155">
        <f>IF(ISNUMBER(Einflusslinie!$J8),PlotData!L7+ Einflusslinie!$E$2*$AF$46*L52,PlotData!$CB$3)</f>
        <v>0</v>
      </c>
      <c r="AM52" s="746">
        <f>IF(ISNUMBER(Einflusslinie!$J8),PlotData!L7,PlotData!$CB$3)</f>
        <v>0</v>
      </c>
      <c r="AN52" s="1144">
        <f>IF(ISNUMBER(Einflusslinie!$J8),PlotData!B7,PlotData!$CB$3)</f>
        <v>0</v>
      </c>
      <c r="AO52" s="747">
        <f>IF(ISNUMBER(Einflusslinie!$J8),AB52,PlotData!$CB$3)</f>
        <v>0</v>
      </c>
      <c r="AQ52" s="1175">
        <v>4</v>
      </c>
      <c r="AR52" s="746">
        <f>IF(ISNUMBER(Einflusslinie!$J8),PlotData!O7+ Einflusslinie!$E$2*$AF$46*O52,PlotData!$CB$4)</f>
        <v>0</v>
      </c>
      <c r="AS52" s="1145">
        <f>IF(ISNUMBER(Einflusslinie!$J8),PlotData!P7+Einflusslinie!$E$2* $AF$46*P52,PlotData!$CB$4)</f>
        <v>0</v>
      </c>
      <c r="AT52" s="1145">
        <f>IF(ISNUMBER(Einflusslinie!$J8),PlotData!Q7+Einflusslinie!$E$2* $AF$46*Q52,PlotData!$CB$4)</f>
        <v>0</v>
      </c>
      <c r="AU52" s="1145">
        <f>IF(ISNUMBER(Einflusslinie!$J8),PlotData!R7+ Einflusslinie!$E$2*$AF$46*R52,PlotData!$CB$4)</f>
        <v>0</v>
      </c>
      <c r="AV52" s="1145">
        <f>IF(ISNUMBER(Einflusslinie!$J8),PlotData!S7+ Einflusslinie!$E$2*$AF$46*S52,PlotData!$CB$4)</f>
        <v>0</v>
      </c>
      <c r="AW52" s="1145">
        <f>IF(ISNUMBER(Einflusslinie!$J8),PlotData!T7+ Einflusslinie!$E$2*$AF$46*T52,PlotData!$CB$4)</f>
        <v>0</v>
      </c>
      <c r="AX52" s="1145">
        <f>IF(ISNUMBER(Einflusslinie!$J8),PlotData!U7+ Einflusslinie!$E$2*$AF$46*U52,PlotData!$CB$4)</f>
        <v>0</v>
      </c>
      <c r="AY52" s="1145">
        <f>IF(ISNUMBER(Einflusslinie!$J8),PlotData!V7+ Einflusslinie!$E$2*$AF$46*V52,PlotData!$CB$4)</f>
        <v>0</v>
      </c>
      <c r="AZ52" s="1145">
        <f>IF(ISNUMBER(Einflusslinie!$J8),PlotData!W7+Einflusslinie!$E$2* $AF$46*W52,PlotData!$CB$4)</f>
        <v>0</v>
      </c>
      <c r="BA52" s="1145">
        <f>IF(ISNUMBER(Einflusslinie!$J8),PlotData!X7+ Einflusslinie!$E$2*$AF$46*X52,PlotData!$CB$4)</f>
        <v>0</v>
      </c>
      <c r="BB52" s="1155">
        <f>IF(ISNUMBER(Einflusslinie!$J8),PlotData!Y7+ Einflusslinie!$E$2*$AF$46*Y52,PlotData!$CB$4)</f>
        <v>0</v>
      </c>
      <c r="BC52" s="746">
        <f>IF(ISNUMBER(Einflusslinie!$J8),PlotData!Y7, PlotData!CB$4)</f>
        <v>0</v>
      </c>
      <c r="BD52" s="1144">
        <f>IF(ISNUMBER(Einflusslinie!$J8),PlotData!O7, PlotData!$CB$4)</f>
        <v>0</v>
      </c>
      <c r="BE52" s="747">
        <f>IF(ISNUMBER(Einflusslinie!$J8), AR52,PlotData!$CB$4)</f>
        <v>0</v>
      </c>
      <c r="BG52" s="668" t="s">
        <v>471</v>
      </c>
      <c r="BH52" s="721">
        <f>BH48-BH50</f>
        <v>0</v>
      </c>
      <c r="BI52" s="639">
        <f>BH49+BH50</f>
        <v>0</v>
      </c>
    </row>
    <row r="53" spans="1:61" x14ac:dyDescent="0.25">
      <c r="A53" s="1175">
        <v>5</v>
      </c>
      <c r="B53" s="1125"/>
      <c r="C53" s="721"/>
      <c r="D53" s="721"/>
      <c r="E53" s="721"/>
      <c r="F53" s="721"/>
      <c r="G53" s="721"/>
      <c r="H53" s="721"/>
      <c r="I53" s="721"/>
      <c r="J53" s="721"/>
      <c r="K53" s="721"/>
      <c r="L53" s="1176"/>
      <c r="N53" s="1175">
        <v>5</v>
      </c>
      <c r="O53" s="668"/>
      <c r="P53" s="721"/>
      <c r="Q53" s="721"/>
      <c r="R53" s="721"/>
      <c r="S53" s="721"/>
      <c r="T53" s="721"/>
      <c r="U53" s="721"/>
      <c r="V53" s="721"/>
      <c r="W53" s="721"/>
      <c r="X53" s="721"/>
      <c r="Y53" s="1176"/>
      <c r="AA53" s="1175">
        <v>5</v>
      </c>
      <c r="AB53" s="746">
        <f>IF(ISNUMBER(Einflusslinie!$J9),PlotData!B8+ Einflusslinie!$E$2*$AF$46*B53,PlotData!$CB$3)</f>
        <v>0</v>
      </c>
      <c r="AC53" s="1145">
        <f>IF(ISNUMBER(Einflusslinie!$J9),PlotData!C8+Einflusslinie!$E$2* $AF$46*C53,PlotData!$CB$3)</f>
        <v>0</v>
      </c>
      <c r="AD53" s="1145">
        <f>IF(ISNUMBER(Einflusslinie!$J9),PlotData!D8+ Einflusslinie!$E$2*$AF$46*D53,PlotData!$CB$3)</f>
        <v>0</v>
      </c>
      <c r="AE53" s="1145">
        <f>IF(ISNUMBER(Einflusslinie!$J9),PlotData!E8+Einflusslinie!$E$2* $AF$46*E53,PlotData!$CB$3)</f>
        <v>0</v>
      </c>
      <c r="AF53" s="1145">
        <f>IF(ISNUMBER(Einflusslinie!$J9),PlotData!F8+ Einflusslinie!$E$2*$AF$46*F53,PlotData!$CB$3)</f>
        <v>0</v>
      </c>
      <c r="AG53" s="1145">
        <f>IF(ISNUMBER(Einflusslinie!$J9),PlotData!G8+ Einflusslinie!$E$2*$AF$46*G53,PlotData!$CB$3)</f>
        <v>0</v>
      </c>
      <c r="AH53" s="1145">
        <f>IF(ISNUMBER(Einflusslinie!$J9),PlotData!H8+Einflusslinie!$E$2* $AF$46*H53,PlotData!$CB$3)</f>
        <v>0</v>
      </c>
      <c r="AI53" s="1145">
        <f>IF(ISNUMBER(Einflusslinie!$J9),PlotData!I8+ Einflusslinie!$E$2*$AF$46*I53,PlotData!$CB$3)</f>
        <v>0</v>
      </c>
      <c r="AJ53" s="1145">
        <f>IF(ISNUMBER(Einflusslinie!$J9),PlotData!J8+ Einflusslinie!$E$2*$AF$46*J53,PlotData!$CB$3)</f>
        <v>0</v>
      </c>
      <c r="AK53" s="1145">
        <f>IF(ISNUMBER(Einflusslinie!$J9),PlotData!K8+ Einflusslinie!$E$2*$AF$46*K53,PlotData!$CB$3)</f>
        <v>0</v>
      </c>
      <c r="AL53" s="1155">
        <f>IF(ISNUMBER(Einflusslinie!$J9),PlotData!L8+ Einflusslinie!$E$2*$AF$46*L53,PlotData!$CB$3)</f>
        <v>0</v>
      </c>
      <c r="AM53" s="746">
        <f>IF(ISNUMBER(Einflusslinie!$J9),PlotData!L8,PlotData!$CB$3)</f>
        <v>0</v>
      </c>
      <c r="AN53" s="1144">
        <f>IF(ISNUMBER(Einflusslinie!$J9),PlotData!B8,PlotData!$CB$3)</f>
        <v>0</v>
      </c>
      <c r="AO53" s="747">
        <f>IF(ISNUMBER(Einflusslinie!$J9),AB53,PlotData!$CB$3)</f>
        <v>0</v>
      </c>
      <c r="AQ53" s="1175">
        <v>5</v>
      </c>
      <c r="AR53" s="746">
        <f>IF(ISNUMBER(Einflusslinie!$J9),PlotData!O8+ Einflusslinie!$E$2*$AF$46*O53,PlotData!$CB$4)</f>
        <v>0</v>
      </c>
      <c r="AS53" s="1145">
        <f>IF(ISNUMBER(Einflusslinie!$J9),PlotData!P8+Einflusslinie!$E$2* $AF$46*P53,PlotData!$CB$4)</f>
        <v>0</v>
      </c>
      <c r="AT53" s="1145">
        <f>IF(ISNUMBER(Einflusslinie!$J9),PlotData!Q8+Einflusslinie!$E$2* $AF$46*Q53,PlotData!$CB$4)</f>
        <v>0</v>
      </c>
      <c r="AU53" s="1145">
        <f>IF(ISNUMBER(Einflusslinie!$J9),PlotData!R8+ Einflusslinie!$E$2*$AF$46*R53,PlotData!$CB$4)</f>
        <v>0</v>
      </c>
      <c r="AV53" s="1145">
        <f>IF(ISNUMBER(Einflusslinie!$J9),PlotData!S8+ Einflusslinie!$E$2*$AF$46*S53,PlotData!$CB$4)</f>
        <v>0</v>
      </c>
      <c r="AW53" s="1145">
        <f>IF(ISNUMBER(Einflusslinie!$J9),PlotData!T8+ Einflusslinie!$E$2*$AF$46*T53,PlotData!$CB$4)</f>
        <v>0</v>
      </c>
      <c r="AX53" s="1145">
        <f>IF(ISNUMBER(Einflusslinie!$J9),PlotData!U8+ Einflusslinie!$E$2*$AF$46*U53,PlotData!$CB$4)</f>
        <v>0</v>
      </c>
      <c r="AY53" s="1145">
        <f>IF(ISNUMBER(Einflusslinie!$J9),PlotData!V8+ Einflusslinie!$E$2*$AF$46*V53,PlotData!$CB$4)</f>
        <v>0</v>
      </c>
      <c r="AZ53" s="1145">
        <f>IF(ISNUMBER(Einflusslinie!$J9),PlotData!W8+Einflusslinie!$E$2* $AF$46*W53,PlotData!$CB$4)</f>
        <v>0</v>
      </c>
      <c r="BA53" s="1145">
        <f>IF(ISNUMBER(Einflusslinie!$J9),PlotData!X8+ Einflusslinie!$E$2*$AF$46*X53,PlotData!$CB$4)</f>
        <v>0</v>
      </c>
      <c r="BB53" s="1155">
        <f>IF(ISNUMBER(Einflusslinie!$J9),PlotData!Y8+ Einflusslinie!$E$2*$AF$46*Y53,PlotData!$CB$4)</f>
        <v>0</v>
      </c>
      <c r="BC53" s="746">
        <f>IF(ISNUMBER(Einflusslinie!$J9),PlotData!Y8, PlotData!CB$4)</f>
        <v>0</v>
      </c>
      <c r="BD53" s="1144">
        <f>IF(ISNUMBER(Einflusslinie!$J9),PlotData!O8, PlotData!$CB$4)</f>
        <v>0</v>
      </c>
      <c r="BE53" s="747">
        <f>IF(ISNUMBER(Einflusslinie!$J9), AR53,PlotData!$CB$4)</f>
        <v>0</v>
      </c>
      <c r="BG53" s="668" t="s">
        <v>472</v>
      </c>
      <c r="BH53" s="721">
        <f>BH48+BH50</f>
        <v>0</v>
      </c>
      <c r="BI53" s="639">
        <f>BH49+BH50</f>
        <v>0</v>
      </c>
    </row>
    <row r="54" spans="1:61" x14ac:dyDescent="0.25">
      <c r="A54" s="1175">
        <v>6</v>
      </c>
      <c r="B54" s="1125"/>
      <c r="C54" s="721"/>
      <c r="D54" s="721"/>
      <c r="E54" s="721"/>
      <c r="F54" s="721"/>
      <c r="G54" s="721"/>
      <c r="H54" s="721"/>
      <c r="I54" s="721"/>
      <c r="J54" s="721"/>
      <c r="K54" s="721"/>
      <c r="L54" s="1176"/>
      <c r="N54" s="1175">
        <v>6</v>
      </c>
      <c r="O54" s="668"/>
      <c r="P54" s="721"/>
      <c r="Q54" s="721"/>
      <c r="R54" s="721"/>
      <c r="S54" s="721"/>
      <c r="T54" s="721"/>
      <c r="U54" s="721"/>
      <c r="V54" s="721"/>
      <c r="W54" s="721"/>
      <c r="X54" s="721"/>
      <c r="Y54" s="1176"/>
      <c r="AA54" s="1175">
        <v>6</v>
      </c>
      <c r="AB54" s="746">
        <f>IF(ISNUMBER(Einflusslinie!$J10),PlotData!B9+ Einflusslinie!$E$2*$AF$46*B54,PlotData!$CB$3)</f>
        <v>0</v>
      </c>
      <c r="AC54" s="1145">
        <f>IF(ISNUMBER(Einflusslinie!$J10),PlotData!C9+Einflusslinie!$E$2* $AF$46*C54,PlotData!$CB$3)</f>
        <v>0</v>
      </c>
      <c r="AD54" s="1145">
        <f>IF(ISNUMBER(Einflusslinie!$J10),PlotData!D9+ Einflusslinie!$E$2*$AF$46*D54,PlotData!$CB$3)</f>
        <v>0</v>
      </c>
      <c r="AE54" s="1145">
        <f>IF(ISNUMBER(Einflusslinie!$J10),PlotData!E9+Einflusslinie!$E$2* $AF$46*E54,PlotData!$CB$3)</f>
        <v>0</v>
      </c>
      <c r="AF54" s="1145">
        <f>IF(ISNUMBER(Einflusslinie!$J10),PlotData!F9+ Einflusslinie!$E$2*$AF$46*F54,PlotData!$CB$3)</f>
        <v>0</v>
      </c>
      <c r="AG54" s="1145">
        <f>IF(ISNUMBER(Einflusslinie!$J10),PlotData!G9+ Einflusslinie!$E$2*$AF$46*G54,PlotData!$CB$3)</f>
        <v>0</v>
      </c>
      <c r="AH54" s="1145">
        <f>IF(ISNUMBER(Einflusslinie!$J10),PlotData!H9+Einflusslinie!$E$2* $AF$46*H54,PlotData!$CB$3)</f>
        <v>0</v>
      </c>
      <c r="AI54" s="1145">
        <f>IF(ISNUMBER(Einflusslinie!$J10),PlotData!I9+ Einflusslinie!$E$2*$AF$46*I54,PlotData!$CB$3)</f>
        <v>0</v>
      </c>
      <c r="AJ54" s="1145">
        <f>IF(ISNUMBER(Einflusslinie!$J10),PlotData!J9+ Einflusslinie!$E$2*$AF$46*J54,PlotData!$CB$3)</f>
        <v>0</v>
      </c>
      <c r="AK54" s="1145">
        <f>IF(ISNUMBER(Einflusslinie!$J10),PlotData!K9+ Einflusslinie!$E$2*$AF$46*K54,PlotData!$CB$3)</f>
        <v>0</v>
      </c>
      <c r="AL54" s="1155">
        <f>IF(ISNUMBER(Einflusslinie!$J10),PlotData!L9+ Einflusslinie!$E$2*$AF$46*L54,PlotData!$CB$3)</f>
        <v>0</v>
      </c>
      <c r="AM54" s="746">
        <f>IF(ISNUMBER(Einflusslinie!$J10),PlotData!L9,PlotData!$CB$3)</f>
        <v>0</v>
      </c>
      <c r="AN54" s="1144">
        <f>IF(ISNUMBER(Einflusslinie!$J10),PlotData!B9,PlotData!$CB$3)</f>
        <v>0</v>
      </c>
      <c r="AO54" s="747">
        <f>IF(ISNUMBER(Einflusslinie!$J10),AB54,PlotData!$CB$3)</f>
        <v>0</v>
      </c>
      <c r="AQ54" s="1175">
        <v>6</v>
      </c>
      <c r="AR54" s="746">
        <f>IF(ISNUMBER(Einflusslinie!$J10),PlotData!O9+ Einflusslinie!$E$2*$AF$46*O54,PlotData!$CB$4)</f>
        <v>0</v>
      </c>
      <c r="AS54" s="1145">
        <f>IF(ISNUMBER(Einflusslinie!$J10),PlotData!P9+Einflusslinie!$E$2* $AF$46*P54,PlotData!$CB$4)</f>
        <v>0</v>
      </c>
      <c r="AT54" s="1145">
        <f>IF(ISNUMBER(Einflusslinie!$J10),PlotData!Q9+Einflusslinie!$E$2* $AF$46*Q54,PlotData!$CB$4)</f>
        <v>0</v>
      </c>
      <c r="AU54" s="1145">
        <f>IF(ISNUMBER(Einflusslinie!$J10),PlotData!R9+ Einflusslinie!$E$2*$AF$46*R54,PlotData!$CB$4)</f>
        <v>0</v>
      </c>
      <c r="AV54" s="1145">
        <f>IF(ISNUMBER(Einflusslinie!$J10),PlotData!S9+ Einflusslinie!$E$2*$AF$46*S54,PlotData!$CB$4)</f>
        <v>0</v>
      </c>
      <c r="AW54" s="1145">
        <f>IF(ISNUMBER(Einflusslinie!$J10),PlotData!T9+ Einflusslinie!$E$2*$AF$46*T54,PlotData!$CB$4)</f>
        <v>0</v>
      </c>
      <c r="AX54" s="1145">
        <f>IF(ISNUMBER(Einflusslinie!$J10),PlotData!U9+ Einflusslinie!$E$2*$AF$46*U54,PlotData!$CB$4)</f>
        <v>0</v>
      </c>
      <c r="AY54" s="1145">
        <f>IF(ISNUMBER(Einflusslinie!$J10),PlotData!V9+ Einflusslinie!$E$2*$AF$46*V54,PlotData!$CB$4)</f>
        <v>0</v>
      </c>
      <c r="AZ54" s="1145">
        <f>IF(ISNUMBER(Einflusslinie!$J10),PlotData!W9+Einflusslinie!$E$2* $AF$46*W54,PlotData!$CB$4)</f>
        <v>0</v>
      </c>
      <c r="BA54" s="1145">
        <f>IF(ISNUMBER(Einflusslinie!$J10),PlotData!X9+ Einflusslinie!$E$2*$AF$46*X54,PlotData!$CB$4)</f>
        <v>0</v>
      </c>
      <c r="BB54" s="1155">
        <f>IF(ISNUMBER(Einflusslinie!$J10),PlotData!Y9+ Einflusslinie!$E$2*$AF$46*Y54,PlotData!$CB$4)</f>
        <v>0</v>
      </c>
      <c r="BC54" s="746">
        <f>IF(ISNUMBER(Einflusslinie!$J10),PlotData!Y9, PlotData!CB$4)</f>
        <v>0</v>
      </c>
      <c r="BD54" s="1144">
        <f>IF(ISNUMBER(Einflusslinie!$J10),PlotData!O9, PlotData!$CB$4)</f>
        <v>0</v>
      </c>
      <c r="BE54" s="747">
        <f>IF(ISNUMBER(Einflusslinie!$J10), AR54,PlotData!$CB$4)</f>
        <v>0</v>
      </c>
      <c r="BG54" s="668" t="s">
        <v>473</v>
      </c>
      <c r="BH54" s="721">
        <f>BH53</f>
        <v>0</v>
      </c>
      <c r="BI54" s="639">
        <f>BH49-BH50</f>
        <v>0</v>
      </c>
    </row>
    <row r="55" spans="1:61" ht="13.8" thickBot="1" x14ac:dyDescent="0.3">
      <c r="A55" s="1175">
        <v>7</v>
      </c>
      <c r="B55" s="1125"/>
      <c r="C55" s="721"/>
      <c r="D55" s="721"/>
      <c r="E55" s="721"/>
      <c r="F55" s="721"/>
      <c r="G55" s="721"/>
      <c r="H55" s="721"/>
      <c r="I55" s="721"/>
      <c r="J55" s="721"/>
      <c r="K55" s="721"/>
      <c r="L55" s="1176"/>
      <c r="N55" s="1175">
        <v>7</v>
      </c>
      <c r="O55" s="668"/>
      <c r="P55" s="721"/>
      <c r="Q55" s="721"/>
      <c r="R55" s="721"/>
      <c r="S55" s="721"/>
      <c r="T55" s="721"/>
      <c r="U55" s="721"/>
      <c r="V55" s="721"/>
      <c r="W55" s="721"/>
      <c r="X55" s="721"/>
      <c r="Y55" s="1176"/>
      <c r="AA55" s="1175">
        <v>7</v>
      </c>
      <c r="AB55" s="746">
        <f>IF(ISNUMBER(Einflusslinie!$J11),PlotData!B10+ Einflusslinie!$E$2*$AF$46*B55,PlotData!$CB$3)</f>
        <v>0</v>
      </c>
      <c r="AC55" s="1145">
        <f>IF(ISNUMBER(Einflusslinie!$J11),PlotData!C10+Einflusslinie!$E$2* $AF$46*C55,PlotData!$CB$3)</f>
        <v>0</v>
      </c>
      <c r="AD55" s="1145">
        <f>IF(ISNUMBER(Einflusslinie!$J11),PlotData!D10+ Einflusslinie!$E$2*$AF$46*D55,PlotData!$CB$3)</f>
        <v>0</v>
      </c>
      <c r="AE55" s="1145">
        <f>IF(ISNUMBER(Einflusslinie!$J11),PlotData!E10+Einflusslinie!$E$2* $AF$46*E55,PlotData!$CB$3)</f>
        <v>0</v>
      </c>
      <c r="AF55" s="1145">
        <f>IF(ISNUMBER(Einflusslinie!$J11),PlotData!F10+ Einflusslinie!$E$2*$AF$46*F55,PlotData!$CB$3)</f>
        <v>0</v>
      </c>
      <c r="AG55" s="1145">
        <f>IF(ISNUMBER(Einflusslinie!$J11),PlotData!G10+ Einflusslinie!$E$2*$AF$46*G55,PlotData!$CB$3)</f>
        <v>0</v>
      </c>
      <c r="AH55" s="1145">
        <f>IF(ISNUMBER(Einflusslinie!$J11),PlotData!H10+Einflusslinie!$E$2* $AF$46*H55,PlotData!$CB$3)</f>
        <v>0</v>
      </c>
      <c r="AI55" s="1145">
        <f>IF(ISNUMBER(Einflusslinie!$J11),PlotData!I10+ Einflusslinie!$E$2*$AF$46*I55,PlotData!$CB$3)</f>
        <v>0</v>
      </c>
      <c r="AJ55" s="1145">
        <f>IF(ISNUMBER(Einflusslinie!$J11),PlotData!J10+ Einflusslinie!$E$2*$AF$46*J55,PlotData!$CB$3)</f>
        <v>0</v>
      </c>
      <c r="AK55" s="1145">
        <f>IF(ISNUMBER(Einflusslinie!$J11),PlotData!K10+ Einflusslinie!$E$2*$AF$46*K55,PlotData!$CB$3)</f>
        <v>0</v>
      </c>
      <c r="AL55" s="1155">
        <f>IF(ISNUMBER(Einflusslinie!$J11),PlotData!L10+ Einflusslinie!$E$2*$AF$46*L55,PlotData!$CB$3)</f>
        <v>0</v>
      </c>
      <c r="AM55" s="746">
        <f>IF(ISNUMBER(Einflusslinie!$J11),PlotData!L10,PlotData!$CB$3)</f>
        <v>0</v>
      </c>
      <c r="AN55" s="1144">
        <f>IF(ISNUMBER(Einflusslinie!$J11),PlotData!B10,PlotData!$CB$3)</f>
        <v>0</v>
      </c>
      <c r="AO55" s="747">
        <f>IF(ISNUMBER(Einflusslinie!$J11),AB55,PlotData!$CB$3)</f>
        <v>0</v>
      </c>
      <c r="AQ55" s="1175">
        <v>7</v>
      </c>
      <c r="AR55" s="746">
        <f>IF(ISNUMBER(Einflusslinie!$J11),PlotData!O10+ Einflusslinie!$E$2*$AF$46*O55,PlotData!$CB$4)</f>
        <v>0</v>
      </c>
      <c r="AS55" s="1145">
        <f>IF(ISNUMBER(Einflusslinie!$J11),PlotData!P10+Einflusslinie!$E$2* $AF$46*P55,PlotData!$CB$4)</f>
        <v>0</v>
      </c>
      <c r="AT55" s="1145">
        <f>IF(ISNUMBER(Einflusslinie!$J11),PlotData!Q10+Einflusslinie!$E$2* $AF$46*Q55,PlotData!$CB$4)</f>
        <v>0</v>
      </c>
      <c r="AU55" s="1145">
        <f>IF(ISNUMBER(Einflusslinie!$J11),PlotData!R10+ Einflusslinie!$E$2*$AF$46*R55,PlotData!$CB$4)</f>
        <v>0</v>
      </c>
      <c r="AV55" s="1145">
        <f>IF(ISNUMBER(Einflusslinie!$J11),PlotData!S10+ Einflusslinie!$E$2*$AF$46*S55,PlotData!$CB$4)</f>
        <v>0</v>
      </c>
      <c r="AW55" s="1145">
        <f>IF(ISNUMBER(Einflusslinie!$J11),PlotData!T10+ Einflusslinie!$E$2*$AF$46*T55,PlotData!$CB$4)</f>
        <v>0</v>
      </c>
      <c r="AX55" s="1145">
        <f>IF(ISNUMBER(Einflusslinie!$J11),PlotData!U10+ Einflusslinie!$E$2*$AF$46*U55,PlotData!$CB$4)</f>
        <v>0</v>
      </c>
      <c r="AY55" s="1145">
        <f>IF(ISNUMBER(Einflusslinie!$J11),PlotData!V10+ Einflusslinie!$E$2*$AF$46*V55,PlotData!$CB$4)</f>
        <v>0</v>
      </c>
      <c r="AZ55" s="1145">
        <f>IF(ISNUMBER(Einflusslinie!$J11),PlotData!W10+Einflusslinie!$E$2* $AF$46*W55,PlotData!$CB$4)</f>
        <v>0</v>
      </c>
      <c r="BA55" s="1145">
        <f>IF(ISNUMBER(Einflusslinie!$J11),PlotData!X10+ Einflusslinie!$E$2*$AF$46*X55,PlotData!$CB$4)</f>
        <v>0</v>
      </c>
      <c r="BB55" s="1155">
        <f>IF(ISNUMBER(Einflusslinie!$J11),PlotData!Y10+ Einflusslinie!$E$2*$AF$46*Y55,PlotData!$CB$4)</f>
        <v>0</v>
      </c>
      <c r="BC55" s="746">
        <f>IF(ISNUMBER(Einflusslinie!$J11),PlotData!Y10, PlotData!CB$4)</f>
        <v>0</v>
      </c>
      <c r="BD55" s="1144">
        <f>IF(ISNUMBER(Einflusslinie!$J11),PlotData!O10, PlotData!$CB$4)</f>
        <v>0</v>
      </c>
      <c r="BE55" s="747">
        <f>IF(ISNUMBER(Einflusslinie!$J11), AR55,PlotData!$CB$4)</f>
        <v>0</v>
      </c>
      <c r="BG55" s="669" t="s">
        <v>474</v>
      </c>
      <c r="BH55" s="1137">
        <f>BH52</f>
        <v>0</v>
      </c>
      <c r="BI55" s="646">
        <f>BI54</f>
        <v>0</v>
      </c>
    </row>
    <row r="56" spans="1:61" x14ac:dyDescent="0.25">
      <c r="A56" s="1175">
        <v>8</v>
      </c>
      <c r="B56" s="1125"/>
      <c r="C56" s="721"/>
      <c r="D56" s="721"/>
      <c r="E56" s="721"/>
      <c r="F56" s="721"/>
      <c r="G56" s="721"/>
      <c r="H56" s="721"/>
      <c r="I56" s="721"/>
      <c r="J56" s="721"/>
      <c r="K56" s="721"/>
      <c r="L56" s="1176"/>
      <c r="N56" s="1175">
        <v>8</v>
      </c>
      <c r="O56" s="668"/>
      <c r="P56" s="721"/>
      <c r="Q56" s="721"/>
      <c r="R56" s="721"/>
      <c r="S56" s="721"/>
      <c r="T56" s="721"/>
      <c r="U56" s="721"/>
      <c r="V56" s="721"/>
      <c r="W56" s="721"/>
      <c r="X56" s="721"/>
      <c r="Y56" s="1176"/>
      <c r="AA56" s="1175">
        <v>8</v>
      </c>
      <c r="AB56" s="746">
        <f>IF(ISNUMBER(Einflusslinie!$J12),PlotData!B11+ Einflusslinie!$E$2*$AF$46*B56,PlotData!$CB$3)</f>
        <v>0</v>
      </c>
      <c r="AC56" s="1145">
        <f>IF(ISNUMBER(Einflusslinie!$J12),PlotData!C11+Einflusslinie!$E$2* $AF$46*C56,PlotData!$CB$3)</f>
        <v>0</v>
      </c>
      <c r="AD56" s="1145">
        <f>IF(ISNUMBER(Einflusslinie!$J12),PlotData!D11+ Einflusslinie!$E$2*$AF$46*D56,PlotData!$CB$3)</f>
        <v>0</v>
      </c>
      <c r="AE56" s="1145">
        <f>IF(ISNUMBER(Einflusslinie!$J12),PlotData!E11+Einflusslinie!$E$2* $AF$46*E56,PlotData!$CB$3)</f>
        <v>0</v>
      </c>
      <c r="AF56" s="1145">
        <f>IF(ISNUMBER(Einflusslinie!$J12),PlotData!F11+ Einflusslinie!$E$2*$AF$46*F56,PlotData!$CB$3)</f>
        <v>0</v>
      </c>
      <c r="AG56" s="1145">
        <f>IF(ISNUMBER(Einflusslinie!$J12),PlotData!G11+ Einflusslinie!$E$2*$AF$46*G56,PlotData!$CB$3)</f>
        <v>0</v>
      </c>
      <c r="AH56" s="1145">
        <f>IF(ISNUMBER(Einflusslinie!$J12),PlotData!H11+Einflusslinie!$E$2* $AF$46*H56,PlotData!$CB$3)</f>
        <v>0</v>
      </c>
      <c r="AI56" s="1145">
        <f>IF(ISNUMBER(Einflusslinie!$J12),PlotData!I11+ Einflusslinie!$E$2*$AF$46*I56,PlotData!$CB$3)</f>
        <v>0</v>
      </c>
      <c r="AJ56" s="1145">
        <f>IF(ISNUMBER(Einflusslinie!$J12),PlotData!J11+ Einflusslinie!$E$2*$AF$46*J56,PlotData!$CB$3)</f>
        <v>0</v>
      </c>
      <c r="AK56" s="1145">
        <f>IF(ISNUMBER(Einflusslinie!$J12),PlotData!K11+ Einflusslinie!$E$2*$AF$46*K56,PlotData!$CB$3)</f>
        <v>0</v>
      </c>
      <c r="AL56" s="1155">
        <f>IF(ISNUMBER(Einflusslinie!$J12),PlotData!L11+ Einflusslinie!$E$2*$AF$46*L56,PlotData!$CB$3)</f>
        <v>0</v>
      </c>
      <c r="AM56" s="746">
        <f>IF(ISNUMBER(Einflusslinie!$J12),PlotData!L11,PlotData!$CB$3)</f>
        <v>0</v>
      </c>
      <c r="AN56" s="1144">
        <f>IF(ISNUMBER(Einflusslinie!$J12),PlotData!B11,PlotData!$CB$3)</f>
        <v>0</v>
      </c>
      <c r="AO56" s="747">
        <f>IF(ISNUMBER(Einflusslinie!$J12),AB56,PlotData!$CB$3)</f>
        <v>0</v>
      </c>
      <c r="AQ56" s="1175">
        <v>8</v>
      </c>
      <c r="AR56" s="746">
        <f>IF(ISNUMBER(Einflusslinie!$J12),PlotData!O11+ Einflusslinie!$E$2*$AF$46*O56,PlotData!$CB$4)</f>
        <v>0</v>
      </c>
      <c r="AS56" s="1145">
        <f>IF(ISNUMBER(Einflusslinie!$J12),PlotData!P11+Einflusslinie!$E$2* $AF$46*P56,PlotData!$CB$4)</f>
        <v>0</v>
      </c>
      <c r="AT56" s="1145">
        <f>IF(ISNUMBER(Einflusslinie!$J12),PlotData!Q11+Einflusslinie!$E$2* $AF$46*Q56,PlotData!$CB$4)</f>
        <v>0</v>
      </c>
      <c r="AU56" s="1145">
        <f>IF(ISNUMBER(Einflusslinie!$J12),PlotData!R11+ Einflusslinie!$E$2*$AF$46*R56,PlotData!$CB$4)</f>
        <v>0</v>
      </c>
      <c r="AV56" s="1145">
        <f>IF(ISNUMBER(Einflusslinie!$J12),PlotData!S11+ Einflusslinie!$E$2*$AF$46*S56,PlotData!$CB$4)</f>
        <v>0</v>
      </c>
      <c r="AW56" s="1145">
        <f>IF(ISNUMBER(Einflusslinie!$J12),PlotData!T11+ Einflusslinie!$E$2*$AF$46*T56,PlotData!$CB$4)</f>
        <v>0</v>
      </c>
      <c r="AX56" s="1145">
        <f>IF(ISNUMBER(Einflusslinie!$J12),PlotData!U11+ Einflusslinie!$E$2*$AF$46*U56,PlotData!$CB$4)</f>
        <v>0</v>
      </c>
      <c r="AY56" s="1145">
        <f>IF(ISNUMBER(Einflusslinie!$J12),PlotData!V11+ Einflusslinie!$E$2*$AF$46*V56,PlotData!$CB$4)</f>
        <v>0</v>
      </c>
      <c r="AZ56" s="1145">
        <f>IF(ISNUMBER(Einflusslinie!$J12),PlotData!W11+Einflusslinie!$E$2* $AF$46*W56,PlotData!$CB$4)</f>
        <v>0</v>
      </c>
      <c r="BA56" s="1145">
        <f>IF(ISNUMBER(Einflusslinie!$J12),PlotData!X11+ Einflusslinie!$E$2*$AF$46*X56,PlotData!$CB$4)</f>
        <v>0</v>
      </c>
      <c r="BB56" s="1155">
        <f>IF(ISNUMBER(Einflusslinie!$J12),PlotData!Y11+ Einflusslinie!$E$2*$AF$46*Y56,PlotData!$CB$4)</f>
        <v>0</v>
      </c>
      <c r="BC56" s="746">
        <f>IF(ISNUMBER(Einflusslinie!$J12),PlotData!Y11, PlotData!CB$4)</f>
        <v>0</v>
      </c>
      <c r="BD56" s="1144">
        <f>IF(ISNUMBER(Einflusslinie!$J12),PlotData!O11, PlotData!$CB$4)</f>
        <v>0</v>
      </c>
      <c r="BE56" s="747">
        <f>IF(ISNUMBER(Einflusslinie!$J12), AR56,PlotData!$CB$4)</f>
        <v>0</v>
      </c>
    </row>
    <row r="57" spans="1:61" x14ac:dyDescent="0.25">
      <c r="A57" s="1175">
        <v>9</v>
      </c>
      <c r="B57" s="1125"/>
      <c r="C57" s="721"/>
      <c r="D57" s="721"/>
      <c r="E57" s="721"/>
      <c r="F57" s="721"/>
      <c r="G57" s="721"/>
      <c r="H57" s="721"/>
      <c r="I57" s="721"/>
      <c r="J57" s="721"/>
      <c r="K57" s="721"/>
      <c r="L57" s="1176"/>
      <c r="N57" s="1175">
        <v>9</v>
      </c>
      <c r="O57" s="668"/>
      <c r="P57" s="721"/>
      <c r="Q57" s="721"/>
      <c r="R57" s="721"/>
      <c r="S57" s="721"/>
      <c r="T57" s="721"/>
      <c r="U57" s="721"/>
      <c r="V57" s="721"/>
      <c r="W57" s="721"/>
      <c r="X57" s="721"/>
      <c r="Y57" s="1176"/>
      <c r="AA57" s="1175">
        <v>9</v>
      </c>
      <c r="AB57" s="746">
        <f>IF(ISNUMBER(Einflusslinie!$J13),PlotData!B12+ Einflusslinie!$E$2*$AF$46*B57,PlotData!$CB$3)</f>
        <v>0</v>
      </c>
      <c r="AC57" s="1145">
        <f>IF(ISNUMBER(Einflusslinie!$J13),PlotData!C12+Einflusslinie!$E$2* $AF$46*C57,PlotData!$CB$3)</f>
        <v>0</v>
      </c>
      <c r="AD57" s="1145">
        <f>IF(ISNUMBER(Einflusslinie!$J13),PlotData!D12+ Einflusslinie!$E$2*$AF$46*D57,PlotData!$CB$3)</f>
        <v>0</v>
      </c>
      <c r="AE57" s="1145">
        <f>IF(ISNUMBER(Einflusslinie!$J13),PlotData!E12+Einflusslinie!$E$2* $AF$46*E57,PlotData!$CB$3)</f>
        <v>0</v>
      </c>
      <c r="AF57" s="1145">
        <f>IF(ISNUMBER(Einflusslinie!$J13),PlotData!F12+ Einflusslinie!$E$2*$AF$46*F57,PlotData!$CB$3)</f>
        <v>0</v>
      </c>
      <c r="AG57" s="1145">
        <f>IF(ISNUMBER(Einflusslinie!$J13),PlotData!G12+ Einflusslinie!$E$2*$AF$46*G57,PlotData!$CB$3)</f>
        <v>0</v>
      </c>
      <c r="AH57" s="1145">
        <f>IF(ISNUMBER(Einflusslinie!$J13),PlotData!H12+Einflusslinie!$E$2* $AF$46*H57,PlotData!$CB$3)</f>
        <v>0</v>
      </c>
      <c r="AI57" s="1145">
        <f>IF(ISNUMBER(Einflusslinie!$J13),PlotData!I12+ Einflusslinie!$E$2*$AF$46*I57,PlotData!$CB$3)</f>
        <v>0</v>
      </c>
      <c r="AJ57" s="1145">
        <f>IF(ISNUMBER(Einflusslinie!$J13),PlotData!J12+ Einflusslinie!$E$2*$AF$46*J57,PlotData!$CB$3)</f>
        <v>0</v>
      </c>
      <c r="AK57" s="1145">
        <f>IF(ISNUMBER(Einflusslinie!$J13),PlotData!K12+ Einflusslinie!$E$2*$AF$46*K57,PlotData!$CB$3)</f>
        <v>0</v>
      </c>
      <c r="AL57" s="1155">
        <f>IF(ISNUMBER(Einflusslinie!$J13),PlotData!L12+ Einflusslinie!$E$2*$AF$46*L57,PlotData!$CB$3)</f>
        <v>0</v>
      </c>
      <c r="AM57" s="746">
        <f>IF(ISNUMBER(Einflusslinie!$J13),PlotData!L12,PlotData!$CB$3)</f>
        <v>0</v>
      </c>
      <c r="AN57" s="1144">
        <f>IF(ISNUMBER(Einflusslinie!$J13),PlotData!B12,PlotData!$CB$3)</f>
        <v>0</v>
      </c>
      <c r="AO57" s="747">
        <f>IF(ISNUMBER(Einflusslinie!$J13),AB57,PlotData!$CB$3)</f>
        <v>0</v>
      </c>
      <c r="AQ57" s="1175">
        <v>9</v>
      </c>
      <c r="AR57" s="746">
        <f>IF(ISNUMBER(Einflusslinie!$J13),PlotData!O12+ Einflusslinie!$E$2*$AF$46*O57,PlotData!$CB$4)</f>
        <v>0</v>
      </c>
      <c r="AS57" s="1145">
        <f>IF(ISNUMBER(Einflusslinie!$J13),PlotData!P12+Einflusslinie!$E$2* $AF$46*P57,PlotData!$CB$4)</f>
        <v>0</v>
      </c>
      <c r="AT57" s="1145">
        <f>IF(ISNUMBER(Einflusslinie!$J13),PlotData!Q12+Einflusslinie!$E$2* $AF$46*Q57,PlotData!$CB$4)</f>
        <v>0</v>
      </c>
      <c r="AU57" s="1145">
        <f>IF(ISNUMBER(Einflusslinie!$J13),PlotData!R12+ Einflusslinie!$E$2*$AF$46*R57,PlotData!$CB$4)</f>
        <v>0</v>
      </c>
      <c r="AV57" s="1145">
        <f>IF(ISNUMBER(Einflusslinie!$J13),PlotData!S12+ Einflusslinie!$E$2*$AF$46*S57,PlotData!$CB$4)</f>
        <v>0</v>
      </c>
      <c r="AW57" s="1145">
        <f>IF(ISNUMBER(Einflusslinie!$J13),PlotData!T12+ Einflusslinie!$E$2*$AF$46*T57,PlotData!$CB$4)</f>
        <v>0</v>
      </c>
      <c r="AX57" s="1145">
        <f>IF(ISNUMBER(Einflusslinie!$J13),PlotData!U12+ Einflusslinie!$E$2*$AF$46*U57,PlotData!$CB$4)</f>
        <v>0</v>
      </c>
      <c r="AY57" s="1145">
        <f>IF(ISNUMBER(Einflusslinie!$J13),PlotData!V12+ Einflusslinie!$E$2*$AF$46*V57,PlotData!$CB$4)</f>
        <v>0</v>
      </c>
      <c r="AZ57" s="1145">
        <f>IF(ISNUMBER(Einflusslinie!$J13),PlotData!W12+Einflusslinie!$E$2* $AF$46*W57,PlotData!$CB$4)</f>
        <v>0</v>
      </c>
      <c r="BA57" s="1145">
        <f>IF(ISNUMBER(Einflusslinie!$J13),PlotData!X12+ Einflusslinie!$E$2*$AF$46*X57,PlotData!$CB$4)</f>
        <v>0</v>
      </c>
      <c r="BB57" s="1155">
        <f>IF(ISNUMBER(Einflusslinie!$J13),PlotData!Y12+ Einflusslinie!$E$2*$AF$46*Y57,PlotData!$CB$4)</f>
        <v>0</v>
      </c>
      <c r="BC57" s="746">
        <f>IF(ISNUMBER(Einflusslinie!$J13),PlotData!Y12, PlotData!CB$4)</f>
        <v>0</v>
      </c>
      <c r="BD57" s="1144">
        <f>IF(ISNUMBER(Einflusslinie!$J13),PlotData!O12, PlotData!$CB$4)</f>
        <v>0</v>
      </c>
      <c r="BE57" s="747">
        <f>IF(ISNUMBER(Einflusslinie!$J13), AR57,PlotData!$CB$4)</f>
        <v>0</v>
      </c>
    </row>
    <row r="58" spans="1:61" x14ac:dyDescent="0.25">
      <c r="A58" s="1175">
        <v>10</v>
      </c>
      <c r="B58" s="1125"/>
      <c r="C58" s="721"/>
      <c r="D58" s="721"/>
      <c r="E58" s="721"/>
      <c r="F58" s="721"/>
      <c r="G58" s="721"/>
      <c r="H58" s="721"/>
      <c r="I58" s="721"/>
      <c r="J58" s="721"/>
      <c r="K58" s="721"/>
      <c r="L58" s="1176"/>
      <c r="N58" s="1175">
        <v>10</v>
      </c>
      <c r="O58" s="668"/>
      <c r="P58" s="721"/>
      <c r="Q58" s="721"/>
      <c r="R58" s="721"/>
      <c r="S58" s="721"/>
      <c r="T58" s="721"/>
      <c r="U58" s="721"/>
      <c r="V58" s="721"/>
      <c r="W58" s="721"/>
      <c r="X58" s="721"/>
      <c r="Y58" s="1176"/>
      <c r="AA58" s="1175">
        <v>10</v>
      </c>
      <c r="AB58" s="746">
        <f>IF(ISNUMBER(Einflusslinie!$J14),PlotData!B13+ Einflusslinie!$E$2*$AF$46*B58,PlotData!$CB$3)</f>
        <v>0</v>
      </c>
      <c r="AC58" s="1145">
        <f>IF(ISNUMBER(Einflusslinie!$J14),PlotData!C13+Einflusslinie!$E$2* $AF$46*C58,PlotData!$CB$3)</f>
        <v>0</v>
      </c>
      <c r="AD58" s="1145">
        <f>IF(ISNUMBER(Einflusslinie!$J14),PlotData!D13+ Einflusslinie!$E$2*$AF$46*D58,PlotData!$CB$3)</f>
        <v>0</v>
      </c>
      <c r="AE58" s="1145">
        <f>IF(ISNUMBER(Einflusslinie!$J14),PlotData!E13+Einflusslinie!$E$2* $AF$46*E58,PlotData!$CB$3)</f>
        <v>0</v>
      </c>
      <c r="AF58" s="1145">
        <f>IF(ISNUMBER(Einflusslinie!$J14),PlotData!F13+ Einflusslinie!$E$2*$AF$46*F58,PlotData!$CB$3)</f>
        <v>0</v>
      </c>
      <c r="AG58" s="1145">
        <f>IF(ISNUMBER(Einflusslinie!$J14),PlotData!G13+ Einflusslinie!$E$2*$AF$46*G58,PlotData!$CB$3)</f>
        <v>0</v>
      </c>
      <c r="AH58" s="1145">
        <f>IF(ISNUMBER(Einflusslinie!$J14),PlotData!H13+Einflusslinie!$E$2* $AF$46*H58,PlotData!$CB$3)</f>
        <v>0</v>
      </c>
      <c r="AI58" s="1145">
        <f>IF(ISNUMBER(Einflusslinie!$J14),PlotData!I13+ Einflusslinie!$E$2*$AF$46*I58,PlotData!$CB$3)</f>
        <v>0</v>
      </c>
      <c r="AJ58" s="1145">
        <f>IF(ISNUMBER(Einflusslinie!$J14),PlotData!J13+ Einflusslinie!$E$2*$AF$46*J58,PlotData!$CB$3)</f>
        <v>0</v>
      </c>
      <c r="AK58" s="1145">
        <f>IF(ISNUMBER(Einflusslinie!$J14),PlotData!K13+ Einflusslinie!$E$2*$AF$46*K58,PlotData!$CB$3)</f>
        <v>0</v>
      </c>
      <c r="AL58" s="1155">
        <f>IF(ISNUMBER(Einflusslinie!$J14),PlotData!L13+ Einflusslinie!$E$2*$AF$46*L58,PlotData!$CB$3)</f>
        <v>0</v>
      </c>
      <c r="AM58" s="746">
        <f>IF(ISNUMBER(Einflusslinie!$J14),PlotData!L13,PlotData!$CB$3)</f>
        <v>0</v>
      </c>
      <c r="AN58" s="1144">
        <f>IF(ISNUMBER(Einflusslinie!$J14),PlotData!B13,PlotData!$CB$3)</f>
        <v>0</v>
      </c>
      <c r="AO58" s="747">
        <f>IF(ISNUMBER(Einflusslinie!$J14),AB58,PlotData!$CB$3)</f>
        <v>0</v>
      </c>
      <c r="AQ58" s="1175">
        <v>10</v>
      </c>
      <c r="AR58" s="746">
        <f>IF(ISNUMBER(Einflusslinie!$J14),PlotData!O13+ Einflusslinie!$E$2*$AF$46*O58,PlotData!$CB$4)</f>
        <v>0</v>
      </c>
      <c r="AS58" s="1145">
        <f>IF(ISNUMBER(Einflusslinie!$J14),PlotData!P13+Einflusslinie!$E$2* $AF$46*P58,PlotData!$CB$4)</f>
        <v>0</v>
      </c>
      <c r="AT58" s="1145">
        <f>IF(ISNUMBER(Einflusslinie!$J14),PlotData!Q13+Einflusslinie!$E$2* $AF$46*Q58,PlotData!$CB$4)</f>
        <v>0</v>
      </c>
      <c r="AU58" s="1145">
        <f>IF(ISNUMBER(Einflusslinie!$J14),PlotData!R13+ Einflusslinie!$E$2*$AF$46*R58,PlotData!$CB$4)</f>
        <v>0</v>
      </c>
      <c r="AV58" s="1145">
        <f>IF(ISNUMBER(Einflusslinie!$J14),PlotData!S13+ Einflusslinie!$E$2*$AF$46*S58,PlotData!$CB$4)</f>
        <v>0</v>
      </c>
      <c r="AW58" s="1145">
        <f>IF(ISNUMBER(Einflusslinie!$J14),PlotData!T13+ Einflusslinie!$E$2*$AF$46*T58,PlotData!$CB$4)</f>
        <v>0</v>
      </c>
      <c r="AX58" s="1145">
        <f>IF(ISNUMBER(Einflusslinie!$J14),PlotData!U13+ Einflusslinie!$E$2*$AF$46*U58,PlotData!$CB$4)</f>
        <v>0</v>
      </c>
      <c r="AY58" s="1145">
        <f>IF(ISNUMBER(Einflusslinie!$J14),PlotData!V13+ Einflusslinie!$E$2*$AF$46*V58,PlotData!$CB$4)</f>
        <v>0</v>
      </c>
      <c r="AZ58" s="1145">
        <f>IF(ISNUMBER(Einflusslinie!$J14),PlotData!W13+Einflusslinie!$E$2* $AF$46*W58,PlotData!$CB$4)</f>
        <v>0</v>
      </c>
      <c r="BA58" s="1145">
        <f>IF(ISNUMBER(Einflusslinie!$J14),PlotData!X13+ Einflusslinie!$E$2*$AF$46*X58,PlotData!$CB$4)</f>
        <v>0</v>
      </c>
      <c r="BB58" s="1155">
        <f>IF(ISNUMBER(Einflusslinie!$J14),PlotData!Y13+ Einflusslinie!$E$2*$AF$46*Y58,PlotData!$CB$4)</f>
        <v>0</v>
      </c>
      <c r="BC58" s="746">
        <f>IF(ISNUMBER(Einflusslinie!$J14),PlotData!Y13, PlotData!CB$4)</f>
        <v>0</v>
      </c>
      <c r="BD58" s="1144">
        <f>IF(ISNUMBER(Einflusslinie!$J14),PlotData!O13, PlotData!$CB$4)</f>
        <v>0</v>
      </c>
      <c r="BE58" s="747">
        <f>IF(ISNUMBER(Einflusslinie!$J14), AR58,PlotData!$CB$4)</f>
        <v>0</v>
      </c>
    </row>
    <row r="59" spans="1:61" x14ac:dyDescent="0.25">
      <c r="A59" s="1175">
        <v>11</v>
      </c>
      <c r="B59" s="1125"/>
      <c r="C59" s="721"/>
      <c r="D59" s="721"/>
      <c r="E59" s="721"/>
      <c r="F59" s="721"/>
      <c r="G59" s="721"/>
      <c r="H59" s="721"/>
      <c r="I59" s="721"/>
      <c r="J59" s="721"/>
      <c r="K59" s="721"/>
      <c r="L59" s="1176"/>
      <c r="N59" s="1175">
        <v>11</v>
      </c>
      <c r="O59" s="668"/>
      <c r="P59" s="721"/>
      <c r="Q59" s="721"/>
      <c r="R59" s="721"/>
      <c r="S59" s="721"/>
      <c r="T59" s="721"/>
      <c r="U59" s="721"/>
      <c r="V59" s="721"/>
      <c r="W59" s="721"/>
      <c r="X59" s="721"/>
      <c r="Y59" s="1176"/>
      <c r="AA59" s="1175">
        <v>11</v>
      </c>
      <c r="AB59" s="746">
        <f>IF(ISNUMBER(Einflusslinie!$J15),PlotData!B14+ Einflusslinie!$E$2*$AF$46*B59,PlotData!$CB$3)</f>
        <v>0</v>
      </c>
      <c r="AC59" s="1145">
        <f>IF(ISNUMBER(Einflusslinie!$J15),PlotData!C14+Einflusslinie!$E$2* $AF$46*C59,PlotData!$CB$3)</f>
        <v>0</v>
      </c>
      <c r="AD59" s="1145">
        <f>IF(ISNUMBER(Einflusslinie!$J15),PlotData!D14+ Einflusslinie!$E$2*$AF$46*D59,PlotData!$CB$3)</f>
        <v>0</v>
      </c>
      <c r="AE59" s="1145">
        <f>IF(ISNUMBER(Einflusslinie!$J15),PlotData!E14+Einflusslinie!$E$2* $AF$46*E59,PlotData!$CB$3)</f>
        <v>0</v>
      </c>
      <c r="AF59" s="1145">
        <f>IF(ISNUMBER(Einflusslinie!$J15),PlotData!F14+ Einflusslinie!$E$2*$AF$46*F59,PlotData!$CB$3)</f>
        <v>0</v>
      </c>
      <c r="AG59" s="1145">
        <f>IF(ISNUMBER(Einflusslinie!$J15),PlotData!G14+ Einflusslinie!$E$2*$AF$46*G59,PlotData!$CB$3)</f>
        <v>0</v>
      </c>
      <c r="AH59" s="1145">
        <f>IF(ISNUMBER(Einflusslinie!$J15),PlotData!H14+Einflusslinie!$E$2* $AF$46*H59,PlotData!$CB$3)</f>
        <v>0</v>
      </c>
      <c r="AI59" s="1145">
        <f>IF(ISNUMBER(Einflusslinie!$J15),PlotData!I14+ Einflusslinie!$E$2*$AF$46*I59,PlotData!$CB$3)</f>
        <v>0</v>
      </c>
      <c r="AJ59" s="1145">
        <f>IF(ISNUMBER(Einflusslinie!$J15),PlotData!J14+ Einflusslinie!$E$2*$AF$46*J59,PlotData!$CB$3)</f>
        <v>0</v>
      </c>
      <c r="AK59" s="1145">
        <f>IF(ISNUMBER(Einflusslinie!$J15),PlotData!K14+ Einflusslinie!$E$2*$AF$46*K59,PlotData!$CB$3)</f>
        <v>0</v>
      </c>
      <c r="AL59" s="1155">
        <f>IF(ISNUMBER(Einflusslinie!$J15),PlotData!L14+ Einflusslinie!$E$2*$AF$46*L59,PlotData!$CB$3)</f>
        <v>0</v>
      </c>
      <c r="AM59" s="746">
        <f>IF(ISNUMBER(Einflusslinie!$J15),PlotData!L14,PlotData!$CB$3)</f>
        <v>0</v>
      </c>
      <c r="AN59" s="1144">
        <f>IF(ISNUMBER(Einflusslinie!$J15),PlotData!B14,PlotData!$CB$3)</f>
        <v>0</v>
      </c>
      <c r="AO59" s="747">
        <f>IF(ISNUMBER(Einflusslinie!$J15),AB59,PlotData!$CB$3)</f>
        <v>0</v>
      </c>
      <c r="AQ59" s="1175">
        <v>11</v>
      </c>
      <c r="AR59" s="746">
        <f>IF(ISNUMBER(Einflusslinie!$J15),PlotData!O14+ Einflusslinie!$E$2*$AF$46*O59,PlotData!$CB$4)</f>
        <v>0</v>
      </c>
      <c r="AS59" s="1145">
        <f>IF(ISNUMBER(Einflusslinie!$J15),PlotData!P14+Einflusslinie!$E$2* $AF$46*P59,PlotData!$CB$4)</f>
        <v>0</v>
      </c>
      <c r="AT59" s="1145">
        <f>IF(ISNUMBER(Einflusslinie!$J15),PlotData!Q14+Einflusslinie!$E$2* $AF$46*Q59,PlotData!$CB$4)</f>
        <v>0</v>
      </c>
      <c r="AU59" s="1145">
        <f>IF(ISNUMBER(Einflusslinie!$J15),PlotData!R14+ Einflusslinie!$E$2*$AF$46*R59,PlotData!$CB$4)</f>
        <v>0</v>
      </c>
      <c r="AV59" s="1145">
        <f>IF(ISNUMBER(Einflusslinie!$J15),PlotData!S14+ Einflusslinie!$E$2*$AF$46*S59,PlotData!$CB$4)</f>
        <v>0</v>
      </c>
      <c r="AW59" s="1145">
        <f>IF(ISNUMBER(Einflusslinie!$J15),PlotData!T14+ Einflusslinie!$E$2*$AF$46*T59,PlotData!$CB$4)</f>
        <v>0</v>
      </c>
      <c r="AX59" s="1145">
        <f>IF(ISNUMBER(Einflusslinie!$J15),PlotData!U14+ Einflusslinie!$E$2*$AF$46*U59,PlotData!$CB$4)</f>
        <v>0</v>
      </c>
      <c r="AY59" s="1145">
        <f>IF(ISNUMBER(Einflusslinie!$J15),PlotData!V14+ Einflusslinie!$E$2*$AF$46*V59,PlotData!$CB$4)</f>
        <v>0</v>
      </c>
      <c r="AZ59" s="1145">
        <f>IF(ISNUMBER(Einflusslinie!$J15),PlotData!W14+Einflusslinie!$E$2* $AF$46*W59,PlotData!$CB$4)</f>
        <v>0</v>
      </c>
      <c r="BA59" s="1145">
        <f>IF(ISNUMBER(Einflusslinie!$J15),PlotData!X14+ Einflusslinie!$E$2*$AF$46*X59,PlotData!$CB$4)</f>
        <v>0</v>
      </c>
      <c r="BB59" s="1155">
        <f>IF(ISNUMBER(Einflusslinie!$J15),PlotData!Y14+ Einflusslinie!$E$2*$AF$46*Y59,PlotData!$CB$4)</f>
        <v>0</v>
      </c>
      <c r="BC59" s="746">
        <f>IF(ISNUMBER(Einflusslinie!$J15),PlotData!Y14, PlotData!CB$4)</f>
        <v>0</v>
      </c>
      <c r="BD59" s="1144">
        <f>IF(ISNUMBER(Einflusslinie!$J15),PlotData!O14, PlotData!$CB$4)</f>
        <v>0</v>
      </c>
      <c r="BE59" s="747">
        <f>IF(ISNUMBER(Einflusslinie!$J15), AR59,PlotData!$CB$4)</f>
        <v>0</v>
      </c>
    </row>
    <row r="60" spans="1:61" x14ac:dyDescent="0.25">
      <c r="A60" s="1175">
        <v>12</v>
      </c>
      <c r="B60" s="1125"/>
      <c r="C60" s="721"/>
      <c r="D60" s="721"/>
      <c r="E60" s="721"/>
      <c r="F60" s="721"/>
      <c r="G60" s="721"/>
      <c r="H60" s="721"/>
      <c r="I60" s="721"/>
      <c r="J60" s="721"/>
      <c r="K60" s="721"/>
      <c r="L60" s="1176"/>
      <c r="N60" s="1175">
        <v>12</v>
      </c>
      <c r="O60" s="668"/>
      <c r="P60" s="721"/>
      <c r="Q60" s="721"/>
      <c r="R60" s="721"/>
      <c r="S60" s="721"/>
      <c r="T60" s="721"/>
      <c r="U60" s="721"/>
      <c r="V60" s="721"/>
      <c r="W60" s="721"/>
      <c r="X60" s="721"/>
      <c r="Y60" s="1176"/>
      <c r="AA60" s="1175">
        <v>12</v>
      </c>
      <c r="AB60" s="746">
        <f>IF(ISNUMBER(Einflusslinie!$J16),PlotData!B15+ Einflusslinie!$E$2*$AF$46*B60,PlotData!$CB$3)</f>
        <v>0</v>
      </c>
      <c r="AC60" s="1145">
        <f>IF(ISNUMBER(Einflusslinie!$J16),PlotData!C15+Einflusslinie!$E$2* $AF$46*C60,PlotData!$CB$3)</f>
        <v>0</v>
      </c>
      <c r="AD60" s="1145">
        <f>IF(ISNUMBER(Einflusslinie!$J16),PlotData!D15+ Einflusslinie!$E$2*$AF$46*D60,PlotData!$CB$3)</f>
        <v>0</v>
      </c>
      <c r="AE60" s="1145">
        <f>IF(ISNUMBER(Einflusslinie!$J16),PlotData!E15+Einflusslinie!$E$2* $AF$46*E60,PlotData!$CB$3)</f>
        <v>0</v>
      </c>
      <c r="AF60" s="1145">
        <f>IF(ISNUMBER(Einflusslinie!$J16),PlotData!F15+ Einflusslinie!$E$2*$AF$46*F60,PlotData!$CB$3)</f>
        <v>0</v>
      </c>
      <c r="AG60" s="1145">
        <f>IF(ISNUMBER(Einflusslinie!$J16),PlotData!G15+ Einflusslinie!$E$2*$AF$46*G60,PlotData!$CB$3)</f>
        <v>0</v>
      </c>
      <c r="AH60" s="1145">
        <f>IF(ISNUMBER(Einflusslinie!$J16),PlotData!H15+Einflusslinie!$E$2* $AF$46*H60,PlotData!$CB$3)</f>
        <v>0</v>
      </c>
      <c r="AI60" s="1145">
        <f>IF(ISNUMBER(Einflusslinie!$J16),PlotData!I15+ Einflusslinie!$E$2*$AF$46*I60,PlotData!$CB$3)</f>
        <v>0</v>
      </c>
      <c r="AJ60" s="1145">
        <f>IF(ISNUMBER(Einflusslinie!$J16),PlotData!J15+ Einflusslinie!$E$2*$AF$46*J60,PlotData!$CB$3)</f>
        <v>0</v>
      </c>
      <c r="AK60" s="1145">
        <f>IF(ISNUMBER(Einflusslinie!$J16),PlotData!K15+ Einflusslinie!$E$2*$AF$46*K60,PlotData!$CB$3)</f>
        <v>0</v>
      </c>
      <c r="AL60" s="1155">
        <f>IF(ISNUMBER(Einflusslinie!$J16),PlotData!L15+ Einflusslinie!$E$2*$AF$46*L60,PlotData!$CB$3)</f>
        <v>0</v>
      </c>
      <c r="AM60" s="746">
        <f>IF(ISNUMBER(Einflusslinie!$J16),PlotData!L15,PlotData!$CB$3)</f>
        <v>0</v>
      </c>
      <c r="AN60" s="1144">
        <f>IF(ISNUMBER(Einflusslinie!$J16),PlotData!B15,PlotData!$CB$3)</f>
        <v>0</v>
      </c>
      <c r="AO60" s="747">
        <f>IF(ISNUMBER(Einflusslinie!$J16),AB60,PlotData!$CB$3)</f>
        <v>0</v>
      </c>
      <c r="AQ60" s="1175">
        <v>12</v>
      </c>
      <c r="AR60" s="746">
        <f>IF(ISNUMBER(Einflusslinie!$J16),PlotData!O15+ Einflusslinie!$E$2*$AF$46*O60,PlotData!$CB$4)</f>
        <v>0</v>
      </c>
      <c r="AS60" s="1145">
        <f>IF(ISNUMBER(Einflusslinie!$J16),PlotData!P15+Einflusslinie!$E$2* $AF$46*P60,PlotData!$CB$4)</f>
        <v>0</v>
      </c>
      <c r="AT60" s="1145">
        <f>IF(ISNUMBER(Einflusslinie!$J16),PlotData!Q15+Einflusslinie!$E$2* $AF$46*Q60,PlotData!$CB$4)</f>
        <v>0</v>
      </c>
      <c r="AU60" s="1145">
        <f>IF(ISNUMBER(Einflusslinie!$J16),PlotData!R15+ Einflusslinie!$E$2*$AF$46*R60,PlotData!$CB$4)</f>
        <v>0</v>
      </c>
      <c r="AV60" s="1145">
        <f>IF(ISNUMBER(Einflusslinie!$J16),PlotData!S15+ Einflusslinie!$E$2*$AF$46*S60,PlotData!$CB$4)</f>
        <v>0</v>
      </c>
      <c r="AW60" s="1145">
        <f>IF(ISNUMBER(Einflusslinie!$J16),PlotData!T15+ Einflusslinie!$E$2*$AF$46*T60,PlotData!$CB$4)</f>
        <v>0</v>
      </c>
      <c r="AX60" s="1145">
        <f>IF(ISNUMBER(Einflusslinie!$J16),PlotData!U15+ Einflusslinie!$E$2*$AF$46*U60,PlotData!$CB$4)</f>
        <v>0</v>
      </c>
      <c r="AY60" s="1145">
        <f>IF(ISNUMBER(Einflusslinie!$J16),PlotData!V15+ Einflusslinie!$E$2*$AF$46*V60,PlotData!$CB$4)</f>
        <v>0</v>
      </c>
      <c r="AZ60" s="1145">
        <f>IF(ISNUMBER(Einflusslinie!$J16),PlotData!W15+Einflusslinie!$E$2* $AF$46*W60,PlotData!$CB$4)</f>
        <v>0</v>
      </c>
      <c r="BA60" s="1145">
        <f>IF(ISNUMBER(Einflusslinie!$J16),PlotData!X15+ Einflusslinie!$E$2*$AF$46*X60,PlotData!$CB$4)</f>
        <v>0</v>
      </c>
      <c r="BB60" s="1155">
        <f>IF(ISNUMBER(Einflusslinie!$J16),PlotData!Y15+ Einflusslinie!$E$2*$AF$46*Y60,PlotData!$CB$4)</f>
        <v>0</v>
      </c>
      <c r="BC60" s="746">
        <f>IF(ISNUMBER(Einflusslinie!$J16),PlotData!Y15, PlotData!CB$4)</f>
        <v>0</v>
      </c>
      <c r="BD60" s="1144">
        <f>IF(ISNUMBER(Einflusslinie!$J16),PlotData!O15, PlotData!$CB$4)</f>
        <v>0</v>
      </c>
      <c r="BE60" s="747">
        <f>IF(ISNUMBER(Einflusslinie!$J16), AR60,PlotData!$CB$4)</f>
        <v>0</v>
      </c>
    </row>
    <row r="61" spans="1:61" x14ac:dyDescent="0.25">
      <c r="A61" s="1175">
        <v>13</v>
      </c>
      <c r="B61" s="1125"/>
      <c r="C61" s="721"/>
      <c r="D61" s="721"/>
      <c r="E61" s="721"/>
      <c r="F61" s="721"/>
      <c r="G61" s="721"/>
      <c r="H61" s="721"/>
      <c r="I61" s="721"/>
      <c r="J61" s="721"/>
      <c r="K61" s="721"/>
      <c r="L61" s="1176"/>
      <c r="N61" s="1175">
        <v>13</v>
      </c>
      <c r="O61" s="668"/>
      <c r="P61" s="721"/>
      <c r="Q61" s="721"/>
      <c r="R61" s="721"/>
      <c r="S61" s="721"/>
      <c r="T61" s="721"/>
      <c r="U61" s="721"/>
      <c r="V61" s="721"/>
      <c r="W61" s="721"/>
      <c r="X61" s="721"/>
      <c r="Y61" s="1176"/>
      <c r="AA61" s="1175">
        <v>13</v>
      </c>
      <c r="AB61" s="746">
        <f>IF(ISNUMBER(Einflusslinie!$J17),PlotData!B16+ Einflusslinie!$E$2*$AF$46*B61,PlotData!$CB$3)</f>
        <v>0</v>
      </c>
      <c r="AC61" s="1145">
        <f>IF(ISNUMBER(Einflusslinie!$J17),PlotData!C16+Einflusslinie!$E$2* $AF$46*C61,PlotData!$CB$3)</f>
        <v>0</v>
      </c>
      <c r="AD61" s="1145">
        <f>IF(ISNUMBER(Einflusslinie!$J17),PlotData!D16+ Einflusslinie!$E$2*$AF$46*D61,PlotData!$CB$3)</f>
        <v>0</v>
      </c>
      <c r="AE61" s="1145">
        <f>IF(ISNUMBER(Einflusslinie!$J17),PlotData!E16+Einflusslinie!$E$2* $AF$46*E61,PlotData!$CB$3)</f>
        <v>0</v>
      </c>
      <c r="AF61" s="1145">
        <f>IF(ISNUMBER(Einflusslinie!$J17),PlotData!F16+ Einflusslinie!$E$2*$AF$46*F61,PlotData!$CB$3)</f>
        <v>0</v>
      </c>
      <c r="AG61" s="1145">
        <f>IF(ISNUMBER(Einflusslinie!$J17),PlotData!G16+ Einflusslinie!$E$2*$AF$46*G61,PlotData!$CB$3)</f>
        <v>0</v>
      </c>
      <c r="AH61" s="1145">
        <f>IF(ISNUMBER(Einflusslinie!$J17),PlotData!H16+Einflusslinie!$E$2* $AF$46*H61,PlotData!$CB$3)</f>
        <v>0</v>
      </c>
      <c r="AI61" s="1145">
        <f>IF(ISNUMBER(Einflusslinie!$J17),PlotData!I16+ Einflusslinie!$E$2*$AF$46*I61,PlotData!$CB$3)</f>
        <v>0</v>
      </c>
      <c r="AJ61" s="1145">
        <f>IF(ISNUMBER(Einflusslinie!$J17),PlotData!J16+ Einflusslinie!$E$2*$AF$46*J61,PlotData!$CB$3)</f>
        <v>0</v>
      </c>
      <c r="AK61" s="1145">
        <f>IF(ISNUMBER(Einflusslinie!$J17),PlotData!K16+ Einflusslinie!$E$2*$AF$46*K61,PlotData!$CB$3)</f>
        <v>0</v>
      </c>
      <c r="AL61" s="1155">
        <f>IF(ISNUMBER(Einflusslinie!$J17),PlotData!L16+ Einflusslinie!$E$2*$AF$46*L61,PlotData!$CB$3)</f>
        <v>0</v>
      </c>
      <c r="AM61" s="746">
        <f>IF(ISNUMBER(Einflusslinie!$J17),PlotData!L16,PlotData!$CB$3)</f>
        <v>0</v>
      </c>
      <c r="AN61" s="1144">
        <f>IF(ISNUMBER(Einflusslinie!$J17),PlotData!B16,PlotData!$CB$3)</f>
        <v>0</v>
      </c>
      <c r="AO61" s="747">
        <f>IF(ISNUMBER(Einflusslinie!$J17),AB61,PlotData!$CB$3)</f>
        <v>0</v>
      </c>
      <c r="AQ61" s="1175">
        <v>13</v>
      </c>
      <c r="AR61" s="746">
        <f>IF(ISNUMBER(Einflusslinie!$J17),PlotData!O16+ Einflusslinie!$E$2*$AF$46*O61,PlotData!$CB$4)</f>
        <v>0</v>
      </c>
      <c r="AS61" s="1145">
        <f>IF(ISNUMBER(Einflusslinie!$J17),PlotData!P16+Einflusslinie!$E$2* $AF$46*P61,PlotData!$CB$4)</f>
        <v>0</v>
      </c>
      <c r="AT61" s="1145">
        <f>IF(ISNUMBER(Einflusslinie!$J17),PlotData!Q16+Einflusslinie!$E$2* $AF$46*Q61,PlotData!$CB$4)</f>
        <v>0</v>
      </c>
      <c r="AU61" s="1145">
        <f>IF(ISNUMBER(Einflusslinie!$J17),PlotData!R16+ Einflusslinie!$E$2*$AF$46*R61,PlotData!$CB$4)</f>
        <v>0</v>
      </c>
      <c r="AV61" s="1145">
        <f>IF(ISNUMBER(Einflusslinie!$J17),PlotData!S16+ Einflusslinie!$E$2*$AF$46*S61,PlotData!$CB$4)</f>
        <v>0</v>
      </c>
      <c r="AW61" s="1145">
        <f>IF(ISNUMBER(Einflusslinie!$J17),PlotData!T16+ Einflusslinie!$E$2*$AF$46*T61,PlotData!$CB$4)</f>
        <v>0</v>
      </c>
      <c r="AX61" s="1145">
        <f>IF(ISNUMBER(Einflusslinie!$J17),PlotData!U16+ Einflusslinie!$E$2*$AF$46*U61,PlotData!$CB$4)</f>
        <v>0</v>
      </c>
      <c r="AY61" s="1145">
        <f>IF(ISNUMBER(Einflusslinie!$J17),PlotData!V16+ Einflusslinie!$E$2*$AF$46*V61,PlotData!$CB$4)</f>
        <v>0</v>
      </c>
      <c r="AZ61" s="1145">
        <f>IF(ISNUMBER(Einflusslinie!$J17),PlotData!W16+Einflusslinie!$E$2* $AF$46*W61,PlotData!$CB$4)</f>
        <v>0</v>
      </c>
      <c r="BA61" s="1145">
        <f>IF(ISNUMBER(Einflusslinie!$J17),PlotData!X16+ Einflusslinie!$E$2*$AF$46*X61,PlotData!$CB$4)</f>
        <v>0</v>
      </c>
      <c r="BB61" s="1155">
        <f>IF(ISNUMBER(Einflusslinie!$J17),PlotData!Y16+ Einflusslinie!$E$2*$AF$46*Y61,PlotData!$CB$4)</f>
        <v>0</v>
      </c>
      <c r="BC61" s="746">
        <f>IF(ISNUMBER(Einflusslinie!$J17),PlotData!Y16, PlotData!CB$4)</f>
        <v>0</v>
      </c>
      <c r="BD61" s="1144">
        <f>IF(ISNUMBER(Einflusslinie!$J17),PlotData!O16, PlotData!$CB$4)</f>
        <v>0</v>
      </c>
      <c r="BE61" s="747">
        <f>IF(ISNUMBER(Einflusslinie!$J17), AR61,PlotData!$CB$4)</f>
        <v>0</v>
      </c>
    </row>
    <row r="62" spans="1:61" x14ac:dyDescent="0.25">
      <c r="A62" s="1175">
        <v>14</v>
      </c>
      <c r="B62" s="1125"/>
      <c r="C62" s="721"/>
      <c r="D62" s="721"/>
      <c r="E62" s="721"/>
      <c r="F62" s="721"/>
      <c r="G62" s="721"/>
      <c r="H62" s="721"/>
      <c r="I62" s="721"/>
      <c r="J62" s="721"/>
      <c r="K62" s="721"/>
      <c r="L62" s="1176"/>
      <c r="N62" s="1175">
        <v>14</v>
      </c>
      <c r="O62" s="668"/>
      <c r="P62" s="721"/>
      <c r="Q62" s="721"/>
      <c r="R62" s="721"/>
      <c r="S62" s="721"/>
      <c r="T62" s="721"/>
      <c r="U62" s="721"/>
      <c r="V62" s="721"/>
      <c r="W62" s="721"/>
      <c r="X62" s="721"/>
      <c r="Y62" s="1176"/>
      <c r="AA62" s="1175">
        <v>14</v>
      </c>
      <c r="AB62" s="746">
        <f>IF(ISNUMBER(Einflusslinie!$J18),PlotData!B17+ Einflusslinie!$E$2*$AF$46*B62,PlotData!$CB$3)</f>
        <v>0</v>
      </c>
      <c r="AC62" s="1145">
        <f>IF(ISNUMBER(Einflusslinie!$J18),PlotData!C17+Einflusslinie!$E$2* $AF$46*C62,PlotData!$CB$3)</f>
        <v>0</v>
      </c>
      <c r="AD62" s="1145">
        <f>IF(ISNUMBER(Einflusslinie!$J18),PlotData!D17+ Einflusslinie!$E$2*$AF$46*D62,PlotData!$CB$3)</f>
        <v>0</v>
      </c>
      <c r="AE62" s="1145">
        <f>IF(ISNUMBER(Einflusslinie!$J18),PlotData!E17+Einflusslinie!$E$2* $AF$46*E62,PlotData!$CB$3)</f>
        <v>0</v>
      </c>
      <c r="AF62" s="1145">
        <f>IF(ISNUMBER(Einflusslinie!$J18),PlotData!F17+ Einflusslinie!$E$2*$AF$46*F62,PlotData!$CB$3)</f>
        <v>0</v>
      </c>
      <c r="AG62" s="1145">
        <f>IF(ISNUMBER(Einflusslinie!$J18),PlotData!G17+ Einflusslinie!$E$2*$AF$46*G62,PlotData!$CB$3)</f>
        <v>0</v>
      </c>
      <c r="AH62" s="1145">
        <f>IF(ISNUMBER(Einflusslinie!$J18),PlotData!H17+Einflusslinie!$E$2* $AF$46*H62,PlotData!$CB$3)</f>
        <v>0</v>
      </c>
      <c r="AI62" s="1145">
        <f>IF(ISNUMBER(Einflusslinie!$J18),PlotData!I17+ Einflusslinie!$E$2*$AF$46*I62,PlotData!$CB$3)</f>
        <v>0</v>
      </c>
      <c r="AJ62" s="1145">
        <f>IF(ISNUMBER(Einflusslinie!$J18),PlotData!J17+ Einflusslinie!$E$2*$AF$46*J62,PlotData!$CB$3)</f>
        <v>0</v>
      </c>
      <c r="AK62" s="1145">
        <f>IF(ISNUMBER(Einflusslinie!$J18),PlotData!K17+ Einflusslinie!$E$2*$AF$46*K62,PlotData!$CB$3)</f>
        <v>0</v>
      </c>
      <c r="AL62" s="1155">
        <f>IF(ISNUMBER(Einflusslinie!$J18),PlotData!L17+ Einflusslinie!$E$2*$AF$46*L62,PlotData!$CB$3)</f>
        <v>0</v>
      </c>
      <c r="AM62" s="746">
        <f>IF(ISNUMBER(Einflusslinie!$J18),PlotData!L17,PlotData!$CB$3)</f>
        <v>0</v>
      </c>
      <c r="AN62" s="1144">
        <f>IF(ISNUMBER(Einflusslinie!$J18),PlotData!B17,PlotData!$CB$3)</f>
        <v>0</v>
      </c>
      <c r="AO62" s="747">
        <f>IF(ISNUMBER(Einflusslinie!$J18),AB62,PlotData!$CB$3)</f>
        <v>0</v>
      </c>
      <c r="AQ62" s="1175">
        <v>14</v>
      </c>
      <c r="AR62" s="746">
        <f>IF(ISNUMBER(Einflusslinie!$J18),PlotData!O17+ Einflusslinie!$E$2*$AF$46*O62,PlotData!$CB$4)</f>
        <v>0</v>
      </c>
      <c r="AS62" s="1145">
        <f>IF(ISNUMBER(Einflusslinie!$J18),PlotData!P17+Einflusslinie!$E$2* $AF$46*P62,PlotData!$CB$4)</f>
        <v>0</v>
      </c>
      <c r="AT62" s="1145">
        <f>IF(ISNUMBER(Einflusslinie!$J18),PlotData!Q17+Einflusslinie!$E$2* $AF$46*Q62,PlotData!$CB$4)</f>
        <v>0</v>
      </c>
      <c r="AU62" s="1145">
        <f>IF(ISNUMBER(Einflusslinie!$J18),PlotData!R17+ Einflusslinie!$E$2*$AF$46*R62,PlotData!$CB$4)</f>
        <v>0</v>
      </c>
      <c r="AV62" s="1145">
        <f>IF(ISNUMBER(Einflusslinie!$J18),PlotData!S17+ Einflusslinie!$E$2*$AF$46*S62,PlotData!$CB$4)</f>
        <v>0</v>
      </c>
      <c r="AW62" s="1145">
        <f>IF(ISNUMBER(Einflusslinie!$J18),PlotData!T17+ Einflusslinie!$E$2*$AF$46*T62,PlotData!$CB$4)</f>
        <v>0</v>
      </c>
      <c r="AX62" s="1145">
        <f>IF(ISNUMBER(Einflusslinie!$J18),PlotData!U17+ Einflusslinie!$E$2*$AF$46*U62,PlotData!$CB$4)</f>
        <v>0</v>
      </c>
      <c r="AY62" s="1145">
        <f>IF(ISNUMBER(Einflusslinie!$J18),PlotData!V17+ Einflusslinie!$E$2*$AF$46*V62,PlotData!$CB$4)</f>
        <v>0</v>
      </c>
      <c r="AZ62" s="1145">
        <f>IF(ISNUMBER(Einflusslinie!$J18),PlotData!W17+Einflusslinie!$E$2* $AF$46*W62,PlotData!$CB$4)</f>
        <v>0</v>
      </c>
      <c r="BA62" s="1145">
        <f>IF(ISNUMBER(Einflusslinie!$J18),PlotData!X17+ Einflusslinie!$E$2*$AF$46*X62,PlotData!$CB$4)</f>
        <v>0</v>
      </c>
      <c r="BB62" s="1155">
        <f>IF(ISNUMBER(Einflusslinie!$J18),PlotData!Y17+ Einflusslinie!$E$2*$AF$46*Y62,PlotData!$CB$4)</f>
        <v>0</v>
      </c>
      <c r="BC62" s="746">
        <f>IF(ISNUMBER(Einflusslinie!$J18),PlotData!Y17, PlotData!CB$4)</f>
        <v>0</v>
      </c>
      <c r="BD62" s="1144">
        <f>IF(ISNUMBER(Einflusslinie!$J18),PlotData!O17, PlotData!$CB$4)</f>
        <v>0</v>
      </c>
      <c r="BE62" s="747">
        <f>IF(ISNUMBER(Einflusslinie!$J18), AR62,PlotData!$CB$4)</f>
        <v>0</v>
      </c>
    </row>
    <row r="63" spans="1:61" x14ac:dyDescent="0.25">
      <c r="A63" s="1175">
        <v>15</v>
      </c>
      <c r="B63" s="1125"/>
      <c r="C63" s="721"/>
      <c r="D63" s="721"/>
      <c r="E63" s="721"/>
      <c r="F63" s="721"/>
      <c r="G63" s="721"/>
      <c r="H63" s="721"/>
      <c r="I63" s="721"/>
      <c r="J63" s="721"/>
      <c r="K63" s="721"/>
      <c r="L63" s="1176"/>
      <c r="N63" s="1175">
        <v>15</v>
      </c>
      <c r="O63" s="668"/>
      <c r="P63" s="721"/>
      <c r="Q63" s="721"/>
      <c r="R63" s="721"/>
      <c r="S63" s="721"/>
      <c r="T63" s="721"/>
      <c r="U63" s="721"/>
      <c r="V63" s="721"/>
      <c r="W63" s="721"/>
      <c r="X63" s="721"/>
      <c r="Y63" s="1176"/>
      <c r="AA63" s="1175">
        <v>15</v>
      </c>
      <c r="AB63" s="746">
        <f>IF(ISNUMBER(Einflusslinie!$J19),PlotData!B18+ Einflusslinie!$E$2*$AF$46*B63,PlotData!$CB$3)</f>
        <v>0</v>
      </c>
      <c r="AC63" s="1145">
        <f>IF(ISNUMBER(Einflusslinie!$J19),PlotData!C18+Einflusslinie!$E$2* $AF$46*C63,PlotData!$CB$3)</f>
        <v>0</v>
      </c>
      <c r="AD63" s="1145">
        <f>IF(ISNUMBER(Einflusslinie!$J19),PlotData!D18+ Einflusslinie!$E$2*$AF$46*D63,PlotData!$CB$3)</f>
        <v>0</v>
      </c>
      <c r="AE63" s="1145">
        <f>IF(ISNUMBER(Einflusslinie!$J19),PlotData!E18+Einflusslinie!$E$2* $AF$46*E63,PlotData!$CB$3)</f>
        <v>0</v>
      </c>
      <c r="AF63" s="1145">
        <f>IF(ISNUMBER(Einflusslinie!$J19),PlotData!F18+ Einflusslinie!$E$2*$AF$46*F63,PlotData!$CB$3)</f>
        <v>0</v>
      </c>
      <c r="AG63" s="1145">
        <f>IF(ISNUMBER(Einflusslinie!$J19),PlotData!G18+ Einflusslinie!$E$2*$AF$46*G63,PlotData!$CB$3)</f>
        <v>0</v>
      </c>
      <c r="AH63" s="1145">
        <f>IF(ISNUMBER(Einflusslinie!$J19),PlotData!H18+Einflusslinie!$E$2* $AF$46*H63,PlotData!$CB$3)</f>
        <v>0</v>
      </c>
      <c r="AI63" s="1145">
        <f>IF(ISNUMBER(Einflusslinie!$J19),PlotData!I18+ Einflusslinie!$E$2*$AF$46*I63,PlotData!$CB$3)</f>
        <v>0</v>
      </c>
      <c r="AJ63" s="1145">
        <f>IF(ISNUMBER(Einflusslinie!$J19),PlotData!J18+ Einflusslinie!$E$2*$AF$46*J63,PlotData!$CB$3)</f>
        <v>0</v>
      </c>
      <c r="AK63" s="1145">
        <f>IF(ISNUMBER(Einflusslinie!$J19),PlotData!K18+ Einflusslinie!$E$2*$AF$46*K63,PlotData!$CB$3)</f>
        <v>0</v>
      </c>
      <c r="AL63" s="1155">
        <f>IF(ISNUMBER(Einflusslinie!$J19),PlotData!L18+ Einflusslinie!$E$2*$AF$46*L63,PlotData!$CB$3)</f>
        <v>0</v>
      </c>
      <c r="AM63" s="746">
        <f>IF(ISNUMBER(Einflusslinie!$J19),PlotData!L18,PlotData!$CB$3)</f>
        <v>0</v>
      </c>
      <c r="AN63" s="1144">
        <f>IF(ISNUMBER(Einflusslinie!$J19),PlotData!B18,PlotData!$CB$3)</f>
        <v>0</v>
      </c>
      <c r="AO63" s="747">
        <f>IF(ISNUMBER(Einflusslinie!$J19),AB63,PlotData!$CB$3)</f>
        <v>0</v>
      </c>
      <c r="AQ63" s="1175">
        <v>15</v>
      </c>
      <c r="AR63" s="746">
        <f>IF(ISNUMBER(Einflusslinie!$J19),PlotData!O18+ Einflusslinie!$E$2*$AF$46*O63,PlotData!$CB$4)</f>
        <v>0</v>
      </c>
      <c r="AS63" s="1145">
        <f>IF(ISNUMBER(Einflusslinie!$J19),PlotData!P18+Einflusslinie!$E$2* $AF$46*P63,PlotData!$CB$4)</f>
        <v>0</v>
      </c>
      <c r="AT63" s="1145">
        <f>IF(ISNUMBER(Einflusslinie!$J19),PlotData!Q18+Einflusslinie!$E$2* $AF$46*Q63,PlotData!$CB$4)</f>
        <v>0</v>
      </c>
      <c r="AU63" s="1145">
        <f>IF(ISNUMBER(Einflusslinie!$J19),PlotData!R18+ Einflusslinie!$E$2*$AF$46*R63,PlotData!$CB$4)</f>
        <v>0</v>
      </c>
      <c r="AV63" s="1145">
        <f>IF(ISNUMBER(Einflusslinie!$J19),PlotData!S18+ Einflusslinie!$E$2*$AF$46*S63,PlotData!$CB$4)</f>
        <v>0</v>
      </c>
      <c r="AW63" s="1145">
        <f>IF(ISNUMBER(Einflusslinie!$J19),PlotData!T18+ Einflusslinie!$E$2*$AF$46*T63,PlotData!$CB$4)</f>
        <v>0</v>
      </c>
      <c r="AX63" s="1145">
        <f>IF(ISNUMBER(Einflusslinie!$J19),PlotData!U18+ Einflusslinie!$E$2*$AF$46*U63,PlotData!$CB$4)</f>
        <v>0</v>
      </c>
      <c r="AY63" s="1145">
        <f>IF(ISNUMBER(Einflusslinie!$J19),PlotData!V18+ Einflusslinie!$E$2*$AF$46*V63,PlotData!$CB$4)</f>
        <v>0</v>
      </c>
      <c r="AZ63" s="1145">
        <f>IF(ISNUMBER(Einflusslinie!$J19),PlotData!W18+Einflusslinie!$E$2* $AF$46*W63,PlotData!$CB$4)</f>
        <v>0</v>
      </c>
      <c r="BA63" s="1145">
        <f>IF(ISNUMBER(Einflusslinie!$J19),PlotData!X18+ Einflusslinie!$E$2*$AF$46*X63,PlotData!$CB$4)</f>
        <v>0</v>
      </c>
      <c r="BB63" s="1155">
        <f>IF(ISNUMBER(Einflusslinie!$J19),PlotData!Y18+ Einflusslinie!$E$2*$AF$46*Y63,PlotData!$CB$4)</f>
        <v>0</v>
      </c>
      <c r="BC63" s="746">
        <f>IF(ISNUMBER(Einflusslinie!$J19),PlotData!Y18, PlotData!CB$4)</f>
        <v>0</v>
      </c>
      <c r="BD63" s="1144">
        <f>IF(ISNUMBER(Einflusslinie!$J19),PlotData!O18, PlotData!$CB$4)</f>
        <v>0</v>
      </c>
      <c r="BE63" s="747">
        <f>IF(ISNUMBER(Einflusslinie!$J19), AR63,PlotData!$CB$4)</f>
        <v>0</v>
      </c>
    </row>
    <row r="64" spans="1:61" x14ac:dyDescent="0.25">
      <c r="A64" s="1175">
        <v>16</v>
      </c>
      <c r="B64" s="668"/>
      <c r="C64" s="1144"/>
      <c r="D64" s="1144"/>
      <c r="E64" s="1144"/>
      <c r="F64" s="1144"/>
      <c r="G64" s="1144"/>
      <c r="H64" s="1144"/>
      <c r="I64" s="1144"/>
      <c r="J64" s="1144"/>
      <c r="K64" s="1144"/>
      <c r="L64" s="639"/>
      <c r="N64" s="1175">
        <v>16</v>
      </c>
      <c r="O64" s="668"/>
      <c r="P64" s="721"/>
      <c r="Q64" s="721"/>
      <c r="R64" s="721"/>
      <c r="S64" s="721"/>
      <c r="T64" s="721"/>
      <c r="U64" s="721"/>
      <c r="V64" s="721"/>
      <c r="W64" s="721"/>
      <c r="X64" s="721"/>
      <c r="Y64" s="1176"/>
      <c r="AA64" s="1175">
        <v>16</v>
      </c>
      <c r="AB64" s="746">
        <f>IF(ISNUMBER(Einflusslinie!$J20),PlotData!B19+ Einflusslinie!$E$2*$AF$46*B64,PlotData!$CB$3)</f>
        <v>0</v>
      </c>
      <c r="AC64" s="1145">
        <f>IF(ISNUMBER(Einflusslinie!$J20),PlotData!C19+Einflusslinie!$E$2* $AF$46*C64,PlotData!$CB$3)</f>
        <v>0</v>
      </c>
      <c r="AD64" s="1145">
        <f>IF(ISNUMBER(Einflusslinie!$J20),PlotData!D19+ Einflusslinie!$E$2*$AF$46*D64,PlotData!$CB$3)</f>
        <v>0</v>
      </c>
      <c r="AE64" s="1145">
        <f>IF(ISNUMBER(Einflusslinie!$J20),PlotData!E19+Einflusslinie!$E$2* $AF$46*E64,PlotData!$CB$3)</f>
        <v>0</v>
      </c>
      <c r="AF64" s="1145">
        <f>IF(ISNUMBER(Einflusslinie!$J20),PlotData!F19+ Einflusslinie!$E$2*$AF$46*F64,PlotData!$CB$3)</f>
        <v>0</v>
      </c>
      <c r="AG64" s="1145">
        <f>IF(ISNUMBER(Einflusslinie!$J20),PlotData!G19+ Einflusslinie!$E$2*$AF$46*G64,PlotData!$CB$3)</f>
        <v>0</v>
      </c>
      <c r="AH64" s="1145">
        <f>IF(ISNUMBER(Einflusslinie!$J20),PlotData!H19+Einflusslinie!$E$2* $AF$46*H64,PlotData!$CB$3)</f>
        <v>0</v>
      </c>
      <c r="AI64" s="1145">
        <f>IF(ISNUMBER(Einflusslinie!$J20),PlotData!I19+ Einflusslinie!$E$2*$AF$46*I64,PlotData!$CB$3)</f>
        <v>0</v>
      </c>
      <c r="AJ64" s="1145">
        <f>IF(ISNUMBER(Einflusslinie!$J20),PlotData!J19+ Einflusslinie!$E$2*$AF$46*J64,PlotData!$CB$3)</f>
        <v>0</v>
      </c>
      <c r="AK64" s="1145">
        <f>IF(ISNUMBER(Einflusslinie!$J20),PlotData!K19+ Einflusslinie!$E$2*$AF$46*K64,PlotData!$CB$3)</f>
        <v>0</v>
      </c>
      <c r="AL64" s="1155">
        <f>IF(ISNUMBER(Einflusslinie!$J20),PlotData!L19+ Einflusslinie!$E$2*$AF$46*L64,PlotData!$CB$3)</f>
        <v>0</v>
      </c>
      <c r="AM64" s="746">
        <f>IF(ISNUMBER(Einflusslinie!$J20),PlotData!L19,PlotData!$CB$3)</f>
        <v>0</v>
      </c>
      <c r="AN64" s="1144">
        <f>IF(ISNUMBER(Einflusslinie!$J20),PlotData!B19,PlotData!$CB$3)</f>
        <v>0</v>
      </c>
      <c r="AO64" s="747">
        <f>IF(ISNUMBER(Einflusslinie!$J20),AB64,PlotData!$CB$3)</f>
        <v>0</v>
      </c>
      <c r="AQ64" s="1175">
        <v>16</v>
      </c>
      <c r="AR64" s="746">
        <f>IF(ISNUMBER(Einflusslinie!$J20),PlotData!O19+ Einflusslinie!$E$2*$AF$46*O64,PlotData!$CB$4)</f>
        <v>0</v>
      </c>
      <c r="AS64" s="1145">
        <f>IF(ISNUMBER(Einflusslinie!$J20),PlotData!P19+Einflusslinie!$E$2* $AF$46*P64,PlotData!$CB$4)</f>
        <v>0</v>
      </c>
      <c r="AT64" s="1145">
        <f>IF(ISNUMBER(Einflusslinie!$J20),PlotData!Q19+Einflusslinie!$E$2* $AF$46*Q64,PlotData!$CB$4)</f>
        <v>0</v>
      </c>
      <c r="AU64" s="1145">
        <f>IF(ISNUMBER(Einflusslinie!$J20),PlotData!R19+ Einflusslinie!$E$2*$AF$46*R64,PlotData!$CB$4)</f>
        <v>0</v>
      </c>
      <c r="AV64" s="1145">
        <f>IF(ISNUMBER(Einflusslinie!$J20),PlotData!S19+ Einflusslinie!$E$2*$AF$46*S64,PlotData!$CB$4)</f>
        <v>0</v>
      </c>
      <c r="AW64" s="1145">
        <f>IF(ISNUMBER(Einflusslinie!$J20),PlotData!T19+ Einflusslinie!$E$2*$AF$46*T64,PlotData!$CB$4)</f>
        <v>0</v>
      </c>
      <c r="AX64" s="1145">
        <f>IF(ISNUMBER(Einflusslinie!$J20),PlotData!U19+ Einflusslinie!$E$2*$AF$46*U64,PlotData!$CB$4)</f>
        <v>0</v>
      </c>
      <c r="AY64" s="1145">
        <f>IF(ISNUMBER(Einflusslinie!$J20),PlotData!V19+ Einflusslinie!$E$2*$AF$46*V64,PlotData!$CB$4)</f>
        <v>0</v>
      </c>
      <c r="AZ64" s="1145">
        <f>IF(ISNUMBER(Einflusslinie!$J20),PlotData!W19+Einflusslinie!$E$2* $AF$46*W64,PlotData!$CB$4)</f>
        <v>0</v>
      </c>
      <c r="BA64" s="1145">
        <f>IF(ISNUMBER(Einflusslinie!$J20),PlotData!X19+ Einflusslinie!$E$2*$AF$46*X64,PlotData!$CB$4)</f>
        <v>0</v>
      </c>
      <c r="BB64" s="1155">
        <f>IF(ISNUMBER(Einflusslinie!$J20),PlotData!Y19+ Einflusslinie!$E$2*$AF$46*Y64,PlotData!$CB$4)</f>
        <v>0</v>
      </c>
      <c r="BC64" s="746">
        <f>IF(ISNUMBER(Einflusslinie!$J20),PlotData!Y19, PlotData!CB$4)</f>
        <v>0</v>
      </c>
      <c r="BD64" s="1144">
        <f>IF(ISNUMBER(Einflusslinie!$J20),PlotData!O19, PlotData!$CB$4)</f>
        <v>0</v>
      </c>
      <c r="BE64" s="747">
        <f>IF(ISNUMBER(Einflusslinie!$J20), AR64,PlotData!$CB$4)</f>
        <v>0</v>
      </c>
    </row>
    <row r="65" spans="1:57" x14ac:dyDescent="0.25">
      <c r="A65" s="1175">
        <v>17</v>
      </c>
      <c r="B65" s="668"/>
      <c r="C65" s="721"/>
      <c r="D65" s="721"/>
      <c r="E65" s="721"/>
      <c r="F65" s="721"/>
      <c r="G65" s="721"/>
      <c r="H65" s="721"/>
      <c r="I65" s="721"/>
      <c r="J65" s="721"/>
      <c r="K65" s="721"/>
      <c r="L65" s="639"/>
      <c r="N65" s="1175">
        <v>17</v>
      </c>
      <c r="O65" s="668"/>
      <c r="P65" s="721"/>
      <c r="Q65" s="721"/>
      <c r="R65" s="721"/>
      <c r="S65" s="721"/>
      <c r="T65" s="721"/>
      <c r="U65" s="721"/>
      <c r="V65" s="721"/>
      <c r="W65" s="721"/>
      <c r="X65" s="721"/>
      <c r="Y65" s="1176"/>
      <c r="AA65" s="1175">
        <v>17</v>
      </c>
      <c r="AB65" s="746">
        <f>IF(ISNUMBER(Einflusslinie!$J21),PlotData!B20+ Einflusslinie!$E$2*$AF$46*B65,PlotData!$CB$3)</f>
        <v>0</v>
      </c>
      <c r="AC65" s="1145">
        <f>IF(ISNUMBER(Einflusslinie!$J21),PlotData!C20+Einflusslinie!$E$2* $AF$46*C65,PlotData!$CB$3)</f>
        <v>0</v>
      </c>
      <c r="AD65" s="1145">
        <f>IF(ISNUMBER(Einflusslinie!$J21),PlotData!D20+ Einflusslinie!$E$2*$AF$46*D65,PlotData!$CB$3)</f>
        <v>0</v>
      </c>
      <c r="AE65" s="1145">
        <f>IF(ISNUMBER(Einflusslinie!$J21),PlotData!E20+Einflusslinie!$E$2* $AF$46*E65,PlotData!$CB$3)</f>
        <v>0</v>
      </c>
      <c r="AF65" s="1145">
        <f>IF(ISNUMBER(Einflusslinie!$J21),PlotData!F20+ Einflusslinie!$E$2*$AF$46*F65,PlotData!$CB$3)</f>
        <v>0</v>
      </c>
      <c r="AG65" s="1145">
        <f>IF(ISNUMBER(Einflusslinie!$J21),PlotData!G20+ Einflusslinie!$E$2*$AF$46*G65,PlotData!$CB$3)</f>
        <v>0</v>
      </c>
      <c r="AH65" s="1145">
        <f>IF(ISNUMBER(Einflusslinie!$J21),PlotData!H20+Einflusslinie!$E$2* $AF$46*H65,PlotData!$CB$3)</f>
        <v>0</v>
      </c>
      <c r="AI65" s="1145">
        <f>IF(ISNUMBER(Einflusslinie!$J21),PlotData!I20+ Einflusslinie!$E$2*$AF$46*I65,PlotData!$CB$3)</f>
        <v>0</v>
      </c>
      <c r="AJ65" s="1145">
        <f>IF(ISNUMBER(Einflusslinie!$J21),PlotData!J20+ Einflusslinie!$E$2*$AF$46*J65,PlotData!$CB$3)</f>
        <v>0</v>
      </c>
      <c r="AK65" s="1145">
        <f>IF(ISNUMBER(Einflusslinie!$J21),PlotData!K20+ Einflusslinie!$E$2*$AF$46*K65,PlotData!$CB$3)</f>
        <v>0</v>
      </c>
      <c r="AL65" s="1155">
        <f>IF(ISNUMBER(Einflusslinie!$J21),PlotData!L20+ Einflusslinie!$E$2*$AF$46*L65,PlotData!$CB$3)</f>
        <v>0</v>
      </c>
      <c r="AM65" s="746">
        <f>IF(ISNUMBER(Einflusslinie!$J21),PlotData!L20,PlotData!$CB$3)</f>
        <v>0</v>
      </c>
      <c r="AN65" s="1144">
        <f>IF(ISNUMBER(Einflusslinie!$J21),PlotData!B20,PlotData!$CB$3)</f>
        <v>0</v>
      </c>
      <c r="AO65" s="747">
        <f>IF(ISNUMBER(Einflusslinie!$J21),AB65,PlotData!$CB$3)</f>
        <v>0</v>
      </c>
      <c r="AQ65" s="1175">
        <v>17</v>
      </c>
      <c r="AR65" s="746">
        <f>IF(ISNUMBER(Einflusslinie!$J21),PlotData!O20+ Einflusslinie!$E$2*$AF$46*O65,PlotData!$CB$4)</f>
        <v>0</v>
      </c>
      <c r="AS65" s="1145">
        <f>IF(ISNUMBER(Einflusslinie!$J21),PlotData!P20+Einflusslinie!$E$2* $AF$46*P65,PlotData!$CB$4)</f>
        <v>0</v>
      </c>
      <c r="AT65" s="1145">
        <f>IF(ISNUMBER(Einflusslinie!$J21),PlotData!Q20+Einflusslinie!$E$2* $AF$46*Q65,PlotData!$CB$4)</f>
        <v>0</v>
      </c>
      <c r="AU65" s="1145">
        <f>IF(ISNUMBER(Einflusslinie!$J21),PlotData!R20+ Einflusslinie!$E$2*$AF$46*R65,PlotData!$CB$4)</f>
        <v>0</v>
      </c>
      <c r="AV65" s="1145">
        <f>IF(ISNUMBER(Einflusslinie!$J21),PlotData!S20+ Einflusslinie!$E$2*$AF$46*S65,PlotData!$CB$4)</f>
        <v>0</v>
      </c>
      <c r="AW65" s="1145">
        <f>IF(ISNUMBER(Einflusslinie!$J21),PlotData!T20+ Einflusslinie!$E$2*$AF$46*T65,PlotData!$CB$4)</f>
        <v>0</v>
      </c>
      <c r="AX65" s="1145">
        <f>IF(ISNUMBER(Einflusslinie!$J21),PlotData!U20+ Einflusslinie!$E$2*$AF$46*U65,PlotData!$CB$4)</f>
        <v>0</v>
      </c>
      <c r="AY65" s="1145">
        <f>IF(ISNUMBER(Einflusslinie!$J21),PlotData!V20+ Einflusslinie!$E$2*$AF$46*V65,PlotData!$CB$4)</f>
        <v>0</v>
      </c>
      <c r="AZ65" s="1145">
        <f>IF(ISNUMBER(Einflusslinie!$J21),PlotData!W20+Einflusslinie!$E$2* $AF$46*W65,PlotData!$CB$4)</f>
        <v>0</v>
      </c>
      <c r="BA65" s="1145">
        <f>IF(ISNUMBER(Einflusslinie!$J21),PlotData!X20+ Einflusslinie!$E$2*$AF$46*X65,PlotData!$CB$4)</f>
        <v>0</v>
      </c>
      <c r="BB65" s="1155">
        <f>IF(ISNUMBER(Einflusslinie!$J21),PlotData!Y20+ Einflusslinie!$E$2*$AF$46*Y65,PlotData!$CB$4)</f>
        <v>0</v>
      </c>
      <c r="BC65" s="746">
        <f>IF(ISNUMBER(Einflusslinie!$J21),PlotData!Y20, PlotData!CB$4)</f>
        <v>0</v>
      </c>
      <c r="BD65" s="1144">
        <f>IF(ISNUMBER(Einflusslinie!$J21),PlotData!O20, PlotData!$CB$4)</f>
        <v>0</v>
      </c>
      <c r="BE65" s="747">
        <f>IF(ISNUMBER(Einflusslinie!$J21), AR65,PlotData!$CB$4)</f>
        <v>0</v>
      </c>
    </row>
    <row r="66" spans="1:57" x14ac:dyDescent="0.25">
      <c r="A66" s="1175">
        <v>18</v>
      </c>
      <c r="B66" s="668"/>
      <c r="C66" s="721"/>
      <c r="D66" s="721"/>
      <c r="E66" s="721"/>
      <c r="F66" s="721"/>
      <c r="G66" s="721"/>
      <c r="H66" s="721"/>
      <c r="I66" s="721"/>
      <c r="J66" s="721"/>
      <c r="K66" s="721"/>
      <c r="L66" s="639"/>
      <c r="N66" s="1175">
        <v>18</v>
      </c>
      <c r="O66" s="668"/>
      <c r="P66" s="721"/>
      <c r="Q66" s="721"/>
      <c r="R66" s="721"/>
      <c r="S66" s="721"/>
      <c r="T66" s="721"/>
      <c r="U66" s="721"/>
      <c r="V66" s="721"/>
      <c r="W66" s="721"/>
      <c r="X66" s="721"/>
      <c r="Y66" s="1176"/>
      <c r="AA66" s="1175">
        <v>18</v>
      </c>
      <c r="AB66" s="746">
        <f>IF(ISNUMBER(Einflusslinie!$J22),PlotData!B21+ Einflusslinie!$E$2*$AF$46*B66,PlotData!$CB$3)</f>
        <v>0</v>
      </c>
      <c r="AC66" s="1145">
        <f>IF(ISNUMBER(Einflusslinie!$J22),PlotData!C21+Einflusslinie!$E$2* $AF$46*C66,PlotData!$CB$3)</f>
        <v>0</v>
      </c>
      <c r="AD66" s="1145">
        <f>IF(ISNUMBER(Einflusslinie!$J22),PlotData!D21+ Einflusslinie!$E$2*$AF$46*D66,PlotData!$CB$3)</f>
        <v>0</v>
      </c>
      <c r="AE66" s="1145">
        <f>IF(ISNUMBER(Einflusslinie!$J22),PlotData!E21+Einflusslinie!$E$2* $AF$46*E66,PlotData!$CB$3)</f>
        <v>0</v>
      </c>
      <c r="AF66" s="1145">
        <f>IF(ISNUMBER(Einflusslinie!$J22),PlotData!F21+ Einflusslinie!$E$2*$AF$46*F66,PlotData!$CB$3)</f>
        <v>0</v>
      </c>
      <c r="AG66" s="1145">
        <f>IF(ISNUMBER(Einflusslinie!$J22),PlotData!G21+ Einflusslinie!$E$2*$AF$46*G66,PlotData!$CB$3)</f>
        <v>0</v>
      </c>
      <c r="AH66" s="1145">
        <f>IF(ISNUMBER(Einflusslinie!$J22),PlotData!H21+Einflusslinie!$E$2* $AF$46*H66,PlotData!$CB$3)</f>
        <v>0</v>
      </c>
      <c r="AI66" s="1145">
        <f>IF(ISNUMBER(Einflusslinie!$J22),PlotData!I21+ Einflusslinie!$E$2*$AF$46*I66,PlotData!$CB$3)</f>
        <v>0</v>
      </c>
      <c r="AJ66" s="1145">
        <f>IF(ISNUMBER(Einflusslinie!$J22),PlotData!J21+ Einflusslinie!$E$2*$AF$46*J66,PlotData!$CB$3)</f>
        <v>0</v>
      </c>
      <c r="AK66" s="1145">
        <f>IF(ISNUMBER(Einflusslinie!$J22),PlotData!K21+ Einflusslinie!$E$2*$AF$46*K66,PlotData!$CB$3)</f>
        <v>0</v>
      </c>
      <c r="AL66" s="1155">
        <f>IF(ISNUMBER(Einflusslinie!$J22),PlotData!L21+ Einflusslinie!$E$2*$AF$46*L66,PlotData!$CB$3)</f>
        <v>0</v>
      </c>
      <c r="AM66" s="746">
        <f>IF(ISNUMBER(Einflusslinie!$J22),PlotData!L21,PlotData!$CB$3)</f>
        <v>0</v>
      </c>
      <c r="AN66" s="1144">
        <f>IF(ISNUMBER(Einflusslinie!$J22),PlotData!B21,PlotData!$CB$3)</f>
        <v>0</v>
      </c>
      <c r="AO66" s="747">
        <f>IF(ISNUMBER(Einflusslinie!$J22),AB66,PlotData!$CB$3)</f>
        <v>0</v>
      </c>
      <c r="AQ66" s="1175">
        <v>18</v>
      </c>
      <c r="AR66" s="746">
        <f>IF(ISNUMBER(Einflusslinie!$J22),PlotData!O21+ Einflusslinie!$E$2*$AF$46*O66,PlotData!$CB$4)</f>
        <v>0</v>
      </c>
      <c r="AS66" s="1145">
        <f>IF(ISNUMBER(Einflusslinie!$J22),PlotData!P21+Einflusslinie!$E$2* $AF$46*P66,PlotData!$CB$4)</f>
        <v>0</v>
      </c>
      <c r="AT66" s="1145">
        <f>IF(ISNUMBER(Einflusslinie!$J22),PlotData!Q21+Einflusslinie!$E$2* $AF$46*Q66,PlotData!$CB$4)</f>
        <v>0</v>
      </c>
      <c r="AU66" s="1145">
        <f>IF(ISNUMBER(Einflusslinie!$J22),PlotData!R21+ Einflusslinie!$E$2*$AF$46*R66,PlotData!$CB$4)</f>
        <v>0</v>
      </c>
      <c r="AV66" s="1145">
        <f>IF(ISNUMBER(Einflusslinie!$J22),PlotData!S21+ Einflusslinie!$E$2*$AF$46*S66,PlotData!$CB$4)</f>
        <v>0</v>
      </c>
      <c r="AW66" s="1145">
        <f>IF(ISNUMBER(Einflusslinie!$J22),PlotData!T21+ Einflusslinie!$E$2*$AF$46*T66,PlotData!$CB$4)</f>
        <v>0</v>
      </c>
      <c r="AX66" s="1145">
        <f>IF(ISNUMBER(Einflusslinie!$J22),PlotData!U21+ Einflusslinie!$E$2*$AF$46*U66,PlotData!$CB$4)</f>
        <v>0</v>
      </c>
      <c r="AY66" s="1145">
        <f>IF(ISNUMBER(Einflusslinie!$J22),PlotData!V21+ Einflusslinie!$E$2*$AF$46*V66,PlotData!$CB$4)</f>
        <v>0</v>
      </c>
      <c r="AZ66" s="1145">
        <f>IF(ISNUMBER(Einflusslinie!$J22),PlotData!W21+Einflusslinie!$E$2* $AF$46*W66,PlotData!$CB$4)</f>
        <v>0</v>
      </c>
      <c r="BA66" s="1145">
        <f>IF(ISNUMBER(Einflusslinie!$J22),PlotData!X21+ Einflusslinie!$E$2*$AF$46*X66,PlotData!$CB$4)</f>
        <v>0</v>
      </c>
      <c r="BB66" s="1155">
        <f>IF(ISNUMBER(Einflusslinie!$J22),PlotData!Y21+ Einflusslinie!$E$2*$AF$46*Y66,PlotData!$CB$4)</f>
        <v>0</v>
      </c>
      <c r="BC66" s="746">
        <f>IF(ISNUMBER(Einflusslinie!$J22),PlotData!Y21, PlotData!CB$4)</f>
        <v>0</v>
      </c>
      <c r="BD66" s="1144">
        <f>IF(ISNUMBER(Einflusslinie!$J22),PlotData!O21, PlotData!$CB$4)</f>
        <v>0</v>
      </c>
      <c r="BE66" s="747">
        <f>IF(ISNUMBER(Einflusslinie!$J22), AR66,PlotData!$CB$4)</f>
        <v>0</v>
      </c>
    </row>
    <row r="67" spans="1:57" x14ac:dyDescent="0.25">
      <c r="A67" s="1175">
        <v>19</v>
      </c>
      <c r="B67" s="668"/>
      <c r="C67" s="721"/>
      <c r="D67" s="721"/>
      <c r="E67" s="721"/>
      <c r="F67" s="721"/>
      <c r="G67" s="721"/>
      <c r="H67" s="721"/>
      <c r="I67" s="721"/>
      <c r="J67" s="721"/>
      <c r="K67" s="721"/>
      <c r="L67" s="639"/>
      <c r="N67" s="1175">
        <v>19</v>
      </c>
      <c r="O67" s="668"/>
      <c r="P67" s="721"/>
      <c r="Q67" s="721"/>
      <c r="R67" s="721"/>
      <c r="S67" s="721"/>
      <c r="T67" s="721"/>
      <c r="U67" s="721"/>
      <c r="V67" s="721"/>
      <c r="W67" s="721"/>
      <c r="X67" s="721"/>
      <c r="Y67" s="1176"/>
      <c r="AA67" s="1175">
        <v>19</v>
      </c>
      <c r="AB67" s="746">
        <f>IF(ISNUMBER(Einflusslinie!$J23),PlotData!B22+ Einflusslinie!$E$2*$AF$46*B67,PlotData!$CB$3)</f>
        <v>0</v>
      </c>
      <c r="AC67" s="1145">
        <f>IF(ISNUMBER(Einflusslinie!$J23),PlotData!C22+Einflusslinie!$E$2* $AF$46*C67,PlotData!$CB$3)</f>
        <v>0</v>
      </c>
      <c r="AD67" s="1145">
        <f>IF(ISNUMBER(Einflusslinie!$J23),PlotData!D22+ Einflusslinie!$E$2*$AF$46*D67,PlotData!$CB$3)</f>
        <v>0</v>
      </c>
      <c r="AE67" s="1145">
        <f>IF(ISNUMBER(Einflusslinie!$J23),PlotData!E22+Einflusslinie!$E$2* $AF$46*E67,PlotData!$CB$3)</f>
        <v>0</v>
      </c>
      <c r="AF67" s="1145">
        <f>IF(ISNUMBER(Einflusslinie!$J23),PlotData!F22+ Einflusslinie!$E$2*$AF$46*F67,PlotData!$CB$3)</f>
        <v>0</v>
      </c>
      <c r="AG67" s="1145">
        <f>IF(ISNUMBER(Einflusslinie!$J23),PlotData!G22+ Einflusslinie!$E$2*$AF$46*G67,PlotData!$CB$3)</f>
        <v>0</v>
      </c>
      <c r="AH67" s="1145">
        <f>IF(ISNUMBER(Einflusslinie!$J23),PlotData!H22+Einflusslinie!$E$2* $AF$46*H67,PlotData!$CB$3)</f>
        <v>0</v>
      </c>
      <c r="AI67" s="1145">
        <f>IF(ISNUMBER(Einflusslinie!$J23),PlotData!I22+ Einflusslinie!$E$2*$AF$46*I67,PlotData!$CB$3)</f>
        <v>0</v>
      </c>
      <c r="AJ67" s="1145">
        <f>IF(ISNUMBER(Einflusslinie!$J23),PlotData!J22+ Einflusslinie!$E$2*$AF$46*J67,PlotData!$CB$3)</f>
        <v>0</v>
      </c>
      <c r="AK67" s="1145">
        <f>IF(ISNUMBER(Einflusslinie!$J23),PlotData!K22+ Einflusslinie!$E$2*$AF$46*K67,PlotData!$CB$3)</f>
        <v>0</v>
      </c>
      <c r="AL67" s="1155">
        <f>IF(ISNUMBER(Einflusslinie!$J23),PlotData!L22+ Einflusslinie!$E$2*$AF$46*L67,PlotData!$CB$3)</f>
        <v>0</v>
      </c>
      <c r="AM67" s="746">
        <f>IF(ISNUMBER(Einflusslinie!$J23),PlotData!L22,PlotData!$CB$3)</f>
        <v>0</v>
      </c>
      <c r="AN67" s="1144">
        <f>IF(ISNUMBER(Einflusslinie!$J23),PlotData!B22,PlotData!$CB$3)</f>
        <v>0</v>
      </c>
      <c r="AO67" s="747">
        <f>IF(ISNUMBER(Einflusslinie!$J23),AB67,PlotData!$CB$3)</f>
        <v>0</v>
      </c>
      <c r="AQ67" s="1175">
        <v>19</v>
      </c>
      <c r="AR67" s="746">
        <f>IF(ISNUMBER(Einflusslinie!$J23),PlotData!O22+ Einflusslinie!$E$2*$AF$46*O67,PlotData!$CB$4)</f>
        <v>0</v>
      </c>
      <c r="AS67" s="1145">
        <f>IF(ISNUMBER(Einflusslinie!$J23),PlotData!P22+Einflusslinie!$E$2* $AF$46*P67,PlotData!$CB$4)</f>
        <v>0</v>
      </c>
      <c r="AT67" s="1145">
        <f>IF(ISNUMBER(Einflusslinie!$J23),PlotData!Q22+Einflusslinie!$E$2* $AF$46*Q67,PlotData!$CB$4)</f>
        <v>0</v>
      </c>
      <c r="AU67" s="1145">
        <f>IF(ISNUMBER(Einflusslinie!$J23),PlotData!R22+ Einflusslinie!$E$2*$AF$46*R67,PlotData!$CB$4)</f>
        <v>0</v>
      </c>
      <c r="AV67" s="1145">
        <f>IF(ISNUMBER(Einflusslinie!$J23),PlotData!S22+ Einflusslinie!$E$2*$AF$46*S67,PlotData!$CB$4)</f>
        <v>0</v>
      </c>
      <c r="AW67" s="1145">
        <f>IF(ISNUMBER(Einflusslinie!$J23),PlotData!T22+ Einflusslinie!$E$2*$AF$46*T67,PlotData!$CB$4)</f>
        <v>0</v>
      </c>
      <c r="AX67" s="1145">
        <f>IF(ISNUMBER(Einflusslinie!$J23),PlotData!U22+ Einflusslinie!$E$2*$AF$46*U67,PlotData!$CB$4)</f>
        <v>0</v>
      </c>
      <c r="AY67" s="1145">
        <f>IF(ISNUMBER(Einflusslinie!$J23),PlotData!V22+ Einflusslinie!$E$2*$AF$46*V67,PlotData!$CB$4)</f>
        <v>0</v>
      </c>
      <c r="AZ67" s="1145">
        <f>IF(ISNUMBER(Einflusslinie!$J23),PlotData!W22+Einflusslinie!$E$2* $AF$46*W67,PlotData!$CB$4)</f>
        <v>0</v>
      </c>
      <c r="BA67" s="1145">
        <f>IF(ISNUMBER(Einflusslinie!$J23),PlotData!X22+ Einflusslinie!$E$2*$AF$46*X67,PlotData!$CB$4)</f>
        <v>0</v>
      </c>
      <c r="BB67" s="1155">
        <f>IF(ISNUMBER(Einflusslinie!$J23),PlotData!Y22+ Einflusslinie!$E$2*$AF$46*Y67,PlotData!$CB$4)</f>
        <v>0</v>
      </c>
      <c r="BC67" s="746">
        <f>IF(ISNUMBER(Einflusslinie!$J23),PlotData!Y22, PlotData!CB$4)</f>
        <v>0</v>
      </c>
      <c r="BD67" s="1144">
        <f>IF(ISNUMBER(Einflusslinie!$J23),PlotData!O22, PlotData!$CB$4)</f>
        <v>0</v>
      </c>
      <c r="BE67" s="747">
        <f>IF(ISNUMBER(Einflusslinie!$J23), AR67,PlotData!$CB$4)</f>
        <v>0</v>
      </c>
    </row>
    <row r="68" spans="1:57" x14ac:dyDescent="0.25">
      <c r="A68" s="1175">
        <v>20</v>
      </c>
      <c r="B68" s="668"/>
      <c r="C68" s="721"/>
      <c r="D68" s="721"/>
      <c r="E68" s="721"/>
      <c r="F68" s="721"/>
      <c r="G68" s="721"/>
      <c r="H68" s="721"/>
      <c r="I68" s="721"/>
      <c r="J68" s="721"/>
      <c r="K68" s="721"/>
      <c r="L68" s="639"/>
      <c r="N68" s="1175">
        <v>20</v>
      </c>
      <c r="O68" s="668"/>
      <c r="P68" s="721"/>
      <c r="Q68" s="721"/>
      <c r="R68" s="721"/>
      <c r="S68" s="721"/>
      <c r="T68" s="721"/>
      <c r="U68" s="721"/>
      <c r="V68" s="721"/>
      <c r="W68" s="721"/>
      <c r="X68" s="721"/>
      <c r="Y68" s="1176"/>
      <c r="AA68" s="1175">
        <v>20</v>
      </c>
      <c r="AB68" s="746">
        <f>IF(ISNUMBER(Einflusslinie!$J24),PlotData!B23+ Einflusslinie!$E$2*$AF$46*B68,PlotData!$CB$3)</f>
        <v>0</v>
      </c>
      <c r="AC68" s="1145">
        <f>IF(ISNUMBER(Einflusslinie!$J24),PlotData!C23+Einflusslinie!$E$2* $AF$46*C68,PlotData!$CB$3)</f>
        <v>0</v>
      </c>
      <c r="AD68" s="1145">
        <f>IF(ISNUMBER(Einflusslinie!$J24),PlotData!D23+ Einflusslinie!$E$2*$AF$46*D68,PlotData!$CB$3)</f>
        <v>0</v>
      </c>
      <c r="AE68" s="1145">
        <f>IF(ISNUMBER(Einflusslinie!$J24),PlotData!E23+Einflusslinie!$E$2* $AF$46*E68,PlotData!$CB$3)</f>
        <v>0</v>
      </c>
      <c r="AF68" s="1145">
        <f>IF(ISNUMBER(Einflusslinie!$J24),PlotData!F23+ Einflusslinie!$E$2*$AF$46*F68,PlotData!$CB$3)</f>
        <v>0</v>
      </c>
      <c r="AG68" s="1145">
        <f>IF(ISNUMBER(Einflusslinie!$J24),PlotData!G23+ Einflusslinie!$E$2*$AF$46*G68,PlotData!$CB$3)</f>
        <v>0</v>
      </c>
      <c r="AH68" s="1145">
        <f>IF(ISNUMBER(Einflusslinie!$J24),PlotData!H23+Einflusslinie!$E$2* $AF$46*H68,PlotData!$CB$3)</f>
        <v>0</v>
      </c>
      <c r="AI68" s="1145">
        <f>IF(ISNUMBER(Einflusslinie!$J24),PlotData!I23+ Einflusslinie!$E$2*$AF$46*I68,PlotData!$CB$3)</f>
        <v>0</v>
      </c>
      <c r="AJ68" s="1145">
        <f>IF(ISNUMBER(Einflusslinie!$J24),PlotData!J23+ Einflusslinie!$E$2*$AF$46*J68,PlotData!$CB$3)</f>
        <v>0</v>
      </c>
      <c r="AK68" s="1145">
        <f>IF(ISNUMBER(Einflusslinie!$J24),PlotData!K23+ Einflusslinie!$E$2*$AF$46*K68,PlotData!$CB$3)</f>
        <v>0</v>
      </c>
      <c r="AL68" s="1155">
        <f>IF(ISNUMBER(Einflusslinie!$J24),PlotData!L23+ Einflusslinie!$E$2*$AF$46*L68,PlotData!$CB$3)</f>
        <v>0</v>
      </c>
      <c r="AM68" s="746">
        <f>IF(ISNUMBER(Einflusslinie!$J24),PlotData!L23,PlotData!$CB$3)</f>
        <v>0</v>
      </c>
      <c r="AN68" s="1144">
        <f>IF(ISNUMBER(Einflusslinie!$J24),PlotData!B23,PlotData!$CB$3)</f>
        <v>0</v>
      </c>
      <c r="AO68" s="747">
        <f>IF(ISNUMBER(Einflusslinie!$J24),AB68,PlotData!$CB$3)</f>
        <v>0</v>
      </c>
      <c r="AQ68" s="1175">
        <v>20</v>
      </c>
      <c r="AR68" s="746">
        <f>IF(ISNUMBER(Einflusslinie!$J24),PlotData!O23+ Einflusslinie!$E$2*$AF$46*O68,PlotData!$CB$4)</f>
        <v>0</v>
      </c>
      <c r="AS68" s="1145">
        <f>IF(ISNUMBER(Einflusslinie!$J24),PlotData!P23+Einflusslinie!$E$2* $AF$46*P68,PlotData!$CB$4)</f>
        <v>0</v>
      </c>
      <c r="AT68" s="1145">
        <f>IF(ISNUMBER(Einflusslinie!$J24),PlotData!Q23+Einflusslinie!$E$2* $AF$46*Q68,PlotData!$CB$4)</f>
        <v>0</v>
      </c>
      <c r="AU68" s="1145">
        <f>IF(ISNUMBER(Einflusslinie!$J24),PlotData!R23+ Einflusslinie!$E$2*$AF$46*R68,PlotData!$CB$4)</f>
        <v>0</v>
      </c>
      <c r="AV68" s="1145">
        <f>IF(ISNUMBER(Einflusslinie!$J24),PlotData!S23+ Einflusslinie!$E$2*$AF$46*S68,PlotData!$CB$4)</f>
        <v>0</v>
      </c>
      <c r="AW68" s="1145">
        <f>IF(ISNUMBER(Einflusslinie!$J24),PlotData!T23+ Einflusslinie!$E$2*$AF$46*T68,PlotData!$CB$4)</f>
        <v>0</v>
      </c>
      <c r="AX68" s="1145">
        <f>IF(ISNUMBER(Einflusslinie!$J24),PlotData!U23+ Einflusslinie!$E$2*$AF$46*U68,PlotData!$CB$4)</f>
        <v>0</v>
      </c>
      <c r="AY68" s="1145">
        <f>IF(ISNUMBER(Einflusslinie!$J24),PlotData!V23+ Einflusslinie!$E$2*$AF$46*V68,PlotData!$CB$4)</f>
        <v>0</v>
      </c>
      <c r="AZ68" s="1145">
        <f>IF(ISNUMBER(Einflusslinie!$J24),PlotData!W23+Einflusslinie!$E$2* $AF$46*W68,PlotData!$CB$4)</f>
        <v>0</v>
      </c>
      <c r="BA68" s="1145">
        <f>IF(ISNUMBER(Einflusslinie!$J24),PlotData!X23+ Einflusslinie!$E$2*$AF$46*X68,PlotData!$CB$4)</f>
        <v>0</v>
      </c>
      <c r="BB68" s="1155">
        <f>IF(ISNUMBER(Einflusslinie!$J24),PlotData!Y23+ Einflusslinie!$E$2*$AF$46*Y68,PlotData!$CB$4)</f>
        <v>0</v>
      </c>
      <c r="BC68" s="746">
        <f>IF(ISNUMBER(Einflusslinie!$J24),PlotData!Y23, PlotData!CB$4)</f>
        <v>0</v>
      </c>
      <c r="BD68" s="1144">
        <f>IF(ISNUMBER(Einflusslinie!$J24),PlotData!O23, PlotData!$CB$4)</f>
        <v>0</v>
      </c>
      <c r="BE68" s="747">
        <f>IF(ISNUMBER(Einflusslinie!$J24), AR68,PlotData!$CB$4)</f>
        <v>0</v>
      </c>
    </row>
    <row r="69" spans="1:57" x14ac:dyDescent="0.25">
      <c r="A69" s="1175">
        <v>21</v>
      </c>
      <c r="B69" s="668"/>
      <c r="C69" s="721"/>
      <c r="D69" s="721"/>
      <c r="E69" s="721"/>
      <c r="F69" s="721"/>
      <c r="G69" s="721"/>
      <c r="H69" s="721"/>
      <c r="I69" s="721"/>
      <c r="J69" s="721"/>
      <c r="K69" s="721"/>
      <c r="L69" s="639"/>
      <c r="N69" s="1175">
        <v>21</v>
      </c>
      <c r="O69" s="668"/>
      <c r="P69" s="721"/>
      <c r="Q69" s="721"/>
      <c r="R69" s="721"/>
      <c r="S69" s="721"/>
      <c r="T69" s="721"/>
      <c r="U69" s="721"/>
      <c r="V69" s="721"/>
      <c r="W69" s="721"/>
      <c r="X69" s="721"/>
      <c r="Y69" s="1176"/>
      <c r="AA69" s="1175">
        <v>21</v>
      </c>
      <c r="AB69" s="746">
        <f>IF(ISNUMBER(Einflusslinie!$J25),PlotData!B24+ Einflusslinie!$E$2*$AF$46*B69,PlotData!$CB$3)</f>
        <v>0</v>
      </c>
      <c r="AC69" s="1145">
        <f>IF(ISNUMBER(Einflusslinie!$J25),PlotData!C24+Einflusslinie!$E$2* $AF$46*C69,PlotData!$CB$3)</f>
        <v>0</v>
      </c>
      <c r="AD69" s="1145">
        <f>IF(ISNUMBER(Einflusslinie!$J25),PlotData!D24+ Einflusslinie!$E$2*$AF$46*D69,PlotData!$CB$3)</f>
        <v>0</v>
      </c>
      <c r="AE69" s="1145">
        <f>IF(ISNUMBER(Einflusslinie!$J25),PlotData!E24+Einflusslinie!$E$2* $AF$46*E69,PlotData!$CB$3)</f>
        <v>0</v>
      </c>
      <c r="AF69" s="1145">
        <f>IF(ISNUMBER(Einflusslinie!$J25),PlotData!F24+ Einflusslinie!$E$2*$AF$46*F69,PlotData!$CB$3)</f>
        <v>0</v>
      </c>
      <c r="AG69" s="1145">
        <f>IF(ISNUMBER(Einflusslinie!$J25),PlotData!G24+ Einflusslinie!$E$2*$AF$46*G69,PlotData!$CB$3)</f>
        <v>0</v>
      </c>
      <c r="AH69" s="1145">
        <f>IF(ISNUMBER(Einflusslinie!$J25),PlotData!H24+Einflusslinie!$E$2* $AF$46*H69,PlotData!$CB$3)</f>
        <v>0</v>
      </c>
      <c r="AI69" s="1145">
        <f>IF(ISNUMBER(Einflusslinie!$J25),PlotData!I24+ Einflusslinie!$E$2*$AF$46*I69,PlotData!$CB$3)</f>
        <v>0</v>
      </c>
      <c r="AJ69" s="1145">
        <f>IF(ISNUMBER(Einflusslinie!$J25),PlotData!J24+ Einflusslinie!$E$2*$AF$46*J69,PlotData!$CB$3)</f>
        <v>0</v>
      </c>
      <c r="AK69" s="1145">
        <f>IF(ISNUMBER(Einflusslinie!$J25),PlotData!K24+ Einflusslinie!$E$2*$AF$46*K69,PlotData!$CB$3)</f>
        <v>0</v>
      </c>
      <c r="AL69" s="1155">
        <f>IF(ISNUMBER(Einflusslinie!$J25),PlotData!L24+ Einflusslinie!$E$2*$AF$46*L69,PlotData!$CB$3)</f>
        <v>0</v>
      </c>
      <c r="AM69" s="746">
        <f>IF(ISNUMBER(Einflusslinie!$J25),PlotData!L24,PlotData!$CB$3)</f>
        <v>0</v>
      </c>
      <c r="AN69" s="1144">
        <f>IF(ISNUMBER(Einflusslinie!$J25),PlotData!B24,PlotData!$CB$3)</f>
        <v>0</v>
      </c>
      <c r="AO69" s="747">
        <f>IF(ISNUMBER(Einflusslinie!$J25),AB69,PlotData!$CB$3)</f>
        <v>0</v>
      </c>
      <c r="AQ69" s="1175">
        <v>21</v>
      </c>
      <c r="AR69" s="746">
        <f>IF(ISNUMBER(Einflusslinie!$J25),PlotData!O24+ Einflusslinie!$E$2*$AF$46*O69,PlotData!$CB$4)</f>
        <v>0</v>
      </c>
      <c r="AS69" s="1145">
        <f>IF(ISNUMBER(Einflusslinie!$J25),PlotData!P24+Einflusslinie!$E$2* $AF$46*P69,PlotData!$CB$4)</f>
        <v>0</v>
      </c>
      <c r="AT69" s="1145">
        <f>IF(ISNUMBER(Einflusslinie!$J25),PlotData!Q24+Einflusslinie!$E$2* $AF$46*Q69,PlotData!$CB$4)</f>
        <v>0</v>
      </c>
      <c r="AU69" s="1145">
        <f>IF(ISNUMBER(Einflusslinie!$J25),PlotData!R24+ Einflusslinie!$E$2*$AF$46*R69,PlotData!$CB$4)</f>
        <v>0</v>
      </c>
      <c r="AV69" s="1145">
        <f>IF(ISNUMBER(Einflusslinie!$J25),PlotData!S24+ Einflusslinie!$E$2*$AF$46*S69,PlotData!$CB$4)</f>
        <v>0</v>
      </c>
      <c r="AW69" s="1145">
        <f>IF(ISNUMBER(Einflusslinie!$J25),PlotData!T24+ Einflusslinie!$E$2*$AF$46*T69,PlotData!$CB$4)</f>
        <v>0</v>
      </c>
      <c r="AX69" s="1145">
        <f>IF(ISNUMBER(Einflusslinie!$J25),PlotData!U24+ Einflusslinie!$E$2*$AF$46*U69,PlotData!$CB$4)</f>
        <v>0</v>
      </c>
      <c r="AY69" s="1145">
        <f>IF(ISNUMBER(Einflusslinie!$J25),PlotData!V24+ Einflusslinie!$E$2*$AF$46*V69,PlotData!$CB$4)</f>
        <v>0</v>
      </c>
      <c r="AZ69" s="1145">
        <f>IF(ISNUMBER(Einflusslinie!$J25),PlotData!W24+Einflusslinie!$E$2* $AF$46*W69,PlotData!$CB$4)</f>
        <v>0</v>
      </c>
      <c r="BA69" s="1145">
        <f>IF(ISNUMBER(Einflusslinie!$J25),PlotData!X24+ Einflusslinie!$E$2*$AF$46*X69,PlotData!$CB$4)</f>
        <v>0</v>
      </c>
      <c r="BB69" s="1155">
        <f>IF(ISNUMBER(Einflusslinie!$J25),PlotData!Y24+ Einflusslinie!$E$2*$AF$46*Y69,PlotData!$CB$4)</f>
        <v>0</v>
      </c>
      <c r="BC69" s="746">
        <f>IF(ISNUMBER(Einflusslinie!$J25),PlotData!Y24, PlotData!CB$4)</f>
        <v>0</v>
      </c>
      <c r="BD69" s="1144">
        <f>IF(ISNUMBER(Einflusslinie!$J25),PlotData!O24, PlotData!$CB$4)</f>
        <v>0</v>
      </c>
      <c r="BE69" s="747">
        <f>IF(ISNUMBER(Einflusslinie!$J25), AR69,PlotData!$CB$4)</f>
        <v>0</v>
      </c>
    </row>
    <row r="70" spans="1:57" x14ac:dyDescent="0.25">
      <c r="A70" s="1175">
        <v>22</v>
      </c>
      <c r="B70" s="668"/>
      <c r="C70" s="721"/>
      <c r="D70" s="721"/>
      <c r="E70" s="721"/>
      <c r="F70" s="721"/>
      <c r="G70" s="721"/>
      <c r="H70" s="721"/>
      <c r="I70" s="721"/>
      <c r="J70" s="721"/>
      <c r="K70" s="721"/>
      <c r="L70" s="639"/>
      <c r="N70" s="1175">
        <v>22</v>
      </c>
      <c r="O70" s="668"/>
      <c r="P70" s="721"/>
      <c r="Q70" s="721"/>
      <c r="R70" s="721"/>
      <c r="S70" s="721"/>
      <c r="T70" s="721"/>
      <c r="U70" s="721"/>
      <c r="V70" s="721"/>
      <c r="W70" s="721"/>
      <c r="X70" s="721"/>
      <c r="Y70" s="1176"/>
      <c r="AA70" s="1175">
        <v>22</v>
      </c>
      <c r="AB70" s="746">
        <f>IF(ISNUMBER(Einflusslinie!$J26),PlotData!B25+ Einflusslinie!$E$2*$AF$46*B70,PlotData!$CB$3)</f>
        <v>0</v>
      </c>
      <c r="AC70" s="1145">
        <f>IF(ISNUMBER(Einflusslinie!$J26),PlotData!C25+Einflusslinie!$E$2* $AF$46*C70,PlotData!$CB$3)</f>
        <v>0</v>
      </c>
      <c r="AD70" s="1145">
        <f>IF(ISNUMBER(Einflusslinie!$J26),PlotData!D25+ Einflusslinie!$E$2*$AF$46*D70,PlotData!$CB$3)</f>
        <v>0</v>
      </c>
      <c r="AE70" s="1145">
        <f>IF(ISNUMBER(Einflusslinie!$J26),PlotData!E25+Einflusslinie!$E$2* $AF$46*E70,PlotData!$CB$3)</f>
        <v>0</v>
      </c>
      <c r="AF70" s="1145">
        <f>IF(ISNUMBER(Einflusslinie!$J26),PlotData!F25+ Einflusslinie!$E$2*$AF$46*F70,PlotData!$CB$3)</f>
        <v>0</v>
      </c>
      <c r="AG70" s="1145">
        <f>IF(ISNUMBER(Einflusslinie!$J26),PlotData!G25+ Einflusslinie!$E$2*$AF$46*G70,PlotData!$CB$3)</f>
        <v>0</v>
      </c>
      <c r="AH70" s="1145">
        <f>IF(ISNUMBER(Einflusslinie!$J26),PlotData!H25+Einflusslinie!$E$2* $AF$46*H70,PlotData!$CB$3)</f>
        <v>0</v>
      </c>
      <c r="AI70" s="1145">
        <f>IF(ISNUMBER(Einflusslinie!$J26),PlotData!I25+ Einflusslinie!$E$2*$AF$46*I70,PlotData!$CB$3)</f>
        <v>0</v>
      </c>
      <c r="AJ70" s="1145">
        <f>IF(ISNUMBER(Einflusslinie!$J26),PlotData!J25+ Einflusslinie!$E$2*$AF$46*J70,PlotData!$CB$3)</f>
        <v>0</v>
      </c>
      <c r="AK70" s="1145">
        <f>IF(ISNUMBER(Einflusslinie!$J26),PlotData!K25+ Einflusslinie!$E$2*$AF$46*K70,PlotData!$CB$3)</f>
        <v>0</v>
      </c>
      <c r="AL70" s="1155">
        <f>IF(ISNUMBER(Einflusslinie!$J26),PlotData!L25+ Einflusslinie!$E$2*$AF$46*L70,PlotData!$CB$3)</f>
        <v>0</v>
      </c>
      <c r="AM70" s="746">
        <f>IF(ISNUMBER(Einflusslinie!$J26),PlotData!L25,PlotData!$CB$3)</f>
        <v>0</v>
      </c>
      <c r="AN70" s="1144">
        <f>IF(ISNUMBER(Einflusslinie!$J26),PlotData!B25,PlotData!$CB$3)</f>
        <v>0</v>
      </c>
      <c r="AO70" s="747">
        <f>IF(ISNUMBER(Einflusslinie!$J26),AB70,PlotData!$CB$3)</f>
        <v>0</v>
      </c>
      <c r="AQ70" s="1175">
        <v>22</v>
      </c>
      <c r="AR70" s="746">
        <f>IF(ISNUMBER(Einflusslinie!$J26),PlotData!O25+ Einflusslinie!$E$2*$AF$46*O70,PlotData!$CB$4)</f>
        <v>0</v>
      </c>
      <c r="AS70" s="1145">
        <f>IF(ISNUMBER(Einflusslinie!$J26),PlotData!P25+Einflusslinie!$E$2* $AF$46*P70,PlotData!$CB$4)</f>
        <v>0</v>
      </c>
      <c r="AT70" s="1145">
        <f>IF(ISNUMBER(Einflusslinie!$J26),PlotData!Q25+Einflusslinie!$E$2* $AF$46*Q70,PlotData!$CB$4)</f>
        <v>0</v>
      </c>
      <c r="AU70" s="1145">
        <f>IF(ISNUMBER(Einflusslinie!$J26),PlotData!R25+ Einflusslinie!$E$2*$AF$46*R70,PlotData!$CB$4)</f>
        <v>0</v>
      </c>
      <c r="AV70" s="1145">
        <f>IF(ISNUMBER(Einflusslinie!$J26),PlotData!S25+ Einflusslinie!$E$2*$AF$46*S70,PlotData!$CB$4)</f>
        <v>0</v>
      </c>
      <c r="AW70" s="1145">
        <f>IF(ISNUMBER(Einflusslinie!$J26),PlotData!T25+ Einflusslinie!$E$2*$AF$46*T70,PlotData!$CB$4)</f>
        <v>0</v>
      </c>
      <c r="AX70" s="1145">
        <f>IF(ISNUMBER(Einflusslinie!$J26),PlotData!U25+ Einflusslinie!$E$2*$AF$46*U70,PlotData!$CB$4)</f>
        <v>0</v>
      </c>
      <c r="AY70" s="1145">
        <f>IF(ISNUMBER(Einflusslinie!$J26),PlotData!V25+ Einflusslinie!$E$2*$AF$46*V70,PlotData!$CB$4)</f>
        <v>0</v>
      </c>
      <c r="AZ70" s="1145">
        <f>IF(ISNUMBER(Einflusslinie!$J26),PlotData!W25+Einflusslinie!$E$2* $AF$46*W70,PlotData!$CB$4)</f>
        <v>0</v>
      </c>
      <c r="BA70" s="1145">
        <f>IF(ISNUMBER(Einflusslinie!$J26),PlotData!X25+ Einflusslinie!$E$2*$AF$46*X70,PlotData!$CB$4)</f>
        <v>0</v>
      </c>
      <c r="BB70" s="1155">
        <f>IF(ISNUMBER(Einflusslinie!$J26),PlotData!Y25+ Einflusslinie!$E$2*$AF$46*Y70,PlotData!$CB$4)</f>
        <v>0</v>
      </c>
      <c r="BC70" s="746">
        <f>IF(ISNUMBER(Einflusslinie!$J26),PlotData!Y25, PlotData!CB$4)</f>
        <v>0</v>
      </c>
      <c r="BD70" s="1144">
        <f>IF(ISNUMBER(Einflusslinie!$J26),PlotData!O25, PlotData!$CB$4)</f>
        <v>0</v>
      </c>
      <c r="BE70" s="747">
        <f>IF(ISNUMBER(Einflusslinie!$J26), AR70,PlotData!$CB$4)</f>
        <v>0</v>
      </c>
    </row>
    <row r="71" spans="1:57" x14ac:dyDescent="0.25">
      <c r="A71" s="1175">
        <v>23</v>
      </c>
      <c r="B71" s="668"/>
      <c r="C71" s="721"/>
      <c r="D71" s="721"/>
      <c r="E71" s="721"/>
      <c r="F71" s="721"/>
      <c r="G71" s="721"/>
      <c r="H71" s="721"/>
      <c r="I71" s="721"/>
      <c r="J71" s="721"/>
      <c r="K71" s="721"/>
      <c r="L71" s="639"/>
      <c r="N71" s="1175">
        <v>23</v>
      </c>
      <c r="O71" s="668"/>
      <c r="P71" s="721"/>
      <c r="Q71" s="721"/>
      <c r="R71" s="721"/>
      <c r="S71" s="721"/>
      <c r="T71" s="721"/>
      <c r="U71" s="721"/>
      <c r="V71" s="721"/>
      <c r="W71" s="721"/>
      <c r="X71" s="721"/>
      <c r="Y71" s="1176"/>
      <c r="AA71" s="1175">
        <v>23</v>
      </c>
      <c r="AB71" s="746">
        <f>IF(ISNUMBER(Einflusslinie!$J27),PlotData!B26+ Einflusslinie!$E$2*$AF$46*B71,PlotData!$CB$3)</f>
        <v>0</v>
      </c>
      <c r="AC71" s="1145">
        <f>IF(ISNUMBER(Einflusslinie!$J27),PlotData!C26+Einflusslinie!$E$2* $AF$46*C71,PlotData!$CB$3)</f>
        <v>0</v>
      </c>
      <c r="AD71" s="1145">
        <f>IF(ISNUMBER(Einflusslinie!$J27),PlotData!D26+ Einflusslinie!$E$2*$AF$46*D71,PlotData!$CB$3)</f>
        <v>0</v>
      </c>
      <c r="AE71" s="1145">
        <f>IF(ISNUMBER(Einflusslinie!$J27),PlotData!E26+Einflusslinie!$E$2* $AF$46*E71,PlotData!$CB$3)</f>
        <v>0</v>
      </c>
      <c r="AF71" s="1145">
        <f>IF(ISNUMBER(Einflusslinie!$J27),PlotData!F26+ Einflusslinie!$E$2*$AF$46*F71,PlotData!$CB$3)</f>
        <v>0</v>
      </c>
      <c r="AG71" s="1145">
        <f>IF(ISNUMBER(Einflusslinie!$J27),PlotData!G26+ Einflusslinie!$E$2*$AF$46*G71,PlotData!$CB$3)</f>
        <v>0</v>
      </c>
      <c r="AH71" s="1145">
        <f>IF(ISNUMBER(Einflusslinie!$J27),PlotData!H26+Einflusslinie!$E$2* $AF$46*H71,PlotData!$CB$3)</f>
        <v>0</v>
      </c>
      <c r="AI71" s="1145">
        <f>IF(ISNUMBER(Einflusslinie!$J27),PlotData!I26+ Einflusslinie!$E$2*$AF$46*I71,PlotData!$CB$3)</f>
        <v>0</v>
      </c>
      <c r="AJ71" s="1145">
        <f>IF(ISNUMBER(Einflusslinie!$J27),PlotData!J26+ Einflusslinie!$E$2*$AF$46*J71,PlotData!$CB$3)</f>
        <v>0</v>
      </c>
      <c r="AK71" s="1145">
        <f>IF(ISNUMBER(Einflusslinie!$J27),PlotData!K26+ Einflusslinie!$E$2*$AF$46*K71,PlotData!$CB$3)</f>
        <v>0</v>
      </c>
      <c r="AL71" s="1155">
        <f>IF(ISNUMBER(Einflusslinie!$J27),PlotData!L26+ Einflusslinie!$E$2*$AF$46*L71,PlotData!$CB$3)</f>
        <v>0</v>
      </c>
      <c r="AM71" s="746">
        <f>IF(ISNUMBER(Einflusslinie!$J27),PlotData!L26,PlotData!$CB$3)</f>
        <v>0</v>
      </c>
      <c r="AN71" s="1144">
        <f>IF(ISNUMBER(Einflusslinie!$J27),PlotData!B26,PlotData!$CB$3)</f>
        <v>0</v>
      </c>
      <c r="AO71" s="747">
        <f>IF(ISNUMBER(Einflusslinie!$J27),AB71,PlotData!$CB$3)</f>
        <v>0</v>
      </c>
      <c r="AQ71" s="1175">
        <v>23</v>
      </c>
      <c r="AR71" s="746">
        <f>IF(ISNUMBER(Einflusslinie!$J27),PlotData!O26+ Einflusslinie!$E$2*$AF$46*O71,PlotData!$CB$4)</f>
        <v>0</v>
      </c>
      <c r="AS71" s="1145">
        <f>IF(ISNUMBER(Einflusslinie!$J27),PlotData!P26+Einflusslinie!$E$2* $AF$46*P71,PlotData!$CB$4)</f>
        <v>0</v>
      </c>
      <c r="AT71" s="1145">
        <f>IF(ISNUMBER(Einflusslinie!$J27),PlotData!Q26+Einflusslinie!$E$2* $AF$46*Q71,PlotData!$CB$4)</f>
        <v>0</v>
      </c>
      <c r="AU71" s="1145">
        <f>IF(ISNUMBER(Einflusslinie!$J27),PlotData!R26+ Einflusslinie!$E$2*$AF$46*R71,PlotData!$CB$4)</f>
        <v>0</v>
      </c>
      <c r="AV71" s="1145">
        <f>IF(ISNUMBER(Einflusslinie!$J27),PlotData!S26+ Einflusslinie!$E$2*$AF$46*S71,PlotData!$CB$4)</f>
        <v>0</v>
      </c>
      <c r="AW71" s="1145">
        <f>IF(ISNUMBER(Einflusslinie!$J27),PlotData!T26+ Einflusslinie!$E$2*$AF$46*T71,PlotData!$CB$4)</f>
        <v>0</v>
      </c>
      <c r="AX71" s="1145">
        <f>IF(ISNUMBER(Einflusslinie!$J27),PlotData!U26+ Einflusslinie!$E$2*$AF$46*U71,PlotData!$CB$4)</f>
        <v>0</v>
      </c>
      <c r="AY71" s="1145">
        <f>IF(ISNUMBER(Einflusslinie!$J27),PlotData!V26+ Einflusslinie!$E$2*$AF$46*V71,PlotData!$CB$4)</f>
        <v>0</v>
      </c>
      <c r="AZ71" s="1145">
        <f>IF(ISNUMBER(Einflusslinie!$J27),PlotData!W26+Einflusslinie!$E$2* $AF$46*W71,PlotData!$CB$4)</f>
        <v>0</v>
      </c>
      <c r="BA71" s="1145">
        <f>IF(ISNUMBER(Einflusslinie!$J27),PlotData!X26+ Einflusslinie!$E$2*$AF$46*X71,PlotData!$CB$4)</f>
        <v>0</v>
      </c>
      <c r="BB71" s="1155">
        <f>IF(ISNUMBER(Einflusslinie!$J27),PlotData!Y26+ Einflusslinie!$E$2*$AF$46*Y71,PlotData!$CB$4)</f>
        <v>0</v>
      </c>
      <c r="BC71" s="746">
        <f>IF(ISNUMBER(Einflusslinie!$J27),PlotData!Y26, PlotData!CB$4)</f>
        <v>0</v>
      </c>
      <c r="BD71" s="1144">
        <f>IF(ISNUMBER(Einflusslinie!$J27),PlotData!O26, PlotData!$CB$4)</f>
        <v>0</v>
      </c>
      <c r="BE71" s="747">
        <f>IF(ISNUMBER(Einflusslinie!$J27), AR71,PlotData!$CB$4)</f>
        <v>0</v>
      </c>
    </row>
    <row r="72" spans="1:57" x14ac:dyDescent="0.25">
      <c r="A72" s="1175">
        <v>24</v>
      </c>
      <c r="B72" s="668"/>
      <c r="C72" s="721"/>
      <c r="D72" s="721"/>
      <c r="E72" s="721"/>
      <c r="F72" s="721"/>
      <c r="G72" s="721"/>
      <c r="H72" s="721"/>
      <c r="I72" s="721"/>
      <c r="J72" s="721"/>
      <c r="K72" s="721"/>
      <c r="L72" s="639"/>
      <c r="N72" s="1175">
        <v>24</v>
      </c>
      <c r="O72" s="668"/>
      <c r="P72" s="721"/>
      <c r="Q72" s="721"/>
      <c r="R72" s="721"/>
      <c r="S72" s="721"/>
      <c r="T72" s="721"/>
      <c r="U72" s="721"/>
      <c r="V72" s="721"/>
      <c r="W72" s="721"/>
      <c r="X72" s="721"/>
      <c r="Y72" s="1176"/>
      <c r="AA72" s="1175">
        <v>24</v>
      </c>
      <c r="AB72" s="746">
        <f>IF(ISNUMBER(Einflusslinie!$J28),PlotData!B27+ Einflusslinie!$E$2*$AF$46*B72,PlotData!$CB$3)</f>
        <v>0</v>
      </c>
      <c r="AC72" s="1145">
        <f>IF(ISNUMBER(Einflusslinie!$J28),PlotData!C27+Einflusslinie!$E$2* $AF$46*C72,PlotData!$CB$3)</f>
        <v>0</v>
      </c>
      <c r="AD72" s="1145">
        <f>IF(ISNUMBER(Einflusslinie!$J28),PlotData!D27+ Einflusslinie!$E$2*$AF$46*D72,PlotData!$CB$3)</f>
        <v>0</v>
      </c>
      <c r="AE72" s="1145">
        <f>IF(ISNUMBER(Einflusslinie!$J28),PlotData!E27+Einflusslinie!$E$2* $AF$46*E72,PlotData!$CB$3)</f>
        <v>0</v>
      </c>
      <c r="AF72" s="1145">
        <f>IF(ISNUMBER(Einflusslinie!$J28),PlotData!F27+ Einflusslinie!$E$2*$AF$46*F72,PlotData!$CB$3)</f>
        <v>0</v>
      </c>
      <c r="AG72" s="1145">
        <f>IF(ISNUMBER(Einflusslinie!$J28),PlotData!G27+ Einflusslinie!$E$2*$AF$46*G72,PlotData!$CB$3)</f>
        <v>0</v>
      </c>
      <c r="AH72" s="1145">
        <f>IF(ISNUMBER(Einflusslinie!$J28),PlotData!H27+Einflusslinie!$E$2* $AF$46*H72,PlotData!$CB$3)</f>
        <v>0</v>
      </c>
      <c r="AI72" s="1145">
        <f>IF(ISNUMBER(Einflusslinie!$J28),PlotData!I27+ Einflusslinie!$E$2*$AF$46*I72,PlotData!$CB$3)</f>
        <v>0</v>
      </c>
      <c r="AJ72" s="1145">
        <f>IF(ISNUMBER(Einflusslinie!$J28),PlotData!J27+ Einflusslinie!$E$2*$AF$46*J72,PlotData!$CB$3)</f>
        <v>0</v>
      </c>
      <c r="AK72" s="1145">
        <f>IF(ISNUMBER(Einflusslinie!$J28),PlotData!K27+ Einflusslinie!$E$2*$AF$46*K72,PlotData!$CB$3)</f>
        <v>0</v>
      </c>
      <c r="AL72" s="1155">
        <f>IF(ISNUMBER(Einflusslinie!$J28),PlotData!L27+ Einflusslinie!$E$2*$AF$46*L72,PlotData!$CB$3)</f>
        <v>0</v>
      </c>
      <c r="AM72" s="746">
        <f>IF(ISNUMBER(Einflusslinie!$J28),PlotData!L27,PlotData!$CB$3)</f>
        <v>0</v>
      </c>
      <c r="AN72" s="1144">
        <f>IF(ISNUMBER(Einflusslinie!$J28),PlotData!B27,PlotData!$CB$3)</f>
        <v>0</v>
      </c>
      <c r="AO72" s="747">
        <f>IF(ISNUMBER(Einflusslinie!$J28),AB72,PlotData!$CB$3)</f>
        <v>0</v>
      </c>
      <c r="AQ72" s="1175">
        <v>24</v>
      </c>
      <c r="AR72" s="746">
        <f>IF(ISNUMBER(Einflusslinie!$J28),PlotData!O27+ Einflusslinie!$E$2*$AF$46*O72,PlotData!$CB$4)</f>
        <v>0</v>
      </c>
      <c r="AS72" s="1145">
        <f>IF(ISNUMBER(Einflusslinie!$J28),PlotData!P27+Einflusslinie!$E$2* $AF$46*P72,PlotData!$CB$4)</f>
        <v>0</v>
      </c>
      <c r="AT72" s="1145">
        <f>IF(ISNUMBER(Einflusslinie!$J28),PlotData!Q27+Einflusslinie!$E$2* $AF$46*Q72,PlotData!$CB$4)</f>
        <v>0</v>
      </c>
      <c r="AU72" s="1145">
        <f>IF(ISNUMBER(Einflusslinie!$J28),PlotData!R27+ Einflusslinie!$E$2*$AF$46*R72,PlotData!$CB$4)</f>
        <v>0</v>
      </c>
      <c r="AV72" s="1145">
        <f>IF(ISNUMBER(Einflusslinie!$J28),PlotData!S27+ Einflusslinie!$E$2*$AF$46*S72,PlotData!$CB$4)</f>
        <v>0</v>
      </c>
      <c r="AW72" s="1145">
        <f>IF(ISNUMBER(Einflusslinie!$J28),PlotData!T27+ Einflusslinie!$E$2*$AF$46*T72,PlotData!$CB$4)</f>
        <v>0</v>
      </c>
      <c r="AX72" s="1145">
        <f>IF(ISNUMBER(Einflusslinie!$J28),PlotData!U27+ Einflusslinie!$E$2*$AF$46*U72,PlotData!$CB$4)</f>
        <v>0</v>
      </c>
      <c r="AY72" s="1145">
        <f>IF(ISNUMBER(Einflusslinie!$J28),PlotData!V27+ Einflusslinie!$E$2*$AF$46*V72,PlotData!$CB$4)</f>
        <v>0</v>
      </c>
      <c r="AZ72" s="1145">
        <f>IF(ISNUMBER(Einflusslinie!$J28),PlotData!W27+Einflusslinie!$E$2* $AF$46*W72,PlotData!$CB$4)</f>
        <v>0</v>
      </c>
      <c r="BA72" s="1145">
        <f>IF(ISNUMBER(Einflusslinie!$J28),PlotData!X27+ Einflusslinie!$E$2*$AF$46*X72,PlotData!$CB$4)</f>
        <v>0</v>
      </c>
      <c r="BB72" s="1155">
        <f>IF(ISNUMBER(Einflusslinie!$J28),PlotData!Y27+ Einflusslinie!$E$2*$AF$46*Y72,PlotData!$CB$4)</f>
        <v>0</v>
      </c>
      <c r="BC72" s="746">
        <f>IF(ISNUMBER(Einflusslinie!$J28),PlotData!Y27, PlotData!CB$4)</f>
        <v>0</v>
      </c>
      <c r="BD72" s="1144">
        <f>IF(ISNUMBER(Einflusslinie!$J28),PlotData!O27, PlotData!$CB$4)</f>
        <v>0</v>
      </c>
      <c r="BE72" s="747">
        <f>IF(ISNUMBER(Einflusslinie!$J28), AR72,PlotData!$CB$4)</f>
        <v>0</v>
      </c>
    </row>
    <row r="73" spans="1:57" x14ac:dyDescent="0.25">
      <c r="A73" s="1175">
        <v>25</v>
      </c>
      <c r="B73" s="668"/>
      <c r="C73" s="721"/>
      <c r="D73" s="721"/>
      <c r="E73" s="721"/>
      <c r="F73" s="721"/>
      <c r="G73" s="721"/>
      <c r="H73" s="721"/>
      <c r="I73" s="721"/>
      <c r="J73" s="721"/>
      <c r="K73" s="721"/>
      <c r="L73" s="639"/>
      <c r="N73" s="1175">
        <v>25</v>
      </c>
      <c r="O73" s="668"/>
      <c r="P73" s="721"/>
      <c r="Q73" s="721"/>
      <c r="R73" s="721"/>
      <c r="S73" s="721"/>
      <c r="T73" s="721"/>
      <c r="U73" s="721"/>
      <c r="V73" s="721"/>
      <c r="W73" s="721"/>
      <c r="X73" s="721"/>
      <c r="Y73" s="1176"/>
      <c r="AA73" s="1175">
        <v>25</v>
      </c>
      <c r="AB73" s="746">
        <f>IF(ISNUMBER(Einflusslinie!$J29),PlotData!B28+ Einflusslinie!$E$2*$AF$46*B73,PlotData!$CB$3)</f>
        <v>0</v>
      </c>
      <c r="AC73" s="1145">
        <f>IF(ISNUMBER(Einflusslinie!$J29),PlotData!C28+Einflusslinie!$E$2* $AF$46*C73,PlotData!$CB$3)</f>
        <v>0</v>
      </c>
      <c r="AD73" s="1145">
        <f>IF(ISNUMBER(Einflusslinie!$J29),PlotData!D28+ Einflusslinie!$E$2*$AF$46*D73,PlotData!$CB$3)</f>
        <v>0</v>
      </c>
      <c r="AE73" s="1145">
        <f>IF(ISNUMBER(Einflusslinie!$J29),PlotData!E28+Einflusslinie!$E$2* $AF$46*E73,PlotData!$CB$3)</f>
        <v>0</v>
      </c>
      <c r="AF73" s="1145">
        <f>IF(ISNUMBER(Einflusslinie!$J29),PlotData!F28+ Einflusslinie!$E$2*$AF$46*F73,PlotData!$CB$3)</f>
        <v>0</v>
      </c>
      <c r="AG73" s="1145">
        <f>IF(ISNUMBER(Einflusslinie!$J29),PlotData!G28+ Einflusslinie!$E$2*$AF$46*G73,PlotData!$CB$3)</f>
        <v>0</v>
      </c>
      <c r="AH73" s="1145">
        <f>IF(ISNUMBER(Einflusslinie!$J29),PlotData!H28+Einflusslinie!$E$2* $AF$46*H73,PlotData!$CB$3)</f>
        <v>0</v>
      </c>
      <c r="AI73" s="1145">
        <f>IF(ISNUMBER(Einflusslinie!$J29),PlotData!I28+ Einflusslinie!$E$2*$AF$46*I73,PlotData!$CB$3)</f>
        <v>0</v>
      </c>
      <c r="AJ73" s="1145">
        <f>IF(ISNUMBER(Einflusslinie!$J29),PlotData!J28+ Einflusslinie!$E$2*$AF$46*J73,PlotData!$CB$3)</f>
        <v>0</v>
      </c>
      <c r="AK73" s="1145">
        <f>IF(ISNUMBER(Einflusslinie!$J29),PlotData!K28+ Einflusslinie!$E$2*$AF$46*K73,PlotData!$CB$3)</f>
        <v>0</v>
      </c>
      <c r="AL73" s="1155">
        <f>IF(ISNUMBER(Einflusslinie!$J29),PlotData!L28+ Einflusslinie!$E$2*$AF$46*L73,PlotData!$CB$3)</f>
        <v>0</v>
      </c>
      <c r="AM73" s="746">
        <f>IF(ISNUMBER(Einflusslinie!$J29),PlotData!L28,PlotData!$CB$3)</f>
        <v>0</v>
      </c>
      <c r="AN73" s="1144">
        <f>IF(ISNUMBER(Einflusslinie!$J29),PlotData!B28,PlotData!$CB$3)</f>
        <v>0</v>
      </c>
      <c r="AO73" s="747">
        <f>IF(ISNUMBER(Einflusslinie!$J29),AB73,PlotData!$CB$3)</f>
        <v>0</v>
      </c>
      <c r="AQ73" s="1175">
        <v>25</v>
      </c>
      <c r="AR73" s="746">
        <f>IF(ISNUMBER(Einflusslinie!$J29),PlotData!O28+ Einflusslinie!$E$2*$AF$46*O73,PlotData!$CB$4)</f>
        <v>0</v>
      </c>
      <c r="AS73" s="1145">
        <f>IF(ISNUMBER(Einflusslinie!$J29),PlotData!P28+Einflusslinie!$E$2* $AF$46*P73,PlotData!$CB$4)</f>
        <v>0</v>
      </c>
      <c r="AT73" s="1145">
        <f>IF(ISNUMBER(Einflusslinie!$J29),PlotData!Q28+Einflusslinie!$E$2* $AF$46*Q73,PlotData!$CB$4)</f>
        <v>0</v>
      </c>
      <c r="AU73" s="1145">
        <f>IF(ISNUMBER(Einflusslinie!$J29),PlotData!R28+ Einflusslinie!$E$2*$AF$46*R73,PlotData!$CB$4)</f>
        <v>0</v>
      </c>
      <c r="AV73" s="1145">
        <f>IF(ISNUMBER(Einflusslinie!$J29),PlotData!S28+ Einflusslinie!$E$2*$AF$46*S73,PlotData!$CB$4)</f>
        <v>0</v>
      </c>
      <c r="AW73" s="1145">
        <f>IF(ISNUMBER(Einflusslinie!$J29),PlotData!T28+ Einflusslinie!$E$2*$AF$46*T73,PlotData!$CB$4)</f>
        <v>0</v>
      </c>
      <c r="AX73" s="1145">
        <f>IF(ISNUMBER(Einflusslinie!$J29),PlotData!U28+ Einflusslinie!$E$2*$AF$46*U73,PlotData!$CB$4)</f>
        <v>0</v>
      </c>
      <c r="AY73" s="1145">
        <f>IF(ISNUMBER(Einflusslinie!$J29),PlotData!V28+ Einflusslinie!$E$2*$AF$46*V73,PlotData!$CB$4)</f>
        <v>0</v>
      </c>
      <c r="AZ73" s="1145">
        <f>IF(ISNUMBER(Einflusslinie!$J29),PlotData!W28+Einflusslinie!$E$2* $AF$46*W73,PlotData!$CB$4)</f>
        <v>0</v>
      </c>
      <c r="BA73" s="1145">
        <f>IF(ISNUMBER(Einflusslinie!$J29),PlotData!X28+ Einflusslinie!$E$2*$AF$46*X73,PlotData!$CB$4)</f>
        <v>0</v>
      </c>
      <c r="BB73" s="1155">
        <f>IF(ISNUMBER(Einflusslinie!$J29),PlotData!Y28+ Einflusslinie!$E$2*$AF$46*Y73,PlotData!$CB$4)</f>
        <v>0</v>
      </c>
      <c r="BC73" s="746">
        <f>IF(ISNUMBER(Einflusslinie!$J29),PlotData!Y28, PlotData!CB$4)</f>
        <v>0</v>
      </c>
      <c r="BD73" s="1144">
        <f>IF(ISNUMBER(Einflusslinie!$J29),PlotData!O28, PlotData!$CB$4)</f>
        <v>0</v>
      </c>
      <c r="BE73" s="747">
        <f>IF(ISNUMBER(Einflusslinie!$J29), AR73,PlotData!$CB$4)</f>
        <v>0</v>
      </c>
    </row>
    <row r="74" spans="1:57" x14ac:dyDescent="0.25">
      <c r="A74" s="1175">
        <v>26</v>
      </c>
      <c r="B74" s="668"/>
      <c r="C74" s="721"/>
      <c r="D74" s="721"/>
      <c r="E74" s="721"/>
      <c r="F74" s="721"/>
      <c r="G74" s="721"/>
      <c r="H74" s="721"/>
      <c r="I74" s="721"/>
      <c r="J74" s="721"/>
      <c r="K74" s="721"/>
      <c r="L74" s="639"/>
      <c r="N74" s="1175">
        <v>26</v>
      </c>
      <c r="O74" s="668"/>
      <c r="P74" s="721"/>
      <c r="Q74" s="721"/>
      <c r="R74" s="721"/>
      <c r="S74" s="721"/>
      <c r="T74" s="721"/>
      <c r="U74" s="721"/>
      <c r="V74" s="721"/>
      <c r="W74" s="721"/>
      <c r="X74" s="721"/>
      <c r="Y74" s="1176"/>
      <c r="AA74" s="1175">
        <v>26</v>
      </c>
      <c r="AB74" s="746">
        <f>IF(ISNUMBER(Einflusslinie!$J30),PlotData!B29+ Einflusslinie!$E$2*$AF$46*B74,PlotData!$CB$3)</f>
        <v>0</v>
      </c>
      <c r="AC74" s="1145">
        <f>IF(ISNUMBER(Einflusslinie!$J30),PlotData!C29+Einflusslinie!$E$2* $AF$46*C74,PlotData!$CB$3)</f>
        <v>0</v>
      </c>
      <c r="AD74" s="1145">
        <f>IF(ISNUMBER(Einflusslinie!$J30),PlotData!D29+ Einflusslinie!$E$2*$AF$46*D74,PlotData!$CB$3)</f>
        <v>0</v>
      </c>
      <c r="AE74" s="1145">
        <f>IF(ISNUMBER(Einflusslinie!$J30),PlotData!E29+Einflusslinie!$E$2* $AF$46*E74,PlotData!$CB$3)</f>
        <v>0</v>
      </c>
      <c r="AF74" s="1145">
        <f>IF(ISNUMBER(Einflusslinie!$J30),PlotData!F29+ Einflusslinie!$E$2*$AF$46*F74,PlotData!$CB$3)</f>
        <v>0</v>
      </c>
      <c r="AG74" s="1145">
        <f>IF(ISNUMBER(Einflusslinie!$J30),PlotData!G29+ Einflusslinie!$E$2*$AF$46*G74,PlotData!$CB$3)</f>
        <v>0</v>
      </c>
      <c r="AH74" s="1145">
        <f>IF(ISNUMBER(Einflusslinie!$J30),PlotData!H29+Einflusslinie!$E$2* $AF$46*H74,PlotData!$CB$3)</f>
        <v>0</v>
      </c>
      <c r="AI74" s="1145">
        <f>IF(ISNUMBER(Einflusslinie!$J30),PlotData!I29+ Einflusslinie!$E$2*$AF$46*I74,PlotData!$CB$3)</f>
        <v>0</v>
      </c>
      <c r="AJ74" s="1145">
        <f>IF(ISNUMBER(Einflusslinie!$J30),PlotData!J29+ Einflusslinie!$E$2*$AF$46*J74,PlotData!$CB$3)</f>
        <v>0</v>
      </c>
      <c r="AK74" s="1145">
        <f>IF(ISNUMBER(Einflusslinie!$J30),PlotData!K29+ Einflusslinie!$E$2*$AF$46*K74,PlotData!$CB$3)</f>
        <v>0</v>
      </c>
      <c r="AL74" s="1155">
        <f>IF(ISNUMBER(Einflusslinie!$J30),PlotData!L29+ Einflusslinie!$E$2*$AF$46*L74,PlotData!$CB$3)</f>
        <v>0</v>
      </c>
      <c r="AM74" s="746">
        <f>IF(ISNUMBER(Einflusslinie!$J30),PlotData!L29,PlotData!$CB$3)</f>
        <v>0</v>
      </c>
      <c r="AN74" s="1144">
        <f>IF(ISNUMBER(Einflusslinie!$J30),PlotData!B29,PlotData!$CB$3)</f>
        <v>0</v>
      </c>
      <c r="AO74" s="747">
        <f>IF(ISNUMBER(Einflusslinie!$J30),AB74,PlotData!$CB$3)</f>
        <v>0</v>
      </c>
      <c r="AQ74" s="1175">
        <v>26</v>
      </c>
      <c r="AR74" s="746">
        <f>IF(ISNUMBER(Einflusslinie!$J30),PlotData!O29+ Einflusslinie!$E$2*$AF$46*O74,PlotData!$CB$4)</f>
        <v>0</v>
      </c>
      <c r="AS74" s="1145">
        <f>IF(ISNUMBER(Einflusslinie!$J30),PlotData!P29+Einflusslinie!$E$2* $AF$46*P74,PlotData!$CB$4)</f>
        <v>0</v>
      </c>
      <c r="AT74" s="1145">
        <f>IF(ISNUMBER(Einflusslinie!$J30),PlotData!Q29+Einflusslinie!$E$2* $AF$46*Q74,PlotData!$CB$4)</f>
        <v>0</v>
      </c>
      <c r="AU74" s="1145">
        <f>IF(ISNUMBER(Einflusslinie!$J30),PlotData!R29+ Einflusslinie!$E$2*$AF$46*R74,PlotData!$CB$4)</f>
        <v>0</v>
      </c>
      <c r="AV74" s="1145">
        <f>IF(ISNUMBER(Einflusslinie!$J30),PlotData!S29+ Einflusslinie!$E$2*$AF$46*S74,PlotData!$CB$4)</f>
        <v>0</v>
      </c>
      <c r="AW74" s="1145">
        <f>IF(ISNUMBER(Einflusslinie!$J30),PlotData!T29+ Einflusslinie!$E$2*$AF$46*T74,PlotData!$CB$4)</f>
        <v>0</v>
      </c>
      <c r="AX74" s="1145">
        <f>IF(ISNUMBER(Einflusslinie!$J30),PlotData!U29+ Einflusslinie!$E$2*$AF$46*U74,PlotData!$CB$4)</f>
        <v>0</v>
      </c>
      <c r="AY74" s="1145">
        <f>IF(ISNUMBER(Einflusslinie!$J30),PlotData!V29+ Einflusslinie!$E$2*$AF$46*V74,PlotData!$CB$4)</f>
        <v>0</v>
      </c>
      <c r="AZ74" s="1145">
        <f>IF(ISNUMBER(Einflusslinie!$J30),PlotData!W29+Einflusslinie!$E$2* $AF$46*W74,PlotData!$CB$4)</f>
        <v>0</v>
      </c>
      <c r="BA74" s="1145">
        <f>IF(ISNUMBER(Einflusslinie!$J30),PlotData!X29+ Einflusslinie!$E$2*$AF$46*X74,PlotData!$CB$4)</f>
        <v>0</v>
      </c>
      <c r="BB74" s="1155">
        <f>IF(ISNUMBER(Einflusslinie!$J30),PlotData!Y29+ Einflusslinie!$E$2*$AF$46*Y74,PlotData!$CB$4)</f>
        <v>0</v>
      </c>
      <c r="BC74" s="746">
        <f>IF(ISNUMBER(Einflusslinie!$J30),PlotData!Y29, PlotData!CB$4)</f>
        <v>0</v>
      </c>
      <c r="BD74" s="1144">
        <f>IF(ISNUMBER(Einflusslinie!$J30),PlotData!O29, PlotData!$CB$4)</f>
        <v>0</v>
      </c>
      <c r="BE74" s="747">
        <f>IF(ISNUMBER(Einflusslinie!$J30), AR74,PlotData!$CB$4)</f>
        <v>0</v>
      </c>
    </row>
    <row r="75" spans="1:57" x14ac:dyDescent="0.25">
      <c r="A75" s="1175">
        <v>27</v>
      </c>
      <c r="B75" s="668"/>
      <c r="C75" s="721"/>
      <c r="D75" s="721"/>
      <c r="E75" s="721"/>
      <c r="F75" s="721"/>
      <c r="G75" s="721"/>
      <c r="H75" s="721"/>
      <c r="I75" s="721"/>
      <c r="J75" s="721"/>
      <c r="K75" s="721"/>
      <c r="L75" s="639"/>
      <c r="N75" s="1175">
        <v>27</v>
      </c>
      <c r="O75" s="668"/>
      <c r="P75" s="721"/>
      <c r="Q75" s="721"/>
      <c r="R75" s="721"/>
      <c r="S75" s="721"/>
      <c r="T75" s="721"/>
      <c r="U75" s="721"/>
      <c r="V75" s="721"/>
      <c r="W75" s="721"/>
      <c r="X75" s="721"/>
      <c r="Y75" s="1176"/>
      <c r="AA75" s="1175">
        <v>27</v>
      </c>
      <c r="AB75" s="746">
        <f>IF(ISNUMBER(Einflusslinie!$J31),PlotData!B30+ Einflusslinie!$E$2*$AF$46*B75,PlotData!$CB$3)</f>
        <v>0</v>
      </c>
      <c r="AC75" s="1145">
        <f>IF(ISNUMBER(Einflusslinie!$J31),PlotData!C30+Einflusslinie!$E$2* $AF$46*C75,PlotData!$CB$3)</f>
        <v>0</v>
      </c>
      <c r="AD75" s="1145">
        <f>IF(ISNUMBER(Einflusslinie!$J31),PlotData!D30+ Einflusslinie!$E$2*$AF$46*D75,PlotData!$CB$3)</f>
        <v>0</v>
      </c>
      <c r="AE75" s="1145">
        <f>IF(ISNUMBER(Einflusslinie!$J31),PlotData!E30+Einflusslinie!$E$2* $AF$46*E75,PlotData!$CB$3)</f>
        <v>0</v>
      </c>
      <c r="AF75" s="1145">
        <f>IF(ISNUMBER(Einflusslinie!$J31),PlotData!F30+ Einflusslinie!$E$2*$AF$46*F75,PlotData!$CB$3)</f>
        <v>0</v>
      </c>
      <c r="AG75" s="1145">
        <f>IF(ISNUMBER(Einflusslinie!$J31),PlotData!G30+ Einflusslinie!$E$2*$AF$46*G75,PlotData!$CB$3)</f>
        <v>0</v>
      </c>
      <c r="AH75" s="1145">
        <f>IF(ISNUMBER(Einflusslinie!$J31),PlotData!H30+Einflusslinie!$E$2* $AF$46*H75,PlotData!$CB$3)</f>
        <v>0</v>
      </c>
      <c r="AI75" s="1145">
        <f>IF(ISNUMBER(Einflusslinie!$J31),PlotData!I30+ Einflusslinie!$E$2*$AF$46*I75,PlotData!$CB$3)</f>
        <v>0</v>
      </c>
      <c r="AJ75" s="1145">
        <f>IF(ISNUMBER(Einflusslinie!$J31),PlotData!J30+ Einflusslinie!$E$2*$AF$46*J75,PlotData!$CB$3)</f>
        <v>0</v>
      </c>
      <c r="AK75" s="1145">
        <f>IF(ISNUMBER(Einflusslinie!$J31),PlotData!K30+ Einflusslinie!$E$2*$AF$46*K75,PlotData!$CB$3)</f>
        <v>0</v>
      </c>
      <c r="AL75" s="1155">
        <f>IF(ISNUMBER(Einflusslinie!$J31),PlotData!L30+ Einflusslinie!$E$2*$AF$46*L75,PlotData!$CB$3)</f>
        <v>0</v>
      </c>
      <c r="AM75" s="746">
        <f>IF(ISNUMBER(Einflusslinie!$J31),PlotData!L30,PlotData!$CB$3)</f>
        <v>0</v>
      </c>
      <c r="AN75" s="1144">
        <f>IF(ISNUMBER(Einflusslinie!$J31),PlotData!B30,PlotData!$CB$3)</f>
        <v>0</v>
      </c>
      <c r="AO75" s="747">
        <f>IF(ISNUMBER(Einflusslinie!$J31),AB75,PlotData!$CB$3)</f>
        <v>0</v>
      </c>
      <c r="AQ75" s="1175">
        <v>27</v>
      </c>
      <c r="AR75" s="746">
        <f>IF(ISNUMBER(Einflusslinie!$J31),PlotData!O30+ Einflusslinie!$E$2*$AF$46*O75,PlotData!$CB$4)</f>
        <v>0</v>
      </c>
      <c r="AS75" s="1145">
        <f>IF(ISNUMBER(Einflusslinie!$J31),PlotData!P30+Einflusslinie!$E$2* $AF$46*P75,PlotData!$CB$4)</f>
        <v>0</v>
      </c>
      <c r="AT75" s="1145">
        <f>IF(ISNUMBER(Einflusslinie!$J31),PlotData!Q30+Einflusslinie!$E$2* $AF$46*Q75,PlotData!$CB$4)</f>
        <v>0</v>
      </c>
      <c r="AU75" s="1145">
        <f>IF(ISNUMBER(Einflusslinie!$J31),PlotData!R30+ Einflusslinie!$E$2*$AF$46*R75,PlotData!$CB$4)</f>
        <v>0</v>
      </c>
      <c r="AV75" s="1145">
        <f>IF(ISNUMBER(Einflusslinie!$J31),PlotData!S30+ Einflusslinie!$E$2*$AF$46*S75,PlotData!$CB$4)</f>
        <v>0</v>
      </c>
      <c r="AW75" s="1145">
        <f>IF(ISNUMBER(Einflusslinie!$J31),PlotData!T30+ Einflusslinie!$E$2*$AF$46*T75,PlotData!$CB$4)</f>
        <v>0</v>
      </c>
      <c r="AX75" s="1145">
        <f>IF(ISNUMBER(Einflusslinie!$J31),PlotData!U30+ Einflusslinie!$E$2*$AF$46*U75,PlotData!$CB$4)</f>
        <v>0</v>
      </c>
      <c r="AY75" s="1145">
        <f>IF(ISNUMBER(Einflusslinie!$J31),PlotData!V30+ Einflusslinie!$E$2*$AF$46*V75,PlotData!$CB$4)</f>
        <v>0</v>
      </c>
      <c r="AZ75" s="1145">
        <f>IF(ISNUMBER(Einflusslinie!$J31),PlotData!W30+Einflusslinie!$E$2* $AF$46*W75,PlotData!$CB$4)</f>
        <v>0</v>
      </c>
      <c r="BA75" s="1145">
        <f>IF(ISNUMBER(Einflusslinie!$J31),PlotData!X30+ Einflusslinie!$E$2*$AF$46*X75,PlotData!$CB$4)</f>
        <v>0</v>
      </c>
      <c r="BB75" s="1155">
        <f>IF(ISNUMBER(Einflusslinie!$J31),PlotData!Y30+ Einflusslinie!$E$2*$AF$46*Y75,PlotData!$CB$4)</f>
        <v>0</v>
      </c>
      <c r="BC75" s="746">
        <f>IF(ISNUMBER(Einflusslinie!$J31),PlotData!Y30, PlotData!CB$4)</f>
        <v>0</v>
      </c>
      <c r="BD75" s="1144">
        <f>IF(ISNUMBER(Einflusslinie!$J31),PlotData!O30, PlotData!$CB$4)</f>
        <v>0</v>
      </c>
      <c r="BE75" s="747">
        <f>IF(ISNUMBER(Einflusslinie!$J31), AR75,PlotData!$CB$4)</f>
        <v>0</v>
      </c>
    </row>
    <row r="76" spans="1:57" x14ac:dyDescent="0.25">
      <c r="A76" s="1175">
        <v>28</v>
      </c>
      <c r="B76" s="668"/>
      <c r="C76" s="721"/>
      <c r="D76" s="721"/>
      <c r="E76" s="721"/>
      <c r="F76" s="721"/>
      <c r="G76" s="721"/>
      <c r="H76" s="721"/>
      <c r="I76" s="721"/>
      <c r="J76" s="721"/>
      <c r="K76" s="721"/>
      <c r="L76" s="639"/>
      <c r="N76" s="1175">
        <v>28</v>
      </c>
      <c r="O76" s="668"/>
      <c r="P76" s="721"/>
      <c r="Q76" s="721"/>
      <c r="R76" s="721"/>
      <c r="S76" s="721"/>
      <c r="T76" s="721"/>
      <c r="U76" s="721"/>
      <c r="V76" s="721"/>
      <c r="W76" s="721"/>
      <c r="X76" s="721"/>
      <c r="Y76" s="1176"/>
      <c r="AA76" s="1175">
        <v>28</v>
      </c>
      <c r="AB76" s="746">
        <f>IF(ISNUMBER(Einflusslinie!$J32),PlotData!B31+ Einflusslinie!$E$2*$AF$46*B76,PlotData!$CB$3)</f>
        <v>0</v>
      </c>
      <c r="AC76" s="1145">
        <f>IF(ISNUMBER(Einflusslinie!$J32),PlotData!C31+Einflusslinie!$E$2* $AF$46*C76,PlotData!$CB$3)</f>
        <v>0</v>
      </c>
      <c r="AD76" s="1145">
        <f>IF(ISNUMBER(Einflusslinie!$J32),PlotData!D31+ Einflusslinie!$E$2*$AF$46*D76,PlotData!$CB$3)</f>
        <v>0</v>
      </c>
      <c r="AE76" s="1145">
        <f>IF(ISNUMBER(Einflusslinie!$J32),PlotData!E31+Einflusslinie!$E$2* $AF$46*E76,PlotData!$CB$3)</f>
        <v>0</v>
      </c>
      <c r="AF76" s="1145">
        <f>IF(ISNUMBER(Einflusslinie!$J32),PlotData!F31+ Einflusslinie!$E$2*$AF$46*F76,PlotData!$CB$3)</f>
        <v>0</v>
      </c>
      <c r="AG76" s="1145">
        <f>IF(ISNUMBER(Einflusslinie!$J32),PlotData!G31+ Einflusslinie!$E$2*$AF$46*G76,PlotData!$CB$3)</f>
        <v>0</v>
      </c>
      <c r="AH76" s="1145">
        <f>IF(ISNUMBER(Einflusslinie!$J32),PlotData!H31+Einflusslinie!$E$2* $AF$46*H76,PlotData!$CB$3)</f>
        <v>0</v>
      </c>
      <c r="AI76" s="1145">
        <f>IF(ISNUMBER(Einflusslinie!$J32),PlotData!I31+ Einflusslinie!$E$2*$AF$46*I76,PlotData!$CB$3)</f>
        <v>0</v>
      </c>
      <c r="AJ76" s="1145">
        <f>IF(ISNUMBER(Einflusslinie!$J32),PlotData!J31+ Einflusslinie!$E$2*$AF$46*J76,PlotData!$CB$3)</f>
        <v>0</v>
      </c>
      <c r="AK76" s="1145">
        <f>IF(ISNUMBER(Einflusslinie!$J32),PlotData!K31+ Einflusslinie!$E$2*$AF$46*K76,PlotData!$CB$3)</f>
        <v>0</v>
      </c>
      <c r="AL76" s="1155">
        <f>IF(ISNUMBER(Einflusslinie!$J32),PlotData!L31+ Einflusslinie!$E$2*$AF$46*L76,PlotData!$CB$3)</f>
        <v>0</v>
      </c>
      <c r="AM76" s="746">
        <f>IF(ISNUMBER(Einflusslinie!$J32),PlotData!L31,PlotData!$CB$3)</f>
        <v>0</v>
      </c>
      <c r="AN76" s="1144">
        <f>IF(ISNUMBER(Einflusslinie!$J32),PlotData!B31,PlotData!$CB$3)</f>
        <v>0</v>
      </c>
      <c r="AO76" s="747">
        <f>IF(ISNUMBER(Einflusslinie!$J32),AB76,PlotData!$CB$3)</f>
        <v>0</v>
      </c>
      <c r="AQ76" s="1175">
        <v>28</v>
      </c>
      <c r="AR76" s="746">
        <f>IF(ISNUMBER(Einflusslinie!$J32),PlotData!O31+ Einflusslinie!$E$2*$AF$46*O76,PlotData!$CB$4)</f>
        <v>0</v>
      </c>
      <c r="AS76" s="1145">
        <f>IF(ISNUMBER(Einflusslinie!$J32),PlotData!P31+Einflusslinie!$E$2* $AF$46*P76,PlotData!$CB$4)</f>
        <v>0</v>
      </c>
      <c r="AT76" s="1145">
        <f>IF(ISNUMBER(Einflusslinie!$J32),PlotData!Q31+Einflusslinie!$E$2* $AF$46*Q76,PlotData!$CB$4)</f>
        <v>0</v>
      </c>
      <c r="AU76" s="1145">
        <f>IF(ISNUMBER(Einflusslinie!$J32),PlotData!R31+ Einflusslinie!$E$2*$AF$46*R76,PlotData!$CB$4)</f>
        <v>0</v>
      </c>
      <c r="AV76" s="1145">
        <f>IF(ISNUMBER(Einflusslinie!$J32),PlotData!S31+ Einflusslinie!$E$2*$AF$46*S76,PlotData!$CB$4)</f>
        <v>0</v>
      </c>
      <c r="AW76" s="1145">
        <f>IF(ISNUMBER(Einflusslinie!$J32),PlotData!T31+ Einflusslinie!$E$2*$AF$46*T76,PlotData!$CB$4)</f>
        <v>0</v>
      </c>
      <c r="AX76" s="1145">
        <f>IF(ISNUMBER(Einflusslinie!$J32),PlotData!U31+ Einflusslinie!$E$2*$AF$46*U76,PlotData!$CB$4)</f>
        <v>0</v>
      </c>
      <c r="AY76" s="1145">
        <f>IF(ISNUMBER(Einflusslinie!$J32),PlotData!V31+ Einflusslinie!$E$2*$AF$46*V76,PlotData!$CB$4)</f>
        <v>0</v>
      </c>
      <c r="AZ76" s="1145">
        <f>IF(ISNUMBER(Einflusslinie!$J32),PlotData!W31+Einflusslinie!$E$2* $AF$46*W76,PlotData!$CB$4)</f>
        <v>0</v>
      </c>
      <c r="BA76" s="1145">
        <f>IF(ISNUMBER(Einflusslinie!$J32),PlotData!X31+ Einflusslinie!$E$2*$AF$46*X76,PlotData!$CB$4)</f>
        <v>0</v>
      </c>
      <c r="BB76" s="1155">
        <f>IF(ISNUMBER(Einflusslinie!$J32),PlotData!Y31+ Einflusslinie!$E$2*$AF$46*Y76,PlotData!$CB$4)</f>
        <v>0</v>
      </c>
      <c r="BC76" s="746">
        <f>IF(ISNUMBER(Einflusslinie!$J32),PlotData!Y31, PlotData!CB$4)</f>
        <v>0</v>
      </c>
      <c r="BD76" s="1144">
        <f>IF(ISNUMBER(Einflusslinie!$J32),PlotData!O31, PlotData!$CB$4)</f>
        <v>0</v>
      </c>
      <c r="BE76" s="747">
        <f>IF(ISNUMBER(Einflusslinie!$J32), AR76,PlotData!$CB$4)</f>
        <v>0</v>
      </c>
    </row>
    <row r="77" spans="1:57" x14ac:dyDescent="0.25">
      <c r="A77" s="1175">
        <v>29</v>
      </c>
      <c r="B77" s="668"/>
      <c r="C77" s="721"/>
      <c r="D77" s="721"/>
      <c r="E77" s="721"/>
      <c r="F77" s="721"/>
      <c r="G77" s="721"/>
      <c r="H77" s="721"/>
      <c r="I77" s="721"/>
      <c r="J77" s="721"/>
      <c r="K77" s="721"/>
      <c r="L77" s="639"/>
      <c r="N77" s="1175">
        <v>29</v>
      </c>
      <c r="O77" s="668"/>
      <c r="P77" s="721"/>
      <c r="Q77" s="721"/>
      <c r="R77" s="721"/>
      <c r="S77" s="721"/>
      <c r="T77" s="721"/>
      <c r="U77" s="721"/>
      <c r="V77" s="721"/>
      <c r="W77" s="721"/>
      <c r="X77" s="721"/>
      <c r="Y77" s="1176"/>
      <c r="AA77" s="1175">
        <v>29</v>
      </c>
      <c r="AB77" s="746">
        <f>IF(ISNUMBER(Einflusslinie!$J33),PlotData!B32+ Einflusslinie!$E$2*$AF$46*B77,PlotData!$CB$3)</f>
        <v>0</v>
      </c>
      <c r="AC77" s="1145">
        <f>IF(ISNUMBER(Einflusslinie!$J33),PlotData!C32+Einflusslinie!$E$2* $AF$46*C77,PlotData!$CB$3)</f>
        <v>0</v>
      </c>
      <c r="AD77" s="1145">
        <f>IF(ISNUMBER(Einflusslinie!$J33),PlotData!D32+ Einflusslinie!$E$2*$AF$46*D77,PlotData!$CB$3)</f>
        <v>0</v>
      </c>
      <c r="AE77" s="1145">
        <f>IF(ISNUMBER(Einflusslinie!$J33),PlotData!E32+Einflusslinie!$E$2* $AF$46*E77,PlotData!$CB$3)</f>
        <v>0</v>
      </c>
      <c r="AF77" s="1145">
        <f>IF(ISNUMBER(Einflusslinie!$J33),PlotData!F32+ Einflusslinie!$E$2*$AF$46*F77,PlotData!$CB$3)</f>
        <v>0</v>
      </c>
      <c r="AG77" s="1145">
        <f>IF(ISNUMBER(Einflusslinie!$J33),PlotData!G32+ Einflusslinie!$E$2*$AF$46*G77,PlotData!$CB$3)</f>
        <v>0</v>
      </c>
      <c r="AH77" s="1145">
        <f>IF(ISNUMBER(Einflusslinie!$J33),PlotData!H32+Einflusslinie!$E$2* $AF$46*H77,PlotData!$CB$3)</f>
        <v>0</v>
      </c>
      <c r="AI77" s="1145">
        <f>IF(ISNUMBER(Einflusslinie!$J33),PlotData!I32+ Einflusslinie!$E$2*$AF$46*I77,PlotData!$CB$3)</f>
        <v>0</v>
      </c>
      <c r="AJ77" s="1145">
        <f>IF(ISNUMBER(Einflusslinie!$J33),PlotData!J32+ Einflusslinie!$E$2*$AF$46*J77,PlotData!$CB$3)</f>
        <v>0</v>
      </c>
      <c r="AK77" s="1145">
        <f>IF(ISNUMBER(Einflusslinie!$J33),PlotData!K32+ Einflusslinie!$E$2*$AF$46*K77,PlotData!$CB$3)</f>
        <v>0</v>
      </c>
      <c r="AL77" s="1155">
        <f>IF(ISNUMBER(Einflusslinie!$J33),PlotData!L32+ Einflusslinie!$E$2*$AF$46*L77,PlotData!$CB$3)</f>
        <v>0</v>
      </c>
      <c r="AM77" s="746">
        <f>IF(ISNUMBER(Einflusslinie!$J33),PlotData!L32,PlotData!$CB$3)</f>
        <v>0</v>
      </c>
      <c r="AN77" s="1144">
        <f>IF(ISNUMBER(Einflusslinie!$J33),PlotData!B32,PlotData!$CB$3)</f>
        <v>0</v>
      </c>
      <c r="AO77" s="747">
        <f>IF(ISNUMBER(Einflusslinie!$J33),AB77,PlotData!$CB$3)</f>
        <v>0</v>
      </c>
      <c r="AQ77" s="1175">
        <v>29</v>
      </c>
      <c r="AR77" s="746">
        <f>IF(ISNUMBER(Einflusslinie!$J33),PlotData!O32+ Einflusslinie!$E$2*$AF$46*O77,PlotData!$CB$4)</f>
        <v>0</v>
      </c>
      <c r="AS77" s="1145">
        <f>IF(ISNUMBER(Einflusslinie!$J33),PlotData!P32+Einflusslinie!$E$2* $AF$46*P77,PlotData!$CB$4)</f>
        <v>0</v>
      </c>
      <c r="AT77" s="1145">
        <f>IF(ISNUMBER(Einflusslinie!$J33),PlotData!Q32+Einflusslinie!$E$2* $AF$46*Q77,PlotData!$CB$4)</f>
        <v>0</v>
      </c>
      <c r="AU77" s="1145">
        <f>IF(ISNUMBER(Einflusslinie!$J33),PlotData!R32+ Einflusslinie!$E$2*$AF$46*R77,PlotData!$CB$4)</f>
        <v>0</v>
      </c>
      <c r="AV77" s="1145">
        <f>IF(ISNUMBER(Einflusslinie!$J33),PlotData!S32+ Einflusslinie!$E$2*$AF$46*S77,PlotData!$CB$4)</f>
        <v>0</v>
      </c>
      <c r="AW77" s="1145">
        <f>IF(ISNUMBER(Einflusslinie!$J33),PlotData!T32+ Einflusslinie!$E$2*$AF$46*T77,PlotData!$CB$4)</f>
        <v>0</v>
      </c>
      <c r="AX77" s="1145">
        <f>IF(ISNUMBER(Einflusslinie!$J33),PlotData!U32+ Einflusslinie!$E$2*$AF$46*U77,PlotData!$CB$4)</f>
        <v>0</v>
      </c>
      <c r="AY77" s="1145">
        <f>IF(ISNUMBER(Einflusslinie!$J33),PlotData!V32+ Einflusslinie!$E$2*$AF$46*V77,PlotData!$CB$4)</f>
        <v>0</v>
      </c>
      <c r="AZ77" s="1145">
        <f>IF(ISNUMBER(Einflusslinie!$J33),PlotData!W32+Einflusslinie!$E$2* $AF$46*W77,PlotData!$CB$4)</f>
        <v>0</v>
      </c>
      <c r="BA77" s="1145">
        <f>IF(ISNUMBER(Einflusslinie!$J33),PlotData!X32+ Einflusslinie!$E$2*$AF$46*X77,PlotData!$CB$4)</f>
        <v>0</v>
      </c>
      <c r="BB77" s="1155">
        <f>IF(ISNUMBER(Einflusslinie!$J33),PlotData!Y32+ Einflusslinie!$E$2*$AF$46*Y77,PlotData!$CB$4)</f>
        <v>0</v>
      </c>
      <c r="BC77" s="746">
        <f>IF(ISNUMBER(Einflusslinie!$J33),PlotData!Y32, PlotData!CB$4)</f>
        <v>0</v>
      </c>
      <c r="BD77" s="1144">
        <f>IF(ISNUMBER(Einflusslinie!$J33),PlotData!O32, PlotData!$CB$4)</f>
        <v>0</v>
      </c>
      <c r="BE77" s="747">
        <f>IF(ISNUMBER(Einflusslinie!$J33), AR77,PlotData!$CB$4)</f>
        <v>0</v>
      </c>
    </row>
    <row r="78" spans="1:57" x14ac:dyDescent="0.25">
      <c r="A78" s="1175">
        <v>30</v>
      </c>
      <c r="B78" s="668"/>
      <c r="C78" s="721"/>
      <c r="D78" s="721"/>
      <c r="E78" s="721"/>
      <c r="F78" s="721"/>
      <c r="G78" s="721"/>
      <c r="H78" s="721"/>
      <c r="I78" s="721"/>
      <c r="J78" s="721"/>
      <c r="K78" s="721"/>
      <c r="L78" s="639"/>
      <c r="N78" s="1175">
        <v>30</v>
      </c>
      <c r="O78" s="668"/>
      <c r="P78" s="721"/>
      <c r="Q78" s="721"/>
      <c r="R78" s="721"/>
      <c r="S78" s="721"/>
      <c r="T78" s="721"/>
      <c r="U78" s="721"/>
      <c r="V78" s="721"/>
      <c r="W78" s="721"/>
      <c r="X78" s="721"/>
      <c r="Y78" s="1176"/>
      <c r="AA78" s="1175">
        <v>30</v>
      </c>
      <c r="AB78" s="746">
        <f>IF(ISNUMBER(Einflusslinie!$J34),PlotData!B33+ Einflusslinie!$E$2*$AF$46*B78,PlotData!$CB$3)</f>
        <v>0</v>
      </c>
      <c r="AC78" s="1145">
        <f>IF(ISNUMBER(Einflusslinie!$J34),PlotData!C33+Einflusslinie!$E$2* $AF$46*C78,PlotData!$CB$3)</f>
        <v>0</v>
      </c>
      <c r="AD78" s="1145">
        <f>IF(ISNUMBER(Einflusslinie!$J34),PlotData!D33+ Einflusslinie!$E$2*$AF$46*D78,PlotData!$CB$3)</f>
        <v>0</v>
      </c>
      <c r="AE78" s="1145">
        <f>IF(ISNUMBER(Einflusslinie!$J34),PlotData!E33+Einflusslinie!$E$2* $AF$46*E78,PlotData!$CB$3)</f>
        <v>0</v>
      </c>
      <c r="AF78" s="1145">
        <f>IF(ISNUMBER(Einflusslinie!$J34),PlotData!F33+ Einflusslinie!$E$2*$AF$46*F78,PlotData!$CB$3)</f>
        <v>0</v>
      </c>
      <c r="AG78" s="1145">
        <f>IF(ISNUMBER(Einflusslinie!$J34),PlotData!G33+ Einflusslinie!$E$2*$AF$46*G78,PlotData!$CB$3)</f>
        <v>0</v>
      </c>
      <c r="AH78" s="1145">
        <f>IF(ISNUMBER(Einflusslinie!$J34),PlotData!H33+Einflusslinie!$E$2* $AF$46*H78,PlotData!$CB$3)</f>
        <v>0</v>
      </c>
      <c r="AI78" s="1145">
        <f>IF(ISNUMBER(Einflusslinie!$J34),PlotData!I33+ Einflusslinie!$E$2*$AF$46*I78,PlotData!$CB$3)</f>
        <v>0</v>
      </c>
      <c r="AJ78" s="1145">
        <f>IF(ISNUMBER(Einflusslinie!$J34),PlotData!J33+ Einflusslinie!$E$2*$AF$46*J78,PlotData!$CB$3)</f>
        <v>0</v>
      </c>
      <c r="AK78" s="1145">
        <f>IF(ISNUMBER(Einflusslinie!$J34),PlotData!K33+ Einflusslinie!$E$2*$AF$46*K78,PlotData!$CB$3)</f>
        <v>0</v>
      </c>
      <c r="AL78" s="1155">
        <f>IF(ISNUMBER(Einflusslinie!$J34),PlotData!L33+ Einflusslinie!$E$2*$AF$46*L78,PlotData!$CB$3)</f>
        <v>0</v>
      </c>
      <c r="AM78" s="746">
        <f>IF(ISNUMBER(Einflusslinie!$J34),PlotData!L33,PlotData!$CB$3)</f>
        <v>0</v>
      </c>
      <c r="AN78" s="1144">
        <f>IF(ISNUMBER(Einflusslinie!$J34),PlotData!B33,PlotData!$CB$3)</f>
        <v>0</v>
      </c>
      <c r="AO78" s="747">
        <f>IF(ISNUMBER(Einflusslinie!$J34),AB78,PlotData!$CB$3)</f>
        <v>0</v>
      </c>
      <c r="AQ78" s="1175">
        <v>30</v>
      </c>
      <c r="AR78" s="746">
        <f>IF(ISNUMBER(Einflusslinie!$J34),PlotData!O33+ Einflusslinie!$E$2*$AF$46*O78,PlotData!$CB$4)</f>
        <v>0</v>
      </c>
      <c r="AS78" s="1145">
        <f>IF(ISNUMBER(Einflusslinie!$J34),PlotData!P33+Einflusslinie!$E$2* $AF$46*P78,PlotData!$CB$4)</f>
        <v>0</v>
      </c>
      <c r="AT78" s="1145">
        <f>IF(ISNUMBER(Einflusslinie!$J34),PlotData!Q33+Einflusslinie!$E$2* $AF$46*Q78,PlotData!$CB$4)</f>
        <v>0</v>
      </c>
      <c r="AU78" s="1145">
        <f>IF(ISNUMBER(Einflusslinie!$J34),PlotData!R33+ Einflusslinie!$E$2*$AF$46*R78,PlotData!$CB$4)</f>
        <v>0</v>
      </c>
      <c r="AV78" s="1145">
        <f>IF(ISNUMBER(Einflusslinie!$J34),PlotData!S33+ Einflusslinie!$E$2*$AF$46*S78,PlotData!$CB$4)</f>
        <v>0</v>
      </c>
      <c r="AW78" s="1145">
        <f>IF(ISNUMBER(Einflusslinie!$J34),PlotData!T33+ Einflusslinie!$E$2*$AF$46*T78,PlotData!$CB$4)</f>
        <v>0</v>
      </c>
      <c r="AX78" s="1145">
        <f>IF(ISNUMBER(Einflusslinie!$J34),PlotData!U33+ Einflusslinie!$E$2*$AF$46*U78,PlotData!$CB$4)</f>
        <v>0</v>
      </c>
      <c r="AY78" s="1145">
        <f>IF(ISNUMBER(Einflusslinie!$J34),PlotData!V33+ Einflusslinie!$E$2*$AF$46*V78,PlotData!$CB$4)</f>
        <v>0</v>
      </c>
      <c r="AZ78" s="1145">
        <f>IF(ISNUMBER(Einflusslinie!$J34),PlotData!W33+Einflusslinie!$E$2* $AF$46*W78,PlotData!$CB$4)</f>
        <v>0</v>
      </c>
      <c r="BA78" s="1145">
        <f>IF(ISNUMBER(Einflusslinie!$J34),PlotData!X33+ Einflusslinie!$E$2*$AF$46*X78,PlotData!$CB$4)</f>
        <v>0</v>
      </c>
      <c r="BB78" s="1155">
        <f>IF(ISNUMBER(Einflusslinie!$J34),PlotData!Y33+ Einflusslinie!$E$2*$AF$46*Y78,PlotData!$CB$4)</f>
        <v>0</v>
      </c>
      <c r="BC78" s="746">
        <f>IF(ISNUMBER(Einflusslinie!$J34),PlotData!Y33, PlotData!CB$4)</f>
        <v>0</v>
      </c>
      <c r="BD78" s="1144">
        <f>IF(ISNUMBER(Einflusslinie!$J34),PlotData!O33, PlotData!$CB$4)</f>
        <v>0</v>
      </c>
      <c r="BE78" s="747">
        <f>IF(ISNUMBER(Einflusslinie!$J34), AR78,PlotData!$CB$4)</f>
        <v>0</v>
      </c>
    </row>
    <row r="79" spans="1:57" x14ac:dyDescent="0.25">
      <c r="A79" s="1175">
        <v>31</v>
      </c>
      <c r="B79" s="668"/>
      <c r="C79" s="721"/>
      <c r="D79" s="721"/>
      <c r="E79" s="721"/>
      <c r="F79" s="721"/>
      <c r="G79" s="721"/>
      <c r="H79" s="721"/>
      <c r="I79" s="721"/>
      <c r="J79" s="721"/>
      <c r="K79" s="721"/>
      <c r="L79" s="639"/>
      <c r="N79" s="1175">
        <v>31</v>
      </c>
      <c r="O79" s="668"/>
      <c r="P79" s="721"/>
      <c r="Q79" s="721"/>
      <c r="R79" s="721"/>
      <c r="S79" s="721"/>
      <c r="T79" s="721"/>
      <c r="U79" s="721"/>
      <c r="V79" s="721"/>
      <c r="W79" s="721"/>
      <c r="X79" s="721"/>
      <c r="Y79" s="1176"/>
      <c r="AA79" s="1175">
        <v>31</v>
      </c>
      <c r="AB79" s="746">
        <f>IF(ISNUMBER(Einflusslinie!$J35),PlotData!B34+ Einflusslinie!$E$2*$AF$46*B79,PlotData!$CB$3)</f>
        <v>0</v>
      </c>
      <c r="AC79" s="1145">
        <f>IF(ISNUMBER(Einflusslinie!$J35),PlotData!C34+Einflusslinie!$E$2* $AF$46*C79,PlotData!$CB$3)</f>
        <v>0</v>
      </c>
      <c r="AD79" s="1145">
        <f>IF(ISNUMBER(Einflusslinie!$J35),PlotData!D34+ Einflusslinie!$E$2*$AF$46*D79,PlotData!$CB$3)</f>
        <v>0</v>
      </c>
      <c r="AE79" s="1145">
        <f>IF(ISNUMBER(Einflusslinie!$J35),PlotData!E34+Einflusslinie!$E$2* $AF$46*E79,PlotData!$CB$3)</f>
        <v>0</v>
      </c>
      <c r="AF79" s="1145">
        <f>IF(ISNUMBER(Einflusslinie!$J35),PlotData!F34+ Einflusslinie!$E$2*$AF$46*F79,PlotData!$CB$3)</f>
        <v>0</v>
      </c>
      <c r="AG79" s="1145">
        <f>IF(ISNUMBER(Einflusslinie!$J35),PlotData!G34+ Einflusslinie!$E$2*$AF$46*G79,PlotData!$CB$3)</f>
        <v>0</v>
      </c>
      <c r="AH79" s="1145">
        <f>IF(ISNUMBER(Einflusslinie!$J35),PlotData!H34+Einflusslinie!$E$2* $AF$46*H79,PlotData!$CB$3)</f>
        <v>0</v>
      </c>
      <c r="AI79" s="1145">
        <f>IF(ISNUMBER(Einflusslinie!$J35),PlotData!I34+ Einflusslinie!$E$2*$AF$46*I79,PlotData!$CB$3)</f>
        <v>0</v>
      </c>
      <c r="AJ79" s="1145">
        <f>IF(ISNUMBER(Einflusslinie!$J35),PlotData!J34+ Einflusslinie!$E$2*$AF$46*J79,PlotData!$CB$3)</f>
        <v>0</v>
      </c>
      <c r="AK79" s="1145">
        <f>IF(ISNUMBER(Einflusslinie!$J35),PlotData!K34+ Einflusslinie!$E$2*$AF$46*K79,PlotData!$CB$3)</f>
        <v>0</v>
      </c>
      <c r="AL79" s="1155">
        <f>IF(ISNUMBER(Einflusslinie!$J35),PlotData!L34+ Einflusslinie!$E$2*$AF$46*L79,PlotData!$CB$3)</f>
        <v>0</v>
      </c>
      <c r="AM79" s="746">
        <f>IF(ISNUMBER(Einflusslinie!$J35),PlotData!L34,PlotData!$CB$3)</f>
        <v>0</v>
      </c>
      <c r="AN79" s="1144">
        <f>IF(ISNUMBER(Einflusslinie!$J35),PlotData!B34,PlotData!$CB$3)</f>
        <v>0</v>
      </c>
      <c r="AO79" s="747">
        <f>IF(ISNUMBER(Einflusslinie!$J35),AB79,PlotData!$CB$3)</f>
        <v>0</v>
      </c>
      <c r="AQ79" s="1175">
        <v>31</v>
      </c>
      <c r="AR79" s="746">
        <f>IF(ISNUMBER(Einflusslinie!$J35),PlotData!O34+ Einflusslinie!$E$2*$AF$46*O79,PlotData!$CB$4)</f>
        <v>0</v>
      </c>
      <c r="AS79" s="1145">
        <f>IF(ISNUMBER(Einflusslinie!$J35),PlotData!P34+Einflusslinie!$E$2* $AF$46*P79,PlotData!$CB$4)</f>
        <v>0</v>
      </c>
      <c r="AT79" s="1145">
        <f>IF(ISNUMBER(Einflusslinie!$J35),PlotData!Q34+Einflusslinie!$E$2* $AF$46*Q79,PlotData!$CB$4)</f>
        <v>0</v>
      </c>
      <c r="AU79" s="1145">
        <f>IF(ISNUMBER(Einflusslinie!$J35),PlotData!R34+ Einflusslinie!$E$2*$AF$46*R79,PlotData!$CB$4)</f>
        <v>0</v>
      </c>
      <c r="AV79" s="1145">
        <f>IF(ISNUMBER(Einflusslinie!$J35),PlotData!S34+ Einflusslinie!$E$2*$AF$46*S79,PlotData!$CB$4)</f>
        <v>0</v>
      </c>
      <c r="AW79" s="1145">
        <f>IF(ISNUMBER(Einflusslinie!$J35),PlotData!T34+ Einflusslinie!$E$2*$AF$46*T79,PlotData!$CB$4)</f>
        <v>0</v>
      </c>
      <c r="AX79" s="1145">
        <f>IF(ISNUMBER(Einflusslinie!$J35),PlotData!U34+ Einflusslinie!$E$2*$AF$46*U79,PlotData!$CB$4)</f>
        <v>0</v>
      </c>
      <c r="AY79" s="1145">
        <f>IF(ISNUMBER(Einflusslinie!$J35),PlotData!V34+ Einflusslinie!$E$2*$AF$46*V79,PlotData!$CB$4)</f>
        <v>0</v>
      </c>
      <c r="AZ79" s="1145">
        <f>IF(ISNUMBER(Einflusslinie!$J35),PlotData!W34+Einflusslinie!$E$2* $AF$46*W79,PlotData!$CB$4)</f>
        <v>0</v>
      </c>
      <c r="BA79" s="1145">
        <f>IF(ISNUMBER(Einflusslinie!$J35),PlotData!X34+ Einflusslinie!$E$2*$AF$46*X79,PlotData!$CB$4)</f>
        <v>0</v>
      </c>
      <c r="BB79" s="1155">
        <f>IF(ISNUMBER(Einflusslinie!$J35),PlotData!Y34+ Einflusslinie!$E$2*$AF$46*Y79,PlotData!$CB$4)</f>
        <v>0</v>
      </c>
      <c r="BC79" s="746">
        <f>IF(ISNUMBER(Einflusslinie!$J35),PlotData!Y34, PlotData!CB$4)</f>
        <v>0</v>
      </c>
      <c r="BD79" s="1144">
        <f>IF(ISNUMBER(Einflusslinie!$J35),PlotData!O34, PlotData!$CB$4)</f>
        <v>0</v>
      </c>
      <c r="BE79" s="747">
        <f>IF(ISNUMBER(Einflusslinie!$J35), AR79,PlotData!$CB$4)</f>
        <v>0</v>
      </c>
    </row>
    <row r="80" spans="1:57" x14ac:dyDescent="0.25">
      <c r="A80" s="1175">
        <v>32</v>
      </c>
      <c r="B80" s="668"/>
      <c r="C80" s="721"/>
      <c r="D80" s="721"/>
      <c r="E80" s="721"/>
      <c r="F80" s="721"/>
      <c r="G80" s="721"/>
      <c r="H80" s="721"/>
      <c r="I80" s="721"/>
      <c r="J80" s="721"/>
      <c r="K80" s="721"/>
      <c r="L80" s="639"/>
      <c r="N80" s="1175">
        <v>32</v>
      </c>
      <c r="O80" s="668"/>
      <c r="P80" s="721"/>
      <c r="Q80" s="721"/>
      <c r="R80" s="721"/>
      <c r="S80" s="721"/>
      <c r="T80" s="721"/>
      <c r="U80" s="721"/>
      <c r="V80" s="721"/>
      <c r="W80" s="721"/>
      <c r="X80" s="721"/>
      <c r="Y80" s="1176"/>
      <c r="AA80" s="1175">
        <v>32</v>
      </c>
      <c r="AB80" s="746">
        <f>IF(ISNUMBER(Einflusslinie!$J36),PlotData!B35+ Einflusslinie!$E$2*$AF$46*B80,PlotData!$CB$3)</f>
        <v>0</v>
      </c>
      <c r="AC80" s="1145">
        <f>IF(ISNUMBER(Einflusslinie!$J36),PlotData!C35+Einflusslinie!$E$2* $AF$46*C80,PlotData!$CB$3)</f>
        <v>0</v>
      </c>
      <c r="AD80" s="1145">
        <f>IF(ISNUMBER(Einflusslinie!$J36),PlotData!D35+ Einflusslinie!$E$2*$AF$46*D80,PlotData!$CB$3)</f>
        <v>0</v>
      </c>
      <c r="AE80" s="1145">
        <f>IF(ISNUMBER(Einflusslinie!$J36),PlotData!E35+Einflusslinie!$E$2* $AF$46*E80,PlotData!$CB$3)</f>
        <v>0</v>
      </c>
      <c r="AF80" s="1145">
        <f>IF(ISNUMBER(Einflusslinie!$J36),PlotData!F35+ Einflusslinie!$E$2*$AF$46*F80,PlotData!$CB$3)</f>
        <v>0</v>
      </c>
      <c r="AG80" s="1145">
        <f>IF(ISNUMBER(Einflusslinie!$J36),PlotData!G35+ Einflusslinie!$E$2*$AF$46*G80,PlotData!$CB$3)</f>
        <v>0</v>
      </c>
      <c r="AH80" s="1145">
        <f>IF(ISNUMBER(Einflusslinie!$J36),PlotData!H35+Einflusslinie!$E$2* $AF$46*H80,PlotData!$CB$3)</f>
        <v>0</v>
      </c>
      <c r="AI80" s="1145">
        <f>IF(ISNUMBER(Einflusslinie!$J36),PlotData!I35+ Einflusslinie!$E$2*$AF$46*I80,PlotData!$CB$3)</f>
        <v>0</v>
      </c>
      <c r="AJ80" s="1145">
        <f>IF(ISNUMBER(Einflusslinie!$J36),PlotData!J35+ Einflusslinie!$E$2*$AF$46*J80,PlotData!$CB$3)</f>
        <v>0</v>
      </c>
      <c r="AK80" s="1145">
        <f>IF(ISNUMBER(Einflusslinie!$J36),PlotData!K35+ Einflusslinie!$E$2*$AF$46*K80,PlotData!$CB$3)</f>
        <v>0</v>
      </c>
      <c r="AL80" s="1155">
        <f>IF(ISNUMBER(Einflusslinie!$J36),PlotData!L35+ Einflusslinie!$E$2*$AF$46*L80,PlotData!$CB$3)</f>
        <v>0</v>
      </c>
      <c r="AM80" s="746">
        <f>IF(ISNUMBER(Einflusslinie!$J36),PlotData!L35,PlotData!$CB$3)</f>
        <v>0</v>
      </c>
      <c r="AN80" s="1144">
        <f>IF(ISNUMBER(Einflusslinie!$J36),PlotData!B35,PlotData!$CB$3)</f>
        <v>0</v>
      </c>
      <c r="AO80" s="747">
        <f>IF(ISNUMBER(Einflusslinie!$J36),AB80,PlotData!$CB$3)</f>
        <v>0</v>
      </c>
      <c r="AQ80" s="1175">
        <v>32</v>
      </c>
      <c r="AR80" s="746">
        <f>IF(ISNUMBER(Einflusslinie!$J36),PlotData!O35+ Einflusslinie!$E$2*$AF$46*O80,PlotData!$CB$4)</f>
        <v>0</v>
      </c>
      <c r="AS80" s="1145">
        <f>IF(ISNUMBER(Einflusslinie!$J36),PlotData!P35+Einflusslinie!$E$2* $AF$46*P80,PlotData!$CB$4)</f>
        <v>0</v>
      </c>
      <c r="AT80" s="1145">
        <f>IF(ISNUMBER(Einflusslinie!$J36),PlotData!Q35+Einflusslinie!$E$2* $AF$46*Q80,PlotData!$CB$4)</f>
        <v>0</v>
      </c>
      <c r="AU80" s="1145">
        <f>IF(ISNUMBER(Einflusslinie!$J36),PlotData!R35+ Einflusslinie!$E$2*$AF$46*R80,PlotData!$CB$4)</f>
        <v>0</v>
      </c>
      <c r="AV80" s="1145">
        <f>IF(ISNUMBER(Einflusslinie!$J36),PlotData!S35+ Einflusslinie!$E$2*$AF$46*S80,PlotData!$CB$4)</f>
        <v>0</v>
      </c>
      <c r="AW80" s="1145">
        <f>IF(ISNUMBER(Einflusslinie!$J36),PlotData!T35+ Einflusslinie!$E$2*$AF$46*T80,PlotData!$CB$4)</f>
        <v>0</v>
      </c>
      <c r="AX80" s="1145">
        <f>IF(ISNUMBER(Einflusslinie!$J36),PlotData!U35+ Einflusslinie!$E$2*$AF$46*U80,PlotData!$CB$4)</f>
        <v>0</v>
      </c>
      <c r="AY80" s="1145">
        <f>IF(ISNUMBER(Einflusslinie!$J36),PlotData!V35+ Einflusslinie!$E$2*$AF$46*V80,PlotData!$CB$4)</f>
        <v>0</v>
      </c>
      <c r="AZ80" s="1145">
        <f>IF(ISNUMBER(Einflusslinie!$J36),PlotData!W35+Einflusslinie!$E$2* $AF$46*W80,PlotData!$CB$4)</f>
        <v>0</v>
      </c>
      <c r="BA80" s="1145">
        <f>IF(ISNUMBER(Einflusslinie!$J36),PlotData!X35+ Einflusslinie!$E$2*$AF$46*X80,PlotData!$CB$4)</f>
        <v>0</v>
      </c>
      <c r="BB80" s="1155">
        <f>IF(ISNUMBER(Einflusslinie!$J36),PlotData!Y35+ Einflusslinie!$E$2*$AF$46*Y80,PlotData!$CB$4)</f>
        <v>0</v>
      </c>
      <c r="BC80" s="746">
        <f>IF(ISNUMBER(Einflusslinie!$J36),PlotData!Y35, PlotData!CB$4)</f>
        <v>0</v>
      </c>
      <c r="BD80" s="1144">
        <f>IF(ISNUMBER(Einflusslinie!$J36),PlotData!O35, PlotData!$CB$4)</f>
        <v>0</v>
      </c>
      <c r="BE80" s="747">
        <f>IF(ISNUMBER(Einflusslinie!$J36), AR80,PlotData!$CB$4)</f>
        <v>0</v>
      </c>
    </row>
    <row r="81" spans="1:57" x14ac:dyDescent="0.25">
      <c r="A81" s="1175">
        <v>33</v>
      </c>
      <c r="B81" s="668"/>
      <c r="C81" s="721"/>
      <c r="D81" s="721"/>
      <c r="E81" s="721"/>
      <c r="F81" s="721"/>
      <c r="G81" s="721"/>
      <c r="H81" s="721"/>
      <c r="I81" s="721"/>
      <c r="J81" s="721"/>
      <c r="K81" s="721"/>
      <c r="L81" s="639"/>
      <c r="N81" s="1175">
        <v>33</v>
      </c>
      <c r="O81" s="668"/>
      <c r="P81" s="721"/>
      <c r="Q81" s="721"/>
      <c r="R81" s="721"/>
      <c r="S81" s="721"/>
      <c r="T81" s="721"/>
      <c r="U81" s="721"/>
      <c r="V81" s="721"/>
      <c r="W81" s="721"/>
      <c r="X81" s="721"/>
      <c r="Y81" s="1176"/>
      <c r="AA81" s="1175">
        <v>33</v>
      </c>
      <c r="AB81" s="746">
        <f>IF(ISNUMBER(Einflusslinie!$J37),PlotData!B36+ Einflusslinie!$E$2*$AF$46*B81,PlotData!$CB$3)</f>
        <v>0</v>
      </c>
      <c r="AC81" s="1145">
        <f>IF(ISNUMBER(Einflusslinie!$J37),PlotData!C36+Einflusslinie!$E$2* $AF$46*C81,PlotData!$CB$3)</f>
        <v>0</v>
      </c>
      <c r="AD81" s="1145">
        <f>IF(ISNUMBER(Einflusslinie!$J37),PlotData!D36+ Einflusslinie!$E$2*$AF$46*D81,PlotData!$CB$3)</f>
        <v>0</v>
      </c>
      <c r="AE81" s="1145">
        <f>IF(ISNUMBER(Einflusslinie!$J37),PlotData!E36+Einflusslinie!$E$2* $AF$46*E81,PlotData!$CB$3)</f>
        <v>0</v>
      </c>
      <c r="AF81" s="1145">
        <f>IF(ISNUMBER(Einflusslinie!$J37),PlotData!F36+ Einflusslinie!$E$2*$AF$46*F81,PlotData!$CB$3)</f>
        <v>0</v>
      </c>
      <c r="AG81" s="1145">
        <f>IF(ISNUMBER(Einflusslinie!$J37),PlotData!G36+ Einflusslinie!$E$2*$AF$46*G81,PlotData!$CB$3)</f>
        <v>0</v>
      </c>
      <c r="AH81" s="1145">
        <f>IF(ISNUMBER(Einflusslinie!$J37),PlotData!H36+Einflusslinie!$E$2* $AF$46*H81,PlotData!$CB$3)</f>
        <v>0</v>
      </c>
      <c r="AI81" s="1145">
        <f>IF(ISNUMBER(Einflusslinie!$J37),PlotData!I36+ Einflusslinie!$E$2*$AF$46*I81,PlotData!$CB$3)</f>
        <v>0</v>
      </c>
      <c r="AJ81" s="1145">
        <f>IF(ISNUMBER(Einflusslinie!$J37),PlotData!J36+ Einflusslinie!$E$2*$AF$46*J81,PlotData!$CB$3)</f>
        <v>0</v>
      </c>
      <c r="AK81" s="1145">
        <f>IF(ISNUMBER(Einflusslinie!$J37),PlotData!K36+ Einflusslinie!$E$2*$AF$46*K81,PlotData!$CB$3)</f>
        <v>0</v>
      </c>
      <c r="AL81" s="1155">
        <f>IF(ISNUMBER(Einflusslinie!$J37),PlotData!L36+ Einflusslinie!$E$2*$AF$46*L81,PlotData!$CB$3)</f>
        <v>0</v>
      </c>
      <c r="AM81" s="746">
        <f>IF(ISNUMBER(Einflusslinie!$J37),PlotData!L36,PlotData!$CB$3)</f>
        <v>0</v>
      </c>
      <c r="AN81" s="1144">
        <f>IF(ISNUMBER(Einflusslinie!$J37),PlotData!B36,PlotData!$CB$3)</f>
        <v>0</v>
      </c>
      <c r="AO81" s="747">
        <f>IF(ISNUMBER(Einflusslinie!$J37),AB81,PlotData!$CB$3)</f>
        <v>0</v>
      </c>
      <c r="AQ81" s="1175">
        <v>33</v>
      </c>
      <c r="AR81" s="746">
        <f>IF(ISNUMBER(Einflusslinie!$J37),PlotData!O36+ Einflusslinie!$E$2*$AF$46*O81,PlotData!$CB$4)</f>
        <v>0</v>
      </c>
      <c r="AS81" s="1145">
        <f>IF(ISNUMBER(Einflusslinie!$J37),PlotData!P36+Einflusslinie!$E$2* $AF$46*P81,PlotData!$CB$4)</f>
        <v>0</v>
      </c>
      <c r="AT81" s="1145">
        <f>IF(ISNUMBER(Einflusslinie!$J37),PlotData!Q36+Einflusslinie!$E$2* $AF$46*Q81,PlotData!$CB$4)</f>
        <v>0</v>
      </c>
      <c r="AU81" s="1145">
        <f>IF(ISNUMBER(Einflusslinie!$J37),PlotData!R36+ Einflusslinie!$E$2*$AF$46*R81,PlotData!$CB$4)</f>
        <v>0</v>
      </c>
      <c r="AV81" s="1145">
        <f>IF(ISNUMBER(Einflusslinie!$J37),PlotData!S36+ Einflusslinie!$E$2*$AF$46*S81,PlotData!$CB$4)</f>
        <v>0</v>
      </c>
      <c r="AW81" s="1145">
        <f>IF(ISNUMBER(Einflusslinie!$J37),PlotData!T36+ Einflusslinie!$E$2*$AF$46*T81,PlotData!$CB$4)</f>
        <v>0</v>
      </c>
      <c r="AX81" s="1145">
        <f>IF(ISNUMBER(Einflusslinie!$J37),PlotData!U36+ Einflusslinie!$E$2*$AF$46*U81,PlotData!$CB$4)</f>
        <v>0</v>
      </c>
      <c r="AY81" s="1145">
        <f>IF(ISNUMBER(Einflusslinie!$J37),PlotData!V36+ Einflusslinie!$E$2*$AF$46*V81,PlotData!$CB$4)</f>
        <v>0</v>
      </c>
      <c r="AZ81" s="1145">
        <f>IF(ISNUMBER(Einflusslinie!$J37),PlotData!W36+Einflusslinie!$E$2* $AF$46*W81,PlotData!$CB$4)</f>
        <v>0</v>
      </c>
      <c r="BA81" s="1145">
        <f>IF(ISNUMBER(Einflusslinie!$J37),PlotData!X36+ Einflusslinie!$E$2*$AF$46*X81,PlotData!$CB$4)</f>
        <v>0</v>
      </c>
      <c r="BB81" s="1155">
        <f>IF(ISNUMBER(Einflusslinie!$J37),PlotData!Y36+ Einflusslinie!$E$2*$AF$46*Y81,PlotData!$CB$4)</f>
        <v>0</v>
      </c>
      <c r="BC81" s="746">
        <f>IF(ISNUMBER(Einflusslinie!$J37),PlotData!Y36, PlotData!CB$4)</f>
        <v>0</v>
      </c>
      <c r="BD81" s="1144">
        <f>IF(ISNUMBER(Einflusslinie!$J37),PlotData!O36, PlotData!$CB$4)</f>
        <v>0</v>
      </c>
      <c r="BE81" s="747">
        <f>IF(ISNUMBER(Einflusslinie!$J37), AR81,PlotData!$CB$4)</f>
        <v>0</v>
      </c>
    </row>
    <row r="82" spans="1:57" x14ac:dyDescent="0.25">
      <c r="A82" s="1175">
        <v>34</v>
      </c>
      <c r="B82" s="668"/>
      <c r="C82" s="721"/>
      <c r="D82" s="721"/>
      <c r="E82" s="721"/>
      <c r="F82" s="721"/>
      <c r="G82" s="721"/>
      <c r="H82" s="721"/>
      <c r="I82" s="721"/>
      <c r="J82" s="721"/>
      <c r="K82" s="721"/>
      <c r="L82" s="639"/>
      <c r="N82" s="1175">
        <v>34</v>
      </c>
      <c r="O82" s="668"/>
      <c r="P82" s="721"/>
      <c r="Q82" s="721"/>
      <c r="R82" s="721"/>
      <c r="S82" s="721"/>
      <c r="T82" s="721"/>
      <c r="U82" s="721"/>
      <c r="V82" s="721"/>
      <c r="W82" s="721"/>
      <c r="X82" s="721"/>
      <c r="Y82" s="1176"/>
      <c r="AA82" s="1175">
        <v>34</v>
      </c>
      <c r="AB82" s="746">
        <f>IF(ISNUMBER(Einflusslinie!$J38),PlotData!B37+ Einflusslinie!$E$2*$AF$46*B82,PlotData!$CB$3)</f>
        <v>0</v>
      </c>
      <c r="AC82" s="1145">
        <f>IF(ISNUMBER(Einflusslinie!$J38),PlotData!C37+Einflusslinie!$E$2* $AF$46*C82,PlotData!$CB$3)</f>
        <v>0</v>
      </c>
      <c r="AD82" s="1145">
        <f>IF(ISNUMBER(Einflusslinie!$J38),PlotData!D37+ Einflusslinie!$E$2*$AF$46*D82,PlotData!$CB$3)</f>
        <v>0</v>
      </c>
      <c r="AE82" s="1145">
        <f>IF(ISNUMBER(Einflusslinie!$J38),PlotData!E37+Einflusslinie!$E$2* $AF$46*E82,PlotData!$CB$3)</f>
        <v>0</v>
      </c>
      <c r="AF82" s="1145">
        <f>IF(ISNUMBER(Einflusslinie!$J38),PlotData!F37+ Einflusslinie!$E$2*$AF$46*F82,PlotData!$CB$3)</f>
        <v>0</v>
      </c>
      <c r="AG82" s="1145">
        <f>IF(ISNUMBER(Einflusslinie!$J38),PlotData!G37+ Einflusslinie!$E$2*$AF$46*G82,PlotData!$CB$3)</f>
        <v>0</v>
      </c>
      <c r="AH82" s="1145">
        <f>IF(ISNUMBER(Einflusslinie!$J38),PlotData!H37+Einflusslinie!$E$2* $AF$46*H82,PlotData!$CB$3)</f>
        <v>0</v>
      </c>
      <c r="AI82" s="1145">
        <f>IF(ISNUMBER(Einflusslinie!$J38),PlotData!I37+ Einflusslinie!$E$2*$AF$46*I82,PlotData!$CB$3)</f>
        <v>0</v>
      </c>
      <c r="AJ82" s="1145">
        <f>IF(ISNUMBER(Einflusslinie!$J38),PlotData!J37+ Einflusslinie!$E$2*$AF$46*J82,PlotData!$CB$3)</f>
        <v>0</v>
      </c>
      <c r="AK82" s="1145">
        <f>IF(ISNUMBER(Einflusslinie!$J38),PlotData!K37+ Einflusslinie!$E$2*$AF$46*K82,PlotData!$CB$3)</f>
        <v>0</v>
      </c>
      <c r="AL82" s="1155">
        <f>IF(ISNUMBER(Einflusslinie!$J38),PlotData!L37+ Einflusslinie!$E$2*$AF$46*L82,PlotData!$CB$3)</f>
        <v>0</v>
      </c>
      <c r="AM82" s="746">
        <f>IF(ISNUMBER(Einflusslinie!$J38),PlotData!L37,PlotData!$CB$3)</f>
        <v>0</v>
      </c>
      <c r="AN82" s="1144">
        <f>IF(ISNUMBER(Einflusslinie!$J38),PlotData!B37,PlotData!$CB$3)</f>
        <v>0</v>
      </c>
      <c r="AO82" s="747">
        <f>IF(ISNUMBER(Einflusslinie!$J38),AB82,PlotData!$CB$3)</f>
        <v>0</v>
      </c>
      <c r="AQ82" s="1175">
        <v>34</v>
      </c>
      <c r="AR82" s="746">
        <f>IF(ISNUMBER(Einflusslinie!$J38),PlotData!O37+ Einflusslinie!$E$2*$AF$46*O82,PlotData!$CB$4)</f>
        <v>0</v>
      </c>
      <c r="AS82" s="1145">
        <f>IF(ISNUMBER(Einflusslinie!$J38),PlotData!P37+Einflusslinie!$E$2* $AF$46*P82,PlotData!$CB$4)</f>
        <v>0</v>
      </c>
      <c r="AT82" s="1145">
        <f>IF(ISNUMBER(Einflusslinie!$J38),PlotData!Q37+Einflusslinie!$E$2* $AF$46*Q82,PlotData!$CB$4)</f>
        <v>0</v>
      </c>
      <c r="AU82" s="1145">
        <f>IF(ISNUMBER(Einflusslinie!$J38),PlotData!R37+ Einflusslinie!$E$2*$AF$46*R82,PlotData!$CB$4)</f>
        <v>0</v>
      </c>
      <c r="AV82" s="1145">
        <f>IF(ISNUMBER(Einflusslinie!$J38),PlotData!S37+ Einflusslinie!$E$2*$AF$46*S82,PlotData!$CB$4)</f>
        <v>0</v>
      </c>
      <c r="AW82" s="1145">
        <f>IF(ISNUMBER(Einflusslinie!$J38),PlotData!T37+ Einflusslinie!$E$2*$AF$46*T82,PlotData!$CB$4)</f>
        <v>0</v>
      </c>
      <c r="AX82" s="1145">
        <f>IF(ISNUMBER(Einflusslinie!$J38),PlotData!U37+ Einflusslinie!$E$2*$AF$46*U82,PlotData!$CB$4)</f>
        <v>0</v>
      </c>
      <c r="AY82" s="1145">
        <f>IF(ISNUMBER(Einflusslinie!$J38),PlotData!V37+ Einflusslinie!$E$2*$AF$46*V82,PlotData!$CB$4)</f>
        <v>0</v>
      </c>
      <c r="AZ82" s="1145">
        <f>IF(ISNUMBER(Einflusslinie!$J38),PlotData!W37+Einflusslinie!$E$2* $AF$46*W82,PlotData!$CB$4)</f>
        <v>0</v>
      </c>
      <c r="BA82" s="1145">
        <f>IF(ISNUMBER(Einflusslinie!$J38),PlotData!X37+ Einflusslinie!$E$2*$AF$46*X82,PlotData!$CB$4)</f>
        <v>0</v>
      </c>
      <c r="BB82" s="1155">
        <f>IF(ISNUMBER(Einflusslinie!$J38),PlotData!Y37+ Einflusslinie!$E$2*$AF$46*Y82,PlotData!$CB$4)</f>
        <v>0</v>
      </c>
      <c r="BC82" s="746">
        <f>IF(ISNUMBER(Einflusslinie!$J38),PlotData!Y37, PlotData!CB$4)</f>
        <v>0</v>
      </c>
      <c r="BD82" s="1144">
        <f>IF(ISNUMBER(Einflusslinie!$J38),PlotData!O37, PlotData!$CB$4)</f>
        <v>0</v>
      </c>
      <c r="BE82" s="747">
        <f>IF(ISNUMBER(Einflusslinie!$J38), AR82,PlotData!$CB$4)</f>
        <v>0</v>
      </c>
    </row>
    <row r="83" spans="1:57" x14ac:dyDescent="0.25">
      <c r="A83" s="1175">
        <v>35</v>
      </c>
      <c r="B83" s="668"/>
      <c r="C83" s="721"/>
      <c r="D83" s="721"/>
      <c r="E83" s="721"/>
      <c r="F83" s="721"/>
      <c r="G83" s="721"/>
      <c r="H83" s="721"/>
      <c r="I83" s="721"/>
      <c r="J83" s="721"/>
      <c r="K83" s="721"/>
      <c r="L83" s="639"/>
      <c r="N83" s="1175">
        <v>35</v>
      </c>
      <c r="O83" s="668"/>
      <c r="P83" s="721"/>
      <c r="Q83" s="721"/>
      <c r="R83" s="721"/>
      <c r="S83" s="721"/>
      <c r="T83" s="721"/>
      <c r="U83" s="721"/>
      <c r="V83" s="721"/>
      <c r="W83" s="721"/>
      <c r="X83" s="721"/>
      <c r="Y83" s="1176"/>
      <c r="AA83" s="1175">
        <v>35</v>
      </c>
      <c r="AB83" s="746">
        <f>IF(ISNUMBER(Einflusslinie!$J39),PlotData!B38+ Einflusslinie!$E$2*$AF$46*B83,PlotData!$CB$3)</f>
        <v>0</v>
      </c>
      <c r="AC83" s="1145">
        <f>IF(ISNUMBER(Einflusslinie!$J39),PlotData!C38+Einflusslinie!$E$2* $AF$46*C83,PlotData!$CB$3)</f>
        <v>0</v>
      </c>
      <c r="AD83" s="1145">
        <f>IF(ISNUMBER(Einflusslinie!$J39),PlotData!D38+ Einflusslinie!$E$2*$AF$46*D83,PlotData!$CB$3)</f>
        <v>0</v>
      </c>
      <c r="AE83" s="1145">
        <f>IF(ISNUMBER(Einflusslinie!$J39),PlotData!E38+Einflusslinie!$E$2* $AF$46*E83,PlotData!$CB$3)</f>
        <v>0</v>
      </c>
      <c r="AF83" s="1145">
        <f>IF(ISNUMBER(Einflusslinie!$J39),PlotData!F38+ Einflusslinie!$E$2*$AF$46*F83,PlotData!$CB$3)</f>
        <v>0</v>
      </c>
      <c r="AG83" s="1145">
        <f>IF(ISNUMBER(Einflusslinie!$J39),PlotData!G38+ Einflusslinie!$E$2*$AF$46*G83,PlotData!$CB$3)</f>
        <v>0</v>
      </c>
      <c r="AH83" s="1145">
        <f>IF(ISNUMBER(Einflusslinie!$J39),PlotData!H38+Einflusslinie!$E$2* $AF$46*H83,PlotData!$CB$3)</f>
        <v>0</v>
      </c>
      <c r="AI83" s="1145">
        <f>IF(ISNUMBER(Einflusslinie!$J39),PlotData!I38+ Einflusslinie!$E$2*$AF$46*I83,PlotData!$CB$3)</f>
        <v>0</v>
      </c>
      <c r="AJ83" s="1145">
        <f>IF(ISNUMBER(Einflusslinie!$J39),PlotData!J38+ Einflusslinie!$E$2*$AF$46*J83,PlotData!$CB$3)</f>
        <v>0</v>
      </c>
      <c r="AK83" s="1145">
        <f>IF(ISNUMBER(Einflusslinie!$J39),PlotData!K38+ Einflusslinie!$E$2*$AF$46*K83,PlotData!$CB$3)</f>
        <v>0</v>
      </c>
      <c r="AL83" s="1155">
        <f>IF(ISNUMBER(Einflusslinie!$J39),PlotData!L38+ Einflusslinie!$E$2*$AF$46*L83,PlotData!$CB$3)</f>
        <v>0</v>
      </c>
      <c r="AM83" s="746">
        <f>IF(ISNUMBER(Einflusslinie!$J39),PlotData!L38,PlotData!$CB$3)</f>
        <v>0</v>
      </c>
      <c r="AN83" s="1144">
        <f>IF(ISNUMBER(Einflusslinie!$J39),PlotData!B38,PlotData!$CB$3)</f>
        <v>0</v>
      </c>
      <c r="AO83" s="747">
        <f>IF(ISNUMBER(Einflusslinie!$J39),AB83,PlotData!$CB$3)</f>
        <v>0</v>
      </c>
      <c r="AQ83" s="1175">
        <v>35</v>
      </c>
      <c r="AR83" s="746">
        <f>IF(ISNUMBER(Einflusslinie!$J39),PlotData!O38+ Einflusslinie!$E$2*$AF$46*O83,PlotData!$CB$4)</f>
        <v>0</v>
      </c>
      <c r="AS83" s="1145">
        <f>IF(ISNUMBER(Einflusslinie!$J39),PlotData!P38+Einflusslinie!$E$2* $AF$46*P83,PlotData!$CB$4)</f>
        <v>0</v>
      </c>
      <c r="AT83" s="1145">
        <f>IF(ISNUMBER(Einflusslinie!$J39),PlotData!Q38+Einflusslinie!$E$2* $AF$46*Q83,PlotData!$CB$4)</f>
        <v>0</v>
      </c>
      <c r="AU83" s="1145">
        <f>IF(ISNUMBER(Einflusslinie!$J39),PlotData!R38+ Einflusslinie!$E$2*$AF$46*R83,PlotData!$CB$4)</f>
        <v>0</v>
      </c>
      <c r="AV83" s="1145">
        <f>IF(ISNUMBER(Einflusslinie!$J39),PlotData!S38+ Einflusslinie!$E$2*$AF$46*S83,PlotData!$CB$4)</f>
        <v>0</v>
      </c>
      <c r="AW83" s="1145">
        <f>IF(ISNUMBER(Einflusslinie!$J39),PlotData!T38+ Einflusslinie!$E$2*$AF$46*T83,PlotData!$CB$4)</f>
        <v>0</v>
      </c>
      <c r="AX83" s="1145">
        <f>IF(ISNUMBER(Einflusslinie!$J39),PlotData!U38+ Einflusslinie!$E$2*$AF$46*U83,PlotData!$CB$4)</f>
        <v>0</v>
      </c>
      <c r="AY83" s="1145">
        <f>IF(ISNUMBER(Einflusslinie!$J39),PlotData!V38+ Einflusslinie!$E$2*$AF$46*V83,PlotData!$CB$4)</f>
        <v>0</v>
      </c>
      <c r="AZ83" s="1145">
        <f>IF(ISNUMBER(Einflusslinie!$J39),PlotData!W38+Einflusslinie!$E$2* $AF$46*W83,PlotData!$CB$4)</f>
        <v>0</v>
      </c>
      <c r="BA83" s="1145">
        <f>IF(ISNUMBER(Einflusslinie!$J39),PlotData!X38+ Einflusslinie!$E$2*$AF$46*X83,PlotData!$CB$4)</f>
        <v>0</v>
      </c>
      <c r="BB83" s="1155">
        <f>IF(ISNUMBER(Einflusslinie!$J39),PlotData!Y38+ Einflusslinie!$E$2*$AF$46*Y83,PlotData!$CB$4)</f>
        <v>0</v>
      </c>
      <c r="BC83" s="746">
        <f>IF(ISNUMBER(Einflusslinie!$J39),PlotData!Y38, PlotData!CB$4)</f>
        <v>0</v>
      </c>
      <c r="BD83" s="1144">
        <f>IF(ISNUMBER(Einflusslinie!$J39),PlotData!O38, PlotData!$CB$4)</f>
        <v>0</v>
      </c>
      <c r="BE83" s="747">
        <f>IF(ISNUMBER(Einflusslinie!$J39), AR83,PlotData!$CB$4)</f>
        <v>0</v>
      </c>
    </row>
    <row r="84" spans="1:57" x14ac:dyDescent="0.25">
      <c r="A84" s="1175">
        <v>36</v>
      </c>
      <c r="B84" s="668"/>
      <c r="C84" s="721"/>
      <c r="D84" s="721"/>
      <c r="E84" s="721"/>
      <c r="F84" s="721"/>
      <c r="G84" s="721"/>
      <c r="H84" s="721"/>
      <c r="I84" s="721"/>
      <c r="J84" s="721"/>
      <c r="K84" s="721"/>
      <c r="L84" s="639"/>
      <c r="N84" s="1175">
        <v>36</v>
      </c>
      <c r="O84" s="668"/>
      <c r="P84" s="721"/>
      <c r="Q84" s="721"/>
      <c r="R84" s="721"/>
      <c r="S84" s="721"/>
      <c r="T84" s="721"/>
      <c r="U84" s="721"/>
      <c r="V84" s="721"/>
      <c r="W84" s="721"/>
      <c r="X84" s="721"/>
      <c r="Y84" s="1176"/>
      <c r="AA84" s="1175">
        <v>36</v>
      </c>
      <c r="AB84" s="746">
        <f>IF(ISNUMBER(Einflusslinie!$J40),PlotData!B39+ Einflusslinie!$E$2*$AF$46*B84,PlotData!$CB$3)</f>
        <v>0</v>
      </c>
      <c r="AC84" s="1145">
        <f>IF(ISNUMBER(Einflusslinie!$J40),PlotData!C39+Einflusslinie!$E$2* $AF$46*C84,PlotData!$CB$3)</f>
        <v>0</v>
      </c>
      <c r="AD84" s="1145">
        <f>IF(ISNUMBER(Einflusslinie!$J40),PlotData!D39+ Einflusslinie!$E$2*$AF$46*D84,PlotData!$CB$3)</f>
        <v>0</v>
      </c>
      <c r="AE84" s="1145">
        <f>IF(ISNUMBER(Einflusslinie!$J40),PlotData!E39+Einflusslinie!$E$2* $AF$46*E84,PlotData!$CB$3)</f>
        <v>0</v>
      </c>
      <c r="AF84" s="1145">
        <f>IF(ISNUMBER(Einflusslinie!$J40),PlotData!F39+ Einflusslinie!$E$2*$AF$46*F84,PlotData!$CB$3)</f>
        <v>0</v>
      </c>
      <c r="AG84" s="1145">
        <f>IF(ISNUMBER(Einflusslinie!$J40),PlotData!G39+ Einflusslinie!$E$2*$AF$46*G84,PlotData!$CB$3)</f>
        <v>0</v>
      </c>
      <c r="AH84" s="1145">
        <f>IF(ISNUMBER(Einflusslinie!$J40),PlotData!H39+Einflusslinie!$E$2* $AF$46*H84,PlotData!$CB$3)</f>
        <v>0</v>
      </c>
      <c r="AI84" s="1145">
        <f>IF(ISNUMBER(Einflusslinie!$J40),PlotData!I39+ Einflusslinie!$E$2*$AF$46*I84,PlotData!$CB$3)</f>
        <v>0</v>
      </c>
      <c r="AJ84" s="1145">
        <f>IF(ISNUMBER(Einflusslinie!$J40),PlotData!J39+ Einflusslinie!$E$2*$AF$46*J84,PlotData!$CB$3)</f>
        <v>0</v>
      </c>
      <c r="AK84" s="1145">
        <f>IF(ISNUMBER(Einflusslinie!$J40),PlotData!K39+ Einflusslinie!$E$2*$AF$46*K84,PlotData!$CB$3)</f>
        <v>0</v>
      </c>
      <c r="AL84" s="1155">
        <f>IF(ISNUMBER(Einflusslinie!$J40),PlotData!L39+ Einflusslinie!$E$2*$AF$46*L84,PlotData!$CB$3)</f>
        <v>0</v>
      </c>
      <c r="AM84" s="746">
        <f>IF(ISNUMBER(Einflusslinie!$J40),PlotData!L39,PlotData!$CB$3)</f>
        <v>0</v>
      </c>
      <c r="AN84" s="1144">
        <f>IF(ISNUMBER(Einflusslinie!$J40),PlotData!B39,PlotData!$CB$3)</f>
        <v>0</v>
      </c>
      <c r="AO84" s="747">
        <f>IF(ISNUMBER(Einflusslinie!$J40),AB84,PlotData!$CB$3)</f>
        <v>0</v>
      </c>
      <c r="AQ84" s="1175">
        <v>36</v>
      </c>
      <c r="AR84" s="746">
        <f>IF(ISNUMBER(Einflusslinie!$J40),PlotData!O39+ Einflusslinie!$E$2*$AF$46*O84,PlotData!$CB$4)</f>
        <v>0</v>
      </c>
      <c r="AS84" s="1145">
        <f>IF(ISNUMBER(Einflusslinie!$J40),PlotData!P39+Einflusslinie!$E$2* $AF$46*P84,PlotData!$CB$4)</f>
        <v>0</v>
      </c>
      <c r="AT84" s="1145">
        <f>IF(ISNUMBER(Einflusslinie!$J40),PlotData!Q39+Einflusslinie!$E$2* $AF$46*Q84,PlotData!$CB$4)</f>
        <v>0</v>
      </c>
      <c r="AU84" s="1145">
        <f>IF(ISNUMBER(Einflusslinie!$J40),PlotData!R39+ Einflusslinie!$E$2*$AF$46*R84,PlotData!$CB$4)</f>
        <v>0</v>
      </c>
      <c r="AV84" s="1145">
        <f>IF(ISNUMBER(Einflusslinie!$J40),PlotData!S39+ Einflusslinie!$E$2*$AF$46*S84,PlotData!$CB$4)</f>
        <v>0</v>
      </c>
      <c r="AW84" s="1145">
        <f>IF(ISNUMBER(Einflusslinie!$J40),PlotData!T39+ Einflusslinie!$E$2*$AF$46*T84,PlotData!$CB$4)</f>
        <v>0</v>
      </c>
      <c r="AX84" s="1145">
        <f>IF(ISNUMBER(Einflusslinie!$J40),PlotData!U39+ Einflusslinie!$E$2*$AF$46*U84,PlotData!$CB$4)</f>
        <v>0</v>
      </c>
      <c r="AY84" s="1145">
        <f>IF(ISNUMBER(Einflusslinie!$J40),PlotData!V39+ Einflusslinie!$E$2*$AF$46*V84,PlotData!$CB$4)</f>
        <v>0</v>
      </c>
      <c r="AZ84" s="1145">
        <f>IF(ISNUMBER(Einflusslinie!$J40),PlotData!W39+Einflusslinie!$E$2* $AF$46*W84,PlotData!$CB$4)</f>
        <v>0</v>
      </c>
      <c r="BA84" s="1145">
        <f>IF(ISNUMBER(Einflusslinie!$J40),PlotData!X39+ Einflusslinie!$E$2*$AF$46*X84,PlotData!$CB$4)</f>
        <v>0</v>
      </c>
      <c r="BB84" s="1155">
        <f>IF(ISNUMBER(Einflusslinie!$J40),PlotData!Y39+ Einflusslinie!$E$2*$AF$46*Y84,PlotData!$CB$4)</f>
        <v>0</v>
      </c>
      <c r="BC84" s="746">
        <f>IF(ISNUMBER(Einflusslinie!$J40),PlotData!Y39, PlotData!CB$4)</f>
        <v>0</v>
      </c>
      <c r="BD84" s="1144">
        <f>IF(ISNUMBER(Einflusslinie!$J40),PlotData!O39, PlotData!$CB$4)</f>
        <v>0</v>
      </c>
      <c r="BE84" s="747">
        <f>IF(ISNUMBER(Einflusslinie!$J40), AR84,PlotData!$CB$4)</f>
        <v>0</v>
      </c>
    </row>
    <row r="85" spans="1:57" x14ac:dyDescent="0.25">
      <c r="A85" s="1175">
        <v>37</v>
      </c>
      <c r="B85" s="668"/>
      <c r="C85" s="721"/>
      <c r="D85" s="721"/>
      <c r="E85" s="721"/>
      <c r="F85" s="721"/>
      <c r="G85" s="721"/>
      <c r="H85" s="721"/>
      <c r="I85" s="721"/>
      <c r="J85" s="721"/>
      <c r="K85" s="721"/>
      <c r="L85" s="639"/>
      <c r="N85" s="1175">
        <v>37</v>
      </c>
      <c r="O85" s="668"/>
      <c r="P85" s="721"/>
      <c r="Q85" s="721"/>
      <c r="R85" s="721"/>
      <c r="S85" s="721"/>
      <c r="T85" s="721"/>
      <c r="U85" s="721"/>
      <c r="V85" s="721"/>
      <c r="W85" s="721"/>
      <c r="X85" s="721"/>
      <c r="Y85" s="1176"/>
      <c r="AA85" s="1175">
        <v>37</v>
      </c>
      <c r="AB85" s="746">
        <f>IF(ISNUMBER(Einflusslinie!$J41),PlotData!B40+ Einflusslinie!$E$2*$AF$46*B85,PlotData!$CB$3)</f>
        <v>0</v>
      </c>
      <c r="AC85" s="1145">
        <f>IF(ISNUMBER(Einflusslinie!$J41),PlotData!C40+Einflusslinie!$E$2* $AF$46*C85,PlotData!$CB$3)</f>
        <v>0</v>
      </c>
      <c r="AD85" s="1145">
        <f>IF(ISNUMBER(Einflusslinie!$J41),PlotData!D40+ Einflusslinie!$E$2*$AF$46*D85,PlotData!$CB$3)</f>
        <v>0</v>
      </c>
      <c r="AE85" s="1145">
        <f>IF(ISNUMBER(Einflusslinie!$J41),PlotData!E40+Einflusslinie!$E$2* $AF$46*E85,PlotData!$CB$3)</f>
        <v>0</v>
      </c>
      <c r="AF85" s="1145">
        <f>IF(ISNUMBER(Einflusslinie!$J41),PlotData!F40+ Einflusslinie!$E$2*$AF$46*F85,PlotData!$CB$3)</f>
        <v>0</v>
      </c>
      <c r="AG85" s="1145">
        <f>IF(ISNUMBER(Einflusslinie!$J41),PlotData!G40+ Einflusslinie!$E$2*$AF$46*G85,PlotData!$CB$3)</f>
        <v>0</v>
      </c>
      <c r="AH85" s="1145">
        <f>IF(ISNUMBER(Einflusslinie!$J41),PlotData!H40+Einflusslinie!$E$2* $AF$46*H85,PlotData!$CB$3)</f>
        <v>0</v>
      </c>
      <c r="AI85" s="1145">
        <f>IF(ISNUMBER(Einflusslinie!$J41),PlotData!I40+ Einflusslinie!$E$2*$AF$46*I85,PlotData!$CB$3)</f>
        <v>0</v>
      </c>
      <c r="AJ85" s="1145">
        <f>IF(ISNUMBER(Einflusslinie!$J41),PlotData!J40+ Einflusslinie!$E$2*$AF$46*J85,PlotData!$CB$3)</f>
        <v>0</v>
      </c>
      <c r="AK85" s="1145">
        <f>IF(ISNUMBER(Einflusslinie!$J41),PlotData!K40+ Einflusslinie!$E$2*$AF$46*K85,PlotData!$CB$3)</f>
        <v>0</v>
      </c>
      <c r="AL85" s="1155">
        <f>IF(ISNUMBER(Einflusslinie!$J41),PlotData!L40+ Einflusslinie!$E$2*$AF$46*L85,PlotData!$CB$3)</f>
        <v>0</v>
      </c>
      <c r="AM85" s="746">
        <f>IF(ISNUMBER(Einflusslinie!$J41),PlotData!L40,PlotData!$CB$3)</f>
        <v>0</v>
      </c>
      <c r="AN85" s="1144">
        <f>IF(ISNUMBER(Einflusslinie!$J41),PlotData!B40,PlotData!$CB$3)</f>
        <v>0</v>
      </c>
      <c r="AO85" s="747">
        <f>IF(ISNUMBER(Einflusslinie!$J41),AB85,PlotData!$CB$3)</f>
        <v>0</v>
      </c>
      <c r="AQ85" s="1175">
        <v>37</v>
      </c>
      <c r="AR85" s="746">
        <f>IF(ISNUMBER(Einflusslinie!$J41),PlotData!O40+ Einflusslinie!$E$2*$AF$46*O85,PlotData!$CB$4)</f>
        <v>0</v>
      </c>
      <c r="AS85" s="1145">
        <f>IF(ISNUMBER(Einflusslinie!$J41),PlotData!P40+Einflusslinie!$E$2* $AF$46*P85,PlotData!$CB$4)</f>
        <v>0</v>
      </c>
      <c r="AT85" s="1145">
        <f>IF(ISNUMBER(Einflusslinie!$J41),PlotData!Q40+Einflusslinie!$E$2* $AF$46*Q85,PlotData!$CB$4)</f>
        <v>0</v>
      </c>
      <c r="AU85" s="1145">
        <f>IF(ISNUMBER(Einflusslinie!$J41),PlotData!R40+ Einflusslinie!$E$2*$AF$46*R85,PlotData!$CB$4)</f>
        <v>0</v>
      </c>
      <c r="AV85" s="1145">
        <f>IF(ISNUMBER(Einflusslinie!$J41),PlotData!S40+ Einflusslinie!$E$2*$AF$46*S85,PlotData!$CB$4)</f>
        <v>0</v>
      </c>
      <c r="AW85" s="1145">
        <f>IF(ISNUMBER(Einflusslinie!$J41),PlotData!T40+ Einflusslinie!$E$2*$AF$46*T85,PlotData!$CB$4)</f>
        <v>0</v>
      </c>
      <c r="AX85" s="1145">
        <f>IF(ISNUMBER(Einflusslinie!$J41),PlotData!U40+ Einflusslinie!$E$2*$AF$46*U85,PlotData!$CB$4)</f>
        <v>0</v>
      </c>
      <c r="AY85" s="1145">
        <f>IF(ISNUMBER(Einflusslinie!$J41),PlotData!V40+ Einflusslinie!$E$2*$AF$46*V85,PlotData!$CB$4)</f>
        <v>0</v>
      </c>
      <c r="AZ85" s="1145">
        <f>IF(ISNUMBER(Einflusslinie!$J41),PlotData!W40+Einflusslinie!$E$2* $AF$46*W85,PlotData!$CB$4)</f>
        <v>0</v>
      </c>
      <c r="BA85" s="1145">
        <f>IF(ISNUMBER(Einflusslinie!$J41),PlotData!X40+ Einflusslinie!$E$2*$AF$46*X85,PlotData!$CB$4)</f>
        <v>0</v>
      </c>
      <c r="BB85" s="1155">
        <f>IF(ISNUMBER(Einflusslinie!$J41),PlotData!Y40+ Einflusslinie!$E$2*$AF$46*Y85,PlotData!$CB$4)</f>
        <v>0</v>
      </c>
      <c r="BC85" s="746">
        <f>IF(ISNUMBER(Einflusslinie!$J41),PlotData!Y40, PlotData!CB$4)</f>
        <v>0</v>
      </c>
      <c r="BD85" s="1144">
        <f>IF(ISNUMBER(Einflusslinie!$J41),PlotData!O40, PlotData!$CB$4)</f>
        <v>0</v>
      </c>
      <c r="BE85" s="747">
        <f>IF(ISNUMBER(Einflusslinie!$J41), AR85,PlotData!$CB$4)</f>
        <v>0</v>
      </c>
    </row>
    <row r="86" spans="1:57" x14ac:dyDescent="0.25">
      <c r="A86" s="1175">
        <v>38</v>
      </c>
      <c r="B86" s="668"/>
      <c r="C86" s="721"/>
      <c r="D86" s="721"/>
      <c r="E86" s="721"/>
      <c r="F86" s="721"/>
      <c r="G86" s="721"/>
      <c r="H86" s="721"/>
      <c r="I86" s="721"/>
      <c r="J86" s="721"/>
      <c r="K86" s="721"/>
      <c r="L86" s="639"/>
      <c r="N86" s="1175">
        <v>38</v>
      </c>
      <c r="O86" s="668"/>
      <c r="P86" s="721"/>
      <c r="Q86" s="721"/>
      <c r="R86" s="721"/>
      <c r="S86" s="721"/>
      <c r="T86" s="721"/>
      <c r="U86" s="721"/>
      <c r="V86" s="721"/>
      <c r="W86" s="721"/>
      <c r="X86" s="721"/>
      <c r="Y86" s="1176"/>
      <c r="AA86" s="1175">
        <v>38</v>
      </c>
      <c r="AB86" s="746">
        <f>IF(ISNUMBER(Einflusslinie!$J42),PlotData!B41+ Einflusslinie!$E$2*$AF$46*B86,PlotData!$CB$3)</f>
        <v>0</v>
      </c>
      <c r="AC86" s="1145">
        <f>IF(ISNUMBER(Einflusslinie!$J42),PlotData!C41+Einflusslinie!$E$2* $AF$46*C86,PlotData!$CB$3)</f>
        <v>0</v>
      </c>
      <c r="AD86" s="1145">
        <f>IF(ISNUMBER(Einflusslinie!$J42),PlotData!D41+ Einflusslinie!$E$2*$AF$46*D86,PlotData!$CB$3)</f>
        <v>0</v>
      </c>
      <c r="AE86" s="1145">
        <f>IF(ISNUMBER(Einflusslinie!$J42),PlotData!E41+Einflusslinie!$E$2* $AF$46*E86,PlotData!$CB$3)</f>
        <v>0</v>
      </c>
      <c r="AF86" s="1145">
        <f>IF(ISNUMBER(Einflusslinie!$J42),PlotData!F41+ Einflusslinie!$E$2*$AF$46*F86,PlotData!$CB$3)</f>
        <v>0</v>
      </c>
      <c r="AG86" s="1145">
        <f>IF(ISNUMBER(Einflusslinie!$J42),PlotData!G41+ Einflusslinie!$E$2*$AF$46*G86,PlotData!$CB$3)</f>
        <v>0</v>
      </c>
      <c r="AH86" s="1145">
        <f>IF(ISNUMBER(Einflusslinie!$J42),PlotData!H41+Einflusslinie!$E$2* $AF$46*H86,PlotData!$CB$3)</f>
        <v>0</v>
      </c>
      <c r="AI86" s="1145">
        <f>IF(ISNUMBER(Einflusslinie!$J42),PlotData!I41+ Einflusslinie!$E$2*$AF$46*I86,PlotData!$CB$3)</f>
        <v>0</v>
      </c>
      <c r="AJ86" s="1145">
        <f>IF(ISNUMBER(Einflusslinie!$J42),PlotData!J41+ Einflusslinie!$E$2*$AF$46*J86,PlotData!$CB$3)</f>
        <v>0</v>
      </c>
      <c r="AK86" s="1145">
        <f>IF(ISNUMBER(Einflusslinie!$J42),PlotData!K41+ Einflusslinie!$E$2*$AF$46*K86,PlotData!$CB$3)</f>
        <v>0</v>
      </c>
      <c r="AL86" s="1155">
        <f>IF(ISNUMBER(Einflusslinie!$J42),PlotData!L41+ Einflusslinie!$E$2*$AF$46*L86,PlotData!$CB$3)</f>
        <v>0</v>
      </c>
      <c r="AM86" s="746">
        <f>IF(ISNUMBER(Einflusslinie!$J42),PlotData!L41,PlotData!$CB$3)</f>
        <v>0</v>
      </c>
      <c r="AN86" s="1144">
        <f>IF(ISNUMBER(Einflusslinie!$J42),PlotData!B41,PlotData!$CB$3)</f>
        <v>0</v>
      </c>
      <c r="AO86" s="747">
        <f>IF(ISNUMBER(Einflusslinie!$J42),AB86,PlotData!$CB$3)</f>
        <v>0</v>
      </c>
      <c r="AQ86" s="1175">
        <v>38</v>
      </c>
      <c r="AR86" s="746">
        <f>IF(ISNUMBER(Einflusslinie!$J42),PlotData!O41+ Einflusslinie!$E$2*$AF$46*O86,PlotData!$CB$4)</f>
        <v>0</v>
      </c>
      <c r="AS86" s="1145">
        <f>IF(ISNUMBER(Einflusslinie!$J42),PlotData!P41+Einflusslinie!$E$2* $AF$46*P86,PlotData!$CB$4)</f>
        <v>0</v>
      </c>
      <c r="AT86" s="1145">
        <f>IF(ISNUMBER(Einflusslinie!$J42),PlotData!Q41+Einflusslinie!$E$2* $AF$46*Q86,PlotData!$CB$4)</f>
        <v>0</v>
      </c>
      <c r="AU86" s="1145">
        <f>IF(ISNUMBER(Einflusslinie!$J42),PlotData!R41+ Einflusslinie!$E$2*$AF$46*R86,PlotData!$CB$4)</f>
        <v>0</v>
      </c>
      <c r="AV86" s="1145">
        <f>IF(ISNUMBER(Einflusslinie!$J42),PlotData!S41+ Einflusslinie!$E$2*$AF$46*S86,PlotData!$CB$4)</f>
        <v>0</v>
      </c>
      <c r="AW86" s="1145">
        <f>IF(ISNUMBER(Einflusslinie!$J42),PlotData!T41+ Einflusslinie!$E$2*$AF$46*T86,PlotData!$CB$4)</f>
        <v>0</v>
      </c>
      <c r="AX86" s="1145">
        <f>IF(ISNUMBER(Einflusslinie!$J42),PlotData!U41+ Einflusslinie!$E$2*$AF$46*U86,PlotData!$CB$4)</f>
        <v>0</v>
      </c>
      <c r="AY86" s="1145">
        <f>IF(ISNUMBER(Einflusslinie!$J42),PlotData!V41+ Einflusslinie!$E$2*$AF$46*V86,PlotData!$CB$4)</f>
        <v>0</v>
      </c>
      <c r="AZ86" s="1145">
        <f>IF(ISNUMBER(Einflusslinie!$J42),PlotData!W41+Einflusslinie!$E$2* $AF$46*W86,PlotData!$CB$4)</f>
        <v>0</v>
      </c>
      <c r="BA86" s="1145">
        <f>IF(ISNUMBER(Einflusslinie!$J42),PlotData!X41+ Einflusslinie!$E$2*$AF$46*X86,PlotData!$CB$4)</f>
        <v>0</v>
      </c>
      <c r="BB86" s="1155">
        <f>IF(ISNUMBER(Einflusslinie!$J42),PlotData!Y41+ Einflusslinie!$E$2*$AF$46*Y86,PlotData!$CB$4)</f>
        <v>0</v>
      </c>
      <c r="BC86" s="746">
        <f>IF(ISNUMBER(Einflusslinie!$J42),PlotData!Y41, PlotData!CB$4)</f>
        <v>0</v>
      </c>
      <c r="BD86" s="1144">
        <f>IF(ISNUMBER(Einflusslinie!$J42),PlotData!O41, PlotData!$CB$4)</f>
        <v>0</v>
      </c>
      <c r="BE86" s="747">
        <f>IF(ISNUMBER(Einflusslinie!$J42), AR86,PlotData!$CB$4)</f>
        <v>0</v>
      </c>
    </row>
    <row r="87" spans="1:57" x14ac:dyDescent="0.25">
      <c r="A87" s="1175">
        <v>39</v>
      </c>
      <c r="B87" s="668"/>
      <c r="C87" s="721"/>
      <c r="D87" s="721"/>
      <c r="E87" s="721"/>
      <c r="F87" s="721"/>
      <c r="G87" s="721"/>
      <c r="H87" s="721"/>
      <c r="I87" s="721"/>
      <c r="J87" s="721"/>
      <c r="K87" s="721"/>
      <c r="L87" s="639"/>
      <c r="N87" s="1175">
        <v>39</v>
      </c>
      <c r="O87" s="668"/>
      <c r="P87" s="721"/>
      <c r="Q87" s="721"/>
      <c r="R87" s="721"/>
      <c r="S87" s="721"/>
      <c r="T87" s="721"/>
      <c r="U87" s="721"/>
      <c r="V87" s="721"/>
      <c r="W87" s="721"/>
      <c r="X87" s="721"/>
      <c r="Y87" s="1176"/>
      <c r="AA87" s="1175">
        <v>39</v>
      </c>
      <c r="AB87" s="746">
        <f>IF(ISNUMBER(Einflusslinie!$J43),PlotData!B42+ Einflusslinie!$E$2*$AF$46*B87,PlotData!$CB$3)</f>
        <v>0</v>
      </c>
      <c r="AC87" s="1145">
        <f>IF(ISNUMBER(Einflusslinie!$J43),PlotData!C42+Einflusslinie!$E$2* $AF$46*C87,PlotData!$CB$3)</f>
        <v>0</v>
      </c>
      <c r="AD87" s="1145">
        <f>IF(ISNUMBER(Einflusslinie!$J43),PlotData!D42+ Einflusslinie!$E$2*$AF$46*D87,PlotData!$CB$3)</f>
        <v>0</v>
      </c>
      <c r="AE87" s="1145">
        <f>IF(ISNUMBER(Einflusslinie!$J43),PlotData!E42+Einflusslinie!$E$2* $AF$46*E87,PlotData!$CB$3)</f>
        <v>0</v>
      </c>
      <c r="AF87" s="1145">
        <f>IF(ISNUMBER(Einflusslinie!$J43),PlotData!F42+ Einflusslinie!$E$2*$AF$46*F87,PlotData!$CB$3)</f>
        <v>0</v>
      </c>
      <c r="AG87" s="1145">
        <f>IF(ISNUMBER(Einflusslinie!$J43),PlotData!G42+ Einflusslinie!$E$2*$AF$46*G87,PlotData!$CB$3)</f>
        <v>0</v>
      </c>
      <c r="AH87" s="1145">
        <f>IF(ISNUMBER(Einflusslinie!$J43),PlotData!H42+Einflusslinie!$E$2* $AF$46*H87,PlotData!$CB$3)</f>
        <v>0</v>
      </c>
      <c r="AI87" s="1145">
        <f>IF(ISNUMBER(Einflusslinie!$J43),PlotData!I42+ Einflusslinie!$E$2*$AF$46*I87,PlotData!$CB$3)</f>
        <v>0</v>
      </c>
      <c r="AJ87" s="1145">
        <f>IF(ISNUMBER(Einflusslinie!$J43),PlotData!J42+ Einflusslinie!$E$2*$AF$46*J87,PlotData!$CB$3)</f>
        <v>0</v>
      </c>
      <c r="AK87" s="1145">
        <f>IF(ISNUMBER(Einflusslinie!$J43),PlotData!K42+ Einflusslinie!$E$2*$AF$46*K87,PlotData!$CB$3)</f>
        <v>0</v>
      </c>
      <c r="AL87" s="1155">
        <f>IF(ISNUMBER(Einflusslinie!$J43),PlotData!L42+ Einflusslinie!$E$2*$AF$46*L87,PlotData!$CB$3)</f>
        <v>0</v>
      </c>
      <c r="AM87" s="746">
        <f>IF(ISNUMBER(Einflusslinie!$J43),PlotData!L42,PlotData!$CB$3)</f>
        <v>0</v>
      </c>
      <c r="AN87" s="1144">
        <f>IF(ISNUMBER(Einflusslinie!$J43),PlotData!B42,PlotData!$CB$3)</f>
        <v>0</v>
      </c>
      <c r="AO87" s="747">
        <f>IF(ISNUMBER(Einflusslinie!$J43),AB87,PlotData!$CB$3)</f>
        <v>0</v>
      </c>
      <c r="AQ87" s="1175">
        <v>39</v>
      </c>
      <c r="AR87" s="746">
        <f>IF(ISNUMBER(Einflusslinie!$J43),PlotData!O42+ Einflusslinie!$E$2*$AF$46*O87,PlotData!$CB$4)</f>
        <v>0</v>
      </c>
      <c r="AS87" s="1145">
        <f>IF(ISNUMBER(Einflusslinie!$J43),PlotData!P42+Einflusslinie!$E$2* $AF$46*P87,PlotData!$CB$4)</f>
        <v>0</v>
      </c>
      <c r="AT87" s="1145">
        <f>IF(ISNUMBER(Einflusslinie!$J43),PlotData!Q42+Einflusslinie!$E$2* $AF$46*Q87,PlotData!$CB$4)</f>
        <v>0</v>
      </c>
      <c r="AU87" s="1145">
        <f>IF(ISNUMBER(Einflusslinie!$J43),PlotData!R42+ Einflusslinie!$E$2*$AF$46*R87,PlotData!$CB$4)</f>
        <v>0</v>
      </c>
      <c r="AV87" s="1145">
        <f>IF(ISNUMBER(Einflusslinie!$J43),PlotData!S42+ Einflusslinie!$E$2*$AF$46*S87,PlotData!$CB$4)</f>
        <v>0</v>
      </c>
      <c r="AW87" s="1145">
        <f>IF(ISNUMBER(Einflusslinie!$J43),PlotData!T42+ Einflusslinie!$E$2*$AF$46*T87,PlotData!$CB$4)</f>
        <v>0</v>
      </c>
      <c r="AX87" s="1145">
        <f>IF(ISNUMBER(Einflusslinie!$J43),PlotData!U42+ Einflusslinie!$E$2*$AF$46*U87,PlotData!$CB$4)</f>
        <v>0</v>
      </c>
      <c r="AY87" s="1145">
        <f>IF(ISNUMBER(Einflusslinie!$J43),PlotData!V42+ Einflusslinie!$E$2*$AF$46*V87,PlotData!$CB$4)</f>
        <v>0</v>
      </c>
      <c r="AZ87" s="1145">
        <f>IF(ISNUMBER(Einflusslinie!$J43),PlotData!W42+Einflusslinie!$E$2* $AF$46*W87,PlotData!$CB$4)</f>
        <v>0</v>
      </c>
      <c r="BA87" s="1145">
        <f>IF(ISNUMBER(Einflusslinie!$J43),PlotData!X42+ Einflusslinie!$E$2*$AF$46*X87,PlotData!$CB$4)</f>
        <v>0</v>
      </c>
      <c r="BB87" s="1155">
        <f>IF(ISNUMBER(Einflusslinie!$J43),PlotData!Y42+ Einflusslinie!$E$2*$AF$46*Y87,PlotData!$CB$4)</f>
        <v>0</v>
      </c>
      <c r="BC87" s="746">
        <f>IF(ISNUMBER(Einflusslinie!$J43),PlotData!Y42, PlotData!CB$4)</f>
        <v>0</v>
      </c>
      <c r="BD87" s="1144">
        <f>IF(ISNUMBER(Einflusslinie!$J43),PlotData!O42, PlotData!$CB$4)</f>
        <v>0</v>
      </c>
      <c r="BE87" s="747">
        <f>IF(ISNUMBER(Einflusslinie!$J43), AR87,PlotData!$CB$4)</f>
        <v>0</v>
      </c>
    </row>
    <row r="88" spans="1:57" ht="13.8" thickBot="1" x14ac:dyDescent="0.3">
      <c r="A88" s="1177">
        <v>40</v>
      </c>
      <c r="B88" s="669"/>
      <c r="C88" s="1137"/>
      <c r="D88" s="1137"/>
      <c r="E88" s="1137"/>
      <c r="F88" s="1137"/>
      <c r="G88" s="1137"/>
      <c r="H88" s="1137"/>
      <c r="I88" s="1137"/>
      <c r="J88" s="1137"/>
      <c r="K88" s="1137"/>
      <c r="L88" s="646"/>
      <c r="N88" s="1177">
        <v>40</v>
      </c>
      <c r="O88" s="669"/>
      <c r="P88" s="1137"/>
      <c r="Q88" s="1137"/>
      <c r="R88" s="1137"/>
      <c r="S88" s="1137"/>
      <c r="T88" s="1137"/>
      <c r="U88" s="1137"/>
      <c r="V88" s="1137"/>
      <c r="W88" s="1137"/>
      <c r="X88" s="1137"/>
      <c r="Y88" s="1178"/>
      <c r="AA88" s="1177">
        <v>40</v>
      </c>
      <c r="AB88" s="1179">
        <f>IF(ISNUMBER(Einflusslinie!$J44),PlotData!B43+ Einflusslinie!$E$2*$AF$46*B88,PlotData!$CB$3)</f>
        <v>0</v>
      </c>
      <c r="AC88" s="798">
        <f>IF(ISNUMBER(Einflusslinie!$J44),PlotData!C43+Einflusslinie!$E$2* $AF$46*C88,PlotData!$CB$3)</f>
        <v>0</v>
      </c>
      <c r="AD88" s="798">
        <f>IF(ISNUMBER(Einflusslinie!$J44),PlotData!D43+ Einflusslinie!$E$2*$AF$46*D88,PlotData!$CB$3)</f>
        <v>0</v>
      </c>
      <c r="AE88" s="798">
        <f>IF(ISNUMBER(Einflusslinie!$J44),PlotData!E43+Einflusslinie!$E$2* $AF$46*E88,PlotData!$CB$3)</f>
        <v>0</v>
      </c>
      <c r="AF88" s="798">
        <f>IF(ISNUMBER(Einflusslinie!$J44),PlotData!F43+ Einflusslinie!$E$2*$AF$46*F88,PlotData!$CB$3)</f>
        <v>0</v>
      </c>
      <c r="AG88" s="798">
        <f>IF(ISNUMBER(Einflusslinie!$J44),PlotData!G43+ Einflusslinie!$E$2*$AF$46*G88,PlotData!$CB$3)</f>
        <v>0</v>
      </c>
      <c r="AH88" s="798">
        <f>IF(ISNUMBER(Einflusslinie!$J44),PlotData!H43+Einflusslinie!$E$2* $AF$46*H88,PlotData!$CB$3)</f>
        <v>0</v>
      </c>
      <c r="AI88" s="798">
        <f>IF(ISNUMBER(Einflusslinie!$J44),PlotData!I43+ Einflusslinie!$E$2*$AF$46*I88,PlotData!$CB$3)</f>
        <v>0</v>
      </c>
      <c r="AJ88" s="798">
        <f>IF(ISNUMBER(Einflusslinie!$J44),PlotData!J43+ Einflusslinie!$E$2*$AF$46*J88,PlotData!$CB$3)</f>
        <v>0</v>
      </c>
      <c r="AK88" s="798">
        <f>IF(ISNUMBER(Einflusslinie!$J44),PlotData!K43+ Einflusslinie!$E$2*$AF$46*K88,PlotData!$CB$3)</f>
        <v>0</v>
      </c>
      <c r="AL88" s="1180">
        <f>IF(ISNUMBER(Einflusslinie!$J44),PlotData!L43+ Einflusslinie!$E$2*$AF$46*L88,PlotData!$CB$3)</f>
        <v>0</v>
      </c>
      <c r="AM88" s="1179">
        <f>IF(ISNUMBER(Einflusslinie!$J44),PlotData!L43,PlotData!$CB$3)</f>
        <v>0</v>
      </c>
      <c r="AN88" s="1181">
        <f>IF(ISNUMBER(Einflusslinie!$J44),PlotData!B43,PlotData!$CB$3)</f>
        <v>0</v>
      </c>
      <c r="AO88" s="1182">
        <f>IF(ISNUMBER(Einflusslinie!$J44),AB88,PlotData!$CB$3)</f>
        <v>0</v>
      </c>
      <c r="AQ88" s="1177">
        <v>40</v>
      </c>
      <c r="AR88" s="1179">
        <f>IF(ISNUMBER(Einflusslinie!$J44),PlotData!O43+ Einflusslinie!$E$2*$AF$46*O88,PlotData!$CB$4)</f>
        <v>0</v>
      </c>
      <c r="AS88" s="798">
        <f>IF(ISNUMBER(Einflusslinie!$J44),PlotData!P43+Einflusslinie!$E$2* $AF$46*P88,PlotData!$CB$4)</f>
        <v>0</v>
      </c>
      <c r="AT88" s="798">
        <f>IF(ISNUMBER(Einflusslinie!$J44),PlotData!Q43+Einflusslinie!$E$2* $AF$46*Q88,PlotData!$CB$4)</f>
        <v>0</v>
      </c>
      <c r="AU88" s="798">
        <f>IF(ISNUMBER(Einflusslinie!$J44),PlotData!R43+ Einflusslinie!$E$2*$AF$46*R88,PlotData!$CB$4)</f>
        <v>0</v>
      </c>
      <c r="AV88" s="798">
        <f>IF(ISNUMBER(Einflusslinie!$J44),PlotData!S43+ Einflusslinie!$E$2*$AF$46*S88,PlotData!$CB$4)</f>
        <v>0</v>
      </c>
      <c r="AW88" s="798">
        <f>IF(ISNUMBER(Einflusslinie!$J44),PlotData!T43+ Einflusslinie!$E$2*$AF$46*T88,PlotData!$CB$4)</f>
        <v>0</v>
      </c>
      <c r="AX88" s="798">
        <f>IF(ISNUMBER(Einflusslinie!$J44),PlotData!U43+ Einflusslinie!$E$2*$AF$46*U88,PlotData!$CB$4)</f>
        <v>0</v>
      </c>
      <c r="AY88" s="798">
        <f>IF(ISNUMBER(Einflusslinie!$J44),PlotData!V43+ Einflusslinie!$E$2*$AF$46*V88,PlotData!$CB$4)</f>
        <v>0</v>
      </c>
      <c r="AZ88" s="798">
        <f>IF(ISNUMBER(Einflusslinie!$J44),PlotData!W43+Einflusslinie!$E$2* $AF$46*W88,PlotData!$CB$4)</f>
        <v>0</v>
      </c>
      <c r="BA88" s="798">
        <f>IF(ISNUMBER(Einflusslinie!$J44),PlotData!X43+ Einflusslinie!$E$2*$AF$46*X88,PlotData!$CB$4)</f>
        <v>0</v>
      </c>
      <c r="BB88" s="1180">
        <f>IF(ISNUMBER(Einflusslinie!$J44),PlotData!Y43+ Einflusslinie!$E$2*$AF$46*Y88,PlotData!$CB$4)</f>
        <v>0</v>
      </c>
      <c r="BC88" s="1179">
        <f>IF(ISNUMBER(Einflusslinie!$J44),PlotData!Y43, PlotData!CB$4)</f>
        <v>0</v>
      </c>
      <c r="BD88" s="1181">
        <f>IF(ISNUMBER(Einflusslinie!$J44),PlotData!O43, PlotData!$CB$4)</f>
        <v>0</v>
      </c>
      <c r="BE88" s="1182">
        <f>IF(ISNUMBER(Einflusslinie!$J44), AR88,PlotData!$CB$4)</f>
        <v>0</v>
      </c>
    </row>
    <row r="91" spans="1:57" ht="17.399999999999999" x14ac:dyDescent="0.3">
      <c r="B91" s="1154"/>
    </row>
    <row r="93" spans="1:57" ht="15.6" thickBot="1" x14ac:dyDescent="0.3">
      <c r="P93" s="424"/>
      <c r="Q93" s="424"/>
    </row>
    <row r="94" spans="1:57" ht="13.8" thickBot="1" x14ac:dyDescent="0.3">
      <c r="A94" s="1166" t="s">
        <v>228</v>
      </c>
      <c r="B94" s="1167"/>
      <c r="C94" s="1168"/>
      <c r="D94" s="1168"/>
      <c r="E94" s="1168"/>
      <c r="F94" s="1168"/>
      <c r="G94" s="1168"/>
      <c r="H94" s="1168"/>
      <c r="I94" s="1168"/>
      <c r="J94" s="1168"/>
      <c r="K94" s="1168"/>
      <c r="L94" s="1169"/>
      <c r="N94" s="1166" t="s">
        <v>228</v>
      </c>
      <c r="O94" s="1167"/>
      <c r="P94" s="1168"/>
      <c r="Q94" s="1168"/>
      <c r="R94" s="1168"/>
      <c r="S94" s="1168"/>
      <c r="T94" s="1168"/>
      <c r="U94" s="1168"/>
      <c r="V94" s="1168"/>
      <c r="W94" s="1168"/>
      <c r="X94" s="1168"/>
      <c r="Y94" s="1169"/>
    </row>
    <row r="95" spans="1:57" x14ac:dyDescent="0.25">
      <c r="A95" s="1183">
        <v>1</v>
      </c>
      <c r="B95" s="745"/>
      <c r="C95" s="1117"/>
      <c r="D95" s="1117"/>
      <c r="E95" s="1117"/>
      <c r="F95" s="1117"/>
      <c r="G95" s="1117"/>
      <c r="H95" s="1117"/>
      <c r="I95" s="1117"/>
      <c r="J95" s="1117"/>
      <c r="K95" s="1117"/>
      <c r="L95" s="632"/>
      <c r="N95" s="1171">
        <v>1</v>
      </c>
      <c r="O95" s="745"/>
      <c r="P95" s="1117"/>
      <c r="Q95" s="1117"/>
      <c r="R95" s="1117"/>
      <c r="S95" s="1117"/>
      <c r="T95" s="1117"/>
      <c r="U95" s="1117"/>
      <c r="V95" s="1117"/>
      <c r="W95" s="1117"/>
      <c r="X95" s="1117"/>
      <c r="Y95" s="632"/>
    </row>
    <row r="96" spans="1:57" x14ac:dyDescent="0.25">
      <c r="A96" s="1184">
        <v>2</v>
      </c>
      <c r="B96" s="668"/>
      <c r="C96" s="721"/>
      <c r="D96" s="721"/>
      <c r="E96" s="721"/>
      <c r="F96" s="721"/>
      <c r="G96" s="721"/>
      <c r="H96" s="721"/>
      <c r="I96" s="721"/>
      <c r="J96" s="721"/>
      <c r="K96" s="721"/>
      <c r="L96" s="639"/>
      <c r="N96" s="1175">
        <v>2</v>
      </c>
      <c r="O96" s="668"/>
      <c r="P96" s="721"/>
      <c r="Q96" s="721"/>
      <c r="R96" s="721"/>
      <c r="S96" s="721"/>
      <c r="T96" s="721"/>
      <c r="U96" s="721"/>
      <c r="V96" s="721"/>
      <c r="W96" s="721"/>
      <c r="X96" s="721"/>
      <c r="Y96" s="639"/>
    </row>
    <row r="97" spans="1:25" x14ac:dyDescent="0.25">
      <c r="A97" s="1184">
        <v>3</v>
      </c>
      <c r="B97" s="668"/>
      <c r="C97" s="721"/>
      <c r="D97" s="721"/>
      <c r="E97" s="721"/>
      <c r="F97" s="721"/>
      <c r="G97" s="721"/>
      <c r="H97" s="721"/>
      <c r="I97" s="721"/>
      <c r="J97" s="721"/>
      <c r="K97" s="721"/>
      <c r="L97" s="639"/>
      <c r="N97" s="1175">
        <v>3</v>
      </c>
      <c r="O97" s="668"/>
      <c r="P97" s="721"/>
      <c r="Q97" s="721"/>
      <c r="R97" s="721"/>
      <c r="S97" s="721"/>
      <c r="T97" s="721"/>
      <c r="U97" s="721"/>
      <c r="V97" s="721"/>
      <c r="W97" s="721"/>
      <c r="X97" s="721"/>
      <c r="Y97" s="639"/>
    </row>
    <row r="98" spans="1:25" x14ac:dyDescent="0.25">
      <c r="A98" s="1184">
        <v>4</v>
      </c>
      <c r="B98" s="668"/>
      <c r="C98" s="721"/>
      <c r="D98" s="721"/>
      <c r="E98" s="721"/>
      <c r="F98" s="721"/>
      <c r="G98" s="721"/>
      <c r="H98" s="721"/>
      <c r="I98" s="721"/>
      <c r="J98" s="721"/>
      <c r="K98" s="721"/>
      <c r="L98" s="639"/>
      <c r="N98" s="1175">
        <v>4</v>
      </c>
      <c r="O98" s="668"/>
      <c r="P98" s="721"/>
      <c r="Q98" s="721"/>
      <c r="R98" s="721"/>
      <c r="S98" s="721"/>
      <c r="T98" s="721"/>
      <c r="U98" s="721"/>
      <c r="V98" s="721"/>
      <c r="W98" s="721"/>
      <c r="X98" s="721"/>
      <c r="Y98" s="639"/>
    </row>
    <row r="99" spans="1:25" x14ac:dyDescent="0.25">
      <c r="A99" s="1184">
        <v>5</v>
      </c>
      <c r="B99" s="668"/>
      <c r="C99" s="721"/>
      <c r="D99" s="721"/>
      <c r="E99" s="721"/>
      <c r="F99" s="721"/>
      <c r="G99" s="721"/>
      <c r="H99" s="721"/>
      <c r="I99" s="721"/>
      <c r="J99" s="721"/>
      <c r="K99" s="721"/>
      <c r="L99" s="639"/>
      <c r="N99" s="1175">
        <v>5</v>
      </c>
      <c r="O99" s="668"/>
      <c r="P99" s="721"/>
      <c r="Q99" s="721"/>
      <c r="R99" s="721"/>
      <c r="S99" s="721"/>
      <c r="T99" s="721"/>
      <c r="U99" s="721"/>
      <c r="V99" s="721"/>
      <c r="W99" s="721"/>
      <c r="X99" s="721"/>
      <c r="Y99" s="639"/>
    </row>
    <row r="100" spans="1:25" x14ac:dyDescent="0.25">
      <c r="A100" s="1184">
        <v>6</v>
      </c>
      <c r="B100" s="668"/>
      <c r="C100" s="721"/>
      <c r="D100" s="721"/>
      <c r="E100" s="721"/>
      <c r="F100" s="721"/>
      <c r="G100" s="721"/>
      <c r="H100" s="721"/>
      <c r="I100" s="721"/>
      <c r="J100" s="721"/>
      <c r="K100" s="721"/>
      <c r="L100" s="639"/>
      <c r="N100" s="1175">
        <v>6</v>
      </c>
      <c r="O100" s="668"/>
      <c r="P100" s="721"/>
      <c r="Q100" s="721"/>
      <c r="R100" s="721"/>
      <c r="S100" s="721"/>
      <c r="T100" s="721"/>
      <c r="U100" s="721"/>
      <c r="V100" s="721"/>
      <c r="W100" s="721"/>
      <c r="X100" s="721"/>
      <c r="Y100" s="639"/>
    </row>
    <row r="101" spans="1:25" x14ac:dyDescent="0.25">
      <c r="A101" s="1184">
        <v>7</v>
      </c>
      <c r="B101" s="668"/>
      <c r="C101" s="721"/>
      <c r="D101" s="721"/>
      <c r="E101" s="721"/>
      <c r="F101" s="721"/>
      <c r="G101" s="721"/>
      <c r="H101" s="721"/>
      <c r="I101" s="721"/>
      <c r="J101" s="721"/>
      <c r="K101" s="721"/>
      <c r="L101" s="639"/>
      <c r="N101" s="1175">
        <v>7</v>
      </c>
      <c r="O101" s="668"/>
      <c r="P101" s="721"/>
      <c r="Q101" s="721"/>
      <c r="R101" s="721"/>
      <c r="S101" s="721"/>
      <c r="T101" s="721"/>
      <c r="U101" s="721"/>
      <c r="V101" s="721"/>
      <c r="W101" s="721"/>
      <c r="X101" s="721"/>
      <c r="Y101" s="639"/>
    </row>
    <row r="102" spans="1:25" x14ac:dyDescent="0.25">
      <c r="A102" s="1184">
        <v>8</v>
      </c>
      <c r="B102" s="668"/>
      <c r="C102" s="721"/>
      <c r="D102" s="721"/>
      <c r="E102" s="721"/>
      <c r="F102" s="721"/>
      <c r="G102" s="721"/>
      <c r="H102" s="721"/>
      <c r="I102" s="721"/>
      <c r="J102" s="721"/>
      <c r="K102" s="721"/>
      <c r="L102" s="639"/>
      <c r="N102" s="1175">
        <v>8</v>
      </c>
      <c r="O102" s="668"/>
      <c r="P102" s="721"/>
      <c r="Q102" s="721"/>
      <c r="R102" s="721"/>
      <c r="S102" s="721"/>
      <c r="T102" s="721"/>
      <c r="U102" s="721"/>
      <c r="V102" s="721"/>
      <c r="W102" s="721"/>
      <c r="X102" s="721"/>
      <c r="Y102" s="639"/>
    </row>
    <row r="103" spans="1:25" x14ac:dyDescent="0.25">
      <c r="A103" s="1184">
        <v>9</v>
      </c>
      <c r="B103" s="668"/>
      <c r="C103" s="721"/>
      <c r="D103" s="721"/>
      <c r="E103" s="721"/>
      <c r="F103" s="721"/>
      <c r="G103" s="721"/>
      <c r="H103" s="721"/>
      <c r="I103" s="721"/>
      <c r="J103" s="721"/>
      <c r="K103" s="721"/>
      <c r="L103" s="639"/>
      <c r="N103" s="1175">
        <v>9</v>
      </c>
      <c r="O103" s="668"/>
      <c r="P103" s="721"/>
      <c r="Q103" s="721"/>
      <c r="R103" s="721"/>
      <c r="S103" s="721"/>
      <c r="T103" s="721"/>
      <c r="U103" s="721"/>
      <c r="V103" s="721"/>
      <c r="W103" s="721"/>
      <c r="X103" s="721"/>
      <c r="Y103" s="639"/>
    </row>
    <row r="104" spans="1:25" x14ac:dyDescent="0.25">
      <c r="A104" s="1184">
        <v>10</v>
      </c>
      <c r="B104" s="668"/>
      <c r="C104" s="721"/>
      <c r="D104" s="721"/>
      <c r="E104" s="721"/>
      <c r="F104" s="721"/>
      <c r="G104" s="721"/>
      <c r="H104" s="721"/>
      <c r="I104" s="721"/>
      <c r="J104" s="721"/>
      <c r="K104" s="721"/>
      <c r="L104" s="639"/>
      <c r="N104" s="1175">
        <v>10</v>
      </c>
      <c r="O104" s="668"/>
      <c r="P104" s="721"/>
      <c r="Q104" s="721"/>
      <c r="R104" s="721"/>
      <c r="S104" s="721"/>
      <c r="T104" s="721"/>
      <c r="U104" s="721"/>
      <c r="V104" s="721"/>
      <c r="W104" s="721"/>
      <c r="X104" s="721"/>
      <c r="Y104" s="639"/>
    </row>
    <row r="105" spans="1:25" x14ac:dyDescent="0.25">
      <c r="A105" s="1184">
        <v>11</v>
      </c>
      <c r="B105" s="668"/>
      <c r="C105" s="721"/>
      <c r="D105" s="721"/>
      <c r="E105" s="721"/>
      <c r="F105" s="721"/>
      <c r="G105" s="721"/>
      <c r="H105" s="721"/>
      <c r="I105" s="721"/>
      <c r="J105" s="721"/>
      <c r="K105" s="721"/>
      <c r="L105" s="639"/>
      <c r="N105" s="1175">
        <v>11</v>
      </c>
      <c r="O105" s="668"/>
      <c r="P105" s="721"/>
      <c r="Q105" s="721"/>
      <c r="R105" s="721"/>
      <c r="S105" s="721"/>
      <c r="T105" s="721"/>
      <c r="U105" s="721"/>
      <c r="V105" s="721"/>
      <c r="W105" s="721"/>
      <c r="X105" s="721"/>
      <c r="Y105" s="639"/>
    </row>
    <row r="106" spans="1:25" x14ac:dyDescent="0.25">
      <c r="A106" s="1184">
        <v>12</v>
      </c>
      <c r="B106" s="668"/>
      <c r="C106" s="721"/>
      <c r="D106" s="721"/>
      <c r="E106" s="721"/>
      <c r="F106" s="721"/>
      <c r="G106" s="721"/>
      <c r="H106" s="721"/>
      <c r="I106" s="721"/>
      <c r="J106" s="721"/>
      <c r="K106" s="721"/>
      <c r="L106" s="639"/>
      <c r="N106" s="1175">
        <v>12</v>
      </c>
      <c r="O106" s="668"/>
      <c r="P106" s="721"/>
      <c r="Q106" s="721"/>
      <c r="R106" s="721"/>
      <c r="S106" s="721"/>
      <c r="T106" s="721"/>
      <c r="U106" s="721"/>
      <c r="V106" s="721"/>
      <c r="W106" s="721"/>
      <c r="X106" s="721"/>
      <c r="Y106" s="639"/>
    </row>
    <row r="107" spans="1:25" x14ac:dyDescent="0.25">
      <c r="A107" s="1184">
        <v>13</v>
      </c>
      <c r="B107" s="668"/>
      <c r="C107" s="721"/>
      <c r="D107" s="721"/>
      <c r="E107" s="721"/>
      <c r="F107" s="721"/>
      <c r="G107" s="721"/>
      <c r="H107" s="721"/>
      <c r="I107" s="721"/>
      <c r="J107" s="721"/>
      <c r="K107" s="721"/>
      <c r="L107" s="639"/>
      <c r="N107" s="1175">
        <v>13</v>
      </c>
      <c r="O107" s="668"/>
      <c r="P107" s="721"/>
      <c r="Q107" s="721"/>
      <c r="R107" s="721"/>
      <c r="S107" s="721"/>
      <c r="T107" s="721"/>
      <c r="U107" s="721"/>
      <c r="V107" s="721"/>
      <c r="W107" s="721"/>
      <c r="X107" s="721"/>
      <c r="Y107" s="639"/>
    </row>
    <row r="108" spans="1:25" x14ac:dyDescent="0.25">
      <c r="A108" s="1184">
        <v>14</v>
      </c>
      <c r="B108" s="668"/>
      <c r="C108" s="721"/>
      <c r="D108" s="721"/>
      <c r="E108" s="721"/>
      <c r="F108" s="721"/>
      <c r="G108" s="721"/>
      <c r="H108" s="721"/>
      <c r="I108" s="721"/>
      <c r="J108" s="721"/>
      <c r="K108" s="721"/>
      <c r="L108" s="639"/>
      <c r="N108" s="1175">
        <v>14</v>
      </c>
      <c r="O108" s="668"/>
      <c r="P108" s="721"/>
      <c r="Q108" s="721"/>
      <c r="R108" s="721"/>
      <c r="S108" s="721"/>
      <c r="T108" s="721"/>
      <c r="U108" s="721"/>
      <c r="V108" s="721"/>
      <c r="W108" s="721"/>
      <c r="X108" s="721"/>
      <c r="Y108" s="639"/>
    </row>
    <row r="109" spans="1:25" x14ac:dyDescent="0.25">
      <c r="A109" s="1184">
        <v>15</v>
      </c>
      <c r="B109" s="668"/>
      <c r="C109" s="721"/>
      <c r="D109" s="721"/>
      <c r="E109" s="721"/>
      <c r="F109" s="721"/>
      <c r="G109" s="721"/>
      <c r="H109" s="721"/>
      <c r="I109" s="721"/>
      <c r="J109" s="721"/>
      <c r="K109" s="721"/>
      <c r="L109" s="639"/>
      <c r="N109" s="1175">
        <v>15</v>
      </c>
      <c r="O109" s="668"/>
      <c r="P109" s="721"/>
      <c r="Q109" s="721"/>
      <c r="R109" s="721"/>
      <c r="S109" s="721"/>
      <c r="T109" s="721"/>
      <c r="U109" s="721"/>
      <c r="V109" s="721"/>
      <c r="W109" s="721"/>
      <c r="X109" s="721"/>
      <c r="Y109" s="639"/>
    </row>
    <row r="110" spans="1:25" x14ac:dyDescent="0.25">
      <c r="A110" s="1184">
        <v>16</v>
      </c>
      <c r="B110" s="668"/>
      <c r="C110" s="721"/>
      <c r="D110" s="721"/>
      <c r="E110" s="721"/>
      <c r="F110" s="721"/>
      <c r="G110" s="721"/>
      <c r="H110" s="721"/>
      <c r="I110" s="721"/>
      <c r="J110" s="721"/>
      <c r="K110" s="721"/>
      <c r="L110" s="639"/>
      <c r="N110" s="1175">
        <v>16</v>
      </c>
      <c r="O110" s="668"/>
      <c r="P110" s="721"/>
      <c r="Q110" s="721"/>
      <c r="R110" s="721"/>
      <c r="S110" s="721"/>
      <c r="T110" s="721"/>
      <c r="U110" s="721"/>
      <c r="V110" s="721"/>
      <c r="W110" s="721"/>
      <c r="X110" s="721"/>
      <c r="Y110" s="639"/>
    </row>
    <row r="111" spans="1:25" x14ac:dyDescent="0.25">
      <c r="A111" s="1184">
        <v>17</v>
      </c>
      <c r="B111" s="668"/>
      <c r="C111" s="721"/>
      <c r="D111" s="721"/>
      <c r="E111" s="721"/>
      <c r="F111" s="721"/>
      <c r="G111" s="721"/>
      <c r="H111" s="721"/>
      <c r="I111" s="721"/>
      <c r="J111" s="721"/>
      <c r="K111" s="721"/>
      <c r="L111" s="639"/>
      <c r="N111" s="1175">
        <v>17</v>
      </c>
      <c r="O111" s="668"/>
      <c r="P111" s="721"/>
      <c r="Q111" s="721"/>
      <c r="R111" s="721"/>
      <c r="S111" s="721"/>
      <c r="T111" s="721"/>
      <c r="U111" s="721"/>
      <c r="V111" s="721"/>
      <c r="W111" s="721"/>
      <c r="X111" s="721"/>
      <c r="Y111" s="639"/>
    </row>
    <row r="112" spans="1:25" x14ac:dyDescent="0.25">
      <c r="A112" s="1184">
        <v>18</v>
      </c>
      <c r="B112" s="668"/>
      <c r="C112" s="721"/>
      <c r="D112" s="721"/>
      <c r="E112" s="721"/>
      <c r="F112" s="721"/>
      <c r="G112" s="721"/>
      <c r="H112" s="721"/>
      <c r="I112" s="721"/>
      <c r="J112" s="721"/>
      <c r="K112" s="721"/>
      <c r="L112" s="639"/>
      <c r="N112" s="1175">
        <v>18</v>
      </c>
      <c r="O112" s="668"/>
      <c r="P112" s="721"/>
      <c r="Q112" s="721"/>
      <c r="R112" s="721"/>
      <c r="S112" s="721"/>
      <c r="T112" s="721"/>
      <c r="U112" s="721"/>
      <c r="V112" s="721"/>
      <c r="W112" s="721"/>
      <c r="X112" s="721"/>
      <c r="Y112" s="639"/>
    </row>
    <row r="113" spans="1:25" x14ac:dyDescent="0.25">
      <c r="A113" s="1184">
        <v>19</v>
      </c>
      <c r="B113" s="668"/>
      <c r="C113" s="721"/>
      <c r="D113" s="721"/>
      <c r="E113" s="721"/>
      <c r="F113" s="721"/>
      <c r="G113" s="721"/>
      <c r="H113" s="721"/>
      <c r="I113" s="721"/>
      <c r="J113" s="721"/>
      <c r="K113" s="721"/>
      <c r="L113" s="639"/>
      <c r="N113" s="1175">
        <v>19</v>
      </c>
      <c r="O113" s="668"/>
      <c r="P113" s="721"/>
      <c r="Q113" s="721"/>
      <c r="R113" s="721"/>
      <c r="S113" s="721"/>
      <c r="T113" s="721"/>
      <c r="U113" s="721"/>
      <c r="V113" s="721"/>
      <c r="W113" s="721"/>
      <c r="X113" s="721"/>
      <c r="Y113" s="639"/>
    </row>
    <row r="114" spans="1:25" x14ac:dyDescent="0.25">
      <c r="A114" s="1184">
        <v>20</v>
      </c>
      <c r="B114" s="668"/>
      <c r="C114" s="721"/>
      <c r="D114" s="721"/>
      <c r="E114" s="721"/>
      <c r="F114" s="721"/>
      <c r="G114" s="721"/>
      <c r="H114" s="721"/>
      <c r="I114" s="721"/>
      <c r="J114" s="721"/>
      <c r="K114" s="721"/>
      <c r="L114" s="639"/>
      <c r="N114" s="1175">
        <v>20</v>
      </c>
      <c r="O114" s="668"/>
      <c r="P114" s="721"/>
      <c r="Q114" s="721"/>
      <c r="R114" s="721"/>
      <c r="S114" s="721"/>
      <c r="T114" s="721"/>
      <c r="U114" s="721"/>
      <c r="V114" s="721"/>
      <c r="W114" s="721"/>
      <c r="X114" s="721"/>
      <c r="Y114" s="639"/>
    </row>
    <row r="115" spans="1:25" x14ac:dyDescent="0.25">
      <c r="A115" s="1184">
        <v>21</v>
      </c>
      <c r="B115" s="668"/>
      <c r="C115" s="721"/>
      <c r="D115" s="721"/>
      <c r="E115" s="721"/>
      <c r="F115" s="721"/>
      <c r="G115" s="721"/>
      <c r="H115" s="721"/>
      <c r="I115" s="721"/>
      <c r="J115" s="721"/>
      <c r="K115" s="721"/>
      <c r="L115" s="639"/>
      <c r="N115" s="1175">
        <v>21</v>
      </c>
      <c r="O115" s="668"/>
      <c r="P115" s="721"/>
      <c r="Q115" s="721"/>
      <c r="R115" s="721"/>
      <c r="S115" s="721"/>
      <c r="T115" s="721"/>
      <c r="U115" s="721"/>
      <c r="V115" s="721"/>
      <c r="W115" s="721"/>
      <c r="X115" s="721"/>
      <c r="Y115" s="639"/>
    </row>
    <row r="116" spans="1:25" x14ac:dyDescent="0.25">
      <c r="A116" s="1184">
        <v>22</v>
      </c>
      <c r="B116" s="668"/>
      <c r="C116" s="721"/>
      <c r="D116" s="721"/>
      <c r="E116" s="721"/>
      <c r="F116" s="721"/>
      <c r="G116" s="721"/>
      <c r="H116" s="721"/>
      <c r="I116" s="721"/>
      <c r="J116" s="721"/>
      <c r="K116" s="721"/>
      <c r="L116" s="639"/>
      <c r="N116" s="1175">
        <v>22</v>
      </c>
      <c r="O116" s="668"/>
      <c r="P116" s="721"/>
      <c r="Q116" s="721"/>
      <c r="R116" s="721"/>
      <c r="S116" s="721"/>
      <c r="T116" s="721"/>
      <c r="U116" s="721"/>
      <c r="V116" s="721"/>
      <c r="W116" s="721"/>
      <c r="X116" s="721"/>
      <c r="Y116" s="639"/>
    </row>
    <row r="117" spans="1:25" x14ac:dyDescent="0.25">
      <c r="A117" s="1184">
        <v>23</v>
      </c>
      <c r="B117" s="668"/>
      <c r="C117" s="721"/>
      <c r="D117" s="721"/>
      <c r="E117" s="721"/>
      <c r="F117" s="721"/>
      <c r="G117" s="721"/>
      <c r="H117" s="721"/>
      <c r="I117" s="721"/>
      <c r="J117" s="721"/>
      <c r="K117" s="721"/>
      <c r="L117" s="639"/>
      <c r="N117" s="1175">
        <v>23</v>
      </c>
      <c r="O117" s="668"/>
      <c r="P117" s="721"/>
      <c r="Q117" s="721"/>
      <c r="R117" s="721"/>
      <c r="S117" s="721"/>
      <c r="T117" s="721"/>
      <c r="U117" s="721"/>
      <c r="V117" s="721"/>
      <c r="W117" s="721"/>
      <c r="X117" s="721"/>
      <c r="Y117" s="639"/>
    </row>
    <row r="118" spans="1:25" x14ac:dyDescent="0.25">
      <c r="A118" s="1184">
        <v>24</v>
      </c>
      <c r="B118" s="668"/>
      <c r="C118" s="721"/>
      <c r="D118" s="721"/>
      <c r="E118" s="721"/>
      <c r="F118" s="721"/>
      <c r="G118" s="721"/>
      <c r="H118" s="721"/>
      <c r="I118" s="721"/>
      <c r="J118" s="721"/>
      <c r="K118" s="721"/>
      <c r="L118" s="639"/>
      <c r="N118" s="1175">
        <v>24</v>
      </c>
      <c r="O118" s="668"/>
      <c r="P118" s="721"/>
      <c r="Q118" s="721"/>
      <c r="R118" s="721"/>
      <c r="S118" s="721"/>
      <c r="T118" s="721"/>
      <c r="U118" s="721"/>
      <c r="V118" s="721"/>
      <c r="W118" s="721"/>
      <c r="X118" s="721"/>
      <c r="Y118" s="639"/>
    </row>
    <row r="119" spans="1:25" x14ac:dyDescent="0.25">
      <c r="A119" s="1184">
        <v>25</v>
      </c>
      <c r="B119" s="668"/>
      <c r="C119" s="721"/>
      <c r="D119" s="721"/>
      <c r="E119" s="721"/>
      <c r="F119" s="721"/>
      <c r="G119" s="721"/>
      <c r="H119" s="721"/>
      <c r="I119" s="721"/>
      <c r="J119" s="721"/>
      <c r="K119" s="721"/>
      <c r="L119" s="639"/>
      <c r="N119" s="1175">
        <v>25</v>
      </c>
      <c r="O119" s="668"/>
      <c r="P119" s="721"/>
      <c r="Q119" s="721"/>
      <c r="R119" s="721"/>
      <c r="S119" s="721"/>
      <c r="T119" s="721"/>
      <c r="U119" s="721"/>
      <c r="V119" s="721"/>
      <c r="W119" s="721"/>
      <c r="X119" s="721"/>
      <c r="Y119" s="639"/>
    </row>
    <row r="120" spans="1:25" x14ac:dyDescent="0.25">
      <c r="A120" s="1184">
        <v>26</v>
      </c>
      <c r="B120" s="668"/>
      <c r="C120" s="721"/>
      <c r="D120" s="721"/>
      <c r="E120" s="721"/>
      <c r="F120" s="721"/>
      <c r="G120" s="721"/>
      <c r="H120" s="721"/>
      <c r="I120" s="721"/>
      <c r="J120" s="721"/>
      <c r="K120" s="721"/>
      <c r="L120" s="639"/>
      <c r="N120" s="1175">
        <v>26</v>
      </c>
      <c r="O120" s="668"/>
      <c r="P120" s="721"/>
      <c r="Q120" s="721"/>
      <c r="R120" s="721"/>
      <c r="S120" s="721"/>
      <c r="T120" s="721"/>
      <c r="U120" s="721"/>
      <c r="V120" s="721"/>
      <c r="W120" s="721"/>
      <c r="X120" s="721"/>
      <c r="Y120" s="639"/>
    </row>
    <row r="121" spans="1:25" x14ac:dyDescent="0.25">
      <c r="A121" s="1184">
        <v>27</v>
      </c>
      <c r="B121" s="668"/>
      <c r="C121" s="721"/>
      <c r="D121" s="721"/>
      <c r="E121" s="721"/>
      <c r="F121" s="721"/>
      <c r="G121" s="721"/>
      <c r="H121" s="721"/>
      <c r="I121" s="721"/>
      <c r="J121" s="721"/>
      <c r="K121" s="721"/>
      <c r="L121" s="639"/>
      <c r="N121" s="1175">
        <v>27</v>
      </c>
      <c r="O121" s="668"/>
      <c r="P121" s="721"/>
      <c r="Q121" s="721"/>
      <c r="R121" s="721"/>
      <c r="S121" s="721"/>
      <c r="T121" s="721"/>
      <c r="U121" s="721"/>
      <c r="V121" s="721"/>
      <c r="W121" s="721"/>
      <c r="X121" s="721"/>
      <c r="Y121" s="639"/>
    </row>
    <row r="122" spans="1:25" x14ac:dyDescent="0.25">
      <c r="A122" s="1184">
        <v>28</v>
      </c>
      <c r="B122" s="668"/>
      <c r="C122" s="721"/>
      <c r="D122" s="721"/>
      <c r="E122" s="721"/>
      <c r="F122" s="721"/>
      <c r="G122" s="721"/>
      <c r="H122" s="721"/>
      <c r="I122" s="721"/>
      <c r="J122" s="721"/>
      <c r="K122" s="721"/>
      <c r="L122" s="639"/>
      <c r="N122" s="1175">
        <v>28</v>
      </c>
      <c r="O122" s="668"/>
      <c r="P122" s="721"/>
      <c r="Q122" s="721"/>
      <c r="R122" s="721"/>
      <c r="S122" s="721"/>
      <c r="T122" s="721"/>
      <c r="U122" s="721"/>
      <c r="V122" s="721"/>
      <c r="W122" s="721"/>
      <c r="X122" s="721"/>
      <c r="Y122" s="639"/>
    </row>
    <row r="123" spans="1:25" x14ac:dyDescent="0.25">
      <c r="A123" s="1184">
        <v>29</v>
      </c>
      <c r="B123" s="668"/>
      <c r="C123" s="721"/>
      <c r="D123" s="721"/>
      <c r="E123" s="721"/>
      <c r="F123" s="721"/>
      <c r="G123" s="721"/>
      <c r="H123" s="721"/>
      <c r="I123" s="721"/>
      <c r="J123" s="721"/>
      <c r="K123" s="721"/>
      <c r="L123" s="639"/>
      <c r="N123" s="1175">
        <v>29</v>
      </c>
      <c r="O123" s="668"/>
      <c r="P123" s="721"/>
      <c r="Q123" s="721"/>
      <c r="R123" s="721"/>
      <c r="S123" s="721"/>
      <c r="T123" s="721"/>
      <c r="U123" s="721"/>
      <c r="V123" s="721"/>
      <c r="W123" s="721"/>
      <c r="X123" s="721"/>
      <c r="Y123" s="639"/>
    </row>
    <row r="124" spans="1:25" x14ac:dyDescent="0.25">
      <c r="A124" s="1184">
        <v>30</v>
      </c>
      <c r="B124" s="668"/>
      <c r="C124" s="721"/>
      <c r="D124" s="721"/>
      <c r="E124" s="721"/>
      <c r="F124" s="721"/>
      <c r="G124" s="721"/>
      <c r="H124" s="721"/>
      <c r="I124" s="721"/>
      <c r="J124" s="721"/>
      <c r="K124" s="721"/>
      <c r="L124" s="639"/>
      <c r="N124" s="1175">
        <v>30</v>
      </c>
      <c r="O124" s="668"/>
      <c r="P124" s="721"/>
      <c r="Q124" s="721"/>
      <c r="R124" s="721"/>
      <c r="S124" s="721"/>
      <c r="T124" s="721"/>
      <c r="U124" s="721"/>
      <c r="V124" s="721"/>
      <c r="W124" s="721"/>
      <c r="X124" s="721"/>
      <c r="Y124" s="639"/>
    </row>
    <row r="125" spans="1:25" x14ac:dyDescent="0.25">
      <c r="A125" s="1184">
        <v>31</v>
      </c>
      <c r="B125" s="668"/>
      <c r="C125" s="721"/>
      <c r="D125" s="721"/>
      <c r="E125" s="721"/>
      <c r="F125" s="721"/>
      <c r="G125" s="721"/>
      <c r="H125" s="721"/>
      <c r="I125" s="721"/>
      <c r="J125" s="721"/>
      <c r="K125" s="721"/>
      <c r="L125" s="639"/>
      <c r="N125" s="1175">
        <v>31</v>
      </c>
      <c r="O125" s="668"/>
      <c r="P125" s="721"/>
      <c r="Q125" s="721"/>
      <c r="R125" s="721"/>
      <c r="S125" s="721"/>
      <c r="T125" s="721"/>
      <c r="U125" s="721"/>
      <c r="V125" s="721"/>
      <c r="W125" s="721"/>
      <c r="X125" s="721"/>
      <c r="Y125" s="639"/>
    </row>
    <row r="126" spans="1:25" x14ac:dyDescent="0.25">
      <c r="A126" s="1184">
        <v>32</v>
      </c>
      <c r="B126" s="668"/>
      <c r="C126" s="721"/>
      <c r="D126" s="721"/>
      <c r="E126" s="721"/>
      <c r="F126" s="721"/>
      <c r="G126" s="721"/>
      <c r="H126" s="721"/>
      <c r="I126" s="721"/>
      <c r="J126" s="721"/>
      <c r="K126" s="721"/>
      <c r="L126" s="639"/>
      <c r="N126" s="1175">
        <v>32</v>
      </c>
      <c r="O126" s="668"/>
      <c r="P126" s="721"/>
      <c r="Q126" s="721"/>
      <c r="R126" s="721"/>
      <c r="S126" s="721"/>
      <c r="T126" s="721"/>
      <c r="U126" s="721"/>
      <c r="V126" s="721"/>
      <c r="W126" s="721"/>
      <c r="X126" s="721"/>
      <c r="Y126" s="639"/>
    </row>
    <row r="127" spans="1:25" x14ac:dyDescent="0.25">
      <c r="A127" s="1184">
        <v>33</v>
      </c>
      <c r="B127" s="668"/>
      <c r="C127" s="721"/>
      <c r="D127" s="721"/>
      <c r="E127" s="721"/>
      <c r="F127" s="721"/>
      <c r="G127" s="721"/>
      <c r="H127" s="721"/>
      <c r="I127" s="721"/>
      <c r="J127" s="721"/>
      <c r="K127" s="721"/>
      <c r="L127" s="639"/>
      <c r="N127" s="1175">
        <v>33</v>
      </c>
      <c r="O127" s="668"/>
      <c r="P127" s="721"/>
      <c r="Q127" s="721"/>
      <c r="R127" s="721"/>
      <c r="S127" s="721"/>
      <c r="T127" s="721"/>
      <c r="U127" s="721"/>
      <c r="V127" s="721"/>
      <c r="W127" s="721"/>
      <c r="X127" s="721"/>
      <c r="Y127" s="639"/>
    </row>
    <row r="128" spans="1:25" x14ac:dyDescent="0.25">
      <c r="A128" s="1184">
        <v>34</v>
      </c>
      <c r="B128" s="668"/>
      <c r="C128" s="721"/>
      <c r="D128" s="721"/>
      <c r="E128" s="721"/>
      <c r="F128" s="721"/>
      <c r="G128" s="721"/>
      <c r="H128" s="721"/>
      <c r="I128" s="721"/>
      <c r="J128" s="721"/>
      <c r="K128" s="721"/>
      <c r="L128" s="639"/>
      <c r="N128" s="1175">
        <v>34</v>
      </c>
      <c r="O128" s="668"/>
      <c r="P128" s="721"/>
      <c r="Q128" s="721"/>
      <c r="R128" s="721"/>
      <c r="S128" s="721"/>
      <c r="T128" s="721"/>
      <c r="U128" s="721"/>
      <c r="V128" s="721"/>
      <c r="W128" s="721"/>
      <c r="X128" s="721"/>
      <c r="Y128" s="639"/>
    </row>
    <row r="129" spans="1:25" x14ac:dyDescent="0.25">
      <c r="A129" s="1184">
        <v>35</v>
      </c>
      <c r="B129" s="668"/>
      <c r="C129" s="721"/>
      <c r="D129" s="721"/>
      <c r="E129" s="721"/>
      <c r="F129" s="721"/>
      <c r="G129" s="721"/>
      <c r="H129" s="721"/>
      <c r="I129" s="721"/>
      <c r="J129" s="721"/>
      <c r="K129" s="721"/>
      <c r="L129" s="639"/>
      <c r="N129" s="1175">
        <v>35</v>
      </c>
      <c r="O129" s="668"/>
      <c r="P129" s="721"/>
      <c r="Q129" s="721"/>
      <c r="R129" s="721"/>
      <c r="S129" s="721"/>
      <c r="T129" s="721"/>
      <c r="U129" s="721"/>
      <c r="V129" s="721"/>
      <c r="W129" s="721"/>
      <c r="X129" s="721"/>
      <c r="Y129" s="639"/>
    </row>
    <row r="130" spans="1:25" x14ac:dyDescent="0.25">
      <c r="A130" s="1184">
        <v>36</v>
      </c>
      <c r="B130" s="668"/>
      <c r="C130" s="721"/>
      <c r="D130" s="721"/>
      <c r="E130" s="721"/>
      <c r="F130" s="721"/>
      <c r="G130" s="721"/>
      <c r="H130" s="721"/>
      <c r="I130" s="721"/>
      <c r="J130" s="721"/>
      <c r="K130" s="721"/>
      <c r="L130" s="639"/>
      <c r="N130" s="1175">
        <v>36</v>
      </c>
      <c r="O130" s="668"/>
      <c r="P130" s="721"/>
      <c r="Q130" s="721"/>
      <c r="R130" s="721"/>
      <c r="S130" s="721"/>
      <c r="T130" s="721"/>
      <c r="U130" s="721"/>
      <c r="V130" s="721"/>
      <c r="W130" s="721"/>
      <c r="X130" s="721"/>
      <c r="Y130" s="639"/>
    </row>
    <row r="131" spans="1:25" x14ac:dyDescent="0.25">
      <c r="A131" s="1184">
        <v>37</v>
      </c>
      <c r="B131" s="668"/>
      <c r="C131" s="721"/>
      <c r="D131" s="721"/>
      <c r="E131" s="721"/>
      <c r="F131" s="721"/>
      <c r="G131" s="721"/>
      <c r="H131" s="721"/>
      <c r="I131" s="721"/>
      <c r="J131" s="721"/>
      <c r="K131" s="721"/>
      <c r="L131" s="639"/>
      <c r="N131" s="1175">
        <v>37</v>
      </c>
      <c r="O131" s="668"/>
      <c r="P131" s="721"/>
      <c r="Q131" s="721"/>
      <c r="R131" s="721"/>
      <c r="S131" s="721"/>
      <c r="T131" s="721"/>
      <c r="U131" s="721"/>
      <c r="V131" s="721"/>
      <c r="W131" s="721"/>
      <c r="X131" s="721"/>
      <c r="Y131" s="639"/>
    </row>
    <row r="132" spans="1:25" x14ac:dyDescent="0.25">
      <c r="A132" s="1184">
        <v>38</v>
      </c>
      <c r="B132" s="668"/>
      <c r="C132" s="721"/>
      <c r="D132" s="721"/>
      <c r="E132" s="721"/>
      <c r="F132" s="721"/>
      <c r="G132" s="721"/>
      <c r="H132" s="721"/>
      <c r="I132" s="721"/>
      <c r="J132" s="721"/>
      <c r="K132" s="721"/>
      <c r="L132" s="639"/>
      <c r="N132" s="1175">
        <v>38</v>
      </c>
      <c r="O132" s="668"/>
      <c r="P132" s="721"/>
      <c r="Q132" s="721"/>
      <c r="R132" s="721"/>
      <c r="S132" s="721"/>
      <c r="T132" s="721"/>
      <c r="U132" s="721"/>
      <c r="V132" s="721"/>
      <c r="W132" s="721"/>
      <c r="X132" s="721"/>
      <c r="Y132" s="639"/>
    </row>
    <row r="133" spans="1:25" x14ac:dyDescent="0.25">
      <c r="A133" s="1184">
        <v>39</v>
      </c>
      <c r="B133" s="668"/>
      <c r="C133" s="721"/>
      <c r="D133" s="721"/>
      <c r="E133" s="721"/>
      <c r="F133" s="721"/>
      <c r="G133" s="721"/>
      <c r="H133" s="721"/>
      <c r="I133" s="721"/>
      <c r="J133" s="721"/>
      <c r="K133" s="721"/>
      <c r="L133" s="639"/>
      <c r="N133" s="1175">
        <v>39</v>
      </c>
      <c r="O133" s="668"/>
      <c r="P133" s="721"/>
      <c r="Q133" s="721"/>
      <c r="R133" s="721"/>
      <c r="S133" s="721"/>
      <c r="T133" s="721"/>
      <c r="U133" s="721"/>
      <c r="V133" s="721"/>
      <c r="W133" s="721"/>
      <c r="X133" s="721"/>
      <c r="Y133" s="639"/>
    </row>
    <row r="134" spans="1:25" ht="13.8" thickBot="1" x14ac:dyDescent="0.3">
      <c r="A134" s="1185">
        <v>40</v>
      </c>
      <c r="B134" s="669"/>
      <c r="C134" s="1137"/>
      <c r="D134" s="1137"/>
      <c r="E134" s="1137"/>
      <c r="F134" s="1137"/>
      <c r="G134" s="1137"/>
      <c r="H134" s="1137"/>
      <c r="I134" s="1137"/>
      <c r="J134" s="1137"/>
      <c r="K134" s="1137"/>
      <c r="L134" s="646"/>
      <c r="N134" s="1177">
        <v>40</v>
      </c>
      <c r="O134" s="669"/>
      <c r="P134" s="1137"/>
      <c r="Q134" s="1137"/>
      <c r="R134" s="1137"/>
      <c r="S134" s="1137"/>
      <c r="T134" s="1137"/>
      <c r="U134" s="1137"/>
      <c r="V134" s="1137"/>
      <c r="W134" s="1137"/>
      <c r="X134" s="1137"/>
      <c r="Y134" s="646"/>
    </row>
  </sheetData>
  <pageMargins left="0.7" right="0.7" top="0.78740157499999996" bottom="0.78740157499999996"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23"/>
  <dimension ref="A1:K4730"/>
  <sheetViews>
    <sheetView zoomScale="80" zoomScaleNormal="80" workbookViewId="0">
      <selection activeCell="D5" sqref="D5"/>
    </sheetView>
  </sheetViews>
  <sheetFormatPr defaultColWidth="11.44140625" defaultRowHeight="13.2" x14ac:dyDescent="0.25"/>
  <cols>
    <col min="1" max="1" width="6.44140625" style="602" customWidth="1"/>
    <col min="2" max="3" width="9.44140625" style="41" customWidth="1"/>
    <col min="4" max="4" width="13" style="41" bestFit="1" customWidth="1"/>
    <col min="5" max="5" width="6.44140625" style="41" customWidth="1"/>
    <col min="6" max="8" width="13" style="41" bestFit="1" customWidth="1"/>
    <col min="9" max="10" width="13.44140625" style="41" bestFit="1" customWidth="1"/>
    <col min="11" max="11" width="11.44140625" style="41"/>
    <col min="12" max="12" width="13" style="41" bestFit="1" customWidth="1"/>
    <col min="13" max="16384" width="11.44140625" style="41"/>
  </cols>
  <sheetData>
    <row r="1" spans="1:11" ht="13.8" thickBot="1" x14ac:dyDescent="0.3">
      <c r="A1" s="1186" t="s">
        <v>485</v>
      </c>
      <c r="B1" s="1187">
        <v>1</v>
      </c>
      <c r="C1" s="1188">
        <v>2</v>
      </c>
      <c r="D1" s="1188">
        <v>3</v>
      </c>
      <c r="E1" s="1188">
        <v>4</v>
      </c>
      <c r="F1" s="1188">
        <v>5</v>
      </c>
      <c r="G1" s="1189">
        <v>6</v>
      </c>
      <c r="H1" s="1187">
        <v>1</v>
      </c>
      <c r="I1" s="1188">
        <v>2</v>
      </c>
      <c r="J1" s="1189">
        <v>3</v>
      </c>
      <c r="K1" s="716" t="s">
        <v>486</v>
      </c>
    </row>
    <row r="2" spans="1:11" x14ac:dyDescent="0.25">
      <c r="A2" s="1190">
        <v>1</v>
      </c>
      <c r="B2" s="745">
        <v>10</v>
      </c>
      <c r="C2" s="1117">
        <v>0</v>
      </c>
      <c r="D2" s="1117">
        <v>0</v>
      </c>
      <c r="E2" s="1117">
        <v>-10</v>
      </c>
      <c r="F2" s="1117">
        <v>0</v>
      </c>
      <c r="G2" s="632">
        <v>0</v>
      </c>
      <c r="H2" s="745">
        <v>0</v>
      </c>
      <c r="I2" s="1117">
        <v>0</v>
      </c>
      <c r="J2" s="632">
        <v>0</v>
      </c>
      <c r="K2" s="1118">
        <v>0</v>
      </c>
    </row>
    <row r="3" spans="1:11" x14ac:dyDescent="0.25">
      <c r="A3" s="718">
        <v>2</v>
      </c>
      <c r="B3" s="668">
        <v>0</v>
      </c>
      <c r="C3" s="721">
        <v>3.0000000000000009E-3</v>
      </c>
      <c r="D3" s="721">
        <v>-0.3</v>
      </c>
      <c r="E3" s="721">
        <v>0</v>
      </c>
      <c r="F3" s="721">
        <v>-3.0000000000000009E-3</v>
      </c>
      <c r="G3" s="639">
        <v>0</v>
      </c>
      <c r="H3" s="668">
        <v>0</v>
      </c>
      <c r="I3" s="721">
        <v>0</v>
      </c>
      <c r="J3" s="639">
        <v>0</v>
      </c>
      <c r="K3" s="1124">
        <v>0</v>
      </c>
    </row>
    <row r="4" spans="1:11" x14ac:dyDescent="0.25">
      <c r="A4" s="718">
        <v>3</v>
      </c>
      <c r="B4" s="668">
        <v>0</v>
      </c>
      <c r="C4" s="721">
        <v>-0.3</v>
      </c>
      <c r="D4" s="721">
        <v>30</v>
      </c>
      <c r="E4" s="721">
        <v>0</v>
      </c>
      <c r="F4" s="721">
        <v>0.3</v>
      </c>
      <c r="G4" s="639">
        <v>0</v>
      </c>
      <c r="H4" s="668">
        <v>0</v>
      </c>
      <c r="I4" s="721">
        <v>0</v>
      </c>
      <c r="J4" s="639">
        <v>0</v>
      </c>
      <c r="K4" s="1124">
        <v>0</v>
      </c>
    </row>
    <row r="5" spans="1:11" x14ac:dyDescent="0.25">
      <c r="A5" s="718">
        <v>4</v>
      </c>
      <c r="B5" s="668">
        <v>-10</v>
      </c>
      <c r="C5" s="721">
        <v>0</v>
      </c>
      <c r="D5" s="721">
        <v>0</v>
      </c>
      <c r="E5" s="721">
        <v>10</v>
      </c>
      <c r="F5" s="721">
        <v>0</v>
      </c>
      <c r="G5" s="639">
        <v>0</v>
      </c>
      <c r="H5" s="668">
        <v>0</v>
      </c>
      <c r="I5" s="721">
        <v>0</v>
      </c>
      <c r="J5" s="639">
        <v>0</v>
      </c>
      <c r="K5" s="1124">
        <v>0</v>
      </c>
    </row>
    <row r="6" spans="1:11" x14ac:dyDescent="0.25">
      <c r="A6" s="718">
        <v>5</v>
      </c>
      <c r="B6" s="668">
        <v>0</v>
      </c>
      <c r="C6" s="721">
        <v>-3.0000000000000009E-3</v>
      </c>
      <c r="D6" s="721">
        <v>0.3</v>
      </c>
      <c r="E6" s="721">
        <v>0</v>
      </c>
      <c r="F6" s="721">
        <v>3.0000000000000009E-3</v>
      </c>
      <c r="G6" s="639">
        <v>0</v>
      </c>
      <c r="H6" s="668">
        <v>0</v>
      </c>
      <c r="I6" s="721">
        <v>0</v>
      </c>
      <c r="J6" s="639">
        <v>0</v>
      </c>
      <c r="K6" s="1124">
        <v>0</v>
      </c>
    </row>
    <row r="7" spans="1:11" ht="13.8" thickBot="1" x14ac:dyDescent="0.3">
      <c r="A7" s="719">
        <v>6</v>
      </c>
      <c r="B7" s="669">
        <v>0</v>
      </c>
      <c r="C7" s="1137">
        <v>0</v>
      </c>
      <c r="D7" s="1137">
        <v>0</v>
      </c>
      <c r="E7" s="1137">
        <v>0</v>
      </c>
      <c r="F7" s="1137">
        <v>0</v>
      </c>
      <c r="G7" s="646">
        <v>0</v>
      </c>
      <c r="H7" s="669">
        <v>0</v>
      </c>
      <c r="I7" s="1137">
        <v>0</v>
      </c>
      <c r="J7" s="646">
        <v>0</v>
      </c>
      <c r="K7" s="1138">
        <v>0</v>
      </c>
    </row>
    <row r="8" spans="1:11" x14ac:dyDescent="0.25">
      <c r="A8" s="1190">
        <v>1</v>
      </c>
      <c r="B8" s="745">
        <v>0</v>
      </c>
      <c r="C8" s="1117">
        <v>0</v>
      </c>
      <c r="D8" s="1117">
        <v>0</v>
      </c>
      <c r="E8" s="1117">
        <v>0</v>
      </c>
      <c r="F8" s="1117">
        <v>0</v>
      </c>
      <c r="G8" s="632">
        <v>0</v>
      </c>
      <c r="H8" s="745">
        <v>0</v>
      </c>
      <c r="I8" s="1117">
        <v>0</v>
      </c>
      <c r="J8" s="632">
        <v>0</v>
      </c>
      <c r="K8" s="1118">
        <v>0</v>
      </c>
    </row>
    <row r="9" spans="1:11" x14ac:dyDescent="0.25">
      <c r="A9" s="718">
        <v>2</v>
      </c>
      <c r="B9" s="668">
        <v>0</v>
      </c>
      <c r="C9" s="721">
        <v>0</v>
      </c>
      <c r="D9" s="721">
        <v>0</v>
      </c>
      <c r="E9" s="721">
        <v>0</v>
      </c>
      <c r="F9" s="721">
        <v>0</v>
      </c>
      <c r="G9" s="639">
        <v>0</v>
      </c>
      <c r="H9" s="668">
        <v>0</v>
      </c>
      <c r="I9" s="721">
        <v>0</v>
      </c>
      <c r="J9" s="639">
        <v>0</v>
      </c>
      <c r="K9" s="1124">
        <v>0</v>
      </c>
    </row>
    <row r="10" spans="1:11" ht="13.8" thickBot="1" x14ac:dyDescent="0.3">
      <c r="A10" s="719">
        <v>3</v>
      </c>
      <c r="B10" s="669">
        <v>0</v>
      </c>
      <c r="C10" s="1137">
        <v>0</v>
      </c>
      <c r="D10" s="1137">
        <v>0</v>
      </c>
      <c r="E10" s="1137">
        <v>0</v>
      </c>
      <c r="F10" s="1137">
        <v>0</v>
      </c>
      <c r="G10" s="646">
        <v>0</v>
      </c>
      <c r="H10" s="669">
        <v>0</v>
      </c>
      <c r="I10" s="1137">
        <v>0</v>
      </c>
      <c r="J10" s="646">
        <v>0</v>
      </c>
      <c r="K10" s="1138">
        <v>0</v>
      </c>
    </row>
    <row r="11" spans="1:11" ht="13.8" thickBot="1" x14ac:dyDescent="0.3">
      <c r="A11" s="1186" t="s">
        <v>487</v>
      </c>
      <c r="B11" s="1187">
        <v>1</v>
      </c>
      <c r="C11" s="1188">
        <v>2</v>
      </c>
      <c r="D11" s="1188">
        <v>3</v>
      </c>
      <c r="E11" s="1188">
        <v>4</v>
      </c>
      <c r="F11" s="1188">
        <v>5</v>
      </c>
      <c r="G11" s="1189">
        <v>6</v>
      </c>
      <c r="H11" s="1187">
        <v>1</v>
      </c>
      <c r="I11" s="1188">
        <v>2</v>
      </c>
      <c r="J11" s="1189">
        <v>3</v>
      </c>
      <c r="K11" s="716" t="s">
        <v>486</v>
      </c>
    </row>
    <row r="12" spans="1:11" x14ac:dyDescent="0.25">
      <c r="A12" s="1190">
        <v>1</v>
      </c>
      <c r="B12" s="745">
        <v>16.666666666666668</v>
      </c>
      <c r="C12" s="1117">
        <v>0</v>
      </c>
      <c r="D12" s="1117">
        <v>0</v>
      </c>
      <c r="E12" s="1117">
        <v>-16.666666666666668</v>
      </c>
      <c r="F12" s="1117">
        <v>0</v>
      </c>
      <c r="G12" s="632">
        <v>0</v>
      </c>
      <c r="H12" s="745">
        <v>0</v>
      </c>
      <c r="I12" s="1117">
        <v>0</v>
      </c>
      <c r="J12" s="632">
        <v>0</v>
      </c>
      <c r="K12" s="1118">
        <v>0</v>
      </c>
    </row>
    <row r="13" spans="1:11" x14ac:dyDescent="0.25">
      <c r="A13" s="718">
        <v>2</v>
      </c>
      <c r="B13" s="668">
        <v>0</v>
      </c>
      <c r="C13" s="721">
        <v>1.3888888888888881E-2</v>
      </c>
      <c r="D13" s="721">
        <v>-0.83333333333333326</v>
      </c>
      <c r="E13" s="721">
        <v>0</v>
      </c>
      <c r="F13" s="721">
        <v>-1.3888888888888881E-2</v>
      </c>
      <c r="G13" s="639">
        <v>0</v>
      </c>
      <c r="H13" s="668">
        <v>0</v>
      </c>
      <c r="I13" s="721">
        <v>0</v>
      </c>
      <c r="J13" s="639">
        <v>0</v>
      </c>
      <c r="K13" s="1124">
        <v>0</v>
      </c>
    </row>
    <row r="14" spans="1:11" x14ac:dyDescent="0.25">
      <c r="A14" s="718">
        <v>3</v>
      </c>
      <c r="B14" s="668">
        <v>0</v>
      </c>
      <c r="C14" s="721">
        <v>-0.83333333333333337</v>
      </c>
      <c r="D14" s="721">
        <v>50</v>
      </c>
      <c r="E14" s="721">
        <v>0</v>
      </c>
      <c r="F14" s="721">
        <v>0.83333333333333337</v>
      </c>
      <c r="G14" s="639">
        <v>0</v>
      </c>
      <c r="H14" s="668">
        <v>0</v>
      </c>
      <c r="I14" s="721">
        <v>0</v>
      </c>
      <c r="J14" s="639">
        <v>0</v>
      </c>
      <c r="K14" s="1124">
        <v>0</v>
      </c>
    </row>
    <row r="15" spans="1:11" x14ac:dyDescent="0.25">
      <c r="A15" s="718">
        <v>4</v>
      </c>
      <c r="B15" s="668">
        <v>-16.666666666666668</v>
      </c>
      <c r="C15" s="721">
        <v>0</v>
      </c>
      <c r="D15" s="721">
        <v>0</v>
      </c>
      <c r="E15" s="721">
        <v>16.666666666666668</v>
      </c>
      <c r="F15" s="721">
        <v>0</v>
      </c>
      <c r="G15" s="639">
        <v>0</v>
      </c>
      <c r="H15" s="668">
        <v>0</v>
      </c>
      <c r="I15" s="721">
        <v>0</v>
      </c>
      <c r="J15" s="639">
        <v>0</v>
      </c>
      <c r="K15" s="1124">
        <v>0</v>
      </c>
    </row>
    <row r="16" spans="1:11" x14ac:dyDescent="0.25">
      <c r="A16" s="718">
        <v>5</v>
      </c>
      <c r="B16" s="668">
        <v>0</v>
      </c>
      <c r="C16" s="721">
        <v>-1.3888888888888881E-2</v>
      </c>
      <c r="D16" s="721">
        <v>0.83333333333333326</v>
      </c>
      <c r="E16" s="721">
        <v>0</v>
      </c>
      <c r="F16" s="721">
        <v>1.3888888888888881E-2</v>
      </c>
      <c r="G16" s="639">
        <v>0</v>
      </c>
      <c r="H16" s="668">
        <v>0</v>
      </c>
      <c r="I16" s="721">
        <v>0</v>
      </c>
      <c r="J16" s="639">
        <v>0</v>
      </c>
      <c r="K16" s="1124">
        <v>0</v>
      </c>
    </row>
    <row r="17" spans="1:11" ht="13.8" thickBot="1" x14ac:dyDescent="0.3">
      <c r="A17" s="719">
        <v>6</v>
      </c>
      <c r="B17" s="669">
        <v>0</v>
      </c>
      <c r="C17" s="1137">
        <v>0</v>
      </c>
      <c r="D17" s="1137">
        <v>0</v>
      </c>
      <c r="E17" s="1137">
        <v>0</v>
      </c>
      <c r="F17" s="1137">
        <v>0</v>
      </c>
      <c r="G17" s="646">
        <v>0</v>
      </c>
      <c r="H17" s="669">
        <v>0</v>
      </c>
      <c r="I17" s="1137">
        <v>0</v>
      </c>
      <c r="J17" s="646">
        <v>0</v>
      </c>
      <c r="K17" s="1138">
        <v>0</v>
      </c>
    </row>
    <row r="18" spans="1:11" x14ac:dyDescent="0.25">
      <c r="A18" s="1190">
        <v>1</v>
      </c>
      <c r="B18" s="745">
        <v>0</v>
      </c>
      <c r="C18" s="1117">
        <v>0</v>
      </c>
      <c r="D18" s="1117">
        <v>0</v>
      </c>
      <c r="E18" s="1117">
        <v>0</v>
      </c>
      <c r="F18" s="1117">
        <v>0</v>
      </c>
      <c r="G18" s="632">
        <v>0</v>
      </c>
      <c r="H18" s="745">
        <v>0</v>
      </c>
      <c r="I18" s="1117">
        <v>0</v>
      </c>
      <c r="J18" s="632">
        <v>0</v>
      </c>
      <c r="K18" s="1118">
        <v>0</v>
      </c>
    </row>
    <row r="19" spans="1:11" x14ac:dyDescent="0.25">
      <c r="A19" s="718">
        <v>2</v>
      </c>
      <c r="B19" s="668">
        <v>0</v>
      </c>
      <c r="C19" s="721">
        <v>0</v>
      </c>
      <c r="D19" s="721">
        <v>0</v>
      </c>
      <c r="E19" s="721">
        <v>0</v>
      </c>
      <c r="F19" s="721">
        <v>0</v>
      </c>
      <c r="G19" s="639">
        <v>0</v>
      </c>
      <c r="H19" s="668">
        <v>0</v>
      </c>
      <c r="I19" s="721">
        <v>0</v>
      </c>
      <c r="J19" s="639">
        <v>0</v>
      </c>
      <c r="K19" s="1124">
        <v>0</v>
      </c>
    </row>
    <row r="20" spans="1:11" ht="13.8" thickBot="1" x14ac:dyDescent="0.3">
      <c r="A20" s="719">
        <v>3</v>
      </c>
      <c r="B20" s="669">
        <v>0</v>
      </c>
      <c r="C20" s="1137">
        <v>0</v>
      </c>
      <c r="D20" s="1137">
        <v>0</v>
      </c>
      <c r="E20" s="1137">
        <v>0</v>
      </c>
      <c r="F20" s="1137">
        <v>0</v>
      </c>
      <c r="G20" s="646">
        <v>0</v>
      </c>
      <c r="H20" s="669">
        <v>0</v>
      </c>
      <c r="I20" s="1137">
        <v>0</v>
      </c>
      <c r="J20" s="646">
        <v>0</v>
      </c>
      <c r="K20" s="1138">
        <v>0</v>
      </c>
    </row>
    <row r="21" spans="1:11" ht="13.8" thickBot="1" x14ac:dyDescent="0.3">
      <c r="A21" s="1186" t="s">
        <v>488</v>
      </c>
      <c r="B21" s="1187">
        <v>1</v>
      </c>
      <c r="C21" s="1188">
        <v>2</v>
      </c>
      <c r="D21" s="1188">
        <v>3</v>
      </c>
      <c r="E21" s="1188">
        <v>4</v>
      </c>
      <c r="F21" s="1188">
        <v>5</v>
      </c>
      <c r="G21" s="1189">
        <v>6</v>
      </c>
      <c r="H21" s="1187">
        <v>1</v>
      </c>
      <c r="I21" s="1188">
        <v>2</v>
      </c>
      <c r="J21" s="1189">
        <v>3</v>
      </c>
      <c r="K21" s="716" t="s">
        <v>486</v>
      </c>
    </row>
    <row r="22" spans="1:11" x14ac:dyDescent="0.25">
      <c r="A22" s="1190">
        <v>1</v>
      </c>
      <c r="B22" s="745">
        <v>13.867504905630728</v>
      </c>
      <c r="C22" s="1117">
        <v>0</v>
      </c>
      <c r="D22" s="1117">
        <v>0</v>
      </c>
      <c r="E22" s="1117">
        <v>-13.867504905630728</v>
      </c>
      <c r="F22" s="1117">
        <v>0</v>
      </c>
      <c r="G22" s="632">
        <v>0</v>
      </c>
      <c r="H22" s="745">
        <v>0</v>
      </c>
      <c r="I22" s="1117">
        <v>0</v>
      </c>
      <c r="J22" s="632">
        <v>0</v>
      </c>
      <c r="K22" s="1118">
        <v>0</v>
      </c>
    </row>
    <row r="23" spans="1:11" x14ac:dyDescent="0.25">
      <c r="A23" s="718">
        <v>2</v>
      </c>
      <c r="B23" s="668">
        <v>0</v>
      </c>
      <c r="C23" s="721">
        <v>8.0004835994023499E-3</v>
      </c>
      <c r="D23" s="721">
        <v>-0.57692307692307687</v>
      </c>
      <c r="E23" s="721">
        <v>0</v>
      </c>
      <c r="F23" s="721">
        <v>-8.0004835994023499E-3</v>
      </c>
      <c r="G23" s="639">
        <v>0</v>
      </c>
      <c r="H23" s="668">
        <v>0</v>
      </c>
      <c r="I23" s="721">
        <v>0</v>
      </c>
      <c r="J23" s="639">
        <v>0</v>
      </c>
      <c r="K23" s="1124">
        <v>0</v>
      </c>
    </row>
    <row r="24" spans="1:11" x14ac:dyDescent="0.25">
      <c r="A24" s="718">
        <v>3</v>
      </c>
      <c r="B24" s="668">
        <v>0</v>
      </c>
      <c r="C24" s="721">
        <v>-0.57692307692307698</v>
      </c>
      <c r="D24" s="721">
        <v>41.602514716892188</v>
      </c>
      <c r="E24" s="721">
        <v>0</v>
      </c>
      <c r="F24" s="721">
        <v>0.57692307692307698</v>
      </c>
      <c r="G24" s="639">
        <v>0</v>
      </c>
      <c r="H24" s="668">
        <v>0</v>
      </c>
      <c r="I24" s="721">
        <v>0</v>
      </c>
      <c r="J24" s="639">
        <v>0</v>
      </c>
      <c r="K24" s="1124">
        <v>0</v>
      </c>
    </row>
    <row r="25" spans="1:11" x14ac:dyDescent="0.25">
      <c r="A25" s="718">
        <v>4</v>
      </c>
      <c r="B25" s="668">
        <v>-13.867504905630728</v>
      </c>
      <c r="C25" s="721">
        <v>0</v>
      </c>
      <c r="D25" s="721">
        <v>0</v>
      </c>
      <c r="E25" s="721">
        <v>13.867504905630728</v>
      </c>
      <c r="F25" s="721">
        <v>0</v>
      </c>
      <c r="G25" s="639">
        <v>0</v>
      </c>
      <c r="H25" s="668">
        <v>0</v>
      </c>
      <c r="I25" s="721">
        <v>0</v>
      </c>
      <c r="J25" s="639">
        <v>0</v>
      </c>
      <c r="K25" s="1124">
        <v>0</v>
      </c>
    </row>
    <row r="26" spans="1:11" x14ac:dyDescent="0.25">
      <c r="A26" s="718">
        <v>5</v>
      </c>
      <c r="B26" s="668">
        <v>0</v>
      </c>
      <c r="C26" s="721">
        <v>-8.0004835994023499E-3</v>
      </c>
      <c r="D26" s="721">
        <v>0.57692307692307687</v>
      </c>
      <c r="E26" s="721">
        <v>0</v>
      </c>
      <c r="F26" s="721">
        <v>8.0004835994023499E-3</v>
      </c>
      <c r="G26" s="639">
        <v>0</v>
      </c>
      <c r="H26" s="668">
        <v>0</v>
      </c>
      <c r="I26" s="721">
        <v>0</v>
      </c>
      <c r="J26" s="639">
        <v>0</v>
      </c>
      <c r="K26" s="1124">
        <v>0</v>
      </c>
    </row>
    <row r="27" spans="1:11" ht="13.8" thickBot="1" x14ac:dyDescent="0.3">
      <c r="A27" s="719">
        <v>6</v>
      </c>
      <c r="B27" s="669">
        <v>0</v>
      </c>
      <c r="C27" s="1137">
        <v>0</v>
      </c>
      <c r="D27" s="1137">
        <v>0</v>
      </c>
      <c r="E27" s="1137">
        <v>0</v>
      </c>
      <c r="F27" s="1137">
        <v>0</v>
      </c>
      <c r="G27" s="646">
        <v>0</v>
      </c>
      <c r="H27" s="669">
        <v>0</v>
      </c>
      <c r="I27" s="1137">
        <v>0</v>
      </c>
      <c r="J27" s="646">
        <v>0</v>
      </c>
      <c r="K27" s="1138">
        <v>0</v>
      </c>
    </row>
    <row r="28" spans="1:11" x14ac:dyDescent="0.25">
      <c r="A28" s="1190">
        <v>1</v>
      </c>
      <c r="B28" s="745">
        <v>0</v>
      </c>
      <c r="C28" s="1117">
        <v>0</v>
      </c>
      <c r="D28" s="1117">
        <v>0</v>
      </c>
      <c r="E28" s="1117">
        <v>0</v>
      </c>
      <c r="F28" s="1117">
        <v>0</v>
      </c>
      <c r="G28" s="632">
        <v>0</v>
      </c>
      <c r="H28" s="745">
        <v>0</v>
      </c>
      <c r="I28" s="1117">
        <v>0</v>
      </c>
      <c r="J28" s="632">
        <v>0</v>
      </c>
      <c r="K28" s="1118">
        <v>0</v>
      </c>
    </row>
    <row r="29" spans="1:11" x14ac:dyDescent="0.25">
      <c r="A29" s="718">
        <v>2</v>
      </c>
      <c r="B29" s="668">
        <v>0</v>
      </c>
      <c r="C29" s="721">
        <v>0</v>
      </c>
      <c r="D29" s="721">
        <v>0</v>
      </c>
      <c r="E29" s="721">
        <v>0</v>
      </c>
      <c r="F29" s="721">
        <v>0</v>
      </c>
      <c r="G29" s="639">
        <v>0</v>
      </c>
      <c r="H29" s="668">
        <v>0</v>
      </c>
      <c r="I29" s="721">
        <v>0</v>
      </c>
      <c r="J29" s="639">
        <v>0</v>
      </c>
      <c r="K29" s="1124">
        <v>0</v>
      </c>
    </row>
    <row r="30" spans="1:11" ht="13.8" thickBot="1" x14ac:dyDescent="0.3">
      <c r="A30" s="719">
        <v>3</v>
      </c>
      <c r="B30" s="669">
        <v>0</v>
      </c>
      <c r="C30" s="1137">
        <v>0</v>
      </c>
      <c r="D30" s="1137">
        <v>0</v>
      </c>
      <c r="E30" s="1137">
        <v>0</v>
      </c>
      <c r="F30" s="1137">
        <v>0</v>
      </c>
      <c r="G30" s="646">
        <v>0</v>
      </c>
      <c r="H30" s="669">
        <v>0</v>
      </c>
      <c r="I30" s="1137">
        <v>0</v>
      </c>
      <c r="J30" s="646">
        <v>0</v>
      </c>
      <c r="K30" s="1138">
        <v>0</v>
      </c>
    </row>
    <row r="31" spans="1:11" ht="13.8" thickBot="1" x14ac:dyDescent="0.3">
      <c r="A31" s="1186" t="s">
        <v>489</v>
      </c>
      <c r="B31" s="1187">
        <v>1</v>
      </c>
      <c r="C31" s="1188">
        <v>2</v>
      </c>
      <c r="D31" s="1188">
        <v>3</v>
      </c>
      <c r="E31" s="1188">
        <v>4</v>
      </c>
      <c r="F31" s="1188">
        <v>5</v>
      </c>
      <c r="G31" s="1189">
        <v>6</v>
      </c>
      <c r="H31" s="1187">
        <v>1</v>
      </c>
      <c r="I31" s="1188">
        <v>2</v>
      </c>
      <c r="J31" s="1189">
        <v>3</v>
      </c>
      <c r="K31" s="716" t="s">
        <v>486</v>
      </c>
    </row>
    <row r="32" spans="1:11" x14ac:dyDescent="0.25">
      <c r="A32" s="1190">
        <v>1</v>
      </c>
      <c r="B32" s="745">
        <v>13.130643285972255</v>
      </c>
      <c r="C32" s="1117">
        <v>0</v>
      </c>
      <c r="D32" s="1117">
        <v>0</v>
      </c>
      <c r="E32" s="1117">
        <v>-13.130643285972255</v>
      </c>
      <c r="F32" s="1117">
        <v>0</v>
      </c>
      <c r="G32" s="632">
        <v>0</v>
      </c>
      <c r="H32" s="745">
        <v>0</v>
      </c>
      <c r="I32" s="1117">
        <v>0</v>
      </c>
      <c r="J32" s="632">
        <v>0</v>
      </c>
      <c r="K32" s="1118">
        <v>0</v>
      </c>
    </row>
    <row r="33" spans="1:11" x14ac:dyDescent="0.25">
      <c r="A33" s="718">
        <v>2</v>
      </c>
      <c r="B33" s="668">
        <v>0</v>
      </c>
      <c r="C33" s="721">
        <v>6.79171204446841E-3</v>
      </c>
      <c r="D33" s="721">
        <v>-0.51724137931034475</v>
      </c>
      <c r="E33" s="721">
        <v>0</v>
      </c>
      <c r="F33" s="721">
        <v>-6.79171204446841E-3</v>
      </c>
      <c r="G33" s="639">
        <v>0</v>
      </c>
      <c r="H33" s="668">
        <v>0</v>
      </c>
      <c r="I33" s="721">
        <v>0</v>
      </c>
      <c r="J33" s="639">
        <v>0</v>
      </c>
      <c r="K33" s="1124">
        <v>0</v>
      </c>
    </row>
    <row r="34" spans="1:11" x14ac:dyDescent="0.25">
      <c r="A34" s="718">
        <v>3</v>
      </c>
      <c r="B34" s="668">
        <v>0</v>
      </c>
      <c r="C34" s="721">
        <v>-0.51724137931034475</v>
      </c>
      <c r="D34" s="721">
        <v>39.391929857916764</v>
      </c>
      <c r="E34" s="721">
        <v>0</v>
      </c>
      <c r="F34" s="721">
        <v>0.51724137931034475</v>
      </c>
      <c r="G34" s="639">
        <v>0</v>
      </c>
      <c r="H34" s="668">
        <v>0</v>
      </c>
      <c r="I34" s="721">
        <v>0</v>
      </c>
      <c r="J34" s="639">
        <v>0</v>
      </c>
      <c r="K34" s="1124">
        <v>0</v>
      </c>
    </row>
    <row r="35" spans="1:11" x14ac:dyDescent="0.25">
      <c r="A35" s="718">
        <v>4</v>
      </c>
      <c r="B35" s="668">
        <v>-13.130643285972255</v>
      </c>
      <c r="C35" s="721">
        <v>0</v>
      </c>
      <c r="D35" s="721">
        <v>0</v>
      </c>
      <c r="E35" s="721">
        <v>13.130643285972255</v>
      </c>
      <c r="F35" s="721">
        <v>0</v>
      </c>
      <c r="G35" s="639">
        <v>0</v>
      </c>
      <c r="H35" s="668">
        <v>0</v>
      </c>
      <c r="I35" s="721">
        <v>0</v>
      </c>
      <c r="J35" s="639">
        <v>0</v>
      </c>
      <c r="K35" s="1124">
        <v>0</v>
      </c>
    </row>
    <row r="36" spans="1:11" x14ac:dyDescent="0.25">
      <c r="A36" s="718">
        <v>5</v>
      </c>
      <c r="B36" s="668">
        <v>0</v>
      </c>
      <c r="C36" s="721">
        <v>-6.79171204446841E-3</v>
      </c>
      <c r="D36" s="721">
        <v>0.51724137931034475</v>
      </c>
      <c r="E36" s="721">
        <v>0</v>
      </c>
      <c r="F36" s="721">
        <v>6.79171204446841E-3</v>
      </c>
      <c r="G36" s="639">
        <v>0</v>
      </c>
      <c r="H36" s="668">
        <v>0</v>
      </c>
      <c r="I36" s="721">
        <v>0</v>
      </c>
      <c r="J36" s="639">
        <v>0</v>
      </c>
      <c r="K36" s="1124">
        <v>0</v>
      </c>
    </row>
    <row r="37" spans="1:11" ht="13.8" thickBot="1" x14ac:dyDescent="0.3">
      <c r="A37" s="719">
        <v>6</v>
      </c>
      <c r="B37" s="669">
        <v>0</v>
      </c>
      <c r="C37" s="1137">
        <v>0</v>
      </c>
      <c r="D37" s="1137">
        <v>0</v>
      </c>
      <c r="E37" s="1137">
        <v>0</v>
      </c>
      <c r="F37" s="1137">
        <v>0</v>
      </c>
      <c r="G37" s="646">
        <v>0</v>
      </c>
      <c r="H37" s="669">
        <v>0</v>
      </c>
      <c r="I37" s="1137">
        <v>0</v>
      </c>
      <c r="J37" s="646">
        <v>0</v>
      </c>
      <c r="K37" s="1138">
        <v>0</v>
      </c>
    </row>
    <row r="38" spans="1:11" x14ac:dyDescent="0.25">
      <c r="A38" s="1190">
        <v>1</v>
      </c>
      <c r="B38" s="745">
        <v>0</v>
      </c>
      <c r="C38" s="1117">
        <v>0</v>
      </c>
      <c r="D38" s="1117">
        <v>0</v>
      </c>
      <c r="E38" s="1117">
        <v>0</v>
      </c>
      <c r="F38" s="1117">
        <v>0</v>
      </c>
      <c r="G38" s="632">
        <v>0</v>
      </c>
      <c r="H38" s="745">
        <v>0</v>
      </c>
      <c r="I38" s="1117">
        <v>0</v>
      </c>
      <c r="J38" s="632">
        <v>0</v>
      </c>
      <c r="K38" s="1118">
        <v>0</v>
      </c>
    </row>
    <row r="39" spans="1:11" x14ac:dyDescent="0.25">
      <c r="A39" s="718">
        <v>2</v>
      </c>
      <c r="B39" s="668">
        <v>0</v>
      </c>
      <c r="C39" s="721">
        <v>0</v>
      </c>
      <c r="D39" s="721">
        <v>0</v>
      </c>
      <c r="E39" s="721">
        <v>0</v>
      </c>
      <c r="F39" s="721">
        <v>0</v>
      </c>
      <c r="G39" s="639">
        <v>0</v>
      </c>
      <c r="H39" s="668">
        <v>0</v>
      </c>
      <c r="I39" s="721">
        <v>0</v>
      </c>
      <c r="J39" s="639">
        <v>0</v>
      </c>
      <c r="K39" s="1124">
        <v>0</v>
      </c>
    </row>
    <row r="40" spans="1:11" ht="13.8" thickBot="1" x14ac:dyDescent="0.3">
      <c r="A40" s="1191">
        <v>3</v>
      </c>
      <c r="B40" s="1132">
        <v>0</v>
      </c>
      <c r="C40" s="1133">
        <v>0</v>
      </c>
      <c r="D40" s="1133">
        <v>0</v>
      </c>
      <c r="E40" s="1133">
        <v>0</v>
      </c>
      <c r="F40" s="1133">
        <v>0</v>
      </c>
      <c r="G40" s="1134">
        <v>0</v>
      </c>
      <c r="H40" s="1132">
        <v>0</v>
      </c>
      <c r="I40" s="1133">
        <v>0</v>
      </c>
      <c r="J40" s="1134">
        <v>0</v>
      </c>
      <c r="K40" s="1147">
        <v>0</v>
      </c>
    </row>
    <row r="41" spans="1:11" ht="13.8" thickBot="1" x14ac:dyDescent="0.3">
      <c r="A41" s="1186" t="s">
        <v>490</v>
      </c>
      <c r="B41" s="1187">
        <v>1</v>
      </c>
      <c r="C41" s="1188">
        <v>2</v>
      </c>
      <c r="D41" s="1188">
        <v>3</v>
      </c>
      <c r="E41" s="1188">
        <v>4</v>
      </c>
      <c r="F41" s="1188">
        <v>5</v>
      </c>
      <c r="G41" s="1189">
        <v>6</v>
      </c>
      <c r="H41" s="1187">
        <v>1</v>
      </c>
      <c r="I41" s="1188">
        <v>2</v>
      </c>
      <c r="J41" s="1189">
        <v>3</v>
      </c>
      <c r="K41" s="716" t="s">
        <v>486</v>
      </c>
    </row>
    <row r="42" spans="1:11" x14ac:dyDescent="0.25">
      <c r="A42" s="1190">
        <v>1</v>
      </c>
      <c r="B42" s="745">
        <v>5.4232614454664043</v>
      </c>
      <c r="C42" s="1117">
        <v>0</v>
      </c>
      <c r="D42" s="1117">
        <v>0</v>
      </c>
      <c r="E42" s="1117">
        <v>-5.4232614454664043</v>
      </c>
      <c r="F42" s="1117">
        <v>0</v>
      </c>
      <c r="G42" s="632">
        <v>0</v>
      </c>
      <c r="H42" s="745">
        <v>0</v>
      </c>
      <c r="I42" s="1117">
        <v>0</v>
      </c>
      <c r="J42" s="632">
        <v>0</v>
      </c>
      <c r="K42" s="1118">
        <v>0</v>
      </c>
    </row>
    <row r="43" spans="1:11" x14ac:dyDescent="0.25">
      <c r="A43" s="718">
        <v>2</v>
      </c>
      <c r="B43" s="668">
        <v>0</v>
      </c>
      <c r="C43" s="721">
        <v>4.7852306871762383E-4</v>
      </c>
      <c r="D43" s="721">
        <v>-8.8235294117647065E-2</v>
      </c>
      <c r="E43" s="721">
        <v>0</v>
      </c>
      <c r="F43" s="721">
        <v>-4.7852306871762383E-4</v>
      </c>
      <c r="G43" s="639">
        <v>0</v>
      </c>
      <c r="H43" s="668">
        <v>0</v>
      </c>
      <c r="I43" s="721">
        <v>0</v>
      </c>
      <c r="J43" s="639">
        <v>0</v>
      </c>
      <c r="K43" s="1124">
        <v>0</v>
      </c>
    </row>
    <row r="44" spans="1:11" x14ac:dyDescent="0.25">
      <c r="A44" s="718">
        <v>3</v>
      </c>
      <c r="B44" s="668">
        <v>0</v>
      </c>
      <c r="C44" s="721">
        <v>-8.8235294117647065E-2</v>
      </c>
      <c r="D44" s="721">
        <v>16.269784336399212</v>
      </c>
      <c r="E44" s="721">
        <v>0</v>
      </c>
      <c r="F44" s="721">
        <v>8.8235294117647065E-2</v>
      </c>
      <c r="G44" s="639">
        <v>0</v>
      </c>
      <c r="H44" s="668">
        <v>0</v>
      </c>
      <c r="I44" s="721">
        <v>0</v>
      </c>
      <c r="J44" s="639">
        <v>0</v>
      </c>
      <c r="K44" s="1124">
        <v>0</v>
      </c>
    </row>
    <row r="45" spans="1:11" x14ac:dyDescent="0.25">
      <c r="A45" s="718">
        <v>4</v>
      </c>
      <c r="B45" s="668">
        <v>-5.4232614454664043</v>
      </c>
      <c r="C45" s="721">
        <v>0</v>
      </c>
      <c r="D45" s="721">
        <v>0</v>
      </c>
      <c r="E45" s="721">
        <v>5.4232614454664043</v>
      </c>
      <c r="F45" s="721">
        <v>0</v>
      </c>
      <c r="G45" s="639">
        <v>0</v>
      </c>
      <c r="H45" s="668">
        <v>0</v>
      </c>
      <c r="I45" s="721">
        <v>0</v>
      </c>
      <c r="J45" s="639">
        <v>0</v>
      </c>
      <c r="K45" s="1124">
        <v>0</v>
      </c>
    </row>
    <row r="46" spans="1:11" x14ac:dyDescent="0.25">
      <c r="A46" s="718">
        <v>5</v>
      </c>
      <c r="B46" s="668">
        <v>0</v>
      </c>
      <c r="C46" s="721">
        <v>-4.7852306871762383E-4</v>
      </c>
      <c r="D46" s="721">
        <v>8.8235294117647065E-2</v>
      </c>
      <c r="E46" s="721">
        <v>0</v>
      </c>
      <c r="F46" s="721">
        <v>4.7852306871762383E-4</v>
      </c>
      <c r="G46" s="639">
        <v>0</v>
      </c>
      <c r="H46" s="668">
        <v>0</v>
      </c>
      <c r="I46" s="721">
        <v>0</v>
      </c>
      <c r="J46" s="639">
        <v>0</v>
      </c>
      <c r="K46" s="1124">
        <v>0</v>
      </c>
    </row>
    <row r="47" spans="1:11" ht="13.8" thickBot="1" x14ac:dyDescent="0.3">
      <c r="A47" s="719">
        <v>6</v>
      </c>
      <c r="B47" s="669">
        <v>0</v>
      </c>
      <c r="C47" s="1137">
        <v>0</v>
      </c>
      <c r="D47" s="1137">
        <v>0</v>
      </c>
      <c r="E47" s="1137">
        <v>0</v>
      </c>
      <c r="F47" s="1137">
        <v>0</v>
      </c>
      <c r="G47" s="646">
        <v>0</v>
      </c>
      <c r="H47" s="669">
        <v>0</v>
      </c>
      <c r="I47" s="1137">
        <v>0</v>
      </c>
      <c r="J47" s="646">
        <v>0</v>
      </c>
      <c r="K47" s="1138">
        <v>0</v>
      </c>
    </row>
    <row r="48" spans="1:11" x14ac:dyDescent="0.25">
      <c r="A48" s="1190">
        <v>1</v>
      </c>
      <c r="B48" s="745">
        <v>0</v>
      </c>
      <c r="C48" s="1117">
        <v>0</v>
      </c>
      <c r="D48" s="1117">
        <v>0</v>
      </c>
      <c r="E48" s="1117">
        <v>0</v>
      </c>
      <c r="F48" s="1117">
        <v>0</v>
      </c>
      <c r="G48" s="632">
        <v>0</v>
      </c>
      <c r="H48" s="745">
        <v>0</v>
      </c>
      <c r="I48" s="1117">
        <v>0</v>
      </c>
      <c r="J48" s="632">
        <v>0</v>
      </c>
      <c r="K48" s="1118">
        <v>0</v>
      </c>
    </row>
    <row r="49" spans="1:11" x14ac:dyDescent="0.25">
      <c r="A49" s="718">
        <v>2</v>
      </c>
      <c r="B49" s="668">
        <v>0</v>
      </c>
      <c r="C49" s="721">
        <v>0</v>
      </c>
      <c r="D49" s="721">
        <v>0</v>
      </c>
      <c r="E49" s="721">
        <v>0</v>
      </c>
      <c r="F49" s="721">
        <v>0</v>
      </c>
      <c r="G49" s="639">
        <v>0</v>
      </c>
      <c r="H49" s="668">
        <v>0</v>
      </c>
      <c r="I49" s="721">
        <v>0</v>
      </c>
      <c r="J49" s="639">
        <v>0</v>
      </c>
      <c r="K49" s="1124">
        <v>0</v>
      </c>
    </row>
    <row r="50" spans="1:11" ht="13.8" thickBot="1" x14ac:dyDescent="0.3">
      <c r="A50" s="719">
        <v>3</v>
      </c>
      <c r="B50" s="669">
        <v>0</v>
      </c>
      <c r="C50" s="1137">
        <v>0</v>
      </c>
      <c r="D50" s="1137">
        <v>0</v>
      </c>
      <c r="E50" s="1137">
        <v>0</v>
      </c>
      <c r="F50" s="1137">
        <v>0</v>
      </c>
      <c r="G50" s="646">
        <v>0</v>
      </c>
      <c r="H50" s="669">
        <v>0</v>
      </c>
      <c r="I50" s="1137">
        <v>0</v>
      </c>
      <c r="J50" s="646">
        <v>0</v>
      </c>
      <c r="K50" s="1138">
        <v>0</v>
      </c>
    </row>
    <row r="51" spans="1:11" ht="13.8" thickBot="1" x14ac:dyDescent="0.3">
      <c r="A51" s="1186" t="s">
        <v>491</v>
      </c>
      <c r="B51" s="1187"/>
      <c r="C51" s="1188"/>
      <c r="D51" s="1188"/>
      <c r="E51" s="1188"/>
      <c r="F51" s="1188"/>
      <c r="G51" s="1189"/>
      <c r="H51" s="1187"/>
      <c r="I51" s="1188"/>
      <c r="J51" s="1189"/>
      <c r="K51" s="716"/>
    </row>
    <row r="52" spans="1:11" x14ac:dyDescent="0.25">
      <c r="A52" s="1190">
        <v>1</v>
      </c>
      <c r="B52" s="745"/>
      <c r="C52" s="1117"/>
      <c r="D52" s="1117"/>
      <c r="E52" s="1117"/>
      <c r="F52" s="1117"/>
      <c r="G52" s="632"/>
      <c r="H52" s="745"/>
      <c r="I52" s="1117"/>
      <c r="J52" s="632"/>
      <c r="K52" s="1118"/>
    </row>
    <row r="53" spans="1:11" x14ac:dyDescent="0.25">
      <c r="A53" s="718">
        <v>2</v>
      </c>
      <c r="B53" s="668"/>
      <c r="C53" s="721"/>
      <c r="D53" s="721"/>
      <c r="E53" s="721"/>
      <c r="F53" s="721"/>
      <c r="G53" s="639"/>
      <c r="H53" s="668"/>
      <c r="I53" s="721"/>
      <c r="J53" s="639"/>
      <c r="K53" s="1124"/>
    </row>
    <row r="54" spans="1:11" x14ac:dyDescent="0.25">
      <c r="A54" s="718">
        <v>3</v>
      </c>
      <c r="B54" s="668"/>
      <c r="C54" s="721"/>
      <c r="D54" s="721"/>
      <c r="E54" s="721"/>
      <c r="F54" s="721"/>
      <c r="G54" s="639"/>
      <c r="H54" s="668"/>
      <c r="I54" s="721"/>
      <c r="J54" s="639"/>
      <c r="K54" s="1124"/>
    </row>
    <row r="55" spans="1:11" x14ac:dyDescent="0.25">
      <c r="A55" s="718">
        <v>4</v>
      </c>
      <c r="B55" s="668"/>
      <c r="C55" s="721"/>
      <c r="D55" s="721"/>
      <c r="E55" s="721"/>
      <c r="F55" s="721"/>
      <c r="G55" s="639"/>
      <c r="H55" s="668"/>
      <c r="I55" s="721"/>
      <c r="J55" s="639"/>
      <c r="K55" s="1124"/>
    </row>
    <row r="56" spans="1:11" x14ac:dyDescent="0.25">
      <c r="A56" s="718">
        <v>5</v>
      </c>
      <c r="B56" s="668"/>
      <c r="C56" s="721"/>
      <c r="D56" s="721"/>
      <c r="E56" s="721"/>
      <c r="F56" s="721"/>
      <c r="G56" s="639"/>
      <c r="H56" s="668"/>
      <c r="I56" s="721"/>
      <c r="J56" s="639"/>
      <c r="K56" s="1124"/>
    </row>
    <row r="57" spans="1:11" ht="13.8" thickBot="1" x14ac:dyDescent="0.3">
      <c r="A57" s="719">
        <v>6</v>
      </c>
      <c r="B57" s="669"/>
      <c r="C57" s="1137"/>
      <c r="D57" s="1137"/>
      <c r="E57" s="1137"/>
      <c r="F57" s="1137"/>
      <c r="G57" s="646"/>
      <c r="H57" s="669"/>
      <c r="I57" s="1137"/>
      <c r="J57" s="646"/>
      <c r="K57" s="1138"/>
    </row>
    <row r="58" spans="1:11" x14ac:dyDescent="0.25">
      <c r="A58" s="1190">
        <v>1</v>
      </c>
      <c r="B58" s="745"/>
      <c r="C58" s="1117"/>
      <c r="D58" s="1117"/>
      <c r="E58" s="1117"/>
      <c r="F58" s="1117"/>
      <c r="G58" s="632"/>
      <c r="H58" s="745"/>
      <c r="I58" s="1117"/>
      <c r="J58" s="632"/>
      <c r="K58" s="1118"/>
    </row>
    <row r="59" spans="1:11" x14ac:dyDescent="0.25">
      <c r="A59" s="718">
        <v>2</v>
      </c>
      <c r="B59" s="668"/>
      <c r="C59" s="721"/>
      <c r="D59" s="721"/>
      <c r="E59" s="721"/>
      <c r="F59" s="721"/>
      <c r="G59" s="639"/>
      <c r="H59" s="668"/>
      <c r="I59" s="721"/>
      <c r="J59" s="639"/>
      <c r="K59" s="1124"/>
    </row>
    <row r="60" spans="1:11" ht="13.8" thickBot="1" x14ac:dyDescent="0.3">
      <c r="A60" s="719">
        <v>3</v>
      </c>
      <c r="B60" s="669"/>
      <c r="C60" s="1137"/>
      <c r="D60" s="1137"/>
      <c r="E60" s="1137"/>
      <c r="F60" s="1137"/>
      <c r="G60" s="646"/>
      <c r="H60" s="669"/>
      <c r="I60" s="1137"/>
      <c r="J60" s="646"/>
      <c r="K60" s="1138"/>
    </row>
    <row r="61" spans="1:11" ht="13.8" thickBot="1" x14ac:dyDescent="0.3">
      <c r="A61" s="1186" t="s">
        <v>492</v>
      </c>
      <c r="B61" s="1187"/>
      <c r="C61" s="1188"/>
      <c r="D61" s="1188"/>
      <c r="E61" s="1188"/>
      <c r="F61" s="1188"/>
      <c r="G61" s="1189"/>
      <c r="H61" s="1187"/>
      <c r="I61" s="1188"/>
      <c r="J61" s="1189"/>
      <c r="K61" s="716"/>
    </row>
    <row r="62" spans="1:11" x14ac:dyDescent="0.25">
      <c r="A62" s="1190">
        <v>1</v>
      </c>
      <c r="B62" s="745"/>
      <c r="C62" s="1117"/>
      <c r="D62" s="1117"/>
      <c r="E62" s="1117"/>
      <c r="F62" s="1117"/>
      <c r="G62" s="632"/>
      <c r="H62" s="745"/>
      <c r="I62" s="1117"/>
      <c r="J62" s="632"/>
      <c r="K62" s="1118"/>
    </row>
    <row r="63" spans="1:11" x14ac:dyDescent="0.25">
      <c r="A63" s="718">
        <v>2</v>
      </c>
      <c r="B63" s="668"/>
      <c r="C63" s="721"/>
      <c r="D63" s="721"/>
      <c r="E63" s="721"/>
      <c r="F63" s="721"/>
      <c r="G63" s="639"/>
      <c r="H63" s="668"/>
      <c r="I63" s="721"/>
      <c r="J63" s="639"/>
      <c r="K63" s="1124"/>
    </row>
    <row r="64" spans="1:11" x14ac:dyDescent="0.25">
      <c r="A64" s="718">
        <v>3</v>
      </c>
      <c r="B64" s="668"/>
      <c r="C64" s="721"/>
      <c r="D64" s="721"/>
      <c r="E64" s="721"/>
      <c r="F64" s="721"/>
      <c r="G64" s="639"/>
      <c r="H64" s="668"/>
      <c r="I64" s="721"/>
      <c r="J64" s="639"/>
      <c r="K64" s="1124"/>
    </row>
    <row r="65" spans="1:11" x14ac:dyDescent="0.25">
      <c r="A65" s="718">
        <v>4</v>
      </c>
      <c r="B65" s="668"/>
      <c r="C65" s="721"/>
      <c r="D65" s="721"/>
      <c r="E65" s="721"/>
      <c r="F65" s="721"/>
      <c r="G65" s="639"/>
      <c r="H65" s="668"/>
      <c r="I65" s="721"/>
      <c r="J65" s="639"/>
      <c r="K65" s="1124"/>
    </row>
    <row r="66" spans="1:11" x14ac:dyDescent="0.25">
      <c r="A66" s="718">
        <v>5</v>
      </c>
      <c r="B66" s="668"/>
      <c r="C66" s="721"/>
      <c r="D66" s="721"/>
      <c r="E66" s="721"/>
      <c r="F66" s="721"/>
      <c r="G66" s="639"/>
      <c r="H66" s="668"/>
      <c r="I66" s="721"/>
      <c r="J66" s="639"/>
      <c r="K66" s="1124"/>
    </row>
    <row r="67" spans="1:11" ht="13.8" thickBot="1" x14ac:dyDescent="0.3">
      <c r="A67" s="719">
        <v>6</v>
      </c>
      <c r="B67" s="669"/>
      <c r="C67" s="1137"/>
      <c r="D67" s="1137"/>
      <c r="E67" s="1137"/>
      <c r="F67" s="1137"/>
      <c r="G67" s="646"/>
      <c r="H67" s="669"/>
      <c r="I67" s="1137"/>
      <c r="J67" s="646"/>
      <c r="K67" s="1138"/>
    </row>
    <row r="68" spans="1:11" x14ac:dyDescent="0.25">
      <c r="A68" s="1190">
        <v>1</v>
      </c>
      <c r="B68" s="745"/>
      <c r="C68" s="1117"/>
      <c r="D68" s="1117"/>
      <c r="E68" s="1117"/>
      <c r="F68" s="1117"/>
      <c r="G68" s="632"/>
      <c r="H68" s="745"/>
      <c r="I68" s="1117"/>
      <c r="J68" s="632"/>
      <c r="K68" s="1118"/>
    </row>
    <row r="69" spans="1:11" x14ac:dyDescent="0.25">
      <c r="A69" s="718">
        <v>2</v>
      </c>
      <c r="B69" s="668"/>
      <c r="C69" s="721"/>
      <c r="D69" s="721"/>
      <c r="E69" s="721"/>
      <c r="F69" s="721"/>
      <c r="G69" s="639"/>
      <c r="H69" s="668"/>
      <c r="I69" s="721"/>
      <c r="J69" s="639"/>
      <c r="K69" s="1124"/>
    </row>
    <row r="70" spans="1:11" ht="13.8" thickBot="1" x14ac:dyDescent="0.3">
      <c r="A70" s="719">
        <v>3</v>
      </c>
      <c r="B70" s="669"/>
      <c r="C70" s="1137"/>
      <c r="D70" s="1137"/>
      <c r="E70" s="1137"/>
      <c r="F70" s="1137"/>
      <c r="G70" s="646"/>
      <c r="H70" s="669"/>
      <c r="I70" s="1137"/>
      <c r="J70" s="646"/>
      <c r="K70" s="1138"/>
    </row>
    <row r="71" spans="1:11" ht="13.8" thickBot="1" x14ac:dyDescent="0.3">
      <c r="A71" s="1186" t="s">
        <v>493</v>
      </c>
      <c r="B71" s="1187"/>
      <c r="C71" s="1188"/>
      <c r="D71" s="1188"/>
      <c r="E71" s="1188"/>
      <c r="F71" s="1188"/>
      <c r="G71" s="1189"/>
      <c r="H71" s="1187"/>
      <c r="I71" s="1188"/>
      <c r="J71" s="1189"/>
      <c r="K71" s="716"/>
    </row>
    <row r="72" spans="1:11" x14ac:dyDescent="0.25">
      <c r="A72" s="1190">
        <v>1</v>
      </c>
      <c r="B72" s="745"/>
      <c r="C72" s="1117"/>
      <c r="D72" s="1117"/>
      <c r="E72" s="1117"/>
      <c r="F72" s="1117"/>
      <c r="G72" s="632"/>
      <c r="H72" s="745"/>
      <c r="I72" s="1117"/>
      <c r="J72" s="632"/>
      <c r="K72" s="1118"/>
    </row>
    <row r="73" spans="1:11" x14ac:dyDescent="0.25">
      <c r="A73" s="718">
        <v>2</v>
      </c>
      <c r="B73" s="668"/>
      <c r="C73" s="721"/>
      <c r="D73" s="721"/>
      <c r="E73" s="721"/>
      <c r="F73" s="721"/>
      <c r="G73" s="639"/>
      <c r="H73" s="668"/>
      <c r="I73" s="721"/>
      <c r="J73" s="639"/>
      <c r="K73" s="1124"/>
    </row>
    <row r="74" spans="1:11" x14ac:dyDescent="0.25">
      <c r="A74" s="718">
        <v>3</v>
      </c>
      <c r="B74" s="668"/>
      <c r="C74" s="721"/>
      <c r="D74" s="721"/>
      <c r="E74" s="721"/>
      <c r="F74" s="721"/>
      <c r="G74" s="639"/>
      <c r="H74" s="668"/>
      <c r="I74" s="721"/>
      <c r="J74" s="639"/>
      <c r="K74" s="1124"/>
    </row>
    <row r="75" spans="1:11" x14ac:dyDescent="0.25">
      <c r="A75" s="718">
        <v>4</v>
      </c>
      <c r="B75" s="668"/>
      <c r="C75" s="721"/>
      <c r="D75" s="721"/>
      <c r="E75" s="721"/>
      <c r="F75" s="721"/>
      <c r="G75" s="639"/>
      <c r="H75" s="668"/>
      <c r="I75" s="721"/>
      <c r="J75" s="639"/>
      <c r="K75" s="1124"/>
    </row>
    <row r="76" spans="1:11" x14ac:dyDescent="0.25">
      <c r="A76" s="718">
        <v>5</v>
      </c>
      <c r="B76" s="668"/>
      <c r="C76" s="721"/>
      <c r="D76" s="721"/>
      <c r="E76" s="721"/>
      <c r="F76" s="721"/>
      <c r="G76" s="639"/>
      <c r="H76" s="668"/>
      <c r="I76" s="721"/>
      <c r="J76" s="639"/>
      <c r="K76" s="1124"/>
    </row>
    <row r="77" spans="1:11" ht="13.8" thickBot="1" x14ac:dyDescent="0.3">
      <c r="A77" s="719">
        <v>6</v>
      </c>
      <c r="B77" s="669"/>
      <c r="C77" s="1137"/>
      <c r="D77" s="1137"/>
      <c r="E77" s="1137"/>
      <c r="F77" s="1137"/>
      <c r="G77" s="646"/>
      <c r="H77" s="669"/>
      <c r="I77" s="1137"/>
      <c r="J77" s="646"/>
      <c r="K77" s="1138"/>
    </row>
    <row r="78" spans="1:11" x14ac:dyDescent="0.25">
      <c r="A78" s="1190">
        <v>1</v>
      </c>
      <c r="B78" s="745"/>
      <c r="C78" s="1117"/>
      <c r="D78" s="1117"/>
      <c r="E78" s="1117"/>
      <c r="F78" s="1117"/>
      <c r="G78" s="632"/>
      <c r="H78" s="745"/>
      <c r="I78" s="1117"/>
      <c r="J78" s="632"/>
      <c r="K78" s="1118"/>
    </row>
    <row r="79" spans="1:11" x14ac:dyDescent="0.25">
      <c r="A79" s="718">
        <v>2</v>
      </c>
      <c r="B79" s="668"/>
      <c r="C79" s="721"/>
      <c r="D79" s="721"/>
      <c r="E79" s="721"/>
      <c r="F79" s="721"/>
      <c r="G79" s="639"/>
      <c r="H79" s="668"/>
      <c r="I79" s="721"/>
      <c r="J79" s="639"/>
      <c r="K79" s="1124"/>
    </row>
    <row r="80" spans="1:11" ht="13.8" thickBot="1" x14ac:dyDescent="0.3">
      <c r="A80" s="1191">
        <v>3</v>
      </c>
      <c r="B80" s="1132"/>
      <c r="C80" s="1133"/>
      <c r="D80" s="1133"/>
      <c r="E80" s="1133"/>
      <c r="F80" s="1133"/>
      <c r="G80" s="1134"/>
      <c r="H80" s="1132"/>
      <c r="I80" s="1133"/>
      <c r="J80" s="1134"/>
      <c r="K80" s="1147"/>
    </row>
    <row r="81" spans="1:11" ht="13.8" thickBot="1" x14ac:dyDescent="0.3">
      <c r="A81" s="1186" t="s">
        <v>494</v>
      </c>
      <c r="B81" s="1187"/>
      <c r="C81" s="1188"/>
      <c r="D81" s="1188"/>
      <c r="E81" s="1188"/>
      <c r="F81" s="1188"/>
      <c r="G81" s="1189"/>
      <c r="H81" s="1187"/>
      <c r="I81" s="1188"/>
      <c r="J81" s="1189"/>
      <c r="K81" s="716"/>
    </row>
    <row r="82" spans="1:11" x14ac:dyDescent="0.25">
      <c r="A82" s="1190">
        <v>1</v>
      </c>
      <c r="B82" s="745"/>
      <c r="C82" s="1117"/>
      <c r="D82" s="1117"/>
      <c r="E82" s="1117"/>
      <c r="F82" s="1117"/>
      <c r="G82" s="632"/>
      <c r="H82" s="745"/>
      <c r="I82" s="1117"/>
      <c r="J82" s="632"/>
      <c r="K82" s="1118"/>
    </row>
    <row r="83" spans="1:11" x14ac:dyDescent="0.25">
      <c r="A83" s="718">
        <v>2</v>
      </c>
      <c r="B83" s="668"/>
      <c r="C83" s="721"/>
      <c r="D83" s="721"/>
      <c r="E83" s="721"/>
      <c r="F83" s="721"/>
      <c r="G83" s="639"/>
      <c r="H83" s="668"/>
      <c r="I83" s="721"/>
      <c r="J83" s="639"/>
      <c r="K83" s="1124"/>
    </row>
    <row r="84" spans="1:11" x14ac:dyDescent="0.25">
      <c r="A84" s="718">
        <v>3</v>
      </c>
      <c r="B84" s="668"/>
      <c r="C84" s="721"/>
      <c r="D84" s="721"/>
      <c r="E84" s="721"/>
      <c r="F84" s="721"/>
      <c r="G84" s="639"/>
      <c r="H84" s="668"/>
      <c r="I84" s="721"/>
      <c r="J84" s="639"/>
      <c r="K84" s="1124"/>
    </row>
    <row r="85" spans="1:11" x14ac:dyDescent="0.25">
      <c r="A85" s="718">
        <v>4</v>
      </c>
      <c r="B85" s="668"/>
      <c r="C85" s="721"/>
      <c r="D85" s="721"/>
      <c r="E85" s="721"/>
      <c r="F85" s="721"/>
      <c r="G85" s="639"/>
      <c r="H85" s="668"/>
      <c r="I85" s="721"/>
      <c r="J85" s="639"/>
      <c r="K85" s="1124"/>
    </row>
    <row r="86" spans="1:11" x14ac:dyDescent="0.25">
      <c r="A86" s="718">
        <v>5</v>
      </c>
      <c r="B86" s="668"/>
      <c r="C86" s="721"/>
      <c r="D86" s="721"/>
      <c r="E86" s="721"/>
      <c r="F86" s="721"/>
      <c r="G86" s="639"/>
      <c r="H86" s="668"/>
      <c r="I86" s="721"/>
      <c r="J86" s="639"/>
      <c r="K86" s="1124"/>
    </row>
    <row r="87" spans="1:11" ht="13.8" thickBot="1" x14ac:dyDescent="0.3">
      <c r="A87" s="719">
        <v>6</v>
      </c>
      <c r="B87" s="669"/>
      <c r="C87" s="1137"/>
      <c r="D87" s="1137"/>
      <c r="E87" s="1137"/>
      <c r="F87" s="1137"/>
      <c r="G87" s="646"/>
      <c r="H87" s="669"/>
      <c r="I87" s="1137"/>
      <c r="J87" s="646"/>
      <c r="K87" s="1138"/>
    </row>
    <row r="88" spans="1:11" x14ac:dyDescent="0.25">
      <c r="A88" s="1190">
        <v>1</v>
      </c>
      <c r="B88" s="745"/>
      <c r="C88" s="1117"/>
      <c r="D88" s="1117"/>
      <c r="E88" s="1117"/>
      <c r="F88" s="1117"/>
      <c r="G88" s="632"/>
      <c r="H88" s="745"/>
      <c r="I88" s="1117"/>
      <c r="J88" s="632"/>
      <c r="K88" s="1118"/>
    </row>
    <row r="89" spans="1:11" x14ac:dyDescent="0.25">
      <c r="A89" s="718">
        <v>2</v>
      </c>
      <c r="B89" s="668"/>
      <c r="C89" s="721"/>
      <c r="D89" s="721"/>
      <c r="E89" s="721"/>
      <c r="F89" s="721"/>
      <c r="G89" s="639"/>
      <c r="H89" s="668"/>
      <c r="I89" s="721"/>
      <c r="J89" s="639"/>
      <c r="K89" s="1124"/>
    </row>
    <row r="90" spans="1:11" ht="13.8" thickBot="1" x14ac:dyDescent="0.3">
      <c r="A90" s="719">
        <v>3</v>
      </c>
      <c r="B90" s="669"/>
      <c r="C90" s="1137"/>
      <c r="D90" s="1137"/>
      <c r="E90" s="1137"/>
      <c r="F90" s="1137"/>
      <c r="G90" s="646"/>
      <c r="H90" s="669"/>
      <c r="I90" s="1137"/>
      <c r="J90" s="646"/>
      <c r="K90" s="1138"/>
    </row>
    <row r="91" spans="1:11" ht="13.8" thickBot="1" x14ac:dyDescent="0.3">
      <c r="A91" s="1186" t="s">
        <v>495</v>
      </c>
      <c r="B91" s="1187"/>
      <c r="C91" s="1188"/>
      <c r="D91" s="1188"/>
      <c r="E91" s="1188"/>
      <c r="F91" s="1188"/>
      <c r="G91" s="1189"/>
      <c r="H91" s="1187"/>
      <c r="I91" s="1188"/>
      <c r="J91" s="1189"/>
      <c r="K91" s="716"/>
    </row>
    <row r="92" spans="1:11" x14ac:dyDescent="0.25">
      <c r="A92" s="1190">
        <v>1</v>
      </c>
      <c r="B92" s="745"/>
      <c r="C92" s="1117"/>
      <c r="D92" s="1117"/>
      <c r="E92" s="1117"/>
      <c r="F92" s="1117"/>
      <c r="G92" s="632"/>
      <c r="H92" s="745"/>
      <c r="I92" s="1117"/>
      <c r="J92" s="632"/>
      <c r="K92" s="1118"/>
    </row>
    <row r="93" spans="1:11" x14ac:dyDescent="0.25">
      <c r="A93" s="718">
        <v>2</v>
      </c>
      <c r="B93" s="668"/>
      <c r="C93" s="721"/>
      <c r="D93" s="721"/>
      <c r="E93" s="721"/>
      <c r="F93" s="721"/>
      <c r="G93" s="639"/>
      <c r="H93" s="668"/>
      <c r="I93" s="721"/>
      <c r="J93" s="639"/>
      <c r="K93" s="1124"/>
    </row>
    <row r="94" spans="1:11" x14ac:dyDescent="0.25">
      <c r="A94" s="718">
        <v>3</v>
      </c>
      <c r="B94" s="668"/>
      <c r="C94" s="721"/>
      <c r="D94" s="721"/>
      <c r="E94" s="721"/>
      <c r="F94" s="721"/>
      <c r="G94" s="639"/>
      <c r="H94" s="668"/>
      <c r="I94" s="721"/>
      <c r="J94" s="639"/>
      <c r="K94" s="1124"/>
    </row>
    <row r="95" spans="1:11" x14ac:dyDescent="0.25">
      <c r="A95" s="718">
        <v>4</v>
      </c>
      <c r="B95" s="668"/>
      <c r="C95" s="721"/>
      <c r="D95" s="721"/>
      <c r="E95" s="721"/>
      <c r="F95" s="721"/>
      <c r="G95" s="639"/>
      <c r="H95" s="668"/>
      <c r="I95" s="721"/>
      <c r="J95" s="639"/>
      <c r="K95" s="1124"/>
    </row>
    <row r="96" spans="1:11" x14ac:dyDescent="0.25">
      <c r="A96" s="718">
        <v>5</v>
      </c>
      <c r="B96" s="668"/>
      <c r="C96" s="721"/>
      <c r="D96" s="721"/>
      <c r="E96" s="721"/>
      <c r="F96" s="721"/>
      <c r="G96" s="639"/>
      <c r="H96" s="668"/>
      <c r="I96" s="721"/>
      <c r="J96" s="639"/>
      <c r="K96" s="1124"/>
    </row>
    <row r="97" spans="1:11" ht="13.8" thickBot="1" x14ac:dyDescent="0.3">
      <c r="A97" s="719">
        <v>6</v>
      </c>
      <c r="B97" s="669"/>
      <c r="C97" s="1137"/>
      <c r="D97" s="1137"/>
      <c r="E97" s="1137"/>
      <c r="F97" s="1137"/>
      <c r="G97" s="646"/>
      <c r="H97" s="669"/>
      <c r="I97" s="1137"/>
      <c r="J97" s="646"/>
      <c r="K97" s="1138"/>
    </row>
    <row r="98" spans="1:11" x14ac:dyDescent="0.25">
      <c r="A98" s="1190">
        <v>1</v>
      </c>
      <c r="B98" s="745"/>
      <c r="C98" s="1117"/>
      <c r="D98" s="1117"/>
      <c r="E98" s="1117"/>
      <c r="F98" s="1117"/>
      <c r="G98" s="632"/>
      <c r="H98" s="745"/>
      <c r="I98" s="1117"/>
      <c r="J98" s="632"/>
      <c r="K98" s="1118"/>
    </row>
    <row r="99" spans="1:11" x14ac:dyDescent="0.25">
      <c r="A99" s="718">
        <v>2</v>
      </c>
      <c r="B99" s="668"/>
      <c r="C99" s="721"/>
      <c r="D99" s="721"/>
      <c r="E99" s="721"/>
      <c r="F99" s="721"/>
      <c r="G99" s="639"/>
      <c r="H99" s="668"/>
      <c r="I99" s="721"/>
      <c r="J99" s="639"/>
      <c r="K99" s="1124"/>
    </row>
    <row r="100" spans="1:11" ht="13.8" thickBot="1" x14ac:dyDescent="0.3">
      <c r="A100" s="719">
        <v>3</v>
      </c>
      <c r="B100" s="669"/>
      <c r="C100" s="1137"/>
      <c r="D100" s="1137"/>
      <c r="E100" s="1137"/>
      <c r="F100" s="1137"/>
      <c r="G100" s="646"/>
      <c r="H100" s="669"/>
      <c r="I100" s="1137"/>
      <c r="J100" s="646"/>
      <c r="K100" s="1138"/>
    </row>
    <row r="101" spans="1:11" ht="13.8" thickBot="1" x14ac:dyDescent="0.3">
      <c r="A101" s="1186" t="s">
        <v>496</v>
      </c>
      <c r="B101" s="1187"/>
      <c r="C101" s="1188"/>
      <c r="D101" s="1188"/>
      <c r="E101" s="1188"/>
      <c r="F101" s="1188"/>
      <c r="G101" s="1189"/>
      <c r="H101" s="1187"/>
      <c r="I101" s="1188"/>
      <c r="J101" s="1189"/>
      <c r="K101" s="716"/>
    </row>
    <row r="102" spans="1:11" x14ac:dyDescent="0.25">
      <c r="A102" s="1190">
        <v>1</v>
      </c>
      <c r="B102" s="745"/>
      <c r="C102" s="1117"/>
      <c r="D102" s="1117"/>
      <c r="E102" s="1117"/>
      <c r="F102" s="1117"/>
      <c r="G102" s="632"/>
      <c r="H102" s="745"/>
      <c r="I102" s="1117"/>
      <c r="J102" s="632"/>
      <c r="K102" s="1118"/>
    </row>
    <row r="103" spans="1:11" x14ac:dyDescent="0.25">
      <c r="A103" s="718">
        <v>2</v>
      </c>
      <c r="B103" s="668"/>
      <c r="C103" s="721"/>
      <c r="D103" s="721"/>
      <c r="E103" s="721"/>
      <c r="F103" s="721"/>
      <c r="G103" s="639"/>
      <c r="H103" s="668"/>
      <c r="I103" s="721"/>
      <c r="J103" s="639"/>
      <c r="K103" s="1124"/>
    </row>
    <row r="104" spans="1:11" x14ac:dyDescent="0.25">
      <c r="A104" s="718">
        <v>3</v>
      </c>
      <c r="B104" s="668"/>
      <c r="C104" s="721"/>
      <c r="D104" s="721"/>
      <c r="E104" s="721"/>
      <c r="F104" s="721"/>
      <c r="G104" s="639"/>
      <c r="H104" s="668"/>
      <c r="I104" s="721"/>
      <c r="J104" s="639"/>
      <c r="K104" s="1124"/>
    </row>
    <row r="105" spans="1:11" x14ac:dyDescent="0.25">
      <c r="A105" s="718">
        <v>4</v>
      </c>
      <c r="B105" s="668"/>
      <c r="C105" s="721"/>
      <c r="D105" s="721"/>
      <c r="E105" s="721"/>
      <c r="F105" s="721"/>
      <c r="G105" s="639"/>
      <c r="H105" s="668"/>
      <c r="I105" s="721"/>
      <c r="J105" s="639"/>
      <c r="K105" s="1124"/>
    </row>
    <row r="106" spans="1:11" x14ac:dyDescent="0.25">
      <c r="A106" s="718">
        <v>5</v>
      </c>
      <c r="B106" s="668"/>
      <c r="C106" s="721"/>
      <c r="D106" s="721"/>
      <c r="E106" s="721"/>
      <c r="F106" s="721"/>
      <c r="G106" s="639"/>
      <c r="H106" s="668"/>
      <c r="I106" s="721"/>
      <c r="J106" s="639"/>
      <c r="K106" s="1124"/>
    </row>
    <row r="107" spans="1:11" ht="13.8" thickBot="1" x14ac:dyDescent="0.3">
      <c r="A107" s="719">
        <v>6</v>
      </c>
      <c r="B107" s="669"/>
      <c r="C107" s="1137"/>
      <c r="D107" s="1137"/>
      <c r="E107" s="1137"/>
      <c r="F107" s="1137"/>
      <c r="G107" s="646"/>
      <c r="H107" s="669"/>
      <c r="I107" s="1137"/>
      <c r="J107" s="646"/>
      <c r="K107" s="1138"/>
    </row>
    <row r="108" spans="1:11" x14ac:dyDescent="0.25">
      <c r="A108" s="1190">
        <v>1</v>
      </c>
      <c r="B108" s="745"/>
      <c r="C108" s="1117"/>
      <c r="D108" s="1117"/>
      <c r="E108" s="1117"/>
      <c r="F108" s="1117"/>
      <c r="G108" s="632"/>
      <c r="H108" s="745"/>
      <c r="I108" s="1117"/>
      <c r="J108" s="632"/>
      <c r="K108" s="1118"/>
    </row>
    <row r="109" spans="1:11" x14ac:dyDescent="0.25">
      <c r="A109" s="718">
        <v>2</v>
      </c>
      <c r="B109" s="668"/>
      <c r="C109" s="721"/>
      <c r="D109" s="721"/>
      <c r="E109" s="721"/>
      <c r="F109" s="721"/>
      <c r="G109" s="639"/>
      <c r="H109" s="668"/>
      <c r="I109" s="721"/>
      <c r="J109" s="639"/>
      <c r="K109" s="1124"/>
    </row>
    <row r="110" spans="1:11" ht="13.8" thickBot="1" x14ac:dyDescent="0.3">
      <c r="A110" s="719">
        <v>3</v>
      </c>
      <c r="B110" s="669"/>
      <c r="C110" s="1137"/>
      <c r="D110" s="1137"/>
      <c r="E110" s="1137"/>
      <c r="F110" s="1137"/>
      <c r="G110" s="646"/>
      <c r="H110" s="669"/>
      <c r="I110" s="1137"/>
      <c r="J110" s="646"/>
      <c r="K110" s="1138"/>
    </row>
    <row r="111" spans="1:11" ht="13.8" thickBot="1" x14ac:dyDescent="0.3">
      <c r="A111" s="1186" t="s">
        <v>497</v>
      </c>
      <c r="B111" s="1187"/>
      <c r="C111" s="1188"/>
      <c r="D111" s="1188"/>
      <c r="E111" s="1188"/>
      <c r="F111" s="1188"/>
      <c r="G111" s="1189"/>
      <c r="H111" s="1187"/>
      <c r="I111" s="1188"/>
      <c r="J111" s="1189"/>
      <c r="K111" s="716"/>
    </row>
    <row r="112" spans="1:11" x14ac:dyDescent="0.25">
      <c r="A112" s="1190">
        <v>1</v>
      </c>
      <c r="B112" s="745"/>
      <c r="C112" s="1117"/>
      <c r="D112" s="1117"/>
      <c r="E112" s="1117"/>
      <c r="F112" s="1117"/>
      <c r="G112" s="632"/>
      <c r="H112" s="745"/>
      <c r="I112" s="1117"/>
      <c r="J112" s="632"/>
      <c r="K112" s="1118"/>
    </row>
    <row r="113" spans="1:11" x14ac:dyDescent="0.25">
      <c r="A113" s="718">
        <v>2</v>
      </c>
      <c r="B113" s="668"/>
      <c r="C113" s="721"/>
      <c r="D113" s="721"/>
      <c r="E113" s="721"/>
      <c r="F113" s="721"/>
      <c r="G113" s="639"/>
      <c r="H113" s="668"/>
      <c r="I113" s="721"/>
      <c r="J113" s="639"/>
      <c r="K113" s="1124"/>
    </row>
    <row r="114" spans="1:11" x14ac:dyDescent="0.25">
      <c r="A114" s="718">
        <v>3</v>
      </c>
      <c r="B114" s="668"/>
      <c r="C114" s="721"/>
      <c r="D114" s="721"/>
      <c r="E114" s="721"/>
      <c r="F114" s="721"/>
      <c r="G114" s="639"/>
      <c r="H114" s="668"/>
      <c r="I114" s="721"/>
      <c r="J114" s="639"/>
      <c r="K114" s="1124"/>
    </row>
    <row r="115" spans="1:11" x14ac:dyDescent="0.25">
      <c r="A115" s="718">
        <v>4</v>
      </c>
      <c r="B115" s="668"/>
      <c r="C115" s="721"/>
      <c r="D115" s="721"/>
      <c r="E115" s="721"/>
      <c r="F115" s="721"/>
      <c r="G115" s="639"/>
      <c r="H115" s="668"/>
      <c r="I115" s="721"/>
      <c r="J115" s="639"/>
      <c r="K115" s="1124"/>
    </row>
    <row r="116" spans="1:11" x14ac:dyDescent="0.25">
      <c r="A116" s="718">
        <v>5</v>
      </c>
      <c r="B116" s="668"/>
      <c r="C116" s="721"/>
      <c r="D116" s="721"/>
      <c r="E116" s="721"/>
      <c r="F116" s="721"/>
      <c r="G116" s="639"/>
      <c r="H116" s="668"/>
      <c r="I116" s="721"/>
      <c r="J116" s="639"/>
      <c r="K116" s="1124"/>
    </row>
    <row r="117" spans="1:11" ht="13.8" thickBot="1" x14ac:dyDescent="0.3">
      <c r="A117" s="719">
        <v>6</v>
      </c>
      <c r="B117" s="669"/>
      <c r="C117" s="1137"/>
      <c r="D117" s="1137"/>
      <c r="E117" s="1137"/>
      <c r="F117" s="1137"/>
      <c r="G117" s="646"/>
      <c r="H117" s="669"/>
      <c r="I117" s="1137"/>
      <c r="J117" s="646"/>
      <c r="K117" s="1138"/>
    </row>
    <row r="118" spans="1:11" x14ac:dyDescent="0.25">
      <c r="A118" s="1190">
        <v>1</v>
      </c>
      <c r="B118" s="745"/>
      <c r="C118" s="1117"/>
      <c r="D118" s="1117"/>
      <c r="E118" s="1117"/>
      <c r="F118" s="1117"/>
      <c r="G118" s="632"/>
      <c r="H118" s="745"/>
      <c r="I118" s="1117"/>
      <c r="J118" s="632"/>
      <c r="K118" s="1118"/>
    </row>
    <row r="119" spans="1:11" x14ac:dyDescent="0.25">
      <c r="A119" s="718">
        <v>2</v>
      </c>
      <c r="B119" s="668"/>
      <c r="C119" s="721"/>
      <c r="D119" s="721"/>
      <c r="E119" s="721"/>
      <c r="F119" s="721"/>
      <c r="G119" s="639"/>
      <c r="H119" s="668"/>
      <c r="I119" s="721"/>
      <c r="J119" s="639"/>
      <c r="K119" s="1124"/>
    </row>
    <row r="120" spans="1:11" ht="13.8" thickBot="1" x14ac:dyDescent="0.3">
      <c r="A120" s="1191">
        <v>3</v>
      </c>
      <c r="B120" s="1132"/>
      <c r="C120" s="1133"/>
      <c r="D120" s="1133"/>
      <c r="E120" s="1133"/>
      <c r="F120" s="1133"/>
      <c r="G120" s="1134"/>
      <c r="H120" s="1132"/>
      <c r="I120" s="1133"/>
      <c r="J120" s="1134"/>
      <c r="K120" s="1147"/>
    </row>
    <row r="121" spans="1:11" ht="13.8" thickBot="1" x14ac:dyDescent="0.3">
      <c r="A121" s="1186" t="s">
        <v>498</v>
      </c>
      <c r="B121" s="1187"/>
      <c r="C121" s="1188"/>
      <c r="D121" s="1188"/>
      <c r="E121" s="1188"/>
      <c r="F121" s="1188"/>
      <c r="G121" s="1189"/>
      <c r="H121" s="1187"/>
      <c r="I121" s="1188"/>
      <c r="J121" s="1189"/>
      <c r="K121" s="716"/>
    </row>
    <row r="122" spans="1:11" x14ac:dyDescent="0.25">
      <c r="A122" s="1190">
        <v>1</v>
      </c>
      <c r="B122" s="745"/>
      <c r="C122" s="1117"/>
      <c r="D122" s="1117"/>
      <c r="E122" s="1117"/>
      <c r="F122" s="1117"/>
      <c r="G122" s="632"/>
      <c r="H122" s="745"/>
      <c r="I122" s="1117"/>
      <c r="J122" s="632"/>
      <c r="K122" s="1118"/>
    </row>
    <row r="123" spans="1:11" x14ac:dyDescent="0.25">
      <c r="A123" s="718">
        <v>2</v>
      </c>
      <c r="B123" s="668"/>
      <c r="C123" s="721"/>
      <c r="D123" s="721"/>
      <c r="E123" s="721"/>
      <c r="F123" s="721"/>
      <c r="G123" s="639"/>
      <c r="H123" s="668"/>
      <c r="I123" s="721"/>
      <c r="J123" s="639"/>
      <c r="K123" s="1124"/>
    </row>
    <row r="124" spans="1:11" x14ac:dyDescent="0.25">
      <c r="A124" s="718">
        <v>3</v>
      </c>
      <c r="B124" s="668"/>
      <c r="C124" s="721"/>
      <c r="D124" s="721"/>
      <c r="E124" s="721"/>
      <c r="F124" s="721"/>
      <c r="G124" s="639"/>
      <c r="H124" s="668"/>
      <c r="I124" s="721"/>
      <c r="J124" s="639"/>
      <c r="K124" s="1124"/>
    </row>
    <row r="125" spans="1:11" x14ac:dyDescent="0.25">
      <c r="A125" s="718">
        <v>4</v>
      </c>
      <c r="B125" s="668"/>
      <c r="C125" s="721"/>
      <c r="D125" s="721"/>
      <c r="E125" s="721"/>
      <c r="F125" s="721"/>
      <c r="G125" s="639"/>
      <c r="H125" s="668"/>
      <c r="I125" s="721"/>
      <c r="J125" s="639"/>
      <c r="K125" s="1124"/>
    </row>
    <row r="126" spans="1:11" x14ac:dyDescent="0.25">
      <c r="A126" s="718">
        <v>5</v>
      </c>
      <c r="B126" s="668"/>
      <c r="C126" s="721"/>
      <c r="D126" s="721"/>
      <c r="E126" s="721"/>
      <c r="F126" s="721"/>
      <c r="G126" s="639"/>
      <c r="H126" s="668"/>
      <c r="I126" s="721"/>
      <c r="J126" s="639"/>
      <c r="K126" s="1124"/>
    </row>
    <row r="127" spans="1:11" ht="13.8" thickBot="1" x14ac:dyDescent="0.3">
      <c r="A127" s="719">
        <v>6</v>
      </c>
      <c r="B127" s="669"/>
      <c r="C127" s="1137"/>
      <c r="D127" s="1137"/>
      <c r="E127" s="1137"/>
      <c r="F127" s="1137"/>
      <c r="G127" s="646"/>
      <c r="H127" s="669"/>
      <c r="I127" s="1137"/>
      <c r="J127" s="646"/>
      <c r="K127" s="1138"/>
    </row>
    <row r="128" spans="1:11" x14ac:dyDescent="0.25">
      <c r="A128" s="1190">
        <v>1</v>
      </c>
      <c r="B128" s="745"/>
      <c r="C128" s="1117"/>
      <c r="D128" s="1117"/>
      <c r="E128" s="1117"/>
      <c r="F128" s="1117"/>
      <c r="G128" s="632"/>
      <c r="H128" s="745"/>
      <c r="I128" s="1117"/>
      <c r="J128" s="632"/>
      <c r="K128" s="1118"/>
    </row>
    <row r="129" spans="1:11" x14ac:dyDescent="0.25">
      <c r="A129" s="718">
        <v>2</v>
      </c>
      <c r="B129" s="668"/>
      <c r="C129" s="721"/>
      <c r="D129" s="721"/>
      <c r="E129" s="721"/>
      <c r="F129" s="721"/>
      <c r="G129" s="639"/>
      <c r="H129" s="668"/>
      <c r="I129" s="721"/>
      <c r="J129" s="639"/>
      <c r="K129" s="1124"/>
    </row>
    <row r="130" spans="1:11" ht="13.8" thickBot="1" x14ac:dyDescent="0.3">
      <c r="A130" s="719">
        <v>3</v>
      </c>
      <c r="B130" s="669"/>
      <c r="C130" s="1137"/>
      <c r="D130" s="1137"/>
      <c r="E130" s="1137"/>
      <c r="F130" s="1137"/>
      <c r="G130" s="646"/>
      <c r="H130" s="669"/>
      <c r="I130" s="1137"/>
      <c r="J130" s="646"/>
      <c r="K130" s="1138"/>
    </row>
    <row r="131" spans="1:11" ht="13.8" thickBot="1" x14ac:dyDescent="0.3">
      <c r="A131" s="1186" t="s">
        <v>499</v>
      </c>
      <c r="B131" s="1187"/>
      <c r="C131" s="1188"/>
      <c r="D131" s="1188"/>
      <c r="E131" s="1188"/>
      <c r="F131" s="1188"/>
      <c r="G131" s="1189"/>
      <c r="H131" s="1187"/>
      <c r="I131" s="1188"/>
      <c r="J131" s="1189"/>
      <c r="K131" s="716"/>
    </row>
    <row r="132" spans="1:11" x14ac:dyDescent="0.25">
      <c r="A132" s="1190">
        <v>1</v>
      </c>
      <c r="B132" s="745"/>
      <c r="C132" s="1117"/>
      <c r="D132" s="1117"/>
      <c r="E132" s="1117"/>
      <c r="F132" s="1117"/>
      <c r="G132" s="632"/>
      <c r="H132" s="745"/>
      <c r="I132" s="1117"/>
      <c r="J132" s="632"/>
      <c r="K132" s="1118"/>
    </row>
    <row r="133" spans="1:11" x14ac:dyDescent="0.25">
      <c r="A133" s="718">
        <v>2</v>
      </c>
      <c r="B133" s="668"/>
      <c r="C133" s="721"/>
      <c r="D133" s="721"/>
      <c r="E133" s="721"/>
      <c r="F133" s="721"/>
      <c r="G133" s="639"/>
      <c r="H133" s="668"/>
      <c r="I133" s="721"/>
      <c r="J133" s="639"/>
      <c r="K133" s="1124"/>
    </row>
    <row r="134" spans="1:11" x14ac:dyDescent="0.25">
      <c r="A134" s="718">
        <v>3</v>
      </c>
      <c r="B134" s="668"/>
      <c r="C134" s="721"/>
      <c r="D134" s="721"/>
      <c r="E134" s="721"/>
      <c r="F134" s="721"/>
      <c r="G134" s="639"/>
      <c r="H134" s="668"/>
      <c r="I134" s="721"/>
      <c r="J134" s="639"/>
      <c r="K134" s="1124"/>
    </row>
    <row r="135" spans="1:11" x14ac:dyDescent="0.25">
      <c r="A135" s="718">
        <v>4</v>
      </c>
      <c r="B135" s="668"/>
      <c r="C135" s="721"/>
      <c r="D135" s="721"/>
      <c r="E135" s="721"/>
      <c r="F135" s="721"/>
      <c r="G135" s="639"/>
      <c r="H135" s="668"/>
      <c r="I135" s="721"/>
      <c r="J135" s="639"/>
      <c r="K135" s="1124"/>
    </row>
    <row r="136" spans="1:11" x14ac:dyDescent="0.25">
      <c r="A136" s="718">
        <v>5</v>
      </c>
      <c r="B136" s="668"/>
      <c r="C136" s="721"/>
      <c r="D136" s="721"/>
      <c r="E136" s="721"/>
      <c r="F136" s="721"/>
      <c r="G136" s="639"/>
      <c r="H136" s="668"/>
      <c r="I136" s="721"/>
      <c r="J136" s="639"/>
      <c r="K136" s="1124"/>
    </row>
    <row r="137" spans="1:11" ht="13.8" thickBot="1" x14ac:dyDescent="0.3">
      <c r="A137" s="719">
        <v>6</v>
      </c>
      <c r="B137" s="669"/>
      <c r="C137" s="1137"/>
      <c r="D137" s="1137"/>
      <c r="E137" s="1137"/>
      <c r="F137" s="1137"/>
      <c r="G137" s="646"/>
      <c r="H137" s="669"/>
      <c r="I137" s="1137"/>
      <c r="J137" s="646"/>
      <c r="K137" s="1138"/>
    </row>
    <row r="138" spans="1:11" x14ac:dyDescent="0.25">
      <c r="A138" s="1190">
        <v>1</v>
      </c>
      <c r="B138" s="745"/>
      <c r="C138" s="1117"/>
      <c r="D138" s="1117"/>
      <c r="E138" s="1117"/>
      <c r="F138" s="1117"/>
      <c r="G138" s="632"/>
      <c r="H138" s="745"/>
      <c r="I138" s="1117"/>
      <c r="J138" s="632"/>
      <c r="K138" s="1118"/>
    </row>
    <row r="139" spans="1:11" x14ac:dyDescent="0.25">
      <c r="A139" s="718">
        <v>2</v>
      </c>
      <c r="B139" s="668"/>
      <c r="C139" s="721"/>
      <c r="D139" s="721"/>
      <c r="E139" s="721"/>
      <c r="F139" s="721"/>
      <c r="G139" s="639"/>
      <c r="H139" s="668"/>
      <c r="I139" s="721"/>
      <c r="J139" s="639"/>
      <c r="K139" s="1124"/>
    </row>
    <row r="140" spans="1:11" ht="13.8" thickBot="1" x14ac:dyDescent="0.3">
      <c r="A140" s="719">
        <v>3</v>
      </c>
      <c r="B140" s="669"/>
      <c r="C140" s="1137"/>
      <c r="D140" s="1137"/>
      <c r="E140" s="1137"/>
      <c r="F140" s="1137"/>
      <c r="G140" s="646"/>
      <c r="H140" s="669"/>
      <c r="I140" s="1137"/>
      <c r="J140" s="646"/>
      <c r="K140" s="1138"/>
    </row>
    <row r="141" spans="1:11" ht="13.8" thickBot="1" x14ac:dyDescent="0.3">
      <c r="A141" s="1186" t="s">
        <v>500</v>
      </c>
      <c r="B141" s="1187"/>
      <c r="C141" s="1188"/>
      <c r="D141" s="1188"/>
      <c r="E141" s="1188"/>
      <c r="F141" s="1188"/>
      <c r="G141" s="1189"/>
      <c r="H141" s="1187"/>
      <c r="I141" s="1188"/>
      <c r="J141" s="1189"/>
      <c r="K141" s="716"/>
    </row>
    <row r="142" spans="1:11" x14ac:dyDescent="0.25">
      <c r="A142" s="1190">
        <v>1</v>
      </c>
      <c r="B142" s="745"/>
      <c r="C142" s="1117"/>
      <c r="D142" s="1117"/>
      <c r="E142" s="1117"/>
      <c r="F142" s="1117"/>
      <c r="G142" s="632"/>
      <c r="H142" s="745"/>
      <c r="I142" s="1117"/>
      <c r="J142" s="632"/>
      <c r="K142" s="1118"/>
    </row>
    <row r="143" spans="1:11" x14ac:dyDescent="0.25">
      <c r="A143" s="718">
        <v>2</v>
      </c>
      <c r="B143" s="668"/>
      <c r="C143" s="721"/>
      <c r="D143" s="721"/>
      <c r="E143" s="721"/>
      <c r="F143" s="721"/>
      <c r="G143" s="639"/>
      <c r="H143" s="668"/>
      <c r="I143" s="721"/>
      <c r="J143" s="639"/>
      <c r="K143" s="1124"/>
    </row>
    <row r="144" spans="1:11" x14ac:dyDescent="0.25">
      <c r="A144" s="718">
        <v>3</v>
      </c>
      <c r="B144" s="668"/>
      <c r="C144" s="721"/>
      <c r="D144" s="721"/>
      <c r="E144" s="721"/>
      <c r="F144" s="721"/>
      <c r="G144" s="639"/>
      <c r="H144" s="668"/>
      <c r="I144" s="721"/>
      <c r="J144" s="639"/>
      <c r="K144" s="1124"/>
    </row>
    <row r="145" spans="1:11" x14ac:dyDescent="0.25">
      <c r="A145" s="718">
        <v>4</v>
      </c>
      <c r="B145" s="668"/>
      <c r="C145" s="721"/>
      <c r="D145" s="721"/>
      <c r="E145" s="721"/>
      <c r="F145" s="721"/>
      <c r="G145" s="639"/>
      <c r="H145" s="668"/>
      <c r="I145" s="721"/>
      <c r="J145" s="639"/>
      <c r="K145" s="1124"/>
    </row>
    <row r="146" spans="1:11" x14ac:dyDescent="0.25">
      <c r="A146" s="718">
        <v>5</v>
      </c>
      <c r="B146" s="668"/>
      <c r="C146" s="721"/>
      <c r="D146" s="721"/>
      <c r="E146" s="721"/>
      <c r="F146" s="721"/>
      <c r="G146" s="639"/>
      <c r="H146" s="668"/>
      <c r="I146" s="721"/>
      <c r="J146" s="639"/>
      <c r="K146" s="1124"/>
    </row>
    <row r="147" spans="1:11" ht="13.8" thickBot="1" x14ac:dyDescent="0.3">
      <c r="A147" s="719">
        <v>6</v>
      </c>
      <c r="B147" s="669"/>
      <c r="C147" s="1137"/>
      <c r="D147" s="1137"/>
      <c r="E147" s="1137"/>
      <c r="F147" s="1137"/>
      <c r="G147" s="646"/>
      <c r="H147" s="669"/>
      <c r="I147" s="1137"/>
      <c r="J147" s="646"/>
      <c r="K147" s="1138"/>
    </row>
    <row r="148" spans="1:11" x14ac:dyDescent="0.25">
      <c r="A148" s="1190">
        <v>1</v>
      </c>
      <c r="B148" s="745"/>
      <c r="C148" s="1117"/>
      <c r="D148" s="1117"/>
      <c r="E148" s="1117"/>
      <c r="F148" s="1117"/>
      <c r="G148" s="632"/>
      <c r="H148" s="745"/>
      <c r="I148" s="1117"/>
      <c r="J148" s="632"/>
      <c r="K148" s="1118"/>
    </row>
    <row r="149" spans="1:11" x14ac:dyDescent="0.25">
      <c r="A149" s="718">
        <v>2</v>
      </c>
      <c r="B149" s="668"/>
      <c r="C149" s="721"/>
      <c r="D149" s="721"/>
      <c r="E149" s="721"/>
      <c r="F149" s="721"/>
      <c r="G149" s="639"/>
      <c r="H149" s="668"/>
      <c r="I149" s="721"/>
      <c r="J149" s="639"/>
      <c r="K149" s="1124"/>
    </row>
    <row r="150" spans="1:11" ht="13.8" thickBot="1" x14ac:dyDescent="0.3">
      <c r="A150" s="719">
        <v>3</v>
      </c>
      <c r="B150" s="669"/>
      <c r="C150" s="1137"/>
      <c r="D150" s="1137"/>
      <c r="E150" s="1137"/>
      <c r="F150" s="1137"/>
      <c r="G150" s="646"/>
      <c r="H150" s="669"/>
      <c r="I150" s="1137"/>
      <c r="J150" s="646"/>
      <c r="K150" s="1138"/>
    </row>
    <row r="151" spans="1:11" ht="13.8" thickBot="1" x14ac:dyDescent="0.3">
      <c r="A151" s="1186" t="s">
        <v>501</v>
      </c>
      <c r="B151" s="1187"/>
      <c r="C151" s="1188"/>
      <c r="D151" s="1188"/>
      <c r="E151" s="1188"/>
      <c r="F151" s="1188"/>
      <c r="G151" s="1189"/>
      <c r="H151" s="1187"/>
      <c r="I151" s="1188"/>
      <c r="J151" s="1189"/>
      <c r="K151" s="716"/>
    </row>
    <row r="152" spans="1:11" x14ac:dyDescent="0.25">
      <c r="A152" s="1190">
        <v>1</v>
      </c>
      <c r="B152" s="745"/>
      <c r="C152" s="1117"/>
      <c r="D152" s="1117"/>
      <c r="E152" s="1117"/>
      <c r="F152" s="1117"/>
      <c r="G152" s="632"/>
      <c r="H152" s="745"/>
      <c r="I152" s="1117"/>
      <c r="J152" s="632"/>
      <c r="K152" s="1118"/>
    </row>
    <row r="153" spans="1:11" x14ac:dyDescent="0.25">
      <c r="A153" s="718">
        <v>2</v>
      </c>
      <c r="B153" s="668"/>
      <c r="C153" s="721"/>
      <c r="D153" s="721"/>
      <c r="E153" s="721"/>
      <c r="F153" s="721"/>
      <c r="G153" s="639"/>
      <c r="H153" s="668"/>
      <c r="I153" s="721"/>
      <c r="J153" s="639"/>
      <c r="K153" s="1124"/>
    </row>
    <row r="154" spans="1:11" x14ac:dyDescent="0.25">
      <c r="A154" s="718">
        <v>3</v>
      </c>
      <c r="B154" s="668"/>
      <c r="C154" s="721"/>
      <c r="D154" s="721"/>
      <c r="E154" s="721"/>
      <c r="F154" s="721"/>
      <c r="G154" s="639"/>
      <c r="H154" s="668"/>
      <c r="I154" s="721"/>
      <c r="J154" s="639"/>
      <c r="K154" s="1124"/>
    </row>
    <row r="155" spans="1:11" x14ac:dyDescent="0.25">
      <c r="A155" s="718">
        <v>4</v>
      </c>
      <c r="B155" s="668"/>
      <c r="C155" s="721"/>
      <c r="D155" s="721"/>
      <c r="E155" s="721"/>
      <c r="F155" s="721"/>
      <c r="G155" s="639"/>
      <c r="H155" s="668"/>
      <c r="I155" s="721"/>
      <c r="J155" s="639"/>
      <c r="K155" s="1124"/>
    </row>
    <row r="156" spans="1:11" x14ac:dyDescent="0.25">
      <c r="A156" s="718">
        <v>5</v>
      </c>
      <c r="B156" s="668"/>
      <c r="C156" s="721"/>
      <c r="D156" s="721"/>
      <c r="E156" s="721"/>
      <c r="F156" s="721"/>
      <c r="G156" s="639"/>
      <c r="H156" s="668"/>
      <c r="I156" s="721"/>
      <c r="J156" s="639"/>
      <c r="K156" s="1124"/>
    </row>
    <row r="157" spans="1:11" ht="13.8" thickBot="1" x14ac:dyDescent="0.3">
      <c r="A157" s="719">
        <v>6</v>
      </c>
      <c r="B157" s="669"/>
      <c r="C157" s="1137"/>
      <c r="D157" s="1137"/>
      <c r="E157" s="1137"/>
      <c r="F157" s="1137"/>
      <c r="G157" s="646"/>
      <c r="H157" s="669"/>
      <c r="I157" s="1137"/>
      <c r="J157" s="646"/>
      <c r="K157" s="1138"/>
    </row>
    <row r="158" spans="1:11" x14ac:dyDescent="0.25">
      <c r="A158" s="1190">
        <v>1</v>
      </c>
      <c r="B158" s="745"/>
      <c r="C158" s="1117"/>
      <c r="D158" s="1117"/>
      <c r="E158" s="1117"/>
      <c r="F158" s="1117"/>
      <c r="G158" s="632"/>
      <c r="H158" s="745"/>
      <c r="I158" s="1117"/>
      <c r="J158" s="632"/>
      <c r="K158" s="1118"/>
    </row>
    <row r="159" spans="1:11" x14ac:dyDescent="0.25">
      <c r="A159" s="718">
        <v>2</v>
      </c>
      <c r="B159" s="668"/>
      <c r="C159" s="721"/>
      <c r="D159" s="721"/>
      <c r="E159" s="721"/>
      <c r="F159" s="721"/>
      <c r="G159" s="639"/>
      <c r="H159" s="668"/>
      <c r="I159" s="721"/>
      <c r="J159" s="639"/>
      <c r="K159" s="1124"/>
    </row>
    <row r="160" spans="1:11" ht="13.8" thickBot="1" x14ac:dyDescent="0.3">
      <c r="A160" s="719">
        <v>3</v>
      </c>
      <c r="B160" s="669"/>
      <c r="C160" s="1137"/>
      <c r="D160" s="1137"/>
      <c r="E160" s="1137"/>
      <c r="F160" s="1137"/>
      <c r="G160" s="646"/>
      <c r="H160" s="669"/>
      <c r="I160" s="1137"/>
      <c r="J160" s="646"/>
      <c r="K160" s="1138"/>
    </row>
    <row r="161" spans="1:11" ht="13.8" thickBot="1" x14ac:dyDescent="0.3">
      <c r="A161" s="1186" t="s">
        <v>502</v>
      </c>
      <c r="B161" s="1187"/>
      <c r="C161" s="1188"/>
      <c r="D161" s="1188"/>
      <c r="E161" s="1188"/>
      <c r="F161" s="1188"/>
      <c r="G161" s="1189"/>
      <c r="H161" s="1187"/>
      <c r="I161" s="1188"/>
      <c r="J161" s="1189"/>
      <c r="K161" s="716"/>
    </row>
    <row r="162" spans="1:11" x14ac:dyDescent="0.25">
      <c r="A162" s="1190">
        <v>1</v>
      </c>
      <c r="B162" s="745"/>
      <c r="C162" s="1117"/>
      <c r="D162" s="1117"/>
      <c r="E162" s="1117"/>
      <c r="F162" s="1117"/>
      <c r="G162" s="632"/>
      <c r="H162" s="745"/>
      <c r="I162" s="1117"/>
      <c r="J162" s="632"/>
      <c r="K162" s="1118"/>
    </row>
    <row r="163" spans="1:11" x14ac:dyDescent="0.25">
      <c r="A163" s="718">
        <v>2</v>
      </c>
      <c r="B163" s="668"/>
      <c r="C163" s="721"/>
      <c r="D163" s="721"/>
      <c r="E163" s="721"/>
      <c r="F163" s="721"/>
      <c r="G163" s="639"/>
      <c r="H163" s="668"/>
      <c r="I163" s="721"/>
      <c r="J163" s="639"/>
      <c r="K163" s="1124"/>
    </row>
    <row r="164" spans="1:11" x14ac:dyDescent="0.25">
      <c r="A164" s="718">
        <v>3</v>
      </c>
      <c r="B164" s="668"/>
      <c r="C164" s="721"/>
      <c r="D164" s="721"/>
      <c r="E164" s="721"/>
      <c r="F164" s="721"/>
      <c r="G164" s="639"/>
      <c r="H164" s="668"/>
      <c r="I164" s="721"/>
      <c r="J164" s="639"/>
      <c r="K164" s="1124"/>
    </row>
    <row r="165" spans="1:11" x14ac:dyDescent="0.25">
      <c r="A165" s="718">
        <v>4</v>
      </c>
      <c r="B165" s="668"/>
      <c r="C165" s="721"/>
      <c r="D165" s="721"/>
      <c r="E165" s="721"/>
      <c r="F165" s="721"/>
      <c r="G165" s="639"/>
      <c r="H165" s="668"/>
      <c r="I165" s="721"/>
      <c r="J165" s="639"/>
      <c r="K165" s="1124"/>
    </row>
    <row r="166" spans="1:11" x14ac:dyDescent="0.25">
      <c r="A166" s="718">
        <v>5</v>
      </c>
      <c r="B166" s="668"/>
      <c r="C166" s="721"/>
      <c r="D166" s="721"/>
      <c r="E166" s="721"/>
      <c r="F166" s="721"/>
      <c r="G166" s="639"/>
      <c r="H166" s="668"/>
      <c r="I166" s="721"/>
      <c r="J166" s="639"/>
      <c r="K166" s="1124"/>
    </row>
    <row r="167" spans="1:11" ht="13.8" thickBot="1" x14ac:dyDescent="0.3">
      <c r="A167" s="719">
        <v>6</v>
      </c>
      <c r="B167" s="669"/>
      <c r="C167" s="1137"/>
      <c r="D167" s="1137"/>
      <c r="E167" s="1137"/>
      <c r="F167" s="1137"/>
      <c r="G167" s="646"/>
      <c r="H167" s="669"/>
      <c r="I167" s="1137"/>
      <c r="J167" s="646"/>
      <c r="K167" s="1138"/>
    </row>
    <row r="168" spans="1:11" x14ac:dyDescent="0.25">
      <c r="A168" s="1190">
        <v>1</v>
      </c>
      <c r="B168" s="745"/>
      <c r="C168" s="1117"/>
      <c r="D168" s="1117"/>
      <c r="E168" s="1117"/>
      <c r="F168" s="1117"/>
      <c r="G168" s="632"/>
      <c r="H168" s="745"/>
      <c r="I168" s="1117"/>
      <c r="J168" s="632"/>
      <c r="K168" s="1118"/>
    </row>
    <row r="169" spans="1:11" x14ac:dyDescent="0.25">
      <c r="A169" s="718">
        <v>2</v>
      </c>
      <c r="B169" s="668"/>
      <c r="C169" s="721"/>
      <c r="D169" s="721"/>
      <c r="E169" s="721"/>
      <c r="F169" s="721"/>
      <c r="G169" s="639"/>
      <c r="H169" s="668"/>
      <c r="I169" s="721"/>
      <c r="J169" s="639"/>
      <c r="K169" s="1124"/>
    </row>
    <row r="170" spans="1:11" ht="13.8" thickBot="1" x14ac:dyDescent="0.3">
      <c r="A170" s="719">
        <v>3</v>
      </c>
      <c r="B170" s="669"/>
      <c r="C170" s="1137"/>
      <c r="D170" s="1137"/>
      <c r="E170" s="1137"/>
      <c r="F170" s="1137"/>
      <c r="G170" s="646"/>
      <c r="H170" s="669"/>
      <c r="I170" s="1137"/>
      <c r="J170" s="646"/>
      <c r="K170" s="1138"/>
    </row>
    <row r="171" spans="1:11" ht="13.8" thickBot="1" x14ac:dyDescent="0.3">
      <c r="A171" s="1186" t="s">
        <v>503</v>
      </c>
      <c r="B171" s="1187"/>
      <c r="C171" s="1188"/>
      <c r="D171" s="1188"/>
      <c r="E171" s="1188"/>
      <c r="F171" s="1188"/>
      <c r="G171" s="1189"/>
      <c r="H171" s="1187"/>
      <c r="I171" s="1188"/>
      <c r="J171" s="1189"/>
      <c r="K171" s="716"/>
    </row>
    <row r="172" spans="1:11" x14ac:dyDescent="0.25">
      <c r="A172" s="1190">
        <v>1</v>
      </c>
      <c r="B172" s="745"/>
      <c r="C172" s="1117"/>
      <c r="D172" s="1117"/>
      <c r="E172" s="1117"/>
      <c r="F172" s="1117"/>
      <c r="G172" s="632"/>
      <c r="H172" s="745"/>
      <c r="I172" s="1117"/>
      <c r="J172" s="632"/>
      <c r="K172" s="1118"/>
    </row>
    <row r="173" spans="1:11" x14ac:dyDescent="0.25">
      <c r="A173" s="718">
        <v>2</v>
      </c>
      <c r="B173" s="668"/>
      <c r="C173" s="721"/>
      <c r="D173" s="721"/>
      <c r="E173" s="721"/>
      <c r="F173" s="721"/>
      <c r="G173" s="639"/>
      <c r="H173" s="668"/>
      <c r="I173" s="721"/>
      <c r="J173" s="639"/>
      <c r="K173" s="1124"/>
    </row>
    <row r="174" spans="1:11" x14ac:dyDescent="0.25">
      <c r="A174" s="718">
        <v>3</v>
      </c>
      <c r="B174" s="668"/>
      <c r="C174" s="721"/>
      <c r="D174" s="721"/>
      <c r="E174" s="721"/>
      <c r="F174" s="721"/>
      <c r="G174" s="639"/>
      <c r="H174" s="668"/>
      <c r="I174" s="721"/>
      <c r="J174" s="639"/>
      <c r="K174" s="1124"/>
    </row>
    <row r="175" spans="1:11" x14ac:dyDescent="0.25">
      <c r="A175" s="718">
        <v>4</v>
      </c>
      <c r="B175" s="668"/>
      <c r="C175" s="721"/>
      <c r="D175" s="721"/>
      <c r="E175" s="721"/>
      <c r="F175" s="721"/>
      <c r="G175" s="639"/>
      <c r="H175" s="668"/>
      <c r="I175" s="721"/>
      <c r="J175" s="639"/>
      <c r="K175" s="1124"/>
    </row>
    <row r="176" spans="1:11" x14ac:dyDescent="0.25">
      <c r="A176" s="718">
        <v>5</v>
      </c>
      <c r="B176" s="668"/>
      <c r="C176" s="721"/>
      <c r="D176" s="721"/>
      <c r="E176" s="721"/>
      <c r="F176" s="721"/>
      <c r="G176" s="639"/>
      <c r="H176" s="668"/>
      <c r="I176" s="721"/>
      <c r="J176" s="639"/>
      <c r="K176" s="1124"/>
    </row>
    <row r="177" spans="1:11" ht="13.8" thickBot="1" x14ac:dyDescent="0.3">
      <c r="A177" s="719">
        <v>6</v>
      </c>
      <c r="B177" s="669"/>
      <c r="C177" s="1137"/>
      <c r="D177" s="1137"/>
      <c r="E177" s="1137"/>
      <c r="F177" s="1137"/>
      <c r="G177" s="646"/>
      <c r="H177" s="669"/>
      <c r="I177" s="1137"/>
      <c r="J177" s="646"/>
      <c r="K177" s="1138"/>
    </row>
    <row r="178" spans="1:11" x14ac:dyDescent="0.25">
      <c r="A178" s="1190">
        <v>1</v>
      </c>
      <c r="B178" s="745"/>
      <c r="C178" s="1117"/>
      <c r="D178" s="1117"/>
      <c r="E178" s="1117"/>
      <c r="F178" s="1117"/>
      <c r="G178" s="632"/>
      <c r="H178" s="745"/>
      <c r="I178" s="1117"/>
      <c r="J178" s="632"/>
      <c r="K178" s="1118"/>
    </row>
    <row r="179" spans="1:11" x14ac:dyDescent="0.25">
      <c r="A179" s="718">
        <v>2</v>
      </c>
      <c r="B179" s="668"/>
      <c r="C179" s="721"/>
      <c r="D179" s="721"/>
      <c r="E179" s="721"/>
      <c r="F179" s="721"/>
      <c r="G179" s="639"/>
      <c r="H179" s="668"/>
      <c r="I179" s="721"/>
      <c r="J179" s="639"/>
      <c r="K179" s="1124"/>
    </row>
    <row r="180" spans="1:11" ht="13.8" thickBot="1" x14ac:dyDescent="0.3">
      <c r="A180" s="719">
        <v>3</v>
      </c>
      <c r="B180" s="669"/>
      <c r="C180" s="1137"/>
      <c r="D180" s="1137"/>
      <c r="E180" s="1137"/>
      <c r="F180" s="1137"/>
      <c r="G180" s="646"/>
      <c r="H180" s="669"/>
      <c r="I180" s="1137"/>
      <c r="J180" s="646"/>
      <c r="K180" s="1138"/>
    </row>
    <row r="181" spans="1:11" ht="13.8" thickBot="1" x14ac:dyDescent="0.3">
      <c r="A181" s="1186" t="s">
        <v>504</v>
      </c>
      <c r="B181" s="1187"/>
      <c r="C181" s="1188"/>
      <c r="D181" s="1188"/>
      <c r="E181" s="1188"/>
      <c r="F181" s="1188"/>
      <c r="G181" s="1189"/>
      <c r="H181" s="1187"/>
      <c r="I181" s="1188"/>
      <c r="J181" s="1189"/>
      <c r="K181" s="716"/>
    </row>
    <row r="182" spans="1:11" x14ac:dyDescent="0.25">
      <c r="A182" s="1190">
        <v>1</v>
      </c>
      <c r="B182" s="745"/>
      <c r="C182" s="1117"/>
      <c r="D182" s="1117"/>
      <c r="E182" s="1117"/>
      <c r="F182" s="1117"/>
      <c r="G182" s="632"/>
      <c r="H182" s="745"/>
      <c r="I182" s="1117"/>
      <c r="J182" s="632"/>
      <c r="K182" s="1118"/>
    </row>
    <row r="183" spans="1:11" x14ac:dyDescent="0.25">
      <c r="A183" s="718">
        <v>2</v>
      </c>
      <c r="B183" s="668"/>
      <c r="C183" s="721"/>
      <c r="D183" s="721"/>
      <c r="E183" s="721"/>
      <c r="F183" s="721"/>
      <c r="G183" s="639"/>
      <c r="H183" s="668"/>
      <c r="I183" s="721"/>
      <c r="J183" s="639"/>
      <c r="K183" s="1124"/>
    </row>
    <row r="184" spans="1:11" x14ac:dyDescent="0.25">
      <c r="A184" s="718">
        <v>3</v>
      </c>
      <c r="B184" s="668"/>
      <c r="C184" s="721"/>
      <c r="D184" s="721"/>
      <c r="E184" s="721"/>
      <c r="F184" s="721"/>
      <c r="G184" s="639"/>
      <c r="H184" s="668"/>
      <c r="I184" s="721"/>
      <c r="J184" s="639"/>
      <c r="K184" s="1124"/>
    </row>
    <row r="185" spans="1:11" x14ac:dyDescent="0.25">
      <c r="A185" s="718">
        <v>4</v>
      </c>
      <c r="B185" s="668"/>
      <c r="C185" s="721"/>
      <c r="D185" s="721"/>
      <c r="E185" s="721"/>
      <c r="F185" s="721"/>
      <c r="G185" s="639"/>
      <c r="H185" s="668"/>
      <c r="I185" s="721"/>
      <c r="J185" s="639"/>
      <c r="K185" s="1124"/>
    </row>
    <row r="186" spans="1:11" x14ac:dyDescent="0.25">
      <c r="A186" s="718">
        <v>5</v>
      </c>
      <c r="B186" s="668"/>
      <c r="C186" s="721"/>
      <c r="D186" s="721"/>
      <c r="E186" s="721"/>
      <c r="F186" s="721"/>
      <c r="G186" s="639"/>
      <c r="H186" s="668"/>
      <c r="I186" s="721"/>
      <c r="J186" s="639"/>
      <c r="K186" s="1124"/>
    </row>
    <row r="187" spans="1:11" ht="13.8" thickBot="1" x14ac:dyDescent="0.3">
      <c r="A187" s="719">
        <v>6</v>
      </c>
      <c r="B187" s="669"/>
      <c r="C187" s="1137"/>
      <c r="D187" s="1137"/>
      <c r="E187" s="1137"/>
      <c r="F187" s="1137"/>
      <c r="G187" s="646"/>
      <c r="H187" s="669"/>
      <c r="I187" s="1137"/>
      <c r="J187" s="646"/>
      <c r="K187" s="1138"/>
    </row>
    <row r="188" spans="1:11" x14ac:dyDescent="0.25">
      <c r="A188" s="1190">
        <v>1</v>
      </c>
      <c r="B188" s="745"/>
      <c r="C188" s="1117"/>
      <c r="D188" s="1117"/>
      <c r="E188" s="1117"/>
      <c r="F188" s="1117"/>
      <c r="G188" s="632"/>
      <c r="H188" s="745"/>
      <c r="I188" s="1117"/>
      <c r="J188" s="632"/>
      <c r="K188" s="1118"/>
    </row>
    <row r="189" spans="1:11" x14ac:dyDescent="0.25">
      <c r="A189" s="718">
        <v>2</v>
      </c>
      <c r="B189" s="668"/>
      <c r="C189" s="721"/>
      <c r="D189" s="721"/>
      <c r="E189" s="721"/>
      <c r="F189" s="721"/>
      <c r="G189" s="639"/>
      <c r="H189" s="668"/>
      <c r="I189" s="721"/>
      <c r="J189" s="639"/>
      <c r="K189" s="1124"/>
    </row>
    <row r="190" spans="1:11" ht="13.8" thickBot="1" x14ac:dyDescent="0.3">
      <c r="A190" s="1191">
        <v>3</v>
      </c>
      <c r="B190" s="1132"/>
      <c r="C190" s="1133"/>
      <c r="D190" s="1133"/>
      <c r="E190" s="1133"/>
      <c r="F190" s="1133"/>
      <c r="G190" s="1134"/>
      <c r="H190" s="1132"/>
      <c r="I190" s="1133"/>
      <c r="J190" s="1134"/>
      <c r="K190" s="1147"/>
    </row>
    <row r="191" spans="1:11" ht="13.8" thickBot="1" x14ac:dyDescent="0.3">
      <c r="A191" s="1186" t="s">
        <v>505</v>
      </c>
      <c r="B191" s="1187"/>
      <c r="C191" s="1188"/>
      <c r="D191" s="1188"/>
      <c r="E191" s="1188"/>
      <c r="F191" s="1188"/>
      <c r="G191" s="1189"/>
      <c r="H191" s="1187"/>
      <c r="I191" s="1188"/>
      <c r="J191" s="1189"/>
      <c r="K191" s="716"/>
    </row>
    <row r="192" spans="1:11" x14ac:dyDescent="0.25">
      <c r="A192" s="1190">
        <v>1</v>
      </c>
      <c r="B192" s="745"/>
      <c r="C192" s="1117"/>
      <c r="D192" s="1117"/>
      <c r="E192" s="1117"/>
      <c r="F192" s="1117"/>
      <c r="G192" s="632"/>
      <c r="H192" s="745"/>
      <c r="I192" s="1117"/>
      <c r="J192" s="632"/>
      <c r="K192" s="1118"/>
    </row>
    <row r="193" spans="1:11" x14ac:dyDescent="0.25">
      <c r="A193" s="718">
        <v>2</v>
      </c>
      <c r="B193" s="668"/>
      <c r="C193" s="721"/>
      <c r="D193" s="721"/>
      <c r="E193" s="721"/>
      <c r="F193" s="721"/>
      <c r="G193" s="639"/>
      <c r="H193" s="668"/>
      <c r="I193" s="721"/>
      <c r="J193" s="639"/>
      <c r="K193" s="1124"/>
    </row>
    <row r="194" spans="1:11" x14ac:dyDescent="0.25">
      <c r="A194" s="718">
        <v>3</v>
      </c>
      <c r="B194" s="668"/>
      <c r="C194" s="721"/>
      <c r="D194" s="721"/>
      <c r="E194" s="721"/>
      <c r="F194" s="721"/>
      <c r="G194" s="639"/>
      <c r="H194" s="668"/>
      <c r="I194" s="721"/>
      <c r="J194" s="639"/>
      <c r="K194" s="1124"/>
    </row>
    <row r="195" spans="1:11" x14ac:dyDescent="0.25">
      <c r="A195" s="718">
        <v>4</v>
      </c>
      <c r="B195" s="668"/>
      <c r="C195" s="721"/>
      <c r="D195" s="721"/>
      <c r="E195" s="721"/>
      <c r="F195" s="721"/>
      <c r="G195" s="639"/>
      <c r="H195" s="668"/>
      <c r="I195" s="721"/>
      <c r="J195" s="639"/>
      <c r="K195" s="1124"/>
    </row>
    <row r="196" spans="1:11" x14ac:dyDescent="0.25">
      <c r="A196" s="718">
        <v>5</v>
      </c>
      <c r="B196" s="668"/>
      <c r="C196" s="721"/>
      <c r="D196" s="721"/>
      <c r="E196" s="721"/>
      <c r="F196" s="721"/>
      <c r="G196" s="639"/>
      <c r="H196" s="668"/>
      <c r="I196" s="721"/>
      <c r="J196" s="639"/>
      <c r="K196" s="1124"/>
    </row>
    <row r="197" spans="1:11" ht="13.8" thickBot="1" x14ac:dyDescent="0.3">
      <c r="A197" s="719">
        <v>6</v>
      </c>
      <c r="B197" s="669"/>
      <c r="C197" s="1137"/>
      <c r="D197" s="1137"/>
      <c r="E197" s="1137"/>
      <c r="F197" s="1137"/>
      <c r="G197" s="646"/>
      <c r="H197" s="669"/>
      <c r="I197" s="1137"/>
      <c r="J197" s="646"/>
      <c r="K197" s="1138"/>
    </row>
    <row r="198" spans="1:11" x14ac:dyDescent="0.25">
      <c r="A198" s="1190">
        <v>1</v>
      </c>
      <c r="B198" s="745"/>
      <c r="C198" s="1117"/>
      <c r="D198" s="1117"/>
      <c r="E198" s="1117"/>
      <c r="F198" s="1117"/>
      <c r="G198" s="632"/>
      <c r="H198" s="745"/>
      <c r="I198" s="1117"/>
      <c r="J198" s="632"/>
      <c r="K198" s="1118"/>
    </row>
    <row r="199" spans="1:11" x14ac:dyDescent="0.25">
      <c r="A199" s="718">
        <v>2</v>
      </c>
      <c r="B199" s="668"/>
      <c r="C199" s="721"/>
      <c r="D199" s="721"/>
      <c r="E199" s="721"/>
      <c r="F199" s="721"/>
      <c r="G199" s="639"/>
      <c r="H199" s="668"/>
      <c r="I199" s="721"/>
      <c r="J199" s="639"/>
      <c r="K199" s="1124"/>
    </row>
    <row r="200" spans="1:11" ht="13.8" thickBot="1" x14ac:dyDescent="0.3">
      <c r="A200" s="719">
        <v>3</v>
      </c>
      <c r="B200" s="669"/>
      <c r="C200" s="1137"/>
      <c r="D200" s="1137"/>
      <c r="E200" s="1137"/>
      <c r="F200" s="1137"/>
      <c r="G200" s="646"/>
      <c r="H200" s="669"/>
      <c r="I200" s="1137"/>
      <c r="J200" s="646"/>
      <c r="K200" s="1138"/>
    </row>
    <row r="201" spans="1:11" ht="13.8" thickBot="1" x14ac:dyDescent="0.3">
      <c r="A201" s="1186" t="s">
        <v>506</v>
      </c>
      <c r="B201" s="1187"/>
      <c r="C201" s="1188"/>
      <c r="D201" s="1188"/>
      <c r="E201" s="1188"/>
      <c r="F201" s="1188"/>
      <c r="G201" s="1189"/>
      <c r="H201" s="1187"/>
      <c r="I201" s="1188"/>
      <c r="J201" s="1189"/>
      <c r="K201" s="716"/>
    </row>
    <row r="202" spans="1:11" x14ac:dyDescent="0.25">
      <c r="A202" s="1190">
        <v>1</v>
      </c>
      <c r="B202" s="745"/>
      <c r="C202" s="1117"/>
      <c r="D202" s="1117"/>
      <c r="E202" s="1117"/>
      <c r="F202" s="1117"/>
      <c r="G202" s="632"/>
      <c r="H202" s="745"/>
      <c r="I202" s="1117"/>
      <c r="J202" s="632"/>
      <c r="K202" s="1118"/>
    </row>
    <row r="203" spans="1:11" x14ac:dyDescent="0.25">
      <c r="A203" s="718">
        <v>2</v>
      </c>
      <c r="B203" s="668"/>
      <c r="C203" s="721"/>
      <c r="D203" s="721"/>
      <c r="E203" s="721"/>
      <c r="F203" s="721"/>
      <c r="G203" s="639"/>
      <c r="H203" s="668"/>
      <c r="I203" s="721"/>
      <c r="J203" s="639"/>
      <c r="K203" s="1124"/>
    </row>
    <row r="204" spans="1:11" x14ac:dyDescent="0.25">
      <c r="A204" s="718">
        <v>3</v>
      </c>
      <c r="B204" s="668"/>
      <c r="C204" s="721"/>
      <c r="D204" s="721"/>
      <c r="E204" s="721"/>
      <c r="F204" s="721"/>
      <c r="G204" s="639"/>
      <c r="H204" s="668"/>
      <c r="I204" s="721"/>
      <c r="J204" s="639"/>
      <c r="K204" s="1124"/>
    </row>
    <row r="205" spans="1:11" x14ac:dyDescent="0.25">
      <c r="A205" s="718">
        <v>4</v>
      </c>
      <c r="B205" s="668"/>
      <c r="C205" s="721"/>
      <c r="D205" s="721"/>
      <c r="E205" s="721"/>
      <c r="F205" s="721"/>
      <c r="G205" s="639"/>
      <c r="H205" s="668"/>
      <c r="I205" s="721"/>
      <c r="J205" s="639"/>
      <c r="K205" s="1124"/>
    </row>
    <row r="206" spans="1:11" x14ac:dyDescent="0.25">
      <c r="A206" s="718">
        <v>5</v>
      </c>
      <c r="B206" s="668"/>
      <c r="C206" s="721"/>
      <c r="D206" s="721"/>
      <c r="E206" s="721"/>
      <c r="F206" s="721"/>
      <c r="G206" s="639"/>
      <c r="H206" s="668"/>
      <c r="I206" s="721"/>
      <c r="J206" s="639"/>
      <c r="K206" s="1124"/>
    </row>
    <row r="207" spans="1:11" ht="13.8" thickBot="1" x14ac:dyDescent="0.3">
      <c r="A207" s="719">
        <v>6</v>
      </c>
      <c r="B207" s="669"/>
      <c r="C207" s="1137"/>
      <c r="D207" s="1137"/>
      <c r="E207" s="1137"/>
      <c r="F207" s="1137"/>
      <c r="G207" s="646"/>
      <c r="H207" s="669"/>
      <c r="I207" s="1137"/>
      <c r="J207" s="646"/>
      <c r="K207" s="1138"/>
    </row>
    <row r="208" spans="1:11" x14ac:dyDescent="0.25">
      <c r="A208" s="1190">
        <v>1</v>
      </c>
      <c r="B208" s="745"/>
      <c r="C208" s="1117"/>
      <c r="D208" s="1117"/>
      <c r="E208" s="1117"/>
      <c r="F208" s="1117"/>
      <c r="G208" s="632"/>
      <c r="H208" s="745"/>
      <c r="I208" s="1117"/>
      <c r="J208" s="632"/>
      <c r="K208" s="1118"/>
    </row>
    <row r="209" spans="1:11" x14ac:dyDescent="0.25">
      <c r="A209" s="718">
        <v>2</v>
      </c>
      <c r="B209" s="668"/>
      <c r="C209" s="721"/>
      <c r="D209" s="721"/>
      <c r="E209" s="721"/>
      <c r="F209" s="721"/>
      <c r="G209" s="639"/>
      <c r="H209" s="668"/>
      <c r="I209" s="721"/>
      <c r="J209" s="639"/>
      <c r="K209" s="1124"/>
    </row>
    <row r="210" spans="1:11" ht="13.8" thickBot="1" x14ac:dyDescent="0.3">
      <c r="A210" s="719">
        <v>3</v>
      </c>
      <c r="B210" s="669"/>
      <c r="C210" s="1137"/>
      <c r="D210" s="1137"/>
      <c r="E210" s="1137"/>
      <c r="F210" s="1137"/>
      <c r="G210" s="646"/>
      <c r="H210" s="669"/>
      <c r="I210" s="1137"/>
      <c r="J210" s="646"/>
      <c r="K210" s="1138"/>
    </row>
    <row r="211" spans="1:11" ht="13.8" thickBot="1" x14ac:dyDescent="0.3">
      <c r="A211" s="1186" t="s">
        <v>507</v>
      </c>
      <c r="B211" s="1187"/>
      <c r="C211" s="1188"/>
      <c r="D211" s="1188"/>
      <c r="E211" s="1188"/>
      <c r="F211" s="1188"/>
      <c r="G211" s="1189"/>
      <c r="H211" s="1187"/>
      <c r="I211" s="1188"/>
      <c r="J211" s="1189"/>
      <c r="K211" s="716"/>
    </row>
    <row r="212" spans="1:11" x14ac:dyDescent="0.25">
      <c r="A212" s="1190">
        <v>1</v>
      </c>
      <c r="B212" s="745"/>
      <c r="C212" s="1117"/>
      <c r="D212" s="1117"/>
      <c r="E212" s="1117"/>
      <c r="F212" s="1117"/>
      <c r="G212" s="632"/>
      <c r="H212" s="745"/>
      <c r="I212" s="1117"/>
      <c r="J212" s="632"/>
      <c r="K212" s="1118"/>
    </row>
    <row r="213" spans="1:11" x14ac:dyDescent="0.25">
      <c r="A213" s="718">
        <v>2</v>
      </c>
      <c r="B213" s="668"/>
      <c r="C213" s="721"/>
      <c r="D213" s="721"/>
      <c r="E213" s="721"/>
      <c r="F213" s="721"/>
      <c r="G213" s="639"/>
      <c r="H213" s="668"/>
      <c r="I213" s="721"/>
      <c r="J213" s="639"/>
      <c r="K213" s="1124"/>
    </row>
    <row r="214" spans="1:11" x14ac:dyDescent="0.25">
      <c r="A214" s="718">
        <v>3</v>
      </c>
      <c r="B214" s="668"/>
      <c r="C214" s="721"/>
      <c r="D214" s="721"/>
      <c r="E214" s="721"/>
      <c r="F214" s="721"/>
      <c r="G214" s="639"/>
      <c r="H214" s="668"/>
      <c r="I214" s="721"/>
      <c r="J214" s="639"/>
      <c r="K214" s="1124"/>
    </row>
    <row r="215" spans="1:11" x14ac:dyDescent="0.25">
      <c r="A215" s="718">
        <v>4</v>
      </c>
      <c r="B215" s="668"/>
      <c r="C215" s="721"/>
      <c r="D215" s="721"/>
      <c r="E215" s="721"/>
      <c r="F215" s="721"/>
      <c r="G215" s="639"/>
      <c r="H215" s="668"/>
      <c r="I215" s="721"/>
      <c r="J215" s="639"/>
      <c r="K215" s="1124"/>
    </row>
    <row r="216" spans="1:11" x14ac:dyDescent="0.25">
      <c r="A216" s="718">
        <v>5</v>
      </c>
      <c r="B216" s="668"/>
      <c r="C216" s="721"/>
      <c r="D216" s="721"/>
      <c r="E216" s="721"/>
      <c r="F216" s="721"/>
      <c r="G216" s="639"/>
      <c r="H216" s="668"/>
      <c r="I216" s="721"/>
      <c r="J216" s="639"/>
      <c r="K216" s="1124"/>
    </row>
    <row r="217" spans="1:11" ht="13.8" thickBot="1" x14ac:dyDescent="0.3">
      <c r="A217" s="719">
        <v>6</v>
      </c>
      <c r="B217" s="669"/>
      <c r="C217" s="1137"/>
      <c r="D217" s="1137"/>
      <c r="E217" s="1137"/>
      <c r="F217" s="1137"/>
      <c r="G217" s="646"/>
      <c r="H217" s="669"/>
      <c r="I217" s="1137"/>
      <c r="J217" s="646"/>
      <c r="K217" s="1138"/>
    </row>
    <row r="218" spans="1:11" x14ac:dyDescent="0.25">
      <c r="A218" s="1190">
        <v>1</v>
      </c>
      <c r="B218" s="745"/>
      <c r="C218" s="1117"/>
      <c r="D218" s="1117"/>
      <c r="E218" s="1117"/>
      <c r="F218" s="1117"/>
      <c r="G218" s="632"/>
      <c r="H218" s="745"/>
      <c r="I218" s="1117"/>
      <c r="J218" s="632"/>
      <c r="K218" s="1118"/>
    </row>
    <row r="219" spans="1:11" x14ac:dyDescent="0.25">
      <c r="A219" s="718">
        <v>2</v>
      </c>
      <c r="B219" s="668"/>
      <c r="C219" s="721"/>
      <c r="D219" s="721"/>
      <c r="E219" s="721"/>
      <c r="F219" s="721"/>
      <c r="G219" s="639"/>
      <c r="H219" s="668"/>
      <c r="I219" s="721"/>
      <c r="J219" s="639"/>
      <c r="K219" s="1124"/>
    </row>
    <row r="220" spans="1:11" ht="13.8" thickBot="1" x14ac:dyDescent="0.3">
      <c r="A220" s="719">
        <v>3</v>
      </c>
      <c r="B220" s="669"/>
      <c r="C220" s="1137"/>
      <c r="D220" s="1137"/>
      <c r="E220" s="1137"/>
      <c r="F220" s="1137"/>
      <c r="G220" s="646"/>
      <c r="H220" s="669"/>
      <c r="I220" s="1137"/>
      <c r="J220" s="646"/>
      <c r="K220" s="1138"/>
    </row>
    <row r="221" spans="1:11" ht="13.8" thickBot="1" x14ac:dyDescent="0.3">
      <c r="A221" s="1186" t="s">
        <v>508</v>
      </c>
      <c r="B221" s="1187"/>
      <c r="C221" s="1188"/>
      <c r="D221" s="1188"/>
      <c r="E221" s="1188"/>
      <c r="F221" s="1188"/>
      <c r="G221" s="1189"/>
      <c r="H221" s="1187"/>
      <c r="I221" s="1188"/>
      <c r="J221" s="1189"/>
      <c r="K221" s="716"/>
    </row>
    <row r="222" spans="1:11" x14ac:dyDescent="0.25">
      <c r="A222" s="1190">
        <v>1</v>
      </c>
      <c r="B222" s="745"/>
      <c r="C222" s="1117"/>
      <c r="D222" s="1117"/>
      <c r="E222" s="1117"/>
      <c r="F222" s="1117"/>
      <c r="G222" s="632"/>
      <c r="H222" s="745"/>
      <c r="I222" s="1117"/>
      <c r="J222" s="632"/>
      <c r="K222" s="1118"/>
    </row>
    <row r="223" spans="1:11" x14ac:dyDescent="0.25">
      <c r="A223" s="718">
        <v>2</v>
      </c>
      <c r="B223" s="668"/>
      <c r="C223" s="721"/>
      <c r="D223" s="721"/>
      <c r="E223" s="721"/>
      <c r="F223" s="721"/>
      <c r="G223" s="639"/>
      <c r="H223" s="668"/>
      <c r="I223" s="721"/>
      <c r="J223" s="639"/>
      <c r="K223" s="1124"/>
    </row>
    <row r="224" spans="1:11" x14ac:dyDescent="0.25">
      <c r="A224" s="718">
        <v>3</v>
      </c>
      <c r="B224" s="668"/>
      <c r="C224" s="721"/>
      <c r="D224" s="721"/>
      <c r="E224" s="721"/>
      <c r="F224" s="721"/>
      <c r="G224" s="639"/>
      <c r="H224" s="668"/>
      <c r="I224" s="721"/>
      <c r="J224" s="639"/>
      <c r="K224" s="1124"/>
    </row>
    <row r="225" spans="1:11" x14ac:dyDescent="0.25">
      <c r="A225" s="718">
        <v>4</v>
      </c>
      <c r="B225" s="668"/>
      <c r="C225" s="721"/>
      <c r="D225" s="721"/>
      <c r="E225" s="721"/>
      <c r="F225" s="721"/>
      <c r="G225" s="639"/>
      <c r="H225" s="668"/>
      <c r="I225" s="721"/>
      <c r="J225" s="639"/>
      <c r="K225" s="1124"/>
    </row>
    <row r="226" spans="1:11" x14ac:dyDescent="0.25">
      <c r="A226" s="718">
        <v>5</v>
      </c>
      <c r="B226" s="668"/>
      <c r="C226" s="721"/>
      <c r="D226" s="721"/>
      <c r="E226" s="721"/>
      <c r="F226" s="721"/>
      <c r="G226" s="639"/>
      <c r="H226" s="668"/>
      <c r="I226" s="721"/>
      <c r="J226" s="639"/>
      <c r="K226" s="1124"/>
    </row>
    <row r="227" spans="1:11" ht="13.8" thickBot="1" x14ac:dyDescent="0.3">
      <c r="A227" s="719">
        <v>6</v>
      </c>
      <c r="B227" s="669"/>
      <c r="C227" s="1137"/>
      <c r="D227" s="1137"/>
      <c r="E227" s="1137"/>
      <c r="F227" s="1137"/>
      <c r="G227" s="646"/>
      <c r="H227" s="669"/>
      <c r="I227" s="1137"/>
      <c r="J227" s="646"/>
      <c r="K227" s="1138"/>
    </row>
    <row r="228" spans="1:11" x14ac:dyDescent="0.25">
      <c r="A228" s="1190">
        <v>1</v>
      </c>
      <c r="B228" s="745"/>
      <c r="C228" s="1117"/>
      <c r="D228" s="1117"/>
      <c r="E228" s="1117"/>
      <c r="F228" s="1117"/>
      <c r="G228" s="632"/>
      <c r="H228" s="745"/>
      <c r="I228" s="1117"/>
      <c r="J228" s="632"/>
      <c r="K228" s="1118"/>
    </row>
    <row r="229" spans="1:11" x14ac:dyDescent="0.25">
      <c r="A229" s="718">
        <v>2</v>
      </c>
      <c r="B229" s="668"/>
      <c r="C229" s="721"/>
      <c r="D229" s="721"/>
      <c r="E229" s="721"/>
      <c r="F229" s="721"/>
      <c r="G229" s="639"/>
      <c r="H229" s="668"/>
      <c r="I229" s="721"/>
      <c r="J229" s="639"/>
      <c r="K229" s="1124"/>
    </row>
    <row r="230" spans="1:11" ht="13.8" thickBot="1" x14ac:dyDescent="0.3">
      <c r="A230" s="719">
        <v>3</v>
      </c>
      <c r="B230" s="669"/>
      <c r="C230" s="1137"/>
      <c r="D230" s="1137"/>
      <c r="E230" s="1137"/>
      <c r="F230" s="1137"/>
      <c r="G230" s="646"/>
      <c r="H230" s="669"/>
      <c r="I230" s="1137"/>
      <c r="J230" s="646"/>
      <c r="K230" s="1138"/>
    </row>
    <row r="231" spans="1:11" ht="13.8" thickBot="1" x14ac:dyDescent="0.3">
      <c r="A231" s="1186" t="s">
        <v>509</v>
      </c>
      <c r="B231" s="1187"/>
      <c r="C231" s="1188"/>
      <c r="D231" s="1188"/>
      <c r="E231" s="1188"/>
      <c r="F231" s="1188"/>
      <c r="G231" s="1189"/>
      <c r="H231" s="1187"/>
      <c r="I231" s="1188"/>
      <c r="J231" s="1189"/>
      <c r="K231" s="716"/>
    </row>
    <row r="232" spans="1:11" x14ac:dyDescent="0.25">
      <c r="A232" s="1190">
        <v>1</v>
      </c>
      <c r="B232" s="745"/>
      <c r="C232" s="1117"/>
      <c r="D232" s="1117"/>
      <c r="E232" s="1117"/>
      <c r="F232" s="1117"/>
      <c r="G232" s="632"/>
      <c r="H232" s="745"/>
      <c r="I232" s="1117"/>
      <c r="J232" s="632"/>
      <c r="K232" s="1118"/>
    </row>
    <row r="233" spans="1:11" x14ac:dyDescent="0.25">
      <c r="A233" s="718">
        <v>2</v>
      </c>
      <c r="B233" s="668"/>
      <c r="C233" s="721"/>
      <c r="D233" s="721"/>
      <c r="E233" s="721"/>
      <c r="F233" s="721"/>
      <c r="G233" s="639"/>
      <c r="H233" s="668"/>
      <c r="I233" s="721"/>
      <c r="J233" s="639"/>
      <c r="K233" s="1124"/>
    </row>
    <row r="234" spans="1:11" x14ac:dyDescent="0.25">
      <c r="A234" s="718">
        <v>3</v>
      </c>
      <c r="B234" s="668"/>
      <c r="C234" s="721"/>
      <c r="D234" s="721"/>
      <c r="E234" s="721"/>
      <c r="F234" s="721"/>
      <c r="G234" s="639"/>
      <c r="H234" s="668"/>
      <c r="I234" s="721"/>
      <c r="J234" s="639"/>
      <c r="K234" s="1124"/>
    </row>
    <row r="235" spans="1:11" x14ac:dyDescent="0.25">
      <c r="A235" s="718">
        <v>4</v>
      </c>
      <c r="B235" s="668"/>
      <c r="C235" s="721"/>
      <c r="D235" s="721"/>
      <c r="E235" s="721"/>
      <c r="F235" s="721"/>
      <c r="G235" s="639"/>
      <c r="H235" s="668"/>
      <c r="I235" s="721"/>
      <c r="J235" s="639"/>
      <c r="K235" s="1124"/>
    </row>
    <row r="236" spans="1:11" x14ac:dyDescent="0.25">
      <c r="A236" s="718">
        <v>5</v>
      </c>
      <c r="B236" s="668"/>
      <c r="C236" s="721"/>
      <c r="D236" s="721"/>
      <c r="E236" s="721"/>
      <c r="F236" s="721"/>
      <c r="G236" s="639"/>
      <c r="H236" s="668"/>
      <c r="I236" s="721"/>
      <c r="J236" s="639"/>
      <c r="K236" s="1124"/>
    </row>
    <row r="237" spans="1:11" ht="13.8" thickBot="1" x14ac:dyDescent="0.3">
      <c r="A237" s="719">
        <v>6</v>
      </c>
      <c r="B237" s="669"/>
      <c r="C237" s="1137"/>
      <c r="D237" s="1137"/>
      <c r="E237" s="1137"/>
      <c r="F237" s="1137"/>
      <c r="G237" s="646"/>
      <c r="H237" s="669"/>
      <c r="I237" s="1137"/>
      <c r="J237" s="646"/>
      <c r="K237" s="1138"/>
    </row>
    <row r="238" spans="1:11" x14ac:dyDescent="0.25">
      <c r="A238" s="1190">
        <v>1</v>
      </c>
      <c r="B238" s="745"/>
      <c r="C238" s="1117"/>
      <c r="D238" s="1117"/>
      <c r="E238" s="1117"/>
      <c r="F238" s="1117"/>
      <c r="G238" s="632"/>
      <c r="H238" s="745"/>
      <c r="I238" s="1117"/>
      <c r="J238" s="632"/>
      <c r="K238" s="1118"/>
    </row>
    <row r="239" spans="1:11" x14ac:dyDescent="0.25">
      <c r="A239" s="718">
        <v>2</v>
      </c>
      <c r="B239" s="668"/>
      <c r="C239" s="721"/>
      <c r="D239" s="721"/>
      <c r="E239" s="721"/>
      <c r="F239" s="721"/>
      <c r="G239" s="639"/>
      <c r="H239" s="668"/>
      <c r="I239" s="721"/>
      <c r="J239" s="639"/>
      <c r="K239" s="1124"/>
    </row>
    <row r="240" spans="1:11" ht="13.8" thickBot="1" x14ac:dyDescent="0.3">
      <c r="A240" s="719">
        <v>3</v>
      </c>
      <c r="B240" s="669"/>
      <c r="C240" s="1137"/>
      <c r="D240" s="1137"/>
      <c r="E240" s="1137"/>
      <c r="F240" s="1137"/>
      <c r="G240" s="646"/>
      <c r="H240" s="669"/>
      <c r="I240" s="1137"/>
      <c r="J240" s="646"/>
      <c r="K240" s="1138"/>
    </row>
    <row r="241" spans="1:11" ht="13.8" thickBot="1" x14ac:dyDescent="0.3">
      <c r="A241" s="1186" t="s">
        <v>510</v>
      </c>
      <c r="B241" s="1187"/>
      <c r="C241" s="1188"/>
      <c r="D241" s="1188"/>
      <c r="E241" s="1188"/>
      <c r="F241" s="1188"/>
      <c r="G241" s="1189"/>
      <c r="H241" s="1187"/>
      <c r="I241" s="1188"/>
      <c r="J241" s="1189"/>
      <c r="K241" s="716"/>
    </row>
    <row r="242" spans="1:11" x14ac:dyDescent="0.25">
      <c r="A242" s="1190">
        <v>1</v>
      </c>
      <c r="B242" s="745"/>
      <c r="C242" s="1117"/>
      <c r="D242" s="1117"/>
      <c r="E242" s="1117"/>
      <c r="F242" s="1117"/>
      <c r="G242" s="632"/>
      <c r="H242" s="745"/>
      <c r="I242" s="1117"/>
      <c r="J242" s="632"/>
      <c r="K242" s="1118"/>
    </row>
    <row r="243" spans="1:11" x14ac:dyDescent="0.25">
      <c r="A243" s="718">
        <v>2</v>
      </c>
      <c r="B243" s="668"/>
      <c r="C243" s="721"/>
      <c r="D243" s="721"/>
      <c r="E243" s="721"/>
      <c r="F243" s="721"/>
      <c r="G243" s="639"/>
      <c r="H243" s="668"/>
      <c r="I243" s="721"/>
      <c r="J243" s="639"/>
      <c r="K243" s="1124"/>
    </row>
    <row r="244" spans="1:11" x14ac:dyDescent="0.25">
      <c r="A244" s="718">
        <v>3</v>
      </c>
      <c r="B244" s="668"/>
      <c r="C244" s="721"/>
      <c r="D244" s="721"/>
      <c r="E244" s="721"/>
      <c r="F244" s="721"/>
      <c r="G244" s="639"/>
      <c r="H244" s="668"/>
      <c r="I244" s="721"/>
      <c r="J244" s="639"/>
      <c r="K244" s="1124"/>
    </row>
    <row r="245" spans="1:11" x14ac:dyDescent="0.25">
      <c r="A245" s="718">
        <v>4</v>
      </c>
      <c r="B245" s="668"/>
      <c r="C245" s="721"/>
      <c r="D245" s="721"/>
      <c r="E245" s="721"/>
      <c r="F245" s="721"/>
      <c r="G245" s="639"/>
      <c r="H245" s="668"/>
      <c r="I245" s="721"/>
      <c r="J245" s="639"/>
      <c r="K245" s="1124"/>
    </row>
    <row r="246" spans="1:11" x14ac:dyDescent="0.25">
      <c r="A246" s="718">
        <v>5</v>
      </c>
      <c r="B246" s="668"/>
      <c r="C246" s="721"/>
      <c r="D246" s="721"/>
      <c r="E246" s="721"/>
      <c r="F246" s="721"/>
      <c r="G246" s="639"/>
      <c r="H246" s="668"/>
      <c r="I246" s="721"/>
      <c r="J246" s="639"/>
      <c r="K246" s="1124"/>
    </row>
    <row r="247" spans="1:11" ht="13.8" thickBot="1" x14ac:dyDescent="0.3">
      <c r="A247" s="719">
        <v>6</v>
      </c>
      <c r="B247" s="669"/>
      <c r="C247" s="1137"/>
      <c r="D247" s="1137"/>
      <c r="E247" s="1137"/>
      <c r="F247" s="1137"/>
      <c r="G247" s="646"/>
      <c r="H247" s="669"/>
      <c r="I247" s="1137"/>
      <c r="J247" s="646"/>
      <c r="K247" s="1138"/>
    </row>
    <row r="248" spans="1:11" x14ac:dyDescent="0.25">
      <c r="A248" s="1190">
        <v>1</v>
      </c>
      <c r="B248" s="745"/>
      <c r="C248" s="1117"/>
      <c r="D248" s="1117"/>
      <c r="E248" s="1117"/>
      <c r="F248" s="1117"/>
      <c r="G248" s="632"/>
      <c r="H248" s="745"/>
      <c r="I248" s="1117"/>
      <c r="J248" s="632"/>
      <c r="K248" s="1118"/>
    </row>
    <row r="249" spans="1:11" x14ac:dyDescent="0.25">
      <c r="A249" s="718">
        <v>2</v>
      </c>
      <c r="B249" s="668"/>
      <c r="C249" s="721"/>
      <c r="D249" s="721"/>
      <c r="E249" s="721"/>
      <c r="F249" s="721"/>
      <c r="G249" s="639"/>
      <c r="H249" s="668"/>
      <c r="I249" s="721"/>
      <c r="J249" s="639"/>
      <c r="K249" s="1124"/>
    </row>
    <row r="250" spans="1:11" ht="13.8" thickBot="1" x14ac:dyDescent="0.3">
      <c r="A250" s="719">
        <v>3</v>
      </c>
      <c r="B250" s="669"/>
      <c r="C250" s="1137"/>
      <c r="D250" s="1137"/>
      <c r="E250" s="1137"/>
      <c r="F250" s="1137"/>
      <c r="G250" s="646"/>
      <c r="H250" s="669"/>
      <c r="I250" s="1137"/>
      <c r="J250" s="646"/>
      <c r="K250" s="1138"/>
    </row>
    <row r="251" spans="1:11" ht="13.8" thickBot="1" x14ac:dyDescent="0.3">
      <c r="A251" s="1186" t="s">
        <v>511</v>
      </c>
      <c r="B251" s="1187"/>
      <c r="C251" s="1188"/>
      <c r="D251" s="1188"/>
      <c r="E251" s="1188"/>
      <c r="F251" s="1188"/>
      <c r="G251" s="1189"/>
      <c r="H251" s="1187"/>
      <c r="I251" s="1188"/>
      <c r="J251" s="1189"/>
      <c r="K251" s="716"/>
    </row>
    <row r="252" spans="1:11" x14ac:dyDescent="0.25">
      <c r="A252" s="1190">
        <v>1</v>
      </c>
      <c r="B252" s="745"/>
      <c r="C252" s="1117"/>
      <c r="D252" s="1117"/>
      <c r="E252" s="1117"/>
      <c r="F252" s="1117"/>
      <c r="G252" s="632"/>
      <c r="H252" s="745"/>
      <c r="I252" s="1117"/>
      <c r="J252" s="632"/>
      <c r="K252" s="1118"/>
    </row>
    <row r="253" spans="1:11" x14ac:dyDescent="0.25">
      <c r="A253" s="718">
        <v>2</v>
      </c>
      <c r="B253" s="668"/>
      <c r="C253" s="721"/>
      <c r="D253" s="721"/>
      <c r="E253" s="721"/>
      <c r="F253" s="721"/>
      <c r="G253" s="639"/>
      <c r="H253" s="668"/>
      <c r="I253" s="721"/>
      <c r="J253" s="639"/>
      <c r="K253" s="1124"/>
    </row>
    <row r="254" spans="1:11" x14ac:dyDescent="0.25">
      <c r="A254" s="718">
        <v>3</v>
      </c>
      <c r="B254" s="668"/>
      <c r="C254" s="721"/>
      <c r="D254" s="721"/>
      <c r="E254" s="721"/>
      <c r="F254" s="721"/>
      <c r="G254" s="639"/>
      <c r="H254" s="668"/>
      <c r="I254" s="721"/>
      <c r="J254" s="639"/>
      <c r="K254" s="1124"/>
    </row>
    <row r="255" spans="1:11" x14ac:dyDescent="0.25">
      <c r="A255" s="718">
        <v>4</v>
      </c>
      <c r="B255" s="668"/>
      <c r="C255" s="721"/>
      <c r="D255" s="721"/>
      <c r="E255" s="721"/>
      <c r="F255" s="721"/>
      <c r="G255" s="639"/>
      <c r="H255" s="668"/>
      <c r="I255" s="721"/>
      <c r="J255" s="639"/>
      <c r="K255" s="1124"/>
    </row>
    <row r="256" spans="1:11" x14ac:dyDescent="0.25">
      <c r="A256" s="718">
        <v>5</v>
      </c>
      <c r="B256" s="668"/>
      <c r="C256" s="721"/>
      <c r="D256" s="721"/>
      <c r="E256" s="721"/>
      <c r="F256" s="721"/>
      <c r="G256" s="639"/>
      <c r="H256" s="668"/>
      <c r="I256" s="721"/>
      <c r="J256" s="639"/>
      <c r="K256" s="1124"/>
    </row>
    <row r="257" spans="1:11" ht="13.8" thickBot="1" x14ac:dyDescent="0.3">
      <c r="A257" s="719">
        <v>6</v>
      </c>
      <c r="B257" s="669"/>
      <c r="C257" s="1137"/>
      <c r="D257" s="1137"/>
      <c r="E257" s="1137"/>
      <c r="F257" s="1137"/>
      <c r="G257" s="646"/>
      <c r="H257" s="669"/>
      <c r="I257" s="1137"/>
      <c r="J257" s="646"/>
      <c r="K257" s="1138"/>
    </row>
    <row r="258" spans="1:11" x14ac:dyDescent="0.25">
      <c r="A258" s="1190">
        <v>1</v>
      </c>
      <c r="B258" s="745"/>
      <c r="C258" s="1117"/>
      <c r="D258" s="1117"/>
      <c r="E258" s="1117"/>
      <c r="F258" s="1117"/>
      <c r="G258" s="632"/>
      <c r="H258" s="745"/>
      <c r="I258" s="1117"/>
      <c r="J258" s="632"/>
      <c r="K258" s="1118"/>
    </row>
    <row r="259" spans="1:11" x14ac:dyDescent="0.25">
      <c r="A259" s="718">
        <v>2</v>
      </c>
      <c r="B259" s="668"/>
      <c r="C259" s="721"/>
      <c r="D259" s="721"/>
      <c r="E259" s="721"/>
      <c r="F259" s="721"/>
      <c r="G259" s="639"/>
      <c r="H259" s="668"/>
      <c r="I259" s="721"/>
      <c r="J259" s="639"/>
      <c r="K259" s="1124"/>
    </row>
    <row r="260" spans="1:11" ht="13.8" thickBot="1" x14ac:dyDescent="0.3">
      <c r="A260" s="719">
        <v>3</v>
      </c>
      <c r="B260" s="669"/>
      <c r="C260" s="1137"/>
      <c r="D260" s="1137"/>
      <c r="E260" s="1137"/>
      <c r="F260" s="1137"/>
      <c r="G260" s="646"/>
      <c r="H260" s="669"/>
      <c r="I260" s="1137"/>
      <c r="J260" s="646"/>
      <c r="K260" s="1138"/>
    </row>
    <row r="261" spans="1:11" ht="13.8" thickBot="1" x14ac:dyDescent="0.3">
      <c r="A261" s="1186" t="s">
        <v>512</v>
      </c>
      <c r="B261" s="1187"/>
      <c r="C261" s="1188"/>
      <c r="D261" s="1188"/>
      <c r="E261" s="1188"/>
      <c r="F261" s="1188"/>
      <c r="G261" s="1189"/>
      <c r="H261" s="1187"/>
      <c r="I261" s="1188"/>
      <c r="J261" s="1189"/>
      <c r="K261" s="716"/>
    </row>
    <row r="262" spans="1:11" x14ac:dyDescent="0.25">
      <c r="A262" s="1190">
        <v>1</v>
      </c>
      <c r="B262" s="745"/>
      <c r="C262" s="1117"/>
      <c r="D262" s="1117"/>
      <c r="E262" s="1117"/>
      <c r="F262" s="1117"/>
      <c r="G262" s="632"/>
      <c r="H262" s="745"/>
      <c r="I262" s="1117"/>
      <c r="J262" s="632"/>
      <c r="K262" s="1118"/>
    </row>
    <row r="263" spans="1:11" x14ac:dyDescent="0.25">
      <c r="A263" s="718">
        <v>2</v>
      </c>
      <c r="B263" s="668"/>
      <c r="C263" s="721"/>
      <c r="D263" s="721"/>
      <c r="E263" s="721"/>
      <c r="F263" s="721"/>
      <c r="G263" s="639"/>
      <c r="H263" s="668"/>
      <c r="I263" s="721"/>
      <c r="J263" s="639"/>
      <c r="K263" s="1124"/>
    </row>
    <row r="264" spans="1:11" x14ac:dyDescent="0.25">
      <c r="A264" s="718">
        <v>3</v>
      </c>
      <c r="B264" s="668"/>
      <c r="C264" s="721"/>
      <c r="D264" s="721"/>
      <c r="E264" s="721"/>
      <c r="F264" s="721"/>
      <c r="G264" s="639"/>
      <c r="H264" s="668"/>
      <c r="I264" s="721"/>
      <c r="J264" s="639"/>
      <c r="K264" s="1124"/>
    </row>
    <row r="265" spans="1:11" x14ac:dyDescent="0.25">
      <c r="A265" s="718">
        <v>4</v>
      </c>
      <c r="B265" s="668"/>
      <c r="C265" s="721"/>
      <c r="D265" s="721"/>
      <c r="E265" s="721"/>
      <c r="F265" s="721"/>
      <c r="G265" s="639"/>
      <c r="H265" s="668"/>
      <c r="I265" s="721"/>
      <c r="J265" s="639"/>
      <c r="K265" s="1124"/>
    </row>
    <row r="266" spans="1:11" x14ac:dyDescent="0.25">
      <c r="A266" s="718">
        <v>5</v>
      </c>
      <c r="B266" s="668"/>
      <c r="C266" s="721"/>
      <c r="D266" s="721"/>
      <c r="E266" s="721"/>
      <c r="F266" s="721"/>
      <c r="G266" s="639"/>
      <c r="H266" s="668"/>
      <c r="I266" s="721"/>
      <c r="J266" s="639"/>
      <c r="K266" s="1124"/>
    </row>
    <row r="267" spans="1:11" ht="13.8" thickBot="1" x14ac:dyDescent="0.3">
      <c r="A267" s="719">
        <v>6</v>
      </c>
      <c r="B267" s="669"/>
      <c r="C267" s="1137"/>
      <c r="D267" s="1137"/>
      <c r="E267" s="1137"/>
      <c r="F267" s="1137"/>
      <c r="G267" s="646"/>
      <c r="H267" s="669"/>
      <c r="I267" s="1137"/>
      <c r="J267" s="646"/>
      <c r="K267" s="1138"/>
    </row>
    <row r="268" spans="1:11" x14ac:dyDescent="0.25">
      <c r="A268" s="1190">
        <v>1</v>
      </c>
      <c r="B268" s="745"/>
      <c r="C268" s="1117"/>
      <c r="D268" s="1117"/>
      <c r="E268" s="1117"/>
      <c r="F268" s="1117"/>
      <c r="G268" s="632"/>
      <c r="H268" s="745"/>
      <c r="I268" s="1117"/>
      <c r="J268" s="632"/>
      <c r="K268" s="1118"/>
    </row>
    <row r="269" spans="1:11" x14ac:dyDescent="0.25">
      <c r="A269" s="718">
        <v>2</v>
      </c>
      <c r="B269" s="668"/>
      <c r="C269" s="721"/>
      <c r="D269" s="721"/>
      <c r="E269" s="721"/>
      <c r="F269" s="721"/>
      <c r="G269" s="639"/>
      <c r="H269" s="668"/>
      <c r="I269" s="721"/>
      <c r="J269" s="639"/>
      <c r="K269" s="1124"/>
    </row>
    <row r="270" spans="1:11" ht="13.8" thickBot="1" x14ac:dyDescent="0.3">
      <c r="A270" s="719">
        <v>3</v>
      </c>
      <c r="B270" s="669"/>
      <c r="C270" s="1137"/>
      <c r="D270" s="1137"/>
      <c r="E270" s="1137"/>
      <c r="F270" s="1137"/>
      <c r="G270" s="646"/>
      <c r="H270" s="669"/>
      <c r="I270" s="1137"/>
      <c r="J270" s="646"/>
      <c r="K270" s="1138"/>
    </row>
    <row r="271" spans="1:11" ht="13.8" thickBot="1" x14ac:dyDescent="0.3">
      <c r="A271" s="1186" t="s">
        <v>513</v>
      </c>
      <c r="B271" s="1187"/>
      <c r="C271" s="1188"/>
      <c r="D271" s="1188"/>
      <c r="E271" s="1188"/>
      <c r="F271" s="1188"/>
      <c r="G271" s="1189"/>
      <c r="H271" s="1187"/>
      <c r="I271" s="1188"/>
      <c r="J271" s="1189"/>
      <c r="K271" s="716"/>
    </row>
    <row r="272" spans="1:11" x14ac:dyDescent="0.25">
      <c r="A272" s="1190">
        <v>1</v>
      </c>
      <c r="B272" s="745"/>
      <c r="C272" s="1117"/>
      <c r="D272" s="1117"/>
      <c r="E272" s="1117"/>
      <c r="F272" s="1117"/>
      <c r="G272" s="632"/>
      <c r="H272" s="745"/>
      <c r="I272" s="1117"/>
      <c r="J272" s="632"/>
      <c r="K272" s="1118"/>
    </row>
    <row r="273" spans="1:11" x14ac:dyDescent="0.25">
      <c r="A273" s="718">
        <v>2</v>
      </c>
      <c r="B273" s="668"/>
      <c r="C273" s="721"/>
      <c r="D273" s="721"/>
      <c r="E273" s="721"/>
      <c r="F273" s="721"/>
      <c r="G273" s="639"/>
      <c r="H273" s="668"/>
      <c r="I273" s="721"/>
      <c r="J273" s="639"/>
      <c r="K273" s="1124"/>
    </row>
    <row r="274" spans="1:11" x14ac:dyDescent="0.25">
      <c r="A274" s="718">
        <v>3</v>
      </c>
      <c r="B274" s="668"/>
      <c r="C274" s="721"/>
      <c r="D274" s="721"/>
      <c r="E274" s="721"/>
      <c r="F274" s="721"/>
      <c r="G274" s="639"/>
      <c r="H274" s="668"/>
      <c r="I274" s="721"/>
      <c r="J274" s="639"/>
      <c r="K274" s="1124"/>
    </row>
    <row r="275" spans="1:11" x14ac:dyDescent="0.25">
      <c r="A275" s="718">
        <v>4</v>
      </c>
      <c r="B275" s="668"/>
      <c r="C275" s="721"/>
      <c r="D275" s="721"/>
      <c r="E275" s="721"/>
      <c r="F275" s="721"/>
      <c r="G275" s="639"/>
      <c r="H275" s="668"/>
      <c r="I275" s="721"/>
      <c r="J275" s="639"/>
      <c r="K275" s="1124"/>
    </row>
    <row r="276" spans="1:11" x14ac:dyDescent="0.25">
      <c r="A276" s="718">
        <v>5</v>
      </c>
      <c r="B276" s="668"/>
      <c r="C276" s="721"/>
      <c r="D276" s="721"/>
      <c r="E276" s="721"/>
      <c r="F276" s="721"/>
      <c r="G276" s="639"/>
      <c r="H276" s="668"/>
      <c r="I276" s="721"/>
      <c r="J276" s="639"/>
      <c r="K276" s="1124"/>
    </row>
    <row r="277" spans="1:11" ht="13.8" thickBot="1" x14ac:dyDescent="0.3">
      <c r="A277" s="719">
        <v>6</v>
      </c>
      <c r="B277" s="669"/>
      <c r="C277" s="1137"/>
      <c r="D277" s="1137"/>
      <c r="E277" s="1137"/>
      <c r="F277" s="1137"/>
      <c r="G277" s="646"/>
      <c r="H277" s="669"/>
      <c r="I277" s="1137"/>
      <c r="J277" s="646"/>
      <c r="K277" s="1138"/>
    </row>
    <row r="278" spans="1:11" x14ac:dyDescent="0.25">
      <c r="A278" s="1190">
        <v>1</v>
      </c>
      <c r="B278" s="745"/>
      <c r="C278" s="1117"/>
      <c r="D278" s="1117"/>
      <c r="E278" s="1117"/>
      <c r="F278" s="1117"/>
      <c r="G278" s="632"/>
      <c r="H278" s="745"/>
      <c r="I278" s="1117"/>
      <c r="J278" s="632"/>
      <c r="K278" s="1118"/>
    </row>
    <row r="279" spans="1:11" x14ac:dyDescent="0.25">
      <c r="A279" s="718">
        <v>2</v>
      </c>
      <c r="B279" s="668"/>
      <c r="C279" s="721"/>
      <c r="D279" s="721"/>
      <c r="E279" s="721"/>
      <c r="F279" s="721"/>
      <c r="G279" s="639"/>
      <c r="H279" s="668"/>
      <c r="I279" s="721"/>
      <c r="J279" s="639"/>
      <c r="K279" s="1124"/>
    </row>
    <row r="280" spans="1:11" ht="13.8" thickBot="1" x14ac:dyDescent="0.3">
      <c r="A280" s="1191">
        <v>3</v>
      </c>
      <c r="B280" s="1132"/>
      <c r="C280" s="1133"/>
      <c r="D280" s="1133"/>
      <c r="E280" s="1133"/>
      <c r="F280" s="1133"/>
      <c r="G280" s="1134"/>
      <c r="H280" s="1132"/>
      <c r="I280" s="1133"/>
      <c r="J280" s="1134"/>
      <c r="K280" s="1147"/>
    </row>
    <row r="281" spans="1:11" ht="13.8" thickBot="1" x14ac:dyDescent="0.3">
      <c r="A281" s="1186" t="s">
        <v>514</v>
      </c>
      <c r="B281" s="1187"/>
      <c r="C281" s="1188"/>
      <c r="D281" s="1188"/>
      <c r="E281" s="1188"/>
      <c r="F281" s="1188"/>
      <c r="G281" s="1189"/>
      <c r="H281" s="1187"/>
      <c r="I281" s="1188"/>
      <c r="J281" s="1189"/>
      <c r="K281" s="716"/>
    </row>
    <row r="282" spans="1:11" x14ac:dyDescent="0.25">
      <c r="A282" s="1190">
        <v>1</v>
      </c>
      <c r="B282" s="745"/>
      <c r="C282" s="1117"/>
      <c r="D282" s="1117"/>
      <c r="E282" s="1117"/>
      <c r="F282" s="1117"/>
      <c r="G282" s="632"/>
      <c r="H282" s="745"/>
      <c r="I282" s="1117"/>
      <c r="J282" s="632"/>
      <c r="K282" s="1118"/>
    </row>
    <row r="283" spans="1:11" x14ac:dyDescent="0.25">
      <c r="A283" s="718">
        <v>2</v>
      </c>
      <c r="B283" s="668"/>
      <c r="C283" s="721"/>
      <c r="D283" s="721"/>
      <c r="E283" s="721"/>
      <c r="F283" s="721"/>
      <c r="G283" s="639"/>
      <c r="H283" s="668"/>
      <c r="I283" s="721"/>
      <c r="J283" s="639"/>
      <c r="K283" s="1124"/>
    </row>
    <row r="284" spans="1:11" x14ac:dyDescent="0.25">
      <c r="A284" s="718">
        <v>3</v>
      </c>
      <c r="B284" s="668"/>
      <c r="C284" s="721"/>
      <c r="D284" s="721"/>
      <c r="E284" s="721"/>
      <c r="F284" s="721"/>
      <c r="G284" s="639"/>
      <c r="H284" s="668"/>
      <c r="I284" s="721"/>
      <c r="J284" s="639"/>
      <c r="K284" s="1124"/>
    </row>
    <row r="285" spans="1:11" x14ac:dyDescent="0.25">
      <c r="A285" s="718">
        <v>4</v>
      </c>
      <c r="B285" s="668"/>
      <c r="C285" s="721"/>
      <c r="D285" s="721"/>
      <c r="E285" s="721"/>
      <c r="F285" s="721"/>
      <c r="G285" s="639"/>
      <c r="H285" s="668"/>
      <c r="I285" s="721"/>
      <c r="J285" s="639"/>
      <c r="K285" s="1124"/>
    </row>
    <row r="286" spans="1:11" x14ac:dyDescent="0.25">
      <c r="A286" s="718">
        <v>5</v>
      </c>
      <c r="B286" s="668"/>
      <c r="C286" s="721"/>
      <c r="D286" s="721"/>
      <c r="E286" s="721"/>
      <c r="F286" s="721"/>
      <c r="G286" s="639"/>
      <c r="H286" s="668"/>
      <c r="I286" s="721"/>
      <c r="J286" s="639"/>
      <c r="K286" s="1124"/>
    </row>
    <row r="287" spans="1:11" ht="13.8" thickBot="1" x14ac:dyDescent="0.3">
      <c r="A287" s="719">
        <v>6</v>
      </c>
      <c r="B287" s="669"/>
      <c r="C287" s="1137"/>
      <c r="D287" s="1137"/>
      <c r="E287" s="1137"/>
      <c r="F287" s="1137"/>
      <c r="G287" s="646"/>
      <c r="H287" s="669"/>
      <c r="I287" s="1137"/>
      <c r="J287" s="646"/>
      <c r="K287" s="1138"/>
    </row>
    <row r="288" spans="1:11" x14ac:dyDescent="0.25">
      <c r="A288" s="1190">
        <v>1</v>
      </c>
      <c r="B288" s="745"/>
      <c r="C288" s="1117"/>
      <c r="D288" s="1117"/>
      <c r="E288" s="1117"/>
      <c r="F288" s="1117"/>
      <c r="G288" s="632"/>
      <c r="H288" s="745"/>
      <c r="I288" s="1117"/>
      <c r="J288" s="632"/>
      <c r="K288" s="1118"/>
    </row>
    <row r="289" spans="1:11" x14ac:dyDescent="0.25">
      <c r="A289" s="718">
        <v>2</v>
      </c>
      <c r="B289" s="668"/>
      <c r="C289" s="721"/>
      <c r="D289" s="721"/>
      <c r="E289" s="721"/>
      <c r="F289" s="721"/>
      <c r="G289" s="639"/>
      <c r="H289" s="668"/>
      <c r="I289" s="721"/>
      <c r="J289" s="639"/>
      <c r="K289" s="1124"/>
    </row>
    <row r="290" spans="1:11" ht="13.8" thickBot="1" x14ac:dyDescent="0.3">
      <c r="A290" s="719">
        <v>3</v>
      </c>
      <c r="B290" s="669"/>
      <c r="C290" s="1137"/>
      <c r="D290" s="1137"/>
      <c r="E290" s="1137"/>
      <c r="F290" s="1137"/>
      <c r="G290" s="646"/>
      <c r="H290" s="669"/>
      <c r="I290" s="1137"/>
      <c r="J290" s="646"/>
      <c r="K290" s="1138"/>
    </row>
    <row r="291" spans="1:11" ht="13.8" thickBot="1" x14ac:dyDescent="0.3">
      <c r="A291" s="1186" t="s">
        <v>515</v>
      </c>
      <c r="B291" s="1187"/>
      <c r="C291" s="1188"/>
      <c r="D291" s="1188"/>
      <c r="E291" s="1188"/>
      <c r="F291" s="1188"/>
      <c r="G291" s="1189"/>
      <c r="H291" s="1187"/>
      <c r="I291" s="1188"/>
      <c r="J291" s="1189"/>
      <c r="K291" s="716"/>
    </row>
    <row r="292" spans="1:11" x14ac:dyDescent="0.25">
      <c r="A292" s="1190">
        <v>1</v>
      </c>
      <c r="B292" s="745"/>
      <c r="C292" s="1117"/>
      <c r="D292" s="1117"/>
      <c r="E292" s="1117"/>
      <c r="F292" s="1117"/>
      <c r="G292" s="632"/>
      <c r="H292" s="745"/>
      <c r="I292" s="1117"/>
      <c r="J292" s="632"/>
      <c r="K292" s="1118"/>
    </row>
    <row r="293" spans="1:11" x14ac:dyDescent="0.25">
      <c r="A293" s="718">
        <v>2</v>
      </c>
      <c r="B293" s="668"/>
      <c r="C293" s="721"/>
      <c r="D293" s="721"/>
      <c r="E293" s="721"/>
      <c r="F293" s="721"/>
      <c r="G293" s="639"/>
      <c r="H293" s="668"/>
      <c r="I293" s="721"/>
      <c r="J293" s="639"/>
      <c r="K293" s="1124"/>
    </row>
    <row r="294" spans="1:11" x14ac:dyDescent="0.25">
      <c r="A294" s="718">
        <v>3</v>
      </c>
      <c r="B294" s="668"/>
      <c r="C294" s="721"/>
      <c r="D294" s="721"/>
      <c r="E294" s="721"/>
      <c r="F294" s="721"/>
      <c r="G294" s="639"/>
      <c r="H294" s="668"/>
      <c r="I294" s="721"/>
      <c r="J294" s="639"/>
      <c r="K294" s="1124"/>
    </row>
    <row r="295" spans="1:11" x14ac:dyDescent="0.25">
      <c r="A295" s="718">
        <v>4</v>
      </c>
      <c r="B295" s="668"/>
      <c r="C295" s="721"/>
      <c r="D295" s="721"/>
      <c r="E295" s="721"/>
      <c r="F295" s="721"/>
      <c r="G295" s="639"/>
      <c r="H295" s="668"/>
      <c r="I295" s="721"/>
      <c r="J295" s="639"/>
      <c r="K295" s="1124"/>
    </row>
    <row r="296" spans="1:11" x14ac:dyDescent="0.25">
      <c r="A296" s="718">
        <v>5</v>
      </c>
      <c r="B296" s="668"/>
      <c r="C296" s="721"/>
      <c r="D296" s="721"/>
      <c r="E296" s="721"/>
      <c r="F296" s="721"/>
      <c r="G296" s="639"/>
      <c r="H296" s="668"/>
      <c r="I296" s="721"/>
      <c r="J296" s="639"/>
      <c r="K296" s="1124"/>
    </row>
    <row r="297" spans="1:11" ht="13.8" thickBot="1" x14ac:dyDescent="0.3">
      <c r="A297" s="719">
        <v>6</v>
      </c>
      <c r="B297" s="669"/>
      <c r="C297" s="1137"/>
      <c r="D297" s="1137"/>
      <c r="E297" s="1137"/>
      <c r="F297" s="1137"/>
      <c r="G297" s="646"/>
      <c r="H297" s="669"/>
      <c r="I297" s="1137"/>
      <c r="J297" s="646"/>
      <c r="K297" s="1138"/>
    </row>
    <row r="298" spans="1:11" x14ac:dyDescent="0.25">
      <c r="A298" s="1190">
        <v>1</v>
      </c>
      <c r="B298" s="745"/>
      <c r="C298" s="1117"/>
      <c r="D298" s="1117"/>
      <c r="E298" s="1117"/>
      <c r="F298" s="1117"/>
      <c r="G298" s="632"/>
      <c r="H298" s="745"/>
      <c r="I298" s="1117"/>
      <c r="J298" s="632"/>
      <c r="K298" s="1118"/>
    </row>
    <row r="299" spans="1:11" x14ac:dyDescent="0.25">
      <c r="A299" s="718">
        <v>2</v>
      </c>
      <c r="B299" s="668"/>
      <c r="C299" s="721"/>
      <c r="D299" s="721"/>
      <c r="E299" s="721"/>
      <c r="F299" s="721"/>
      <c r="G299" s="639"/>
      <c r="H299" s="668"/>
      <c r="I299" s="721"/>
      <c r="J299" s="639"/>
      <c r="K299" s="1124"/>
    </row>
    <row r="300" spans="1:11" ht="13.8" thickBot="1" x14ac:dyDescent="0.3">
      <c r="A300" s="719">
        <v>3</v>
      </c>
      <c r="B300" s="669"/>
      <c r="C300" s="1137"/>
      <c r="D300" s="1137"/>
      <c r="E300" s="1137"/>
      <c r="F300" s="1137"/>
      <c r="G300" s="646"/>
      <c r="H300" s="669"/>
      <c r="I300" s="1137"/>
      <c r="J300" s="646"/>
      <c r="K300" s="1138"/>
    </row>
    <row r="301" spans="1:11" ht="13.8" thickBot="1" x14ac:dyDescent="0.3">
      <c r="A301" s="1186" t="s">
        <v>516</v>
      </c>
      <c r="B301" s="1187"/>
      <c r="C301" s="1188"/>
      <c r="D301" s="1188"/>
      <c r="E301" s="1188"/>
      <c r="F301" s="1188"/>
      <c r="G301" s="1189"/>
      <c r="H301" s="1187"/>
      <c r="I301" s="1188"/>
      <c r="J301" s="1189"/>
      <c r="K301" s="716"/>
    </row>
    <row r="302" spans="1:11" x14ac:dyDescent="0.25">
      <c r="A302" s="1190">
        <v>1</v>
      </c>
      <c r="B302" s="745"/>
      <c r="C302" s="1117"/>
      <c r="D302" s="1117"/>
      <c r="E302" s="1117"/>
      <c r="F302" s="1117"/>
      <c r="G302" s="632"/>
      <c r="H302" s="745"/>
      <c r="I302" s="1117"/>
      <c r="J302" s="632"/>
      <c r="K302" s="1118"/>
    </row>
    <row r="303" spans="1:11" x14ac:dyDescent="0.25">
      <c r="A303" s="718">
        <v>2</v>
      </c>
      <c r="B303" s="668"/>
      <c r="C303" s="721"/>
      <c r="D303" s="721"/>
      <c r="E303" s="721"/>
      <c r="F303" s="721"/>
      <c r="G303" s="639"/>
      <c r="H303" s="668"/>
      <c r="I303" s="721"/>
      <c r="J303" s="639"/>
      <c r="K303" s="1124"/>
    </row>
    <row r="304" spans="1:11" x14ac:dyDescent="0.25">
      <c r="A304" s="718">
        <v>3</v>
      </c>
      <c r="B304" s="668"/>
      <c r="C304" s="721"/>
      <c r="D304" s="721"/>
      <c r="E304" s="721"/>
      <c r="F304" s="721"/>
      <c r="G304" s="639"/>
      <c r="H304" s="668"/>
      <c r="I304" s="721"/>
      <c r="J304" s="639"/>
      <c r="K304" s="1124"/>
    </row>
    <row r="305" spans="1:11" x14ac:dyDescent="0.25">
      <c r="A305" s="718">
        <v>4</v>
      </c>
      <c r="B305" s="668"/>
      <c r="C305" s="721"/>
      <c r="D305" s="721"/>
      <c r="E305" s="721"/>
      <c r="F305" s="721"/>
      <c r="G305" s="639"/>
      <c r="H305" s="668"/>
      <c r="I305" s="721"/>
      <c r="J305" s="639"/>
      <c r="K305" s="1124"/>
    </row>
    <row r="306" spans="1:11" x14ac:dyDescent="0.25">
      <c r="A306" s="718">
        <v>5</v>
      </c>
      <c r="B306" s="668"/>
      <c r="C306" s="721"/>
      <c r="D306" s="721"/>
      <c r="E306" s="721"/>
      <c r="F306" s="721"/>
      <c r="G306" s="639"/>
      <c r="H306" s="668"/>
      <c r="I306" s="721"/>
      <c r="J306" s="639"/>
      <c r="K306" s="1124"/>
    </row>
    <row r="307" spans="1:11" ht="13.8" thickBot="1" x14ac:dyDescent="0.3">
      <c r="A307" s="719">
        <v>6</v>
      </c>
      <c r="B307" s="669"/>
      <c r="C307" s="1137"/>
      <c r="D307" s="1137"/>
      <c r="E307" s="1137"/>
      <c r="F307" s="1137"/>
      <c r="G307" s="646"/>
      <c r="H307" s="669"/>
      <c r="I307" s="1137"/>
      <c r="J307" s="646"/>
      <c r="K307" s="1138"/>
    </row>
    <row r="308" spans="1:11" x14ac:dyDescent="0.25">
      <c r="A308" s="1190">
        <v>1</v>
      </c>
      <c r="B308" s="745"/>
      <c r="C308" s="1117"/>
      <c r="D308" s="1117"/>
      <c r="E308" s="1117"/>
      <c r="F308" s="1117"/>
      <c r="G308" s="632"/>
      <c r="H308" s="745"/>
      <c r="I308" s="1117"/>
      <c r="J308" s="632"/>
      <c r="K308" s="1118"/>
    </row>
    <row r="309" spans="1:11" x14ac:dyDescent="0.25">
      <c r="A309" s="718">
        <v>2</v>
      </c>
      <c r="B309" s="668"/>
      <c r="C309" s="721"/>
      <c r="D309" s="721"/>
      <c r="E309" s="721"/>
      <c r="F309" s="721"/>
      <c r="G309" s="639"/>
      <c r="H309" s="668"/>
      <c r="I309" s="721"/>
      <c r="J309" s="639"/>
      <c r="K309" s="1124"/>
    </row>
    <row r="310" spans="1:11" ht="13.8" thickBot="1" x14ac:dyDescent="0.3">
      <c r="A310" s="719">
        <v>3</v>
      </c>
      <c r="B310" s="669"/>
      <c r="C310" s="1137"/>
      <c r="D310" s="1137"/>
      <c r="E310" s="1137"/>
      <c r="F310" s="1137"/>
      <c r="G310" s="646"/>
      <c r="H310" s="669"/>
      <c r="I310" s="1137"/>
      <c r="J310" s="646"/>
      <c r="K310" s="1138"/>
    </row>
    <row r="311" spans="1:11" ht="13.8" thickBot="1" x14ac:dyDescent="0.3">
      <c r="A311" s="1186" t="s">
        <v>517</v>
      </c>
      <c r="B311" s="1187"/>
      <c r="C311" s="1188"/>
      <c r="D311" s="1188"/>
      <c r="E311" s="1188"/>
      <c r="F311" s="1188"/>
      <c r="G311" s="1189"/>
      <c r="H311" s="1187"/>
      <c r="I311" s="1188"/>
      <c r="J311" s="1189"/>
      <c r="K311" s="716"/>
    </row>
    <row r="312" spans="1:11" x14ac:dyDescent="0.25">
      <c r="A312" s="1190">
        <v>1</v>
      </c>
      <c r="B312" s="745"/>
      <c r="C312" s="1117"/>
      <c r="D312" s="1117"/>
      <c r="E312" s="1117"/>
      <c r="F312" s="1117"/>
      <c r="G312" s="632"/>
      <c r="H312" s="745"/>
      <c r="I312" s="1117"/>
      <c r="J312" s="632"/>
      <c r="K312" s="1118"/>
    </row>
    <row r="313" spans="1:11" x14ac:dyDescent="0.25">
      <c r="A313" s="718">
        <v>2</v>
      </c>
      <c r="B313" s="668"/>
      <c r="C313" s="721"/>
      <c r="D313" s="721"/>
      <c r="E313" s="721"/>
      <c r="F313" s="721"/>
      <c r="G313" s="639"/>
      <c r="H313" s="668"/>
      <c r="I313" s="721"/>
      <c r="J313" s="639"/>
      <c r="K313" s="1124"/>
    </row>
    <row r="314" spans="1:11" x14ac:dyDescent="0.25">
      <c r="A314" s="718">
        <v>3</v>
      </c>
      <c r="B314" s="668"/>
      <c r="C314" s="721"/>
      <c r="D314" s="721"/>
      <c r="E314" s="721"/>
      <c r="F314" s="721"/>
      <c r="G314" s="639"/>
      <c r="H314" s="668"/>
      <c r="I314" s="721"/>
      <c r="J314" s="639"/>
      <c r="K314" s="1124"/>
    </row>
    <row r="315" spans="1:11" x14ac:dyDescent="0.25">
      <c r="A315" s="718">
        <v>4</v>
      </c>
      <c r="B315" s="668"/>
      <c r="C315" s="721"/>
      <c r="D315" s="721"/>
      <c r="E315" s="721"/>
      <c r="F315" s="721"/>
      <c r="G315" s="639"/>
      <c r="H315" s="668"/>
      <c r="I315" s="721"/>
      <c r="J315" s="639"/>
      <c r="K315" s="1124"/>
    </row>
    <row r="316" spans="1:11" x14ac:dyDescent="0.25">
      <c r="A316" s="718">
        <v>5</v>
      </c>
      <c r="B316" s="668"/>
      <c r="C316" s="721"/>
      <c r="D316" s="721"/>
      <c r="E316" s="721"/>
      <c r="F316" s="721"/>
      <c r="G316" s="639"/>
      <c r="H316" s="668"/>
      <c r="I316" s="721"/>
      <c r="J316" s="639"/>
      <c r="K316" s="1124"/>
    </row>
    <row r="317" spans="1:11" ht="13.8" thickBot="1" x14ac:dyDescent="0.3">
      <c r="A317" s="719">
        <v>6</v>
      </c>
      <c r="B317" s="669"/>
      <c r="C317" s="1137"/>
      <c r="D317" s="1137"/>
      <c r="E317" s="1137"/>
      <c r="F317" s="1137"/>
      <c r="G317" s="646"/>
      <c r="H317" s="669"/>
      <c r="I317" s="1137"/>
      <c r="J317" s="646"/>
      <c r="K317" s="1138"/>
    </row>
    <row r="318" spans="1:11" x14ac:dyDescent="0.25">
      <c r="A318" s="1190">
        <v>1</v>
      </c>
      <c r="B318" s="745"/>
      <c r="C318" s="1117"/>
      <c r="D318" s="1117"/>
      <c r="E318" s="1117"/>
      <c r="F318" s="1117"/>
      <c r="G318" s="632"/>
      <c r="H318" s="745"/>
      <c r="I318" s="1117"/>
      <c r="J318" s="632"/>
      <c r="K318" s="1118"/>
    </row>
    <row r="319" spans="1:11" x14ac:dyDescent="0.25">
      <c r="A319" s="718">
        <v>2</v>
      </c>
      <c r="B319" s="668"/>
      <c r="C319" s="721"/>
      <c r="D319" s="721"/>
      <c r="E319" s="721"/>
      <c r="F319" s="721"/>
      <c r="G319" s="639"/>
      <c r="H319" s="668"/>
      <c r="I319" s="721"/>
      <c r="J319" s="639"/>
      <c r="K319" s="1124"/>
    </row>
    <row r="320" spans="1:11" ht="13.8" thickBot="1" x14ac:dyDescent="0.3">
      <c r="A320" s="719">
        <v>3</v>
      </c>
      <c r="B320" s="669"/>
      <c r="C320" s="1137"/>
      <c r="D320" s="1137"/>
      <c r="E320" s="1137"/>
      <c r="F320" s="1137"/>
      <c r="G320" s="646"/>
      <c r="H320" s="669"/>
      <c r="I320" s="1137"/>
      <c r="J320" s="646"/>
      <c r="K320" s="1138"/>
    </row>
    <row r="321" spans="1:11" ht="13.8" thickBot="1" x14ac:dyDescent="0.3">
      <c r="A321" s="1186" t="s">
        <v>518</v>
      </c>
      <c r="B321" s="1187"/>
      <c r="C321" s="1188"/>
      <c r="D321" s="1188"/>
      <c r="E321" s="1188"/>
      <c r="F321" s="1188"/>
      <c r="G321" s="1189"/>
      <c r="H321" s="1187"/>
      <c r="I321" s="1188"/>
      <c r="J321" s="1189"/>
      <c r="K321" s="716"/>
    </row>
    <row r="322" spans="1:11" x14ac:dyDescent="0.25">
      <c r="A322" s="1190">
        <v>1</v>
      </c>
      <c r="B322" s="745"/>
      <c r="C322" s="1117"/>
      <c r="D322" s="1117"/>
      <c r="E322" s="1117"/>
      <c r="F322" s="1117"/>
      <c r="G322" s="632"/>
      <c r="H322" s="745"/>
      <c r="I322" s="1117"/>
      <c r="J322" s="632"/>
      <c r="K322" s="1118"/>
    </row>
    <row r="323" spans="1:11" x14ac:dyDescent="0.25">
      <c r="A323" s="718">
        <v>2</v>
      </c>
      <c r="B323" s="668"/>
      <c r="C323" s="721"/>
      <c r="D323" s="721"/>
      <c r="E323" s="721"/>
      <c r="F323" s="721"/>
      <c r="G323" s="639"/>
      <c r="H323" s="668"/>
      <c r="I323" s="721"/>
      <c r="J323" s="639"/>
      <c r="K323" s="1124"/>
    </row>
    <row r="324" spans="1:11" x14ac:dyDescent="0.25">
      <c r="A324" s="718">
        <v>3</v>
      </c>
      <c r="B324" s="668"/>
      <c r="C324" s="721"/>
      <c r="D324" s="721"/>
      <c r="E324" s="721"/>
      <c r="F324" s="721"/>
      <c r="G324" s="639"/>
      <c r="H324" s="668"/>
      <c r="I324" s="721"/>
      <c r="J324" s="639"/>
      <c r="K324" s="1124"/>
    </row>
    <row r="325" spans="1:11" x14ac:dyDescent="0.25">
      <c r="A325" s="718">
        <v>4</v>
      </c>
      <c r="B325" s="668"/>
      <c r="C325" s="721"/>
      <c r="D325" s="721"/>
      <c r="E325" s="721"/>
      <c r="F325" s="721"/>
      <c r="G325" s="639"/>
      <c r="H325" s="668"/>
      <c r="I325" s="721"/>
      <c r="J325" s="639"/>
      <c r="K325" s="1124"/>
    </row>
    <row r="326" spans="1:11" x14ac:dyDescent="0.25">
      <c r="A326" s="718">
        <v>5</v>
      </c>
      <c r="B326" s="668"/>
      <c r="C326" s="721"/>
      <c r="D326" s="721"/>
      <c r="E326" s="721"/>
      <c r="F326" s="721"/>
      <c r="G326" s="639"/>
      <c r="H326" s="668"/>
      <c r="I326" s="721"/>
      <c r="J326" s="639"/>
      <c r="K326" s="1124"/>
    </row>
    <row r="327" spans="1:11" ht="13.8" thickBot="1" x14ac:dyDescent="0.3">
      <c r="A327" s="719">
        <v>6</v>
      </c>
      <c r="B327" s="669"/>
      <c r="C327" s="1137"/>
      <c r="D327" s="1137"/>
      <c r="E327" s="1137"/>
      <c r="F327" s="1137"/>
      <c r="G327" s="646"/>
      <c r="H327" s="669"/>
      <c r="I327" s="1137"/>
      <c r="J327" s="646"/>
      <c r="K327" s="1138"/>
    </row>
    <row r="328" spans="1:11" x14ac:dyDescent="0.25">
      <c r="A328" s="1190">
        <v>1</v>
      </c>
      <c r="B328" s="745"/>
      <c r="C328" s="1117"/>
      <c r="D328" s="1117"/>
      <c r="E328" s="1117"/>
      <c r="F328" s="1117"/>
      <c r="G328" s="632"/>
      <c r="H328" s="745"/>
      <c r="I328" s="1117"/>
      <c r="J328" s="632"/>
      <c r="K328" s="1118"/>
    </row>
    <row r="329" spans="1:11" x14ac:dyDescent="0.25">
      <c r="A329" s="718">
        <v>2</v>
      </c>
      <c r="B329" s="668"/>
      <c r="C329" s="721"/>
      <c r="D329" s="721"/>
      <c r="E329" s="721"/>
      <c r="F329" s="721"/>
      <c r="G329" s="639"/>
      <c r="H329" s="668"/>
      <c r="I329" s="721"/>
      <c r="J329" s="639"/>
      <c r="K329" s="1124"/>
    </row>
    <row r="330" spans="1:11" ht="13.8" thickBot="1" x14ac:dyDescent="0.3">
      <c r="A330" s="719">
        <v>3</v>
      </c>
      <c r="B330" s="669"/>
      <c r="C330" s="1137"/>
      <c r="D330" s="1137"/>
      <c r="E330" s="1137"/>
      <c r="F330" s="1137"/>
      <c r="G330" s="646"/>
      <c r="H330" s="669"/>
      <c r="I330" s="1137"/>
      <c r="J330" s="646"/>
      <c r="K330" s="1138"/>
    </row>
    <row r="331" spans="1:11" ht="13.8" thickBot="1" x14ac:dyDescent="0.3">
      <c r="A331" s="1186" t="s">
        <v>519</v>
      </c>
      <c r="B331" s="1187"/>
      <c r="C331" s="1188"/>
      <c r="D331" s="1188"/>
      <c r="E331" s="1188"/>
      <c r="F331" s="1188"/>
      <c r="G331" s="1189"/>
      <c r="H331" s="1187"/>
      <c r="I331" s="1188"/>
      <c r="J331" s="1189"/>
      <c r="K331" s="716"/>
    </row>
    <row r="332" spans="1:11" x14ac:dyDescent="0.25">
      <c r="A332" s="1190">
        <v>1</v>
      </c>
      <c r="B332" s="745"/>
      <c r="C332" s="1117"/>
      <c r="D332" s="1117"/>
      <c r="E332" s="1117"/>
      <c r="F332" s="1117"/>
      <c r="G332" s="632"/>
      <c r="H332" s="745"/>
      <c r="I332" s="1117"/>
      <c r="J332" s="632"/>
      <c r="K332" s="1118"/>
    </row>
    <row r="333" spans="1:11" x14ac:dyDescent="0.25">
      <c r="A333" s="718">
        <v>2</v>
      </c>
      <c r="B333" s="668"/>
      <c r="C333" s="721"/>
      <c r="D333" s="721"/>
      <c r="E333" s="721"/>
      <c r="F333" s="721"/>
      <c r="G333" s="639"/>
      <c r="H333" s="668"/>
      <c r="I333" s="721"/>
      <c r="J333" s="639"/>
      <c r="K333" s="1124"/>
    </row>
    <row r="334" spans="1:11" x14ac:dyDescent="0.25">
      <c r="A334" s="718">
        <v>3</v>
      </c>
      <c r="B334" s="668"/>
      <c r="C334" s="721"/>
      <c r="D334" s="721"/>
      <c r="E334" s="721"/>
      <c r="F334" s="721"/>
      <c r="G334" s="639"/>
      <c r="H334" s="668"/>
      <c r="I334" s="721"/>
      <c r="J334" s="639"/>
      <c r="K334" s="1124"/>
    </row>
    <row r="335" spans="1:11" x14ac:dyDescent="0.25">
      <c r="A335" s="718">
        <v>4</v>
      </c>
      <c r="B335" s="668"/>
      <c r="C335" s="721"/>
      <c r="D335" s="721"/>
      <c r="E335" s="721"/>
      <c r="F335" s="721"/>
      <c r="G335" s="639"/>
      <c r="H335" s="668"/>
      <c r="I335" s="721"/>
      <c r="J335" s="639"/>
      <c r="K335" s="1124"/>
    </row>
    <row r="336" spans="1:11" x14ac:dyDescent="0.25">
      <c r="A336" s="718">
        <v>5</v>
      </c>
      <c r="B336" s="668"/>
      <c r="C336" s="721"/>
      <c r="D336" s="721"/>
      <c r="E336" s="721"/>
      <c r="F336" s="721"/>
      <c r="G336" s="639"/>
      <c r="H336" s="668"/>
      <c r="I336" s="721"/>
      <c r="J336" s="639"/>
      <c r="K336" s="1124"/>
    </row>
    <row r="337" spans="1:11" ht="13.8" thickBot="1" x14ac:dyDescent="0.3">
      <c r="A337" s="719">
        <v>6</v>
      </c>
      <c r="B337" s="669"/>
      <c r="C337" s="1137"/>
      <c r="D337" s="1137"/>
      <c r="E337" s="1137"/>
      <c r="F337" s="1137"/>
      <c r="G337" s="646"/>
      <c r="H337" s="669"/>
      <c r="I337" s="1137"/>
      <c r="J337" s="646"/>
      <c r="K337" s="1138"/>
    </row>
    <row r="338" spans="1:11" x14ac:dyDescent="0.25">
      <c r="A338" s="1190">
        <v>1</v>
      </c>
      <c r="B338" s="745"/>
      <c r="C338" s="1117"/>
      <c r="D338" s="1117"/>
      <c r="E338" s="1117"/>
      <c r="F338" s="1117"/>
      <c r="G338" s="632"/>
      <c r="H338" s="745"/>
      <c r="I338" s="1117"/>
      <c r="J338" s="632"/>
      <c r="K338" s="1118"/>
    </row>
    <row r="339" spans="1:11" x14ac:dyDescent="0.25">
      <c r="A339" s="718">
        <v>2</v>
      </c>
      <c r="B339" s="668"/>
      <c r="C339" s="721"/>
      <c r="D339" s="721"/>
      <c r="E339" s="721"/>
      <c r="F339" s="721"/>
      <c r="G339" s="639"/>
      <c r="H339" s="668"/>
      <c r="I339" s="721"/>
      <c r="J339" s="639"/>
      <c r="K339" s="1124"/>
    </row>
    <row r="340" spans="1:11" ht="13.8" thickBot="1" x14ac:dyDescent="0.3">
      <c r="A340" s="719">
        <v>3</v>
      </c>
      <c r="B340" s="669"/>
      <c r="C340" s="1137"/>
      <c r="D340" s="1137"/>
      <c r="E340" s="1137"/>
      <c r="F340" s="1137"/>
      <c r="G340" s="646"/>
      <c r="H340" s="669"/>
      <c r="I340" s="1137"/>
      <c r="J340" s="646"/>
      <c r="K340" s="1138"/>
    </row>
    <row r="341" spans="1:11" ht="13.8" thickBot="1" x14ac:dyDescent="0.3">
      <c r="A341" s="1186" t="s">
        <v>520</v>
      </c>
      <c r="B341" s="1187"/>
      <c r="C341" s="1188"/>
      <c r="D341" s="1188"/>
      <c r="E341" s="1188"/>
      <c r="F341" s="1188"/>
      <c r="G341" s="1189"/>
      <c r="H341" s="1187"/>
      <c r="I341" s="1188"/>
      <c r="J341" s="1189"/>
      <c r="K341" s="716"/>
    </row>
    <row r="342" spans="1:11" x14ac:dyDescent="0.25">
      <c r="A342" s="1190">
        <v>1</v>
      </c>
      <c r="B342" s="745"/>
      <c r="C342" s="1117"/>
      <c r="D342" s="1117"/>
      <c r="E342" s="1117"/>
      <c r="F342" s="1117"/>
      <c r="G342" s="632"/>
      <c r="H342" s="745"/>
      <c r="I342" s="1117"/>
      <c r="J342" s="632"/>
      <c r="K342" s="1118"/>
    </row>
    <row r="343" spans="1:11" x14ac:dyDescent="0.25">
      <c r="A343" s="718">
        <v>2</v>
      </c>
      <c r="B343" s="668"/>
      <c r="C343" s="721"/>
      <c r="D343" s="721"/>
      <c r="E343" s="721"/>
      <c r="F343" s="721"/>
      <c r="G343" s="639"/>
      <c r="H343" s="668"/>
      <c r="I343" s="721"/>
      <c r="J343" s="639"/>
      <c r="K343" s="1124"/>
    </row>
    <row r="344" spans="1:11" x14ac:dyDescent="0.25">
      <c r="A344" s="718">
        <v>3</v>
      </c>
      <c r="B344" s="668"/>
      <c r="C344" s="721"/>
      <c r="D344" s="721"/>
      <c r="E344" s="721"/>
      <c r="F344" s="721"/>
      <c r="G344" s="639"/>
      <c r="H344" s="668"/>
      <c r="I344" s="721"/>
      <c r="J344" s="639"/>
      <c r="K344" s="1124"/>
    </row>
    <row r="345" spans="1:11" x14ac:dyDescent="0.25">
      <c r="A345" s="718">
        <v>4</v>
      </c>
      <c r="B345" s="668"/>
      <c r="C345" s="721"/>
      <c r="D345" s="721"/>
      <c r="E345" s="721"/>
      <c r="F345" s="721"/>
      <c r="G345" s="639"/>
      <c r="H345" s="668"/>
      <c r="I345" s="721"/>
      <c r="J345" s="639"/>
      <c r="K345" s="1124"/>
    </row>
    <row r="346" spans="1:11" x14ac:dyDescent="0.25">
      <c r="A346" s="718">
        <v>5</v>
      </c>
      <c r="B346" s="668"/>
      <c r="C346" s="721"/>
      <c r="D346" s="721"/>
      <c r="E346" s="721"/>
      <c r="F346" s="721"/>
      <c r="G346" s="639"/>
      <c r="H346" s="668"/>
      <c r="I346" s="721"/>
      <c r="J346" s="639"/>
      <c r="K346" s="1124"/>
    </row>
    <row r="347" spans="1:11" ht="13.8" thickBot="1" x14ac:dyDescent="0.3">
      <c r="A347" s="719">
        <v>6</v>
      </c>
      <c r="B347" s="669"/>
      <c r="C347" s="1137"/>
      <c r="D347" s="1137"/>
      <c r="E347" s="1137"/>
      <c r="F347" s="1137"/>
      <c r="G347" s="646"/>
      <c r="H347" s="669"/>
      <c r="I347" s="1137"/>
      <c r="J347" s="646"/>
      <c r="K347" s="1138"/>
    </row>
    <row r="348" spans="1:11" x14ac:dyDescent="0.25">
      <c r="A348" s="1190">
        <v>1</v>
      </c>
      <c r="B348" s="745"/>
      <c r="C348" s="1117"/>
      <c r="D348" s="1117"/>
      <c r="E348" s="1117"/>
      <c r="F348" s="1117"/>
      <c r="G348" s="632"/>
      <c r="H348" s="745"/>
      <c r="I348" s="1117"/>
      <c r="J348" s="632"/>
      <c r="K348" s="1118"/>
    </row>
    <row r="349" spans="1:11" x14ac:dyDescent="0.25">
      <c r="A349" s="718">
        <v>2</v>
      </c>
      <c r="B349" s="668"/>
      <c r="C349" s="721"/>
      <c r="D349" s="721"/>
      <c r="E349" s="721"/>
      <c r="F349" s="721"/>
      <c r="G349" s="639"/>
      <c r="H349" s="668"/>
      <c r="I349" s="721"/>
      <c r="J349" s="639"/>
      <c r="K349" s="1124"/>
    </row>
    <row r="350" spans="1:11" ht="13.8" thickBot="1" x14ac:dyDescent="0.3">
      <c r="A350" s="1191">
        <v>3</v>
      </c>
      <c r="B350" s="1132"/>
      <c r="C350" s="1133"/>
      <c r="D350" s="1133"/>
      <c r="E350" s="1133"/>
      <c r="F350" s="1133"/>
      <c r="G350" s="1134"/>
      <c r="H350" s="1132"/>
      <c r="I350" s="1133"/>
      <c r="J350" s="1134"/>
      <c r="K350" s="1147"/>
    </row>
    <row r="351" spans="1:11" ht="13.8" thickBot="1" x14ac:dyDescent="0.3">
      <c r="A351" s="1186" t="s">
        <v>521</v>
      </c>
      <c r="B351" s="1187"/>
      <c r="C351" s="1188"/>
      <c r="D351" s="1188"/>
      <c r="E351" s="1188"/>
      <c r="F351" s="1188"/>
      <c r="G351" s="1189"/>
      <c r="H351" s="1187"/>
      <c r="I351" s="1188"/>
      <c r="J351" s="1189"/>
      <c r="K351" s="716"/>
    </row>
    <row r="352" spans="1:11" x14ac:dyDescent="0.25">
      <c r="A352" s="1190">
        <v>1</v>
      </c>
      <c r="B352" s="745"/>
      <c r="C352" s="1117"/>
      <c r="D352" s="1117"/>
      <c r="E352" s="1117"/>
      <c r="F352" s="1117"/>
      <c r="G352" s="632"/>
      <c r="H352" s="745"/>
      <c r="I352" s="1117"/>
      <c r="J352" s="632"/>
      <c r="K352" s="1118"/>
    </row>
    <row r="353" spans="1:11" x14ac:dyDescent="0.25">
      <c r="A353" s="718">
        <v>2</v>
      </c>
      <c r="B353" s="668"/>
      <c r="C353" s="721"/>
      <c r="D353" s="721"/>
      <c r="E353" s="721"/>
      <c r="F353" s="721"/>
      <c r="G353" s="639"/>
      <c r="H353" s="668"/>
      <c r="I353" s="721"/>
      <c r="J353" s="639"/>
      <c r="K353" s="1124"/>
    </row>
    <row r="354" spans="1:11" x14ac:dyDescent="0.25">
      <c r="A354" s="718">
        <v>3</v>
      </c>
      <c r="B354" s="668"/>
      <c r="C354" s="721"/>
      <c r="D354" s="721"/>
      <c r="E354" s="721"/>
      <c r="F354" s="721"/>
      <c r="G354" s="639"/>
      <c r="H354" s="668"/>
      <c r="I354" s="721"/>
      <c r="J354" s="639"/>
      <c r="K354" s="1124"/>
    </row>
    <row r="355" spans="1:11" x14ac:dyDescent="0.25">
      <c r="A355" s="718">
        <v>4</v>
      </c>
      <c r="B355" s="668"/>
      <c r="C355" s="721"/>
      <c r="D355" s="721"/>
      <c r="E355" s="721"/>
      <c r="F355" s="721"/>
      <c r="G355" s="639"/>
      <c r="H355" s="668"/>
      <c r="I355" s="721"/>
      <c r="J355" s="639"/>
      <c r="K355" s="1124"/>
    </row>
    <row r="356" spans="1:11" x14ac:dyDescent="0.25">
      <c r="A356" s="718">
        <v>5</v>
      </c>
      <c r="B356" s="668"/>
      <c r="C356" s="721"/>
      <c r="D356" s="721"/>
      <c r="E356" s="721"/>
      <c r="F356" s="721"/>
      <c r="G356" s="639"/>
      <c r="H356" s="668"/>
      <c r="I356" s="721"/>
      <c r="J356" s="639"/>
      <c r="K356" s="1124"/>
    </row>
    <row r="357" spans="1:11" ht="13.8" thickBot="1" x14ac:dyDescent="0.3">
      <c r="A357" s="719">
        <v>6</v>
      </c>
      <c r="B357" s="669"/>
      <c r="C357" s="1137"/>
      <c r="D357" s="1137"/>
      <c r="E357" s="1137"/>
      <c r="F357" s="1137"/>
      <c r="G357" s="646"/>
      <c r="H357" s="669"/>
      <c r="I357" s="1137"/>
      <c r="J357" s="646"/>
      <c r="K357" s="1138"/>
    </row>
    <row r="358" spans="1:11" x14ac:dyDescent="0.25">
      <c r="A358" s="1190">
        <v>1</v>
      </c>
      <c r="B358" s="745"/>
      <c r="C358" s="1117"/>
      <c r="D358" s="1117"/>
      <c r="E358" s="1117"/>
      <c r="F358" s="1117"/>
      <c r="G358" s="632"/>
      <c r="H358" s="745"/>
      <c r="I358" s="1117"/>
      <c r="J358" s="632"/>
      <c r="K358" s="1118"/>
    </row>
    <row r="359" spans="1:11" x14ac:dyDescent="0.25">
      <c r="A359" s="718">
        <v>2</v>
      </c>
      <c r="B359" s="668"/>
      <c r="C359" s="721"/>
      <c r="D359" s="721"/>
      <c r="E359" s="721"/>
      <c r="F359" s="721"/>
      <c r="G359" s="639"/>
      <c r="H359" s="668"/>
      <c r="I359" s="721"/>
      <c r="J359" s="639"/>
      <c r="K359" s="1124"/>
    </row>
    <row r="360" spans="1:11" ht="13.8" thickBot="1" x14ac:dyDescent="0.3">
      <c r="A360" s="719">
        <v>3</v>
      </c>
      <c r="B360" s="669"/>
      <c r="C360" s="1137"/>
      <c r="D360" s="1137"/>
      <c r="E360" s="1137"/>
      <c r="F360" s="1137"/>
      <c r="G360" s="646"/>
      <c r="H360" s="669"/>
      <c r="I360" s="1137"/>
      <c r="J360" s="646"/>
      <c r="K360" s="1138"/>
    </row>
    <row r="361" spans="1:11" ht="13.8" thickBot="1" x14ac:dyDescent="0.3">
      <c r="A361" s="1186" t="s">
        <v>522</v>
      </c>
      <c r="B361" s="1187"/>
      <c r="C361" s="1188"/>
      <c r="D361" s="1188"/>
      <c r="E361" s="1188"/>
      <c r="F361" s="1188"/>
      <c r="G361" s="1189"/>
      <c r="H361" s="1187"/>
      <c r="I361" s="1188"/>
      <c r="J361" s="1189"/>
      <c r="K361" s="716"/>
    </row>
    <row r="362" spans="1:11" x14ac:dyDescent="0.25">
      <c r="A362" s="1190">
        <v>1</v>
      </c>
      <c r="B362" s="745"/>
      <c r="C362" s="1117"/>
      <c r="D362" s="1117"/>
      <c r="E362" s="1117"/>
      <c r="F362" s="1117"/>
      <c r="G362" s="632"/>
      <c r="H362" s="745"/>
      <c r="I362" s="1117"/>
      <c r="J362" s="632"/>
      <c r="K362" s="1118"/>
    </row>
    <row r="363" spans="1:11" x14ac:dyDescent="0.25">
      <c r="A363" s="718">
        <v>2</v>
      </c>
      <c r="B363" s="668"/>
      <c r="C363" s="721"/>
      <c r="D363" s="721"/>
      <c r="E363" s="721"/>
      <c r="F363" s="721"/>
      <c r="G363" s="639"/>
      <c r="H363" s="668"/>
      <c r="I363" s="721"/>
      <c r="J363" s="639"/>
      <c r="K363" s="1124"/>
    </row>
    <row r="364" spans="1:11" x14ac:dyDescent="0.25">
      <c r="A364" s="718">
        <v>3</v>
      </c>
      <c r="B364" s="668"/>
      <c r="C364" s="721"/>
      <c r="D364" s="721"/>
      <c r="E364" s="721"/>
      <c r="F364" s="721"/>
      <c r="G364" s="639"/>
      <c r="H364" s="668"/>
      <c r="I364" s="721"/>
      <c r="J364" s="639"/>
      <c r="K364" s="1124"/>
    </row>
    <row r="365" spans="1:11" x14ac:dyDescent="0.25">
      <c r="A365" s="718">
        <v>4</v>
      </c>
      <c r="B365" s="668"/>
      <c r="C365" s="721"/>
      <c r="D365" s="721"/>
      <c r="E365" s="721"/>
      <c r="F365" s="721"/>
      <c r="G365" s="639"/>
      <c r="H365" s="668"/>
      <c r="I365" s="721"/>
      <c r="J365" s="639"/>
      <c r="K365" s="1124"/>
    </row>
    <row r="366" spans="1:11" x14ac:dyDescent="0.25">
      <c r="A366" s="718">
        <v>5</v>
      </c>
      <c r="B366" s="668"/>
      <c r="C366" s="721"/>
      <c r="D366" s="721"/>
      <c r="E366" s="721"/>
      <c r="F366" s="721"/>
      <c r="G366" s="639"/>
      <c r="H366" s="668"/>
      <c r="I366" s="721"/>
      <c r="J366" s="639"/>
      <c r="K366" s="1124"/>
    </row>
    <row r="367" spans="1:11" ht="13.8" thickBot="1" x14ac:dyDescent="0.3">
      <c r="A367" s="719">
        <v>6</v>
      </c>
      <c r="B367" s="669"/>
      <c r="C367" s="1137"/>
      <c r="D367" s="1137"/>
      <c r="E367" s="1137"/>
      <c r="F367" s="1137"/>
      <c r="G367" s="646"/>
      <c r="H367" s="669"/>
      <c r="I367" s="1137"/>
      <c r="J367" s="646"/>
      <c r="K367" s="1138"/>
    </row>
    <row r="368" spans="1:11" x14ac:dyDescent="0.25">
      <c r="A368" s="1190">
        <v>1</v>
      </c>
      <c r="B368" s="745"/>
      <c r="C368" s="1117"/>
      <c r="D368" s="1117"/>
      <c r="E368" s="1117"/>
      <c r="F368" s="1117"/>
      <c r="G368" s="632"/>
      <c r="H368" s="745"/>
      <c r="I368" s="1117"/>
      <c r="J368" s="632"/>
      <c r="K368" s="1118"/>
    </row>
    <row r="369" spans="1:11" x14ac:dyDescent="0.25">
      <c r="A369" s="718">
        <v>2</v>
      </c>
      <c r="B369" s="668"/>
      <c r="C369" s="721"/>
      <c r="D369" s="721"/>
      <c r="E369" s="721"/>
      <c r="F369" s="721"/>
      <c r="G369" s="639"/>
      <c r="H369" s="668"/>
      <c r="I369" s="721"/>
      <c r="J369" s="639"/>
      <c r="K369" s="1124"/>
    </row>
    <row r="370" spans="1:11" ht="13.8" thickBot="1" x14ac:dyDescent="0.3">
      <c r="A370" s="719">
        <v>3</v>
      </c>
      <c r="B370" s="669"/>
      <c r="C370" s="1137"/>
      <c r="D370" s="1137"/>
      <c r="E370" s="1137"/>
      <c r="F370" s="1137"/>
      <c r="G370" s="646"/>
      <c r="H370" s="669"/>
      <c r="I370" s="1137"/>
      <c r="J370" s="646"/>
      <c r="K370" s="1138"/>
    </row>
    <row r="371" spans="1:11" ht="13.8" thickBot="1" x14ac:dyDescent="0.3">
      <c r="A371" s="1186" t="s">
        <v>523</v>
      </c>
      <c r="B371" s="1187"/>
      <c r="C371" s="1188"/>
      <c r="D371" s="1188"/>
      <c r="E371" s="1188"/>
      <c r="F371" s="1188"/>
      <c r="G371" s="1189"/>
      <c r="H371" s="1187"/>
      <c r="I371" s="1188"/>
      <c r="J371" s="1189"/>
      <c r="K371" s="716"/>
    </row>
    <row r="372" spans="1:11" x14ac:dyDescent="0.25">
      <c r="A372" s="1190">
        <v>1</v>
      </c>
      <c r="B372" s="745"/>
      <c r="C372" s="1117"/>
      <c r="D372" s="1117"/>
      <c r="E372" s="1117"/>
      <c r="F372" s="1117"/>
      <c r="G372" s="632"/>
      <c r="H372" s="745"/>
      <c r="I372" s="1117"/>
      <c r="J372" s="632"/>
      <c r="K372" s="1118"/>
    </row>
    <row r="373" spans="1:11" x14ac:dyDescent="0.25">
      <c r="A373" s="718">
        <v>2</v>
      </c>
      <c r="B373" s="668"/>
      <c r="C373" s="721"/>
      <c r="D373" s="721"/>
      <c r="E373" s="721"/>
      <c r="F373" s="721"/>
      <c r="G373" s="639"/>
      <c r="H373" s="668"/>
      <c r="I373" s="721"/>
      <c r="J373" s="639"/>
      <c r="K373" s="1124"/>
    </row>
    <row r="374" spans="1:11" x14ac:dyDescent="0.25">
      <c r="A374" s="718">
        <v>3</v>
      </c>
      <c r="B374" s="668"/>
      <c r="C374" s="721"/>
      <c r="D374" s="721"/>
      <c r="E374" s="721"/>
      <c r="F374" s="721"/>
      <c r="G374" s="639"/>
      <c r="H374" s="668"/>
      <c r="I374" s="721"/>
      <c r="J374" s="639"/>
      <c r="K374" s="1124"/>
    </row>
    <row r="375" spans="1:11" x14ac:dyDescent="0.25">
      <c r="A375" s="718">
        <v>4</v>
      </c>
      <c r="B375" s="668"/>
      <c r="C375" s="721"/>
      <c r="D375" s="721"/>
      <c r="E375" s="721"/>
      <c r="F375" s="721"/>
      <c r="G375" s="639"/>
      <c r="H375" s="668"/>
      <c r="I375" s="721"/>
      <c r="J375" s="639"/>
      <c r="K375" s="1124"/>
    </row>
    <row r="376" spans="1:11" x14ac:dyDescent="0.25">
      <c r="A376" s="718">
        <v>5</v>
      </c>
      <c r="B376" s="668"/>
      <c r="C376" s="721"/>
      <c r="D376" s="721"/>
      <c r="E376" s="721"/>
      <c r="F376" s="721"/>
      <c r="G376" s="639"/>
      <c r="H376" s="668"/>
      <c r="I376" s="721"/>
      <c r="J376" s="639"/>
      <c r="K376" s="1124"/>
    </row>
    <row r="377" spans="1:11" ht="13.8" thickBot="1" x14ac:dyDescent="0.3">
      <c r="A377" s="719">
        <v>6</v>
      </c>
      <c r="B377" s="669"/>
      <c r="C377" s="1137"/>
      <c r="D377" s="1137"/>
      <c r="E377" s="1137"/>
      <c r="F377" s="1137"/>
      <c r="G377" s="646"/>
      <c r="H377" s="669"/>
      <c r="I377" s="1137"/>
      <c r="J377" s="646"/>
      <c r="K377" s="1138"/>
    </row>
    <row r="378" spans="1:11" x14ac:dyDescent="0.25">
      <c r="A378" s="1190">
        <v>1</v>
      </c>
      <c r="B378" s="745"/>
      <c r="C378" s="1117"/>
      <c r="D378" s="1117"/>
      <c r="E378" s="1117"/>
      <c r="F378" s="1117"/>
      <c r="G378" s="632"/>
      <c r="H378" s="745"/>
      <c r="I378" s="1117"/>
      <c r="J378" s="632"/>
      <c r="K378" s="1118"/>
    </row>
    <row r="379" spans="1:11" x14ac:dyDescent="0.25">
      <c r="A379" s="718">
        <v>2</v>
      </c>
      <c r="B379" s="668"/>
      <c r="C379" s="721"/>
      <c r="D379" s="721"/>
      <c r="E379" s="721"/>
      <c r="F379" s="721"/>
      <c r="G379" s="639"/>
      <c r="H379" s="668"/>
      <c r="I379" s="721"/>
      <c r="J379" s="639"/>
      <c r="K379" s="1124"/>
    </row>
    <row r="380" spans="1:11" ht="13.8" thickBot="1" x14ac:dyDescent="0.3">
      <c r="A380" s="719">
        <v>3</v>
      </c>
      <c r="B380" s="669"/>
      <c r="C380" s="1137"/>
      <c r="D380" s="1137"/>
      <c r="E380" s="1137"/>
      <c r="F380" s="1137"/>
      <c r="G380" s="646"/>
      <c r="H380" s="669"/>
      <c r="I380" s="1137"/>
      <c r="J380" s="646"/>
      <c r="K380" s="1138"/>
    </row>
    <row r="381" spans="1:11" ht="13.8" thickBot="1" x14ac:dyDescent="0.3">
      <c r="A381" s="1186" t="s">
        <v>524</v>
      </c>
      <c r="B381" s="1187"/>
      <c r="C381" s="1188"/>
      <c r="D381" s="1188"/>
      <c r="E381" s="1188"/>
      <c r="F381" s="1188"/>
      <c r="G381" s="1189"/>
      <c r="H381" s="1187"/>
      <c r="I381" s="1188"/>
      <c r="J381" s="1189"/>
      <c r="K381" s="716"/>
    </row>
    <row r="382" spans="1:11" x14ac:dyDescent="0.25">
      <c r="A382" s="1190">
        <v>1</v>
      </c>
      <c r="B382" s="745"/>
      <c r="C382" s="1117"/>
      <c r="D382" s="1117"/>
      <c r="E382" s="1117"/>
      <c r="F382" s="1117"/>
      <c r="G382" s="632"/>
      <c r="H382" s="745"/>
      <c r="I382" s="1117"/>
      <c r="J382" s="632"/>
      <c r="K382" s="1118"/>
    </row>
    <row r="383" spans="1:11" x14ac:dyDescent="0.25">
      <c r="A383" s="718">
        <v>2</v>
      </c>
      <c r="B383" s="668"/>
      <c r="C383" s="721"/>
      <c r="D383" s="721"/>
      <c r="E383" s="721"/>
      <c r="F383" s="721"/>
      <c r="G383" s="639"/>
      <c r="H383" s="668"/>
      <c r="I383" s="721"/>
      <c r="J383" s="639"/>
      <c r="K383" s="1124"/>
    </row>
    <row r="384" spans="1:11" x14ac:dyDescent="0.25">
      <c r="A384" s="718">
        <v>3</v>
      </c>
      <c r="B384" s="668"/>
      <c r="C384" s="721"/>
      <c r="D384" s="721"/>
      <c r="E384" s="721"/>
      <c r="F384" s="721"/>
      <c r="G384" s="639"/>
      <c r="H384" s="668"/>
      <c r="I384" s="721"/>
      <c r="J384" s="639"/>
      <c r="K384" s="1124"/>
    </row>
    <row r="385" spans="1:11" x14ac:dyDescent="0.25">
      <c r="A385" s="718">
        <v>4</v>
      </c>
      <c r="B385" s="668"/>
      <c r="C385" s="721"/>
      <c r="D385" s="721"/>
      <c r="E385" s="721"/>
      <c r="F385" s="721"/>
      <c r="G385" s="639"/>
      <c r="H385" s="668"/>
      <c r="I385" s="721"/>
      <c r="J385" s="639"/>
      <c r="K385" s="1124"/>
    </row>
    <row r="386" spans="1:11" x14ac:dyDescent="0.25">
      <c r="A386" s="718">
        <v>5</v>
      </c>
      <c r="B386" s="668"/>
      <c r="C386" s="721"/>
      <c r="D386" s="721"/>
      <c r="E386" s="721"/>
      <c r="F386" s="721"/>
      <c r="G386" s="639"/>
      <c r="H386" s="668"/>
      <c r="I386" s="721"/>
      <c r="J386" s="639"/>
      <c r="K386" s="1124"/>
    </row>
    <row r="387" spans="1:11" ht="13.8" thickBot="1" x14ac:dyDescent="0.3">
      <c r="A387" s="719">
        <v>6</v>
      </c>
      <c r="B387" s="669"/>
      <c r="C387" s="1137"/>
      <c r="D387" s="1137"/>
      <c r="E387" s="1137"/>
      <c r="F387" s="1137"/>
      <c r="G387" s="646"/>
      <c r="H387" s="669"/>
      <c r="I387" s="1137"/>
      <c r="J387" s="646"/>
      <c r="K387" s="1138"/>
    </row>
    <row r="388" spans="1:11" x14ac:dyDescent="0.25">
      <c r="A388" s="1190">
        <v>1</v>
      </c>
      <c r="B388" s="745"/>
      <c r="C388" s="1117"/>
      <c r="D388" s="1117"/>
      <c r="E388" s="1117"/>
      <c r="F388" s="1117"/>
      <c r="G388" s="632"/>
      <c r="H388" s="745"/>
      <c r="I388" s="1117"/>
      <c r="J388" s="632"/>
      <c r="K388" s="1118"/>
    </row>
    <row r="389" spans="1:11" x14ac:dyDescent="0.25">
      <c r="A389" s="718">
        <v>2</v>
      </c>
      <c r="B389" s="668"/>
      <c r="C389" s="721"/>
      <c r="D389" s="721"/>
      <c r="E389" s="721"/>
      <c r="F389" s="721"/>
      <c r="G389" s="639"/>
      <c r="H389" s="668"/>
      <c r="I389" s="721"/>
      <c r="J389" s="639"/>
      <c r="K389" s="1124"/>
    </row>
    <row r="390" spans="1:11" ht="13.8" thickBot="1" x14ac:dyDescent="0.3">
      <c r="A390" s="1191">
        <v>3</v>
      </c>
      <c r="B390" s="1132"/>
      <c r="C390" s="1133"/>
      <c r="D390" s="1133"/>
      <c r="E390" s="1133"/>
      <c r="F390" s="1133"/>
      <c r="G390" s="1134"/>
      <c r="H390" s="1132"/>
      <c r="I390" s="1133"/>
      <c r="J390" s="1134"/>
      <c r="K390" s="1147"/>
    </row>
    <row r="391" spans="1:11" ht="13.8" thickBot="1" x14ac:dyDescent="0.3">
      <c r="A391" s="1186" t="s">
        <v>525</v>
      </c>
      <c r="B391" s="1187"/>
      <c r="C391" s="1188"/>
      <c r="D391" s="1188"/>
      <c r="E391" s="1188"/>
      <c r="F391" s="1188"/>
      <c r="G391" s="1189"/>
      <c r="H391" s="1187"/>
      <c r="I391" s="1188"/>
      <c r="J391" s="1189"/>
      <c r="K391" s="716"/>
    </row>
    <row r="392" spans="1:11" x14ac:dyDescent="0.25">
      <c r="A392" s="1190">
        <v>1</v>
      </c>
      <c r="B392" s="745"/>
      <c r="C392" s="1117"/>
      <c r="D392" s="1117"/>
      <c r="E392" s="1117"/>
      <c r="F392" s="1117"/>
      <c r="G392" s="632"/>
      <c r="H392" s="745"/>
      <c r="I392" s="1117"/>
      <c r="J392" s="632"/>
      <c r="K392" s="1118"/>
    </row>
    <row r="393" spans="1:11" x14ac:dyDescent="0.25">
      <c r="A393" s="718">
        <v>2</v>
      </c>
      <c r="B393" s="668"/>
      <c r="C393" s="721"/>
      <c r="D393" s="721"/>
      <c r="E393" s="721"/>
      <c r="F393" s="721"/>
      <c r="G393" s="639"/>
      <c r="H393" s="668"/>
      <c r="I393" s="721"/>
      <c r="J393" s="639"/>
      <c r="K393" s="1124"/>
    </row>
    <row r="394" spans="1:11" x14ac:dyDescent="0.25">
      <c r="A394" s="718">
        <v>3</v>
      </c>
      <c r="B394" s="668"/>
      <c r="C394" s="721"/>
      <c r="D394" s="721"/>
      <c r="E394" s="721"/>
      <c r="F394" s="721"/>
      <c r="G394" s="639"/>
      <c r="H394" s="668"/>
      <c r="I394" s="721"/>
      <c r="J394" s="639"/>
      <c r="K394" s="1124"/>
    </row>
    <row r="395" spans="1:11" x14ac:dyDescent="0.25">
      <c r="A395" s="718">
        <v>4</v>
      </c>
      <c r="B395" s="668"/>
      <c r="C395" s="721"/>
      <c r="D395" s="721"/>
      <c r="E395" s="721"/>
      <c r="F395" s="721"/>
      <c r="G395" s="639"/>
      <c r="H395" s="668"/>
      <c r="I395" s="721"/>
      <c r="J395" s="639"/>
      <c r="K395" s="1124"/>
    </row>
    <row r="396" spans="1:11" x14ac:dyDescent="0.25">
      <c r="A396" s="718">
        <v>5</v>
      </c>
      <c r="B396" s="668"/>
      <c r="C396" s="721"/>
      <c r="D396" s="721"/>
      <c r="E396" s="721"/>
      <c r="F396" s="721"/>
      <c r="G396" s="639"/>
      <c r="H396" s="668"/>
      <c r="I396" s="721"/>
      <c r="J396" s="639"/>
      <c r="K396" s="1124"/>
    </row>
    <row r="397" spans="1:11" ht="13.8" thickBot="1" x14ac:dyDescent="0.3">
      <c r="A397" s="719">
        <v>6</v>
      </c>
      <c r="B397" s="669"/>
      <c r="C397" s="1137"/>
      <c r="D397" s="1137"/>
      <c r="E397" s="1137"/>
      <c r="F397" s="1137"/>
      <c r="G397" s="646"/>
      <c r="H397" s="669"/>
      <c r="I397" s="1137"/>
      <c r="J397" s="646"/>
      <c r="K397" s="1138"/>
    </row>
    <row r="398" spans="1:11" x14ac:dyDescent="0.25">
      <c r="A398" s="1190">
        <v>1</v>
      </c>
      <c r="B398" s="745"/>
      <c r="C398" s="1117"/>
      <c r="D398" s="1117"/>
      <c r="E398" s="1117"/>
      <c r="F398" s="1117"/>
      <c r="G398" s="632"/>
      <c r="H398" s="745"/>
      <c r="I398" s="1117"/>
      <c r="J398" s="632"/>
      <c r="K398" s="1118"/>
    </row>
    <row r="399" spans="1:11" x14ac:dyDescent="0.25">
      <c r="A399" s="718">
        <v>2</v>
      </c>
      <c r="B399" s="668"/>
      <c r="C399" s="721"/>
      <c r="D399" s="721"/>
      <c r="E399" s="721"/>
      <c r="F399" s="721"/>
      <c r="G399" s="639"/>
      <c r="H399" s="668"/>
      <c r="I399" s="721"/>
      <c r="J399" s="639"/>
      <c r="K399" s="1124"/>
    </row>
    <row r="400" spans="1:11" ht="13.8" thickBot="1" x14ac:dyDescent="0.3">
      <c r="A400" s="719">
        <v>3</v>
      </c>
      <c r="B400" s="669"/>
      <c r="C400" s="1137"/>
      <c r="D400" s="1137"/>
      <c r="E400" s="1137"/>
      <c r="F400" s="1137"/>
      <c r="G400" s="646"/>
      <c r="H400" s="669"/>
      <c r="I400" s="1137"/>
      <c r="J400" s="646"/>
      <c r="K400" s="1138"/>
    </row>
    <row r="401" spans="1:11" ht="13.8" thickBot="1" x14ac:dyDescent="0.3">
      <c r="A401" s="1186" t="s">
        <v>526</v>
      </c>
      <c r="B401" s="1187"/>
      <c r="C401" s="1188"/>
      <c r="D401" s="1188"/>
      <c r="E401" s="1188"/>
      <c r="F401" s="1188"/>
      <c r="G401" s="1189"/>
      <c r="H401" s="1187"/>
      <c r="I401" s="1188"/>
      <c r="J401" s="1189"/>
      <c r="K401" s="716"/>
    </row>
    <row r="402" spans="1:11" x14ac:dyDescent="0.25">
      <c r="A402" s="1190">
        <v>1</v>
      </c>
      <c r="B402" s="745"/>
      <c r="C402" s="1117"/>
      <c r="D402" s="1117"/>
      <c r="E402" s="1117"/>
      <c r="F402" s="1117"/>
      <c r="G402" s="632"/>
      <c r="H402" s="745"/>
      <c r="I402" s="1117"/>
      <c r="J402" s="632"/>
      <c r="K402" s="1118"/>
    </row>
    <row r="403" spans="1:11" x14ac:dyDescent="0.25">
      <c r="A403" s="718">
        <v>2</v>
      </c>
      <c r="B403" s="668"/>
      <c r="C403" s="721"/>
      <c r="D403" s="721"/>
      <c r="E403" s="721"/>
      <c r="F403" s="721"/>
      <c r="G403" s="639"/>
      <c r="H403" s="668"/>
      <c r="I403" s="721"/>
      <c r="J403" s="639"/>
      <c r="K403" s="1124"/>
    </row>
    <row r="404" spans="1:11" x14ac:dyDescent="0.25">
      <c r="A404" s="718">
        <v>3</v>
      </c>
      <c r="B404" s="668"/>
      <c r="C404" s="721"/>
      <c r="D404" s="721"/>
      <c r="E404" s="721"/>
      <c r="F404" s="721"/>
      <c r="G404" s="639"/>
      <c r="H404" s="668"/>
      <c r="I404" s="721"/>
      <c r="J404" s="639"/>
      <c r="K404" s="1124"/>
    </row>
    <row r="405" spans="1:11" x14ac:dyDescent="0.25">
      <c r="A405" s="718">
        <v>4</v>
      </c>
      <c r="B405" s="668"/>
      <c r="C405" s="721"/>
      <c r="D405" s="721"/>
      <c r="E405" s="721"/>
      <c r="F405" s="721"/>
      <c r="G405" s="639"/>
      <c r="H405" s="668"/>
      <c r="I405" s="721"/>
      <c r="J405" s="639"/>
      <c r="K405" s="1124"/>
    </row>
    <row r="406" spans="1:11" x14ac:dyDescent="0.25">
      <c r="A406" s="718">
        <v>5</v>
      </c>
      <c r="B406" s="668"/>
      <c r="C406" s="721"/>
      <c r="D406" s="721"/>
      <c r="E406" s="721"/>
      <c r="F406" s="721"/>
      <c r="G406" s="639"/>
      <c r="H406" s="668"/>
      <c r="I406" s="721"/>
      <c r="J406" s="639"/>
      <c r="K406" s="1124"/>
    </row>
    <row r="407" spans="1:11" ht="13.8" thickBot="1" x14ac:dyDescent="0.3">
      <c r="A407" s="719">
        <v>6</v>
      </c>
      <c r="B407" s="669"/>
      <c r="C407" s="1137"/>
      <c r="D407" s="1137"/>
      <c r="E407" s="1137"/>
      <c r="F407" s="1137"/>
      <c r="G407" s="646"/>
      <c r="H407" s="669"/>
      <c r="I407" s="1137"/>
      <c r="J407" s="646"/>
      <c r="K407" s="1138"/>
    </row>
    <row r="408" spans="1:11" x14ac:dyDescent="0.25">
      <c r="A408" s="1190">
        <v>1</v>
      </c>
      <c r="B408" s="745"/>
      <c r="C408" s="1117"/>
      <c r="D408" s="1117"/>
      <c r="E408" s="1117"/>
      <c r="F408" s="1117"/>
      <c r="G408" s="632"/>
      <c r="H408" s="745"/>
      <c r="I408" s="1117"/>
      <c r="J408" s="632"/>
      <c r="K408" s="1118"/>
    </row>
    <row r="409" spans="1:11" x14ac:dyDescent="0.25">
      <c r="A409" s="718">
        <v>2</v>
      </c>
      <c r="B409" s="668"/>
      <c r="C409" s="721"/>
      <c r="D409" s="721"/>
      <c r="E409" s="721"/>
      <c r="F409" s="721"/>
      <c r="G409" s="639"/>
      <c r="H409" s="668"/>
      <c r="I409" s="721"/>
      <c r="J409" s="639"/>
      <c r="K409" s="1124"/>
    </row>
    <row r="410" spans="1:11" ht="13.8" thickBot="1" x14ac:dyDescent="0.3">
      <c r="A410" s="719">
        <v>3</v>
      </c>
      <c r="B410" s="669"/>
      <c r="C410" s="1137"/>
      <c r="D410" s="1137"/>
      <c r="E410" s="1137"/>
      <c r="F410" s="1137"/>
      <c r="G410" s="646"/>
      <c r="H410" s="669"/>
      <c r="I410" s="1137"/>
      <c r="J410" s="646"/>
      <c r="K410" s="1138"/>
    </row>
    <row r="411" spans="1:11" ht="13.8" thickBot="1" x14ac:dyDescent="0.3">
      <c r="A411" s="1186" t="s">
        <v>527</v>
      </c>
      <c r="B411" s="1187"/>
      <c r="C411" s="1188"/>
      <c r="D411" s="1188"/>
      <c r="E411" s="1188"/>
      <c r="F411" s="1188"/>
      <c r="G411" s="1189"/>
      <c r="H411" s="1187"/>
      <c r="I411" s="1188"/>
      <c r="J411" s="1189"/>
      <c r="K411" s="716"/>
    </row>
    <row r="412" spans="1:11" x14ac:dyDescent="0.25">
      <c r="A412" s="1190">
        <v>1</v>
      </c>
      <c r="B412" s="745"/>
      <c r="C412" s="1117"/>
      <c r="D412" s="1117"/>
      <c r="E412" s="1117"/>
      <c r="F412" s="1117"/>
      <c r="G412" s="632"/>
      <c r="H412" s="745"/>
      <c r="I412" s="1117"/>
      <c r="J412" s="632"/>
      <c r="K412" s="1118"/>
    </row>
    <row r="413" spans="1:11" x14ac:dyDescent="0.25">
      <c r="A413" s="718">
        <v>2</v>
      </c>
      <c r="B413" s="668"/>
      <c r="C413" s="721"/>
      <c r="D413" s="721"/>
      <c r="E413" s="721"/>
      <c r="F413" s="721"/>
      <c r="G413" s="639"/>
      <c r="H413" s="668"/>
      <c r="I413" s="721"/>
      <c r="J413" s="639"/>
      <c r="K413" s="1124"/>
    </row>
    <row r="414" spans="1:11" x14ac:dyDescent="0.25">
      <c r="A414" s="718">
        <v>3</v>
      </c>
      <c r="B414" s="668"/>
      <c r="C414" s="721"/>
      <c r="D414" s="721"/>
      <c r="E414" s="721"/>
      <c r="F414" s="721"/>
      <c r="G414" s="639"/>
      <c r="H414" s="668"/>
      <c r="I414" s="721"/>
      <c r="J414" s="639"/>
      <c r="K414" s="1124"/>
    </row>
    <row r="415" spans="1:11" x14ac:dyDescent="0.25">
      <c r="A415" s="718">
        <v>4</v>
      </c>
      <c r="B415" s="668"/>
      <c r="C415" s="721"/>
      <c r="D415" s="721"/>
      <c r="E415" s="721"/>
      <c r="F415" s="721"/>
      <c r="G415" s="639"/>
      <c r="H415" s="668"/>
      <c r="I415" s="721"/>
      <c r="J415" s="639"/>
      <c r="K415" s="1124"/>
    </row>
    <row r="416" spans="1:11" x14ac:dyDescent="0.25">
      <c r="A416" s="718">
        <v>5</v>
      </c>
      <c r="B416" s="668"/>
      <c r="C416" s="721"/>
      <c r="D416" s="721"/>
      <c r="E416" s="721"/>
      <c r="F416" s="721"/>
      <c r="G416" s="639"/>
      <c r="H416" s="668"/>
      <c r="I416" s="721"/>
      <c r="J416" s="639"/>
      <c r="K416" s="1124"/>
    </row>
    <row r="417" spans="1:11" ht="13.8" thickBot="1" x14ac:dyDescent="0.3">
      <c r="A417" s="719">
        <v>6</v>
      </c>
      <c r="B417" s="669"/>
      <c r="C417" s="1137"/>
      <c r="D417" s="1137"/>
      <c r="E417" s="1137"/>
      <c r="F417" s="1137"/>
      <c r="G417" s="646"/>
      <c r="H417" s="669"/>
      <c r="I417" s="1137"/>
      <c r="J417" s="646"/>
      <c r="K417" s="1138"/>
    </row>
    <row r="418" spans="1:11" x14ac:dyDescent="0.25">
      <c r="A418" s="1190">
        <v>1</v>
      </c>
      <c r="B418" s="745"/>
      <c r="C418" s="1117"/>
      <c r="D418" s="1117"/>
      <c r="E418" s="1117"/>
      <c r="F418" s="1117"/>
      <c r="G418" s="632"/>
      <c r="H418" s="745"/>
      <c r="I418" s="1117"/>
      <c r="J418" s="632"/>
      <c r="K418" s="1118"/>
    </row>
    <row r="419" spans="1:11" x14ac:dyDescent="0.25">
      <c r="A419" s="718">
        <v>2</v>
      </c>
      <c r="B419" s="668"/>
      <c r="C419" s="721"/>
      <c r="D419" s="721"/>
      <c r="E419" s="721"/>
      <c r="F419" s="721"/>
      <c r="G419" s="639"/>
      <c r="H419" s="668"/>
      <c r="I419" s="721"/>
      <c r="J419" s="639"/>
      <c r="K419" s="1124"/>
    </row>
    <row r="420" spans="1:11" ht="13.8" thickBot="1" x14ac:dyDescent="0.3">
      <c r="A420" s="719">
        <v>3</v>
      </c>
      <c r="B420" s="669"/>
      <c r="C420" s="1137"/>
      <c r="D420" s="1137"/>
      <c r="E420" s="1137"/>
      <c r="F420" s="1137"/>
      <c r="G420" s="646"/>
      <c r="H420" s="669"/>
      <c r="I420" s="1137"/>
      <c r="J420" s="646"/>
      <c r="K420" s="1138"/>
    </row>
    <row r="421" spans="1:11" ht="13.8" thickBot="1" x14ac:dyDescent="0.3">
      <c r="A421" s="1186" t="s">
        <v>528</v>
      </c>
      <c r="B421" s="1187"/>
      <c r="C421" s="1188"/>
      <c r="D421" s="1188"/>
      <c r="E421" s="1188"/>
      <c r="F421" s="1188"/>
      <c r="G421" s="1189"/>
      <c r="H421" s="1187"/>
      <c r="I421" s="1188"/>
      <c r="J421" s="1189"/>
      <c r="K421" s="716"/>
    </row>
    <row r="422" spans="1:11" x14ac:dyDescent="0.25">
      <c r="A422" s="1190">
        <v>1</v>
      </c>
      <c r="B422" s="745"/>
      <c r="C422" s="1117"/>
      <c r="D422" s="1117"/>
      <c r="E422" s="1117"/>
      <c r="F422" s="1117"/>
      <c r="G422" s="632"/>
      <c r="H422" s="745"/>
      <c r="I422" s="1117"/>
      <c r="J422" s="632"/>
      <c r="K422" s="1118"/>
    </row>
    <row r="423" spans="1:11" x14ac:dyDescent="0.25">
      <c r="A423" s="718">
        <v>2</v>
      </c>
      <c r="B423" s="668"/>
      <c r="C423" s="721"/>
      <c r="D423" s="721"/>
      <c r="E423" s="721"/>
      <c r="F423" s="721"/>
      <c r="G423" s="639"/>
      <c r="H423" s="668"/>
      <c r="I423" s="721"/>
      <c r="J423" s="639"/>
      <c r="K423" s="1124"/>
    </row>
    <row r="424" spans="1:11" x14ac:dyDescent="0.25">
      <c r="A424" s="718">
        <v>3</v>
      </c>
      <c r="B424" s="668"/>
      <c r="C424" s="721"/>
      <c r="D424" s="721"/>
      <c r="E424" s="721"/>
      <c r="F424" s="721"/>
      <c r="G424" s="639"/>
      <c r="H424" s="668"/>
      <c r="I424" s="721"/>
      <c r="J424" s="639"/>
      <c r="K424" s="1124"/>
    </row>
    <row r="425" spans="1:11" x14ac:dyDescent="0.25">
      <c r="A425" s="718">
        <v>4</v>
      </c>
      <c r="B425" s="668"/>
      <c r="C425" s="721"/>
      <c r="D425" s="721"/>
      <c r="E425" s="721"/>
      <c r="F425" s="721"/>
      <c r="G425" s="639"/>
      <c r="H425" s="668"/>
      <c r="I425" s="721"/>
      <c r="J425" s="639"/>
      <c r="K425" s="1124"/>
    </row>
    <row r="426" spans="1:11" x14ac:dyDescent="0.25">
      <c r="A426" s="718">
        <v>5</v>
      </c>
      <c r="B426" s="668"/>
      <c r="C426" s="721"/>
      <c r="D426" s="721"/>
      <c r="E426" s="721"/>
      <c r="F426" s="721"/>
      <c r="G426" s="639"/>
      <c r="H426" s="668"/>
      <c r="I426" s="721"/>
      <c r="J426" s="639"/>
      <c r="K426" s="1124"/>
    </row>
    <row r="427" spans="1:11" ht="13.8" thickBot="1" x14ac:dyDescent="0.3">
      <c r="A427" s="719">
        <v>6</v>
      </c>
      <c r="B427" s="669"/>
      <c r="C427" s="1137"/>
      <c r="D427" s="1137"/>
      <c r="E427" s="1137"/>
      <c r="F427" s="1137"/>
      <c r="G427" s="646"/>
      <c r="H427" s="669"/>
      <c r="I427" s="1137"/>
      <c r="J427" s="646"/>
      <c r="K427" s="1138"/>
    </row>
    <row r="428" spans="1:11" x14ac:dyDescent="0.25">
      <c r="A428" s="1190">
        <v>1</v>
      </c>
      <c r="B428" s="745"/>
      <c r="C428" s="1117"/>
      <c r="D428" s="1117"/>
      <c r="E428" s="1117"/>
      <c r="F428" s="1117"/>
      <c r="G428" s="632"/>
      <c r="H428" s="745"/>
      <c r="I428" s="1117"/>
      <c r="J428" s="632"/>
      <c r="K428" s="1118"/>
    </row>
    <row r="429" spans="1:11" x14ac:dyDescent="0.25">
      <c r="A429" s="718">
        <v>2</v>
      </c>
      <c r="B429" s="668"/>
      <c r="C429" s="721"/>
      <c r="D429" s="721"/>
      <c r="E429" s="721"/>
      <c r="F429" s="721"/>
      <c r="G429" s="639"/>
      <c r="H429" s="668"/>
      <c r="I429" s="721"/>
      <c r="J429" s="639"/>
      <c r="K429" s="1124"/>
    </row>
    <row r="430" spans="1:11" ht="13.8" thickBot="1" x14ac:dyDescent="0.3">
      <c r="A430" s="1191">
        <v>3</v>
      </c>
      <c r="B430" s="1132"/>
      <c r="C430" s="1133"/>
      <c r="D430" s="1133"/>
      <c r="E430" s="1133"/>
      <c r="F430" s="1133"/>
      <c r="G430" s="1134"/>
      <c r="H430" s="1132"/>
      <c r="I430" s="1133"/>
      <c r="J430" s="1134"/>
      <c r="K430" s="1147"/>
    </row>
    <row r="431" spans="1:11" ht="13.8" thickBot="1" x14ac:dyDescent="0.3">
      <c r="A431" s="1186" t="s">
        <v>529</v>
      </c>
      <c r="B431" s="1187"/>
      <c r="C431" s="1188"/>
      <c r="D431" s="1188"/>
      <c r="E431" s="1188"/>
      <c r="F431" s="1188"/>
      <c r="G431" s="1189"/>
      <c r="H431" s="1187"/>
      <c r="I431" s="1188"/>
      <c r="J431" s="1189"/>
      <c r="K431" s="716"/>
    </row>
    <row r="432" spans="1:11" x14ac:dyDescent="0.25">
      <c r="A432" s="1190">
        <v>1</v>
      </c>
      <c r="B432" s="745"/>
      <c r="C432" s="1117"/>
      <c r="D432" s="1117"/>
      <c r="E432" s="1117"/>
      <c r="F432" s="1117"/>
      <c r="G432" s="632"/>
      <c r="H432" s="745"/>
      <c r="I432" s="1117"/>
      <c r="J432" s="632"/>
      <c r="K432" s="1118"/>
    </row>
    <row r="433" spans="1:11" x14ac:dyDescent="0.25">
      <c r="A433" s="718">
        <v>2</v>
      </c>
      <c r="B433" s="668"/>
      <c r="C433" s="721"/>
      <c r="D433" s="721"/>
      <c r="E433" s="721"/>
      <c r="F433" s="721"/>
      <c r="G433" s="639"/>
      <c r="H433" s="668"/>
      <c r="I433" s="721"/>
      <c r="J433" s="639"/>
      <c r="K433" s="1124"/>
    </row>
    <row r="434" spans="1:11" x14ac:dyDescent="0.25">
      <c r="A434" s="718">
        <v>3</v>
      </c>
      <c r="B434" s="668"/>
      <c r="C434" s="721"/>
      <c r="D434" s="721"/>
      <c r="E434" s="721"/>
      <c r="F434" s="721"/>
      <c r="G434" s="639"/>
      <c r="H434" s="668"/>
      <c r="I434" s="721"/>
      <c r="J434" s="639"/>
      <c r="K434" s="1124"/>
    </row>
    <row r="435" spans="1:11" x14ac:dyDescent="0.25">
      <c r="A435" s="718">
        <v>4</v>
      </c>
      <c r="B435" s="668"/>
      <c r="C435" s="721"/>
      <c r="D435" s="721"/>
      <c r="E435" s="721"/>
      <c r="F435" s="721"/>
      <c r="G435" s="639"/>
      <c r="H435" s="668"/>
      <c r="I435" s="721"/>
      <c r="J435" s="639"/>
      <c r="K435" s="1124"/>
    </row>
    <row r="436" spans="1:11" x14ac:dyDescent="0.25">
      <c r="A436" s="718">
        <v>5</v>
      </c>
      <c r="B436" s="668"/>
      <c r="C436" s="721"/>
      <c r="D436" s="721"/>
      <c r="E436" s="721"/>
      <c r="F436" s="721"/>
      <c r="G436" s="639"/>
      <c r="H436" s="668"/>
      <c r="I436" s="721"/>
      <c r="J436" s="639"/>
      <c r="K436" s="1124"/>
    </row>
    <row r="437" spans="1:11" ht="13.8" thickBot="1" x14ac:dyDescent="0.3">
      <c r="A437" s="719">
        <v>6</v>
      </c>
      <c r="B437" s="669"/>
      <c r="C437" s="1137"/>
      <c r="D437" s="1137"/>
      <c r="E437" s="1137"/>
      <c r="F437" s="1137"/>
      <c r="G437" s="646"/>
      <c r="H437" s="669"/>
      <c r="I437" s="1137"/>
      <c r="J437" s="646"/>
      <c r="K437" s="1138"/>
    </row>
    <row r="438" spans="1:11" x14ac:dyDescent="0.25">
      <c r="A438" s="1190">
        <v>1</v>
      </c>
      <c r="B438" s="745"/>
      <c r="C438" s="1117"/>
      <c r="D438" s="1117"/>
      <c r="E438" s="1117"/>
      <c r="F438" s="1117"/>
      <c r="G438" s="632"/>
      <c r="H438" s="745"/>
      <c r="I438" s="1117"/>
      <c r="J438" s="632"/>
      <c r="K438" s="1118"/>
    </row>
    <row r="439" spans="1:11" x14ac:dyDescent="0.25">
      <c r="A439" s="718">
        <v>2</v>
      </c>
      <c r="B439" s="668"/>
      <c r="C439" s="721"/>
      <c r="D439" s="721"/>
      <c r="E439" s="721"/>
      <c r="F439" s="721"/>
      <c r="G439" s="639"/>
      <c r="H439" s="668"/>
      <c r="I439" s="721"/>
      <c r="J439" s="639"/>
      <c r="K439" s="1124"/>
    </row>
    <row r="440" spans="1:11" ht="13.8" thickBot="1" x14ac:dyDescent="0.3">
      <c r="A440" s="719">
        <v>3</v>
      </c>
      <c r="B440" s="669"/>
      <c r="C440" s="1137"/>
      <c r="D440" s="1137"/>
      <c r="E440" s="1137"/>
      <c r="F440" s="1137"/>
      <c r="G440" s="646"/>
      <c r="H440" s="669"/>
      <c r="I440" s="1137"/>
      <c r="J440" s="646"/>
      <c r="K440" s="1138"/>
    </row>
    <row r="441" spans="1:11" ht="13.8" thickBot="1" x14ac:dyDescent="0.3">
      <c r="A441" s="1186" t="s">
        <v>530</v>
      </c>
      <c r="B441" s="1187"/>
      <c r="C441" s="1188"/>
      <c r="D441" s="1188"/>
      <c r="E441" s="1188"/>
      <c r="F441" s="1188"/>
      <c r="G441" s="1189"/>
      <c r="H441" s="1187"/>
      <c r="I441" s="1188"/>
      <c r="J441" s="1189"/>
      <c r="K441" s="716"/>
    </row>
    <row r="442" spans="1:11" x14ac:dyDescent="0.25">
      <c r="A442" s="1190">
        <v>1</v>
      </c>
      <c r="B442" s="745"/>
      <c r="C442" s="1117"/>
      <c r="D442" s="1117"/>
      <c r="E442" s="1117"/>
      <c r="F442" s="1117"/>
      <c r="G442" s="632"/>
      <c r="H442" s="745"/>
      <c r="I442" s="1117"/>
      <c r="J442" s="632"/>
      <c r="K442" s="1118"/>
    </row>
    <row r="443" spans="1:11" x14ac:dyDescent="0.25">
      <c r="A443" s="718">
        <v>2</v>
      </c>
      <c r="B443" s="668"/>
      <c r="C443" s="721"/>
      <c r="D443" s="721"/>
      <c r="E443" s="721"/>
      <c r="F443" s="721"/>
      <c r="G443" s="639"/>
      <c r="H443" s="668"/>
      <c r="I443" s="721"/>
      <c r="J443" s="639"/>
      <c r="K443" s="1124"/>
    </row>
    <row r="444" spans="1:11" x14ac:dyDescent="0.25">
      <c r="A444" s="718">
        <v>3</v>
      </c>
      <c r="B444" s="668"/>
      <c r="C444" s="721"/>
      <c r="D444" s="721"/>
      <c r="E444" s="721"/>
      <c r="F444" s="721"/>
      <c r="G444" s="639"/>
      <c r="H444" s="668"/>
      <c r="I444" s="721"/>
      <c r="J444" s="639"/>
      <c r="K444" s="1124"/>
    </row>
    <row r="445" spans="1:11" x14ac:dyDescent="0.25">
      <c r="A445" s="718">
        <v>4</v>
      </c>
      <c r="B445" s="668"/>
      <c r="C445" s="721"/>
      <c r="D445" s="721"/>
      <c r="E445" s="721"/>
      <c r="F445" s="721"/>
      <c r="G445" s="639"/>
      <c r="H445" s="668"/>
      <c r="I445" s="721"/>
      <c r="J445" s="639"/>
      <c r="K445" s="1124"/>
    </row>
    <row r="446" spans="1:11" x14ac:dyDescent="0.25">
      <c r="A446" s="718">
        <v>5</v>
      </c>
      <c r="B446" s="668"/>
      <c r="C446" s="721"/>
      <c r="D446" s="721"/>
      <c r="E446" s="721"/>
      <c r="F446" s="721"/>
      <c r="G446" s="639"/>
      <c r="H446" s="668"/>
      <c r="I446" s="721"/>
      <c r="J446" s="639"/>
      <c r="K446" s="1124"/>
    </row>
    <row r="447" spans="1:11" ht="13.8" thickBot="1" x14ac:dyDescent="0.3">
      <c r="A447" s="719">
        <v>6</v>
      </c>
      <c r="B447" s="669"/>
      <c r="C447" s="1137"/>
      <c r="D447" s="1137"/>
      <c r="E447" s="1137"/>
      <c r="F447" s="1137"/>
      <c r="G447" s="646"/>
      <c r="H447" s="669"/>
      <c r="I447" s="1137"/>
      <c r="J447" s="646"/>
      <c r="K447" s="1138"/>
    </row>
    <row r="448" spans="1:11" x14ac:dyDescent="0.25">
      <c r="A448" s="1190">
        <v>1</v>
      </c>
      <c r="B448" s="745"/>
      <c r="C448" s="1117"/>
      <c r="D448" s="1117"/>
      <c r="E448" s="1117"/>
      <c r="F448" s="1117"/>
      <c r="G448" s="632"/>
      <c r="H448" s="745"/>
      <c r="I448" s="1117"/>
      <c r="J448" s="632"/>
      <c r="K448" s="1118"/>
    </row>
    <row r="449" spans="1:11" x14ac:dyDescent="0.25">
      <c r="A449" s="718">
        <v>2</v>
      </c>
      <c r="B449" s="668"/>
      <c r="C449" s="721"/>
      <c r="D449" s="721"/>
      <c r="E449" s="721"/>
      <c r="F449" s="721"/>
      <c r="G449" s="639"/>
      <c r="H449" s="668"/>
      <c r="I449" s="721"/>
      <c r="J449" s="639"/>
      <c r="K449" s="1124"/>
    </row>
    <row r="450" spans="1:11" ht="13.8" thickBot="1" x14ac:dyDescent="0.3">
      <c r="A450" s="719">
        <v>3</v>
      </c>
      <c r="B450" s="669"/>
      <c r="C450" s="1137"/>
      <c r="D450" s="1137"/>
      <c r="E450" s="1137"/>
      <c r="F450" s="1137"/>
      <c r="G450" s="646"/>
      <c r="H450" s="669"/>
      <c r="I450" s="1137"/>
      <c r="J450" s="646"/>
      <c r="K450" s="1138"/>
    </row>
    <row r="451" spans="1:11" ht="13.8" thickBot="1" x14ac:dyDescent="0.3">
      <c r="A451" s="1186" t="s">
        <v>531</v>
      </c>
      <c r="B451" s="1187"/>
      <c r="C451" s="1188"/>
      <c r="D451" s="1188"/>
      <c r="E451" s="1188"/>
      <c r="F451" s="1188"/>
      <c r="G451" s="1189"/>
      <c r="H451" s="1187"/>
      <c r="I451" s="1188"/>
      <c r="J451" s="1189"/>
      <c r="K451" s="716"/>
    </row>
    <row r="452" spans="1:11" x14ac:dyDescent="0.25">
      <c r="A452" s="1190">
        <v>1</v>
      </c>
      <c r="B452" s="745"/>
      <c r="C452" s="1117"/>
      <c r="D452" s="1117"/>
      <c r="E452" s="1117"/>
      <c r="F452" s="1117"/>
      <c r="G452" s="632"/>
      <c r="H452" s="745"/>
      <c r="I452" s="1117"/>
      <c r="J452" s="632"/>
      <c r="K452" s="1118"/>
    </row>
    <row r="453" spans="1:11" x14ac:dyDescent="0.25">
      <c r="A453" s="718">
        <v>2</v>
      </c>
      <c r="B453" s="668"/>
      <c r="C453" s="721"/>
      <c r="D453" s="721"/>
      <c r="E453" s="721"/>
      <c r="F453" s="721"/>
      <c r="G453" s="639"/>
      <c r="H453" s="668"/>
      <c r="I453" s="721"/>
      <c r="J453" s="639"/>
      <c r="K453" s="1124"/>
    </row>
    <row r="454" spans="1:11" x14ac:dyDescent="0.25">
      <c r="A454" s="718">
        <v>3</v>
      </c>
      <c r="B454" s="668"/>
      <c r="C454" s="721"/>
      <c r="D454" s="721"/>
      <c r="E454" s="721"/>
      <c r="F454" s="721"/>
      <c r="G454" s="639"/>
      <c r="H454" s="668"/>
      <c r="I454" s="721"/>
      <c r="J454" s="639"/>
      <c r="K454" s="1124"/>
    </row>
    <row r="455" spans="1:11" x14ac:dyDescent="0.25">
      <c r="A455" s="718">
        <v>4</v>
      </c>
      <c r="B455" s="668"/>
      <c r="C455" s="721"/>
      <c r="D455" s="721"/>
      <c r="E455" s="721"/>
      <c r="F455" s="721"/>
      <c r="G455" s="639"/>
      <c r="H455" s="668"/>
      <c r="I455" s="721"/>
      <c r="J455" s="639"/>
      <c r="K455" s="1124"/>
    </row>
    <row r="456" spans="1:11" x14ac:dyDescent="0.25">
      <c r="A456" s="718">
        <v>5</v>
      </c>
      <c r="B456" s="668"/>
      <c r="C456" s="721"/>
      <c r="D456" s="721"/>
      <c r="E456" s="721"/>
      <c r="F456" s="721"/>
      <c r="G456" s="639"/>
      <c r="H456" s="668"/>
      <c r="I456" s="721"/>
      <c r="J456" s="639"/>
      <c r="K456" s="1124"/>
    </row>
    <row r="457" spans="1:11" ht="13.8" thickBot="1" x14ac:dyDescent="0.3">
      <c r="A457" s="719">
        <v>6</v>
      </c>
      <c r="B457" s="669"/>
      <c r="C457" s="1137"/>
      <c r="D457" s="1137"/>
      <c r="E457" s="1137"/>
      <c r="F457" s="1137"/>
      <c r="G457" s="646"/>
      <c r="H457" s="669"/>
      <c r="I457" s="1137"/>
      <c r="J457" s="646"/>
      <c r="K457" s="1138"/>
    </row>
    <row r="458" spans="1:11" x14ac:dyDescent="0.25">
      <c r="A458" s="1190">
        <v>1</v>
      </c>
      <c r="B458" s="745"/>
      <c r="C458" s="1117"/>
      <c r="D458" s="1117"/>
      <c r="E458" s="1117"/>
      <c r="F458" s="1117"/>
      <c r="G458" s="632"/>
      <c r="H458" s="745"/>
      <c r="I458" s="1117"/>
      <c r="J458" s="632"/>
      <c r="K458" s="1118"/>
    </row>
    <row r="459" spans="1:11" x14ac:dyDescent="0.25">
      <c r="A459" s="718">
        <v>2</v>
      </c>
      <c r="B459" s="668"/>
      <c r="C459" s="721"/>
      <c r="D459" s="721"/>
      <c r="E459" s="721"/>
      <c r="F459" s="721"/>
      <c r="G459" s="639"/>
      <c r="H459" s="668"/>
      <c r="I459" s="721"/>
      <c r="J459" s="639"/>
      <c r="K459" s="1124"/>
    </row>
    <row r="460" spans="1:11" ht="13.8" thickBot="1" x14ac:dyDescent="0.3">
      <c r="A460" s="719">
        <v>3</v>
      </c>
      <c r="B460" s="669"/>
      <c r="C460" s="1137"/>
      <c r="D460" s="1137"/>
      <c r="E460" s="1137"/>
      <c r="F460" s="1137"/>
      <c r="G460" s="646"/>
      <c r="H460" s="669"/>
      <c r="I460" s="1137"/>
      <c r="J460" s="646"/>
      <c r="K460" s="1138"/>
    </row>
    <row r="461" spans="1:11" ht="13.8" thickBot="1" x14ac:dyDescent="0.3">
      <c r="A461" s="1186" t="s">
        <v>532</v>
      </c>
      <c r="B461" s="1187"/>
      <c r="C461" s="1188"/>
      <c r="D461" s="1188"/>
      <c r="E461" s="1188"/>
      <c r="F461" s="1188"/>
      <c r="G461" s="1189"/>
      <c r="H461" s="1187"/>
      <c r="I461" s="1188"/>
      <c r="J461" s="1189"/>
      <c r="K461" s="716"/>
    </row>
    <row r="462" spans="1:11" x14ac:dyDescent="0.25">
      <c r="A462" s="1190">
        <v>1</v>
      </c>
      <c r="B462" s="745"/>
      <c r="C462" s="1117"/>
      <c r="D462" s="1117"/>
      <c r="E462" s="1117"/>
      <c r="F462" s="1117"/>
      <c r="G462" s="632"/>
      <c r="H462" s="745"/>
      <c r="I462" s="1117"/>
      <c r="J462" s="632"/>
      <c r="K462" s="1118"/>
    </row>
    <row r="463" spans="1:11" x14ac:dyDescent="0.25">
      <c r="A463" s="718">
        <v>2</v>
      </c>
      <c r="B463" s="668"/>
      <c r="C463" s="721"/>
      <c r="D463" s="721"/>
      <c r="E463" s="721"/>
      <c r="F463" s="721"/>
      <c r="G463" s="639"/>
      <c r="H463" s="668"/>
      <c r="I463" s="721"/>
      <c r="J463" s="639"/>
      <c r="K463" s="1124"/>
    </row>
    <row r="464" spans="1:11" x14ac:dyDescent="0.25">
      <c r="A464" s="718">
        <v>3</v>
      </c>
      <c r="B464" s="668"/>
      <c r="C464" s="721"/>
      <c r="D464" s="721"/>
      <c r="E464" s="721"/>
      <c r="F464" s="721"/>
      <c r="G464" s="639"/>
      <c r="H464" s="668"/>
      <c r="I464" s="721"/>
      <c r="J464" s="639"/>
      <c r="K464" s="1124"/>
    </row>
    <row r="465" spans="1:11" x14ac:dyDescent="0.25">
      <c r="A465" s="718">
        <v>4</v>
      </c>
      <c r="B465" s="668"/>
      <c r="C465" s="721"/>
      <c r="D465" s="721"/>
      <c r="E465" s="721"/>
      <c r="F465" s="721"/>
      <c r="G465" s="639"/>
      <c r="H465" s="668"/>
      <c r="I465" s="721"/>
      <c r="J465" s="639"/>
      <c r="K465" s="1124"/>
    </row>
    <row r="466" spans="1:11" x14ac:dyDescent="0.25">
      <c r="A466" s="718">
        <v>5</v>
      </c>
      <c r="B466" s="668"/>
      <c r="C466" s="721"/>
      <c r="D466" s="721"/>
      <c r="E466" s="721"/>
      <c r="F466" s="721"/>
      <c r="G466" s="639"/>
      <c r="H466" s="668"/>
      <c r="I466" s="721"/>
      <c r="J466" s="639"/>
      <c r="K466" s="1124"/>
    </row>
    <row r="467" spans="1:11" ht="13.8" thickBot="1" x14ac:dyDescent="0.3">
      <c r="A467" s="719">
        <v>6</v>
      </c>
      <c r="B467" s="669"/>
      <c r="C467" s="1137"/>
      <c r="D467" s="1137"/>
      <c r="E467" s="1137"/>
      <c r="F467" s="1137"/>
      <c r="G467" s="646"/>
      <c r="H467" s="669"/>
      <c r="I467" s="1137"/>
      <c r="J467" s="646"/>
      <c r="K467" s="1138"/>
    </row>
    <row r="468" spans="1:11" x14ac:dyDescent="0.25">
      <c r="A468" s="1190">
        <v>1</v>
      </c>
      <c r="B468" s="745"/>
      <c r="C468" s="1117"/>
      <c r="D468" s="1117"/>
      <c r="E468" s="1117"/>
      <c r="F468" s="1117"/>
      <c r="G468" s="632"/>
      <c r="H468" s="745"/>
      <c r="I468" s="1117"/>
      <c r="J468" s="632"/>
      <c r="K468" s="1118"/>
    </row>
    <row r="469" spans="1:11" x14ac:dyDescent="0.25">
      <c r="A469" s="718">
        <v>2</v>
      </c>
      <c r="B469" s="668"/>
      <c r="C469" s="721"/>
      <c r="D469" s="721"/>
      <c r="E469" s="721"/>
      <c r="F469" s="721"/>
      <c r="G469" s="639"/>
      <c r="H469" s="668"/>
      <c r="I469" s="721"/>
      <c r="J469" s="639"/>
      <c r="K469" s="1124"/>
    </row>
    <row r="470" spans="1:11" ht="13.8" thickBot="1" x14ac:dyDescent="0.3">
      <c r="A470" s="1191">
        <v>3</v>
      </c>
      <c r="B470" s="1132"/>
      <c r="C470" s="1133"/>
      <c r="D470" s="1133"/>
      <c r="E470" s="1133"/>
      <c r="F470" s="1133"/>
      <c r="G470" s="1134"/>
      <c r="H470" s="1132"/>
      <c r="I470" s="1133"/>
      <c r="J470" s="1134"/>
      <c r="K470" s="1147"/>
    </row>
    <row r="471" spans="1:11" ht="13.8" thickBot="1" x14ac:dyDescent="0.3">
      <c r="A471" s="1186" t="s">
        <v>533</v>
      </c>
      <c r="B471" s="1187"/>
      <c r="C471" s="1188"/>
      <c r="D471" s="1188"/>
      <c r="E471" s="1188"/>
      <c r="F471" s="1188"/>
      <c r="G471" s="1189"/>
      <c r="H471" s="1187"/>
      <c r="I471" s="1188"/>
      <c r="J471" s="1189"/>
      <c r="K471" s="716"/>
    </row>
    <row r="472" spans="1:11" x14ac:dyDescent="0.25">
      <c r="A472" s="1190">
        <v>1</v>
      </c>
      <c r="B472" s="745"/>
      <c r="C472" s="1117"/>
      <c r="D472" s="1117"/>
      <c r="E472" s="1117"/>
      <c r="F472" s="1117"/>
      <c r="G472" s="632"/>
      <c r="H472" s="745"/>
      <c r="I472" s="1117"/>
      <c r="J472" s="632"/>
      <c r="K472" s="1118"/>
    </row>
    <row r="473" spans="1:11" x14ac:dyDescent="0.25">
      <c r="A473" s="718">
        <v>2</v>
      </c>
      <c r="B473" s="668"/>
      <c r="C473" s="721"/>
      <c r="D473" s="721"/>
      <c r="E473" s="721"/>
      <c r="F473" s="721"/>
      <c r="G473" s="639"/>
      <c r="H473" s="668"/>
      <c r="I473" s="721"/>
      <c r="J473" s="639"/>
      <c r="K473" s="1124"/>
    </row>
    <row r="474" spans="1:11" x14ac:dyDescent="0.25">
      <c r="A474" s="718">
        <v>3</v>
      </c>
      <c r="B474" s="668"/>
      <c r="C474" s="721"/>
      <c r="D474" s="721"/>
      <c r="E474" s="721"/>
      <c r="F474" s="721"/>
      <c r="G474" s="639"/>
      <c r="H474" s="668"/>
      <c r="I474" s="721"/>
      <c r="J474" s="639"/>
      <c r="K474" s="1124"/>
    </row>
    <row r="475" spans="1:11" x14ac:dyDescent="0.25">
      <c r="A475" s="718">
        <v>4</v>
      </c>
      <c r="B475" s="668"/>
      <c r="C475" s="721"/>
      <c r="D475" s="721"/>
      <c r="E475" s="721"/>
      <c r="F475" s="721"/>
      <c r="G475" s="639"/>
      <c r="H475" s="668"/>
      <c r="I475" s="721"/>
      <c r="J475" s="639"/>
      <c r="K475" s="1124"/>
    </row>
    <row r="476" spans="1:11" x14ac:dyDescent="0.25">
      <c r="A476" s="718">
        <v>5</v>
      </c>
      <c r="B476" s="668"/>
      <c r="C476" s="721"/>
      <c r="D476" s="721"/>
      <c r="E476" s="721"/>
      <c r="F476" s="721"/>
      <c r="G476" s="639"/>
      <c r="H476" s="668"/>
      <c r="I476" s="721"/>
      <c r="J476" s="639"/>
      <c r="K476" s="1124"/>
    </row>
    <row r="477" spans="1:11" ht="13.8" thickBot="1" x14ac:dyDescent="0.3">
      <c r="A477" s="719">
        <v>6</v>
      </c>
      <c r="B477" s="669"/>
      <c r="C477" s="1137"/>
      <c r="D477" s="1137"/>
      <c r="E477" s="1137"/>
      <c r="F477" s="1137"/>
      <c r="G477" s="646"/>
      <c r="H477" s="669"/>
      <c r="I477" s="1137"/>
      <c r="J477" s="646"/>
      <c r="K477" s="1138"/>
    </row>
    <row r="478" spans="1:11" x14ac:dyDescent="0.25">
      <c r="A478" s="1190">
        <v>1</v>
      </c>
      <c r="B478" s="745"/>
      <c r="C478" s="1117"/>
      <c r="D478" s="1117"/>
      <c r="E478" s="1117"/>
      <c r="F478" s="1117"/>
      <c r="G478" s="632"/>
      <c r="H478" s="745"/>
      <c r="I478" s="1117"/>
      <c r="J478" s="632"/>
      <c r="K478" s="1118"/>
    </row>
    <row r="479" spans="1:11" x14ac:dyDescent="0.25">
      <c r="A479" s="718">
        <v>2</v>
      </c>
      <c r="B479" s="668"/>
      <c r="C479" s="721"/>
      <c r="D479" s="721"/>
      <c r="E479" s="721"/>
      <c r="F479" s="721"/>
      <c r="G479" s="639"/>
      <c r="H479" s="668"/>
      <c r="I479" s="721"/>
      <c r="J479" s="639"/>
      <c r="K479" s="1124"/>
    </row>
    <row r="480" spans="1:11" ht="13.8" thickBot="1" x14ac:dyDescent="0.3">
      <c r="A480" s="719">
        <v>3</v>
      </c>
      <c r="B480" s="669"/>
      <c r="C480" s="1137"/>
      <c r="D480" s="1137"/>
      <c r="E480" s="1137"/>
      <c r="F480" s="1137"/>
      <c r="G480" s="646"/>
      <c r="H480" s="669"/>
      <c r="I480" s="1137"/>
      <c r="J480" s="646"/>
      <c r="K480" s="1138"/>
    </row>
    <row r="481" spans="1:11" ht="13.8" thickBot="1" x14ac:dyDescent="0.3">
      <c r="A481" s="1186" t="s">
        <v>534</v>
      </c>
      <c r="B481" s="1187"/>
      <c r="C481" s="1188"/>
      <c r="D481" s="1188"/>
      <c r="E481" s="1188"/>
      <c r="F481" s="1188"/>
      <c r="G481" s="1189"/>
      <c r="H481" s="1187"/>
      <c r="I481" s="1188"/>
      <c r="J481" s="1189"/>
      <c r="K481" s="716"/>
    </row>
    <row r="482" spans="1:11" x14ac:dyDescent="0.25">
      <c r="A482" s="1190">
        <v>1</v>
      </c>
      <c r="B482" s="745"/>
      <c r="C482" s="1117"/>
      <c r="D482" s="1117"/>
      <c r="E482" s="1117"/>
      <c r="F482" s="1117"/>
      <c r="G482" s="632"/>
      <c r="H482" s="745"/>
      <c r="I482" s="1117"/>
      <c r="J482" s="632"/>
      <c r="K482" s="1118"/>
    </row>
    <row r="483" spans="1:11" x14ac:dyDescent="0.25">
      <c r="A483" s="718">
        <v>2</v>
      </c>
      <c r="B483" s="668"/>
      <c r="C483" s="721"/>
      <c r="D483" s="721"/>
      <c r="E483" s="721"/>
      <c r="F483" s="721"/>
      <c r="G483" s="639"/>
      <c r="H483" s="668"/>
      <c r="I483" s="721"/>
      <c r="J483" s="639"/>
      <c r="K483" s="1124"/>
    </row>
    <row r="484" spans="1:11" x14ac:dyDescent="0.25">
      <c r="A484" s="718">
        <v>3</v>
      </c>
      <c r="B484" s="668"/>
      <c r="C484" s="721"/>
      <c r="D484" s="721"/>
      <c r="E484" s="721"/>
      <c r="F484" s="721"/>
      <c r="G484" s="639"/>
      <c r="H484" s="668"/>
      <c r="I484" s="721"/>
      <c r="J484" s="639"/>
      <c r="K484" s="1124"/>
    </row>
    <row r="485" spans="1:11" x14ac:dyDescent="0.25">
      <c r="A485" s="718">
        <v>4</v>
      </c>
      <c r="B485" s="668"/>
      <c r="C485" s="721"/>
      <c r="D485" s="721"/>
      <c r="E485" s="721"/>
      <c r="F485" s="721"/>
      <c r="G485" s="639"/>
      <c r="H485" s="668"/>
      <c r="I485" s="721"/>
      <c r="J485" s="639"/>
      <c r="K485" s="1124"/>
    </row>
    <row r="486" spans="1:11" x14ac:dyDescent="0.25">
      <c r="A486" s="718">
        <v>5</v>
      </c>
      <c r="B486" s="668"/>
      <c r="C486" s="721"/>
      <c r="D486" s="721"/>
      <c r="E486" s="721"/>
      <c r="F486" s="721"/>
      <c r="G486" s="639"/>
      <c r="H486" s="668"/>
      <c r="I486" s="721"/>
      <c r="J486" s="639"/>
      <c r="K486" s="1124"/>
    </row>
    <row r="487" spans="1:11" ht="13.8" thickBot="1" x14ac:dyDescent="0.3">
      <c r="A487" s="719">
        <v>6</v>
      </c>
      <c r="B487" s="669"/>
      <c r="C487" s="1137"/>
      <c r="D487" s="1137"/>
      <c r="E487" s="1137"/>
      <c r="F487" s="1137"/>
      <c r="G487" s="646"/>
      <c r="H487" s="669"/>
      <c r="I487" s="1137"/>
      <c r="J487" s="646"/>
      <c r="K487" s="1138"/>
    </row>
    <row r="488" spans="1:11" x14ac:dyDescent="0.25">
      <c r="A488" s="1190">
        <v>1</v>
      </c>
      <c r="B488" s="745"/>
      <c r="C488" s="1117"/>
      <c r="D488" s="1117"/>
      <c r="E488" s="1117"/>
      <c r="F488" s="1117"/>
      <c r="G488" s="632"/>
      <c r="H488" s="745"/>
      <c r="I488" s="1117"/>
      <c r="J488" s="632"/>
      <c r="K488" s="1118"/>
    </row>
    <row r="489" spans="1:11" x14ac:dyDescent="0.25">
      <c r="A489" s="718">
        <v>2</v>
      </c>
      <c r="B489" s="668"/>
      <c r="C489" s="721"/>
      <c r="D489" s="721"/>
      <c r="E489" s="721"/>
      <c r="F489" s="721"/>
      <c r="G489" s="639"/>
      <c r="H489" s="668"/>
      <c r="I489" s="721"/>
      <c r="J489" s="639"/>
      <c r="K489" s="1124"/>
    </row>
    <row r="490" spans="1:11" ht="13.8" thickBot="1" x14ac:dyDescent="0.3">
      <c r="A490" s="719">
        <v>3</v>
      </c>
      <c r="B490" s="669"/>
      <c r="C490" s="1137"/>
      <c r="D490" s="1137"/>
      <c r="E490" s="1137"/>
      <c r="F490" s="1137"/>
      <c r="G490" s="646"/>
      <c r="H490" s="669"/>
      <c r="I490" s="1137"/>
      <c r="J490" s="646"/>
      <c r="K490" s="1138"/>
    </row>
    <row r="491" spans="1:11" ht="13.8" thickBot="1" x14ac:dyDescent="0.3">
      <c r="A491" s="1186" t="s">
        <v>535</v>
      </c>
      <c r="B491" s="1187"/>
      <c r="C491" s="1188"/>
      <c r="D491" s="1188"/>
      <c r="E491" s="1188"/>
      <c r="F491" s="1188"/>
      <c r="G491" s="1189"/>
      <c r="H491" s="1187"/>
      <c r="I491" s="1188"/>
      <c r="J491" s="1189"/>
      <c r="K491" s="716"/>
    </row>
    <row r="492" spans="1:11" x14ac:dyDescent="0.25">
      <c r="A492" s="1190">
        <v>1</v>
      </c>
      <c r="B492" s="745"/>
      <c r="C492" s="1117"/>
      <c r="D492" s="1117"/>
      <c r="E492" s="1117"/>
      <c r="F492" s="1117"/>
      <c r="G492" s="632"/>
      <c r="H492" s="745"/>
      <c r="I492" s="1117"/>
      <c r="J492" s="632"/>
      <c r="K492" s="1118"/>
    </row>
    <row r="493" spans="1:11" x14ac:dyDescent="0.25">
      <c r="A493" s="718">
        <v>2</v>
      </c>
      <c r="B493" s="668"/>
      <c r="C493" s="721"/>
      <c r="D493" s="721"/>
      <c r="E493" s="721"/>
      <c r="F493" s="721"/>
      <c r="G493" s="639"/>
      <c r="H493" s="668"/>
      <c r="I493" s="721"/>
      <c r="J493" s="639"/>
      <c r="K493" s="1124"/>
    </row>
    <row r="494" spans="1:11" x14ac:dyDescent="0.25">
      <c r="A494" s="718">
        <v>3</v>
      </c>
      <c r="B494" s="668"/>
      <c r="C494" s="721"/>
      <c r="D494" s="721"/>
      <c r="E494" s="721"/>
      <c r="F494" s="721"/>
      <c r="G494" s="639"/>
      <c r="H494" s="668"/>
      <c r="I494" s="721"/>
      <c r="J494" s="639"/>
      <c r="K494" s="1124"/>
    </row>
    <row r="495" spans="1:11" x14ac:dyDescent="0.25">
      <c r="A495" s="718">
        <v>4</v>
      </c>
      <c r="B495" s="668"/>
      <c r="C495" s="721"/>
      <c r="D495" s="721"/>
      <c r="E495" s="721"/>
      <c r="F495" s="721"/>
      <c r="G495" s="639"/>
      <c r="H495" s="668"/>
      <c r="I495" s="721"/>
      <c r="J495" s="639"/>
      <c r="K495" s="1124"/>
    </row>
    <row r="496" spans="1:11" x14ac:dyDescent="0.25">
      <c r="A496" s="718">
        <v>5</v>
      </c>
      <c r="B496" s="668"/>
      <c r="C496" s="721"/>
      <c r="D496" s="721"/>
      <c r="E496" s="721"/>
      <c r="F496" s="721"/>
      <c r="G496" s="639"/>
      <c r="H496" s="668"/>
      <c r="I496" s="721"/>
      <c r="J496" s="639"/>
      <c r="K496" s="1124"/>
    </row>
    <row r="497" spans="1:11" ht="13.8" thickBot="1" x14ac:dyDescent="0.3">
      <c r="A497" s="719">
        <v>6</v>
      </c>
      <c r="B497" s="669"/>
      <c r="C497" s="1137"/>
      <c r="D497" s="1137"/>
      <c r="E497" s="1137"/>
      <c r="F497" s="1137"/>
      <c r="G497" s="646"/>
      <c r="H497" s="669"/>
      <c r="I497" s="1137"/>
      <c r="J497" s="646"/>
      <c r="K497" s="1138"/>
    </row>
    <row r="498" spans="1:11" x14ac:dyDescent="0.25">
      <c r="A498" s="1190">
        <v>1</v>
      </c>
      <c r="B498" s="745"/>
      <c r="C498" s="1117"/>
      <c r="D498" s="1117"/>
      <c r="E498" s="1117"/>
      <c r="F498" s="1117"/>
      <c r="G498" s="632"/>
      <c r="H498" s="745"/>
      <c r="I498" s="1117"/>
      <c r="J498" s="632"/>
      <c r="K498" s="1118"/>
    </row>
    <row r="499" spans="1:11" x14ac:dyDescent="0.25">
      <c r="A499" s="718">
        <v>2</v>
      </c>
      <c r="B499" s="668"/>
      <c r="C499" s="721"/>
      <c r="D499" s="721"/>
      <c r="E499" s="721"/>
      <c r="F499" s="721"/>
      <c r="G499" s="639"/>
      <c r="H499" s="668"/>
      <c r="I499" s="721"/>
      <c r="J499" s="639"/>
      <c r="K499" s="1124"/>
    </row>
    <row r="500" spans="1:11" ht="13.8" thickBot="1" x14ac:dyDescent="0.3">
      <c r="A500" s="719">
        <v>3</v>
      </c>
      <c r="B500" s="669"/>
      <c r="C500" s="1137"/>
      <c r="D500" s="1137"/>
      <c r="E500" s="1137"/>
      <c r="F500" s="1137"/>
      <c r="G500" s="646"/>
      <c r="H500" s="669"/>
      <c r="I500" s="1137"/>
      <c r="J500" s="646"/>
      <c r="K500" s="1138"/>
    </row>
    <row r="501" spans="1:11" ht="13.8" thickBot="1" x14ac:dyDescent="0.3">
      <c r="A501" s="1186" t="s">
        <v>536</v>
      </c>
      <c r="B501" s="1187"/>
      <c r="C501" s="1188"/>
      <c r="D501" s="1188"/>
      <c r="E501" s="1188"/>
      <c r="F501" s="1188"/>
      <c r="G501" s="1189"/>
      <c r="H501" s="1187"/>
      <c r="I501" s="1188"/>
      <c r="J501" s="1189"/>
      <c r="K501" s="716"/>
    </row>
    <row r="502" spans="1:11" x14ac:dyDescent="0.25">
      <c r="A502" s="1190">
        <v>1</v>
      </c>
      <c r="B502" s="745"/>
      <c r="C502" s="1117"/>
      <c r="D502" s="1117"/>
      <c r="E502" s="1117"/>
      <c r="F502" s="1117"/>
      <c r="G502" s="632"/>
      <c r="H502" s="745"/>
      <c r="I502" s="1117"/>
      <c r="J502" s="632"/>
      <c r="K502" s="1118"/>
    </row>
    <row r="503" spans="1:11" x14ac:dyDescent="0.25">
      <c r="A503" s="718">
        <v>2</v>
      </c>
      <c r="B503" s="668"/>
      <c r="C503" s="721"/>
      <c r="D503" s="721"/>
      <c r="E503" s="721"/>
      <c r="F503" s="721"/>
      <c r="G503" s="639"/>
      <c r="H503" s="668"/>
      <c r="I503" s="721"/>
      <c r="J503" s="639"/>
      <c r="K503" s="1124"/>
    </row>
    <row r="504" spans="1:11" x14ac:dyDescent="0.25">
      <c r="A504" s="718">
        <v>3</v>
      </c>
      <c r="B504" s="668"/>
      <c r="C504" s="721"/>
      <c r="D504" s="721"/>
      <c r="E504" s="721"/>
      <c r="F504" s="721"/>
      <c r="G504" s="639"/>
      <c r="H504" s="668"/>
      <c r="I504" s="721"/>
      <c r="J504" s="639"/>
      <c r="K504" s="1124"/>
    </row>
    <row r="505" spans="1:11" x14ac:dyDescent="0.25">
      <c r="A505" s="718">
        <v>4</v>
      </c>
      <c r="B505" s="668"/>
      <c r="C505" s="721"/>
      <c r="D505" s="721"/>
      <c r="E505" s="721"/>
      <c r="F505" s="721"/>
      <c r="G505" s="639"/>
      <c r="H505" s="668"/>
      <c r="I505" s="721"/>
      <c r="J505" s="639"/>
      <c r="K505" s="1124"/>
    </row>
    <row r="506" spans="1:11" x14ac:dyDescent="0.25">
      <c r="A506" s="718">
        <v>5</v>
      </c>
      <c r="B506" s="668"/>
      <c r="C506" s="721"/>
      <c r="D506" s="721"/>
      <c r="E506" s="721"/>
      <c r="F506" s="721"/>
      <c r="G506" s="639"/>
      <c r="H506" s="668"/>
      <c r="I506" s="721"/>
      <c r="J506" s="639"/>
      <c r="K506" s="1124"/>
    </row>
    <row r="507" spans="1:11" ht="13.8" thickBot="1" x14ac:dyDescent="0.3">
      <c r="A507" s="719">
        <v>6</v>
      </c>
      <c r="B507" s="669"/>
      <c r="C507" s="1137"/>
      <c r="D507" s="1137"/>
      <c r="E507" s="1137"/>
      <c r="F507" s="1137"/>
      <c r="G507" s="646"/>
      <c r="H507" s="669"/>
      <c r="I507" s="1137"/>
      <c r="J507" s="646"/>
      <c r="K507" s="1138"/>
    </row>
    <row r="508" spans="1:11" x14ac:dyDescent="0.25">
      <c r="A508" s="1190">
        <v>1</v>
      </c>
      <c r="B508" s="745"/>
      <c r="C508" s="1117"/>
      <c r="D508" s="1117"/>
      <c r="E508" s="1117"/>
      <c r="F508" s="1117"/>
      <c r="G508" s="632"/>
      <c r="H508" s="745"/>
      <c r="I508" s="1117"/>
      <c r="J508" s="632"/>
      <c r="K508" s="1118"/>
    </row>
    <row r="509" spans="1:11" x14ac:dyDescent="0.25">
      <c r="A509" s="718">
        <v>2</v>
      </c>
      <c r="B509" s="668"/>
      <c r="C509" s="721"/>
      <c r="D509" s="721"/>
      <c r="E509" s="721"/>
      <c r="F509" s="721"/>
      <c r="G509" s="639"/>
      <c r="H509" s="668"/>
      <c r="I509" s="721"/>
      <c r="J509" s="639"/>
      <c r="K509" s="1124"/>
    </row>
    <row r="510" spans="1:11" ht="13.8" thickBot="1" x14ac:dyDescent="0.3">
      <c r="A510" s="719">
        <v>3</v>
      </c>
      <c r="B510" s="669"/>
      <c r="C510" s="1137"/>
      <c r="D510" s="1137"/>
      <c r="E510" s="1137"/>
      <c r="F510" s="1137"/>
      <c r="G510" s="646"/>
      <c r="H510" s="669"/>
      <c r="I510" s="1137"/>
      <c r="J510" s="646"/>
      <c r="K510" s="1138"/>
    </row>
    <row r="511" spans="1:11" ht="13.8" thickBot="1" x14ac:dyDescent="0.3">
      <c r="A511" s="1186" t="s">
        <v>537</v>
      </c>
      <c r="B511" s="1187"/>
      <c r="C511" s="1188"/>
      <c r="D511" s="1188"/>
      <c r="E511" s="1188"/>
      <c r="F511" s="1188"/>
      <c r="G511" s="1189"/>
      <c r="H511" s="1187"/>
      <c r="I511" s="1188"/>
      <c r="J511" s="1189"/>
      <c r="K511" s="716"/>
    </row>
    <row r="512" spans="1:11" x14ac:dyDescent="0.25">
      <c r="A512" s="1190">
        <v>1</v>
      </c>
      <c r="B512" s="745"/>
      <c r="C512" s="1117"/>
      <c r="D512" s="1117"/>
      <c r="E512" s="1117"/>
      <c r="F512" s="1117"/>
      <c r="G512" s="632"/>
      <c r="H512" s="745"/>
      <c r="I512" s="1117"/>
      <c r="J512" s="632"/>
      <c r="K512" s="1118"/>
    </row>
    <row r="513" spans="1:11" x14ac:dyDescent="0.25">
      <c r="A513" s="718">
        <v>2</v>
      </c>
      <c r="B513" s="668"/>
      <c r="C513" s="721"/>
      <c r="D513" s="721"/>
      <c r="E513" s="721"/>
      <c r="F513" s="721"/>
      <c r="G513" s="639"/>
      <c r="H513" s="668"/>
      <c r="I513" s="721"/>
      <c r="J513" s="639"/>
      <c r="K513" s="1124"/>
    </row>
    <row r="514" spans="1:11" x14ac:dyDescent="0.25">
      <c r="A514" s="718">
        <v>3</v>
      </c>
      <c r="B514" s="668"/>
      <c r="C514" s="721"/>
      <c r="D514" s="721"/>
      <c r="E514" s="721"/>
      <c r="F514" s="721"/>
      <c r="G514" s="639"/>
      <c r="H514" s="668"/>
      <c r="I514" s="721"/>
      <c r="J514" s="639"/>
      <c r="K514" s="1124"/>
    </row>
    <row r="515" spans="1:11" x14ac:dyDescent="0.25">
      <c r="A515" s="718">
        <v>4</v>
      </c>
      <c r="B515" s="668"/>
      <c r="C515" s="721"/>
      <c r="D515" s="721"/>
      <c r="E515" s="721"/>
      <c r="F515" s="721"/>
      <c r="G515" s="639"/>
      <c r="H515" s="668"/>
      <c r="I515" s="721"/>
      <c r="J515" s="639"/>
      <c r="K515" s="1124"/>
    </row>
    <row r="516" spans="1:11" x14ac:dyDescent="0.25">
      <c r="A516" s="718">
        <v>5</v>
      </c>
      <c r="B516" s="668"/>
      <c r="C516" s="721"/>
      <c r="D516" s="721"/>
      <c r="E516" s="721"/>
      <c r="F516" s="721"/>
      <c r="G516" s="639"/>
      <c r="H516" s="668"/>
      <c r="I516" s="721"/>
      <c r="J516" s="639"/>
      <c r="K516" s="1124"/>
    </row>
    <row r="517" spans="1:11" ht="13.8" thickBot="1" x14ac:dyDescent="0.3">
      <c r="A517" s="719">
        <v>6</v>
      </c>
      <c r="B517" s="669"/>
      <c r="C517" s="1137"/>
      <c r="D517" s="1137"/>
      <c r="E517" s="1137"/>
      <c r="F517" s="1137"/>
      <c r="G517" s="646"/>
      <c r="H517" s="669"/>
      <c r="I517" s="1137"/>
      <c r="J517" s="646"/>
      <c r="K517" s="1138"/>
    </row>
    <row r="518" spans="1:11" x14ac:dyDescent="0.25">
      <c r="A518" s="1190">
        <v>1</v>
      </c>
      <c r="B518" s="745"/>
      <c r="C518" s="1117"/>
      <c r="D518" s="1117"/>
      <c r="E518" s="1117"/>
      <c r="F518" s="1117"/>
      <c r="G518" s="632"/>
      <c r="H518" s="745"/>
      <c r="I518" s="1117"/>
      <c r="J518" s="632"/>
      <c r="K518" s="1118"/>
    </row>
    <row r="519" spans="1:11" x14ac:dyDescent="0.25">
      <c r="A519" s="718">
        <v>2</v>
      </c>
      <c r="B519" s="668"/>
      <c r="C519" s="721"/>
      <c r="D519" s="721"/>
      <c r="E519" s="721"/>
      <c r="F519" s="721"/>
      <c r="G519" s="639"/>
      <c r="H519" s="668"/>
      <c r="I519" s="721"/>
      <c r="J519" s="639"/>
      <c r="K519" s="1124"/>
    </row>
    <row r="520" spans="1:11" ht="13.8" thickBot="1" x14ac:dyDescent="0.3">
      <c r="A520" s="719">
        <v>3</v>
      </c>
      <c r="B520" s="669"/>
      <c r="C520" s="1137"/>
      <c r="D520" s="1137"/>
      <c r="E520" s="1137"/>
      <c r="F520" s="1137"/>
      <c r="G520" s="646"/>
      <c r="H520" s="669"/>
      <c r="I520" s="1137"/>
      <c r="J520" s="646"/>
      <c r="K520" s="1138"/>
    </row>
    <row r="521" spans="1:11" ht="13.8" thickBot="1" x14ac:dyDescent="0.3">
      <c r="A521" s="1186" t="s">
        <v>538</v>
      </c>
      <c r="B521" s="1187"/>
      <c r="C521" s="1188"/>
      <c r="D521" s="1188"/>
      <c r="E521" s="1188"/>
      <c r="F521" s="1188"/>
      <c r="G521" s="1189"/>
      <c r="H521" s="1187"/>
      <c r="I521" s="1188"/>
      <c r="J521" s="1189"/>
      <c r="K521" s="716"/>
    </row>
    <row r="522" spans="1:11" x14ac:dyDescent="0.25">
      <c r="A522" s="1190">
        <v>1</v>
      </c>
      <c r="B522" s="745"/>
      <c r="C522" s="1117"/>
      <c r="D522" s="1117"/>
      <c r="E522" s="1117"/>
      <c r="F522" s="1117"/>
      <c r="G522" s="632"/>
      <c r="H522" s="745"/>
      <c r="I522" s="1117"/>
      <c r="J522" s="632"/>
      <c r="K522" s="1118"/>
    </row>
    <row r="523" spans="1:11" x14ac:dyDescent="0.25">
      <c r="A523" s="718">
        <v>2</v>
      </c>
      <c r="B523" s="668"/>
      <c r="C523" s="721"/>
      <c r="D523" s="721"/>
      <c r="E523" s="721"/>
      <c r="F523" s="721"/>
      <c r="G523" s="639"/>
      <c r="H523" s="668"/>
      <c r="I523" s="721"/>
      <c r="J523" s="639"/>
      <c r="K523" s="1124"/>
    </row>
    <row r="524" spans="1:11" x14ac:dyDescent="0.25">
      <c r="A524" s="718">
        <v>3</v>
      </c>
      <c r="B524" s="668"/>
      <c r="C524" s="721"/>
      <c r="D524" s="721"/>
      <c r="E524" s="721"/>
      <c r="F524" s="721"/>
      <c r="G524" s="639"/>
      <c r="H524" s="668"/>
      <c r="I524" s="721"/>
      <c r="J524" s="639"/>
      <c r="K524" s="1124"/>
    </row>
    <row r="525" spans="1:11" x14ac:dyDescent="0.25">
      <c r="A525" s="718">
        <v>4</v>
      </c>
      <c r="B525" s="668"/>
      <c r="C525" s="721"/>
      <c r="D525" s="721"/>
      <c r="E525" s="721"/>
      <c r="F525" s="721"/>
      <c r="G525" s="639"/>
      <c r="H525" s="668"/>
      <c r="I525" s="721"/>
      <c r="J525" s="639"/>
      <c r="K525" s="1124"/>
    </row>
    <row r="526" spans="1:11" x14ac:dyDescent="0.25">
      <c r="A526" s="718">
        <v>5</v>
      </c>
      <c r="B526" s="668"/>
      <c r="C526" s="721"/>
      <c r="D526" s="721"/>
      <c r="E526" s="721"/>
      <c r="F526" s="721"/>
      <c r="G526" s="639"/>
      <c r="H526" s="668"/>
      <c r="I526" s="721"/>
      <c r="J526" s="639"/>
      <c r="K526" s="1124"/>
    </row>
    <row r="527" spans="1:11" ht="13.8" thickBot="1" x14ac:dyDescent="0.3">
      <c r="A527" s="719">
        <v>6</v>
      </c>
      <c r="B527" s="669"/>
      <c r="C527" s="1137"/>
      <c r="D527" s="1137"/>
      <c r="E527" s="1137"/>
      <c r="F527" s="1137"/>
      <c r="G527" s="646"/>
      <c r="H527" s="669"/>
      <c r="I527" s="1137"/>
      <c r="J527" s="646"/>
      <c r="K527" s="1138"/>
    </row>
    <row r="528" spans="1:11" x14ac:dyDescent="0.25">
      <c r="A528" s="1190">
        <v>1</v>
      </c>
      <c r="B528" s="745"/>
      <c r="C528" s="1117"/>
      <c r="D528" s="1117"/>
      <c r="E528" s="1117"/>
      <c r="F528" s="1117"/>
      <c r="G528" s="632"/>
      <c r="H528" s="745"/>
      <c r="I528" s="1117"/>
      <c r="J528" s="632"/>
      <c r="K528" s="1118"/>
    </row>
    <row r="529" spans="1:11" x14ac:dyDescent="0.25">
      <c r="A529" s="718">
        <v>2</v>
      </c>
      <c r="B529" s="668"/>
      <c r="C529" s="721"/>
      <c r="D529" s="721"/>
      <c r="E529" s="721"/>
      <c r="F529" s="721"/>
      <c r="G529" s="639"/>
      <c r="H529" s="668"/>
      <c r="I529" s="721"/>
      <c r="J529" s="639"/>
      <c r="K529" s="1124"/>
    </row>
    <row r="530" spans="1:11" ht="13.8" thickBot="1" x14ac:dyDescent="0.3">
      <c r="A530" s="1191">
        <v>3</v>
      </c>
      <c r="B530" s="1132"/>
      <c r="C530" s="1133"/>
      <c r="D530" s="1133"/>
      <c r="E530" s="1133"/>
      <c r="F530" s="1133"/>
      <c r="G530" s="1134"/>
      <c r="H530" s="1132"/>
      <c r="I530" s="1133"/>
      <c r="J530" s="1134"/>
      <c r="K530" s="1147"/>
    </row>
    <row r="531" spans="1:11" ht="13.8" thickBot="1" x14ac:dyDescent="0.3">
      <c r="A531" s="1186" t="s">
        <v>539</v>
      </c>
      <c r="B531" s="1187"/>
      <c r="C531" s="1188"/>
      <c r="D531" s="1188"/>
      <c r="E531" s="1188"/>
      <c r="F531" s="1188"/>
      <c r="G531" s="1189"/>
      <c r="H531" s="1187"/>
      <c r="I531" s="1188"/>
      <c r="J531" s="1189"/>
      <c r="K531" s="716"/>
    </row>
    <row r="532" spans="1:11" x14ac:dyDescent="0.25">
      <c r="A532" s="1190">
        <v>1</v>
      </c>
      <c r="B532" s="745"/>
      <c r="C532" s="1117"/>
      <c r="D532" s="1117"/>
      <c r="E532" s="1117"/>
      <c r="F532" s="1117"/>
      <c r="G532" s="632"/>
      <c r="H532" s="745"/>
      <c r="I532" s="1117"/>
      <c r="J532" s="632"/>
      <c r="K532" s="1118"/>
    </row>
    <row r="533" spans="1:11" x14ac:dyDescent="0.25">
      <c r="A533" s="718">
        <v>2</v>
      </c>
      <c r="B533" s="668"/>
      <c r="C533" s="721"/>
      <c r="D533" s="721"/>
      <c r="E533" s="721"/>
      <c r="F533" s="721"/>
      <c r="G533" s="639"/>
      <c r="H533" s="668"/>
      <c r="I533" s="721"/>
      <c r="J533" s="639"/>
      <c r="K533" s="1124"/>
    </row>
    <row r="534" spans="1:11" x14ac:dyDescent="0.25">
      <c r="A534" s="718">
        <v>3</v>
      </c>
      <c r="B534" s="668"/>
      <c r="C534" s="721"/>
      <c r="D534" s="721"/>
      <c r="E534" s="721"/>
      <c r="F534" s="721"/>
      <c r="G534" s="639"/>
      <c r="H534" s="668"/>
      <c r="I534" s="721"/>
      <c r="J534" s="639"/>
      <c r="K534" s="1124"/>
    </row>
    <row r="535" spans="1:11" x14ac:dyDescent="0.25">
      <c r="A535" s="718">
        <v>4</v>
      </c>
      <c r="B535" s="668"/>
      <c r="C535" s="721"/>
      <c r="D535" s="721"/>
      <c r="E535" s="721"/>
      <c r="F535" s="721"/>
      <c r="G535" s="639"/>
      <c r="H535" s="668"/>
      <c r="I535" s="721"/>
      <c r="J535" s="639"/>
      <c r="K535" s="1124"/>
    </row>
    <row r="536" spans="1:11" x14ac:dyDescent="0.25">
      <c r="A536" s="718">
        <v>5</v>
      </c>
      <c r="B536" s="668"/>
      <c r="C536" s="721"/>
      <c r="D536" s="721"/>
      <c r="E536" s="721"/>
      <c r="F536" s="721"/>
      <c r="G536" s="639"/>
      <c r="H536" s="668"/>
      <c r="I536" s="721"/>
      <c r="J536" s="639"/>
      <c r="K536" s="1124"/>
    </row>
    <row r="537" spans="1:11" ht="13.8" thickBot="1" x14ac:dyDescent="0.3">
      <c r="A537" s="719">
        <v>6</v>
      </c>
      <c r="B537" s="669"/>
      <c r="C537" s="1137"/>
      <c r="D537" s="1137"/>
      <c r="E537" s="1137"/>
      <c r="F537" s="1137"/>
      <c r="G537" s="646"/>
      <c r="H537" s="669"/>
      <c r="I537" s="1137"/>
      <c r="J537" s="646"/>
      <c r="K537" s="1138"/>
    </row>
    <row r="538" spans="1:11" x14ac:dyDescent="0.25">
      <c r="A538" s="1190">
        <v>1</v>
      </c>
      <c r="B538" s="745"/>
      <c r="C538" s="1117"/>
      <c r="D538" s="1117"/>
      <c r="E538" s="1117"/>
      <c r="F538" s="1117"/>
      <c r="G538" s="632"/>
      <c r="H538" s="745"/>
      <c r="I538" s="1117"/>
      <c r="J538" s="632"/>
      <c r="K538" s="1118"/>
    </row>
    <row r="539" spans="1:11" x14ac:dyDescent="0.25">
      <c r="A539" s="718">
        <v>2</v>
      </c>
      <c r="B539" s="668"/>
      <c r="C539" s="721"/>
      <c r="D539" s="721"/>
      <c r="E539" s="721"/>
      <c r="F539" s="721"/>
      <c r="G539" s="639"/>
      <c r="H539" s="668"/>
      <c r="I539" s="721"/>
      <c r="J539" s="639"/>
      <c r="K539" s="1124"/>
    </row>
    <row r="540" spans="1:11" ht="13.8" thickBot="1" x14ac:dyDescent="0.3">
      <c r="A540" s="719">
        <v>3</v>
      </c>
      <c r="B540" s="669"/>
      <c r="C540" s="1137"/>
      <c r="D540" s="1137"/>
      <c r="E540" s="1137"/>
      <c r="F540" s="1137"/>
      <c r="G540" s="646"/>
      <c r="H540" s="669"/>
      <c r="I540" s="1137"/>
      <c r="J540" s="646"/>
      <c r="K540" s="1138"/>
    </row>
    <row r="541" spans="1:11" ht="13.8" thickBot="1" x14ac:dyDescent="0.3">
      <c r="A541" s="1186" t="s">
        <v>540</v>
      </c>
      <c r="B541" s="1187"/>
      <c r="C541" s="1188"/>
      <c r="D541" s="1188"/>
      <c r="E541" s="1188"/>
      <c r="F541" s="1188"/>
      <c r="G541" s="1189"/>
      <c r="H541" s="1187"/>
      <c r="I541" s="1188"/>
      <c r="J541" s="1189"/>
      <c r="K541" s="716"/>
    </row>
    <row r="542" spans="1:11" x14ac:dyDescent="0.25">
      <c r="A542" s="1190">
        <v>1</v>
      </c>
      <c r="B542" s="745"/>
      <c r="C542" s="1117"/>
      <c r="D542" s="1117"/>
      <c r="E542" s="1117"/>
      <c r="F542" s="1117"/>
      <c r="G542" s="632"/>
      <c r="H542" s="745"/>
      <c r="I542" s="1117"/>
      <c r="J542" s="632"/>
      <c r="K542" s="1118"/>
    </row>
    <row r="543" spans="1:11" x14ac:dyDescent="0.25">
      <c r="A543" s="718">
        <v>2</v>
      </c>
      <c r="B543" s="668"/>
      <c r="C543" s="721"/>
      <c r="D543" s="721"/>
      <c r="E543" s="721"/>
      <c r="F543" s="721"/>
      <c r="G543" s="639"/>
      <c r="H543" s="668"/>
      <c r="I543" s="721"/>
      <c r="J543" s="639"/>
      <c r="K543" s="1124"/>
    </row>
    <row r="544" spans="1:11" x14ac:dyDescent="0.25">
      <c r="A544" s="718">
        <v>3</v>
      </c>
      <c r="B544" s="668"/>
      <c r="C544" s="721"/>
      <c r="D544" s="721"/>
      <c r="E544" s="721"/>
      <c r="F544" s="721"/>
      <c r="G544" s="639"/>
      <c r="H544" s="668"/>
      <c r="I544" s="721"/>
      <c r="J544" s="639"/>
      <c r="K544" s="1124"/>
    </row>
    <row r="545" spans="1:11" x14ac:dyDescent="0.25">
      <c r="A545" s="718">
        <v>4</v>
      </c>
      <c r="B545" s="668"/>
      <c r="C545" s="721"/>
      <c r="D545" s="721"/>
      <c r="E545" s="721"/>
      <c r="F545" s="721"/>
      <c r="G545" s="639"/>
      <c r="H545" s="668"/>
      <c r="I545" s="721"/>
      <c r="J545" s="639"/>
      <c r="K545" s="1124"/>
    </row>
    <row r="546" spans="1:11" x14ac:dyDescent="0.25">
      <c r="A546" s="718">
        <v>5</v>
      </c>
      <c r="B546" s="668"/>
      <c r="C546" s="721"/>
      <c r="D546" s="721"/>
      <c r="E546" s="721"/>
      <c r="F546" s="721"/>
      <c r="G546" s="639"/>
      <c r="H546" s="668"/>
      <c r="I546" s="721"/>
      <c r="J546" s="639"/>
      <c r="K546" s="1124"/>
    </row>
    <row r="547" spans="1:11" ht="13.8" thickBot="1" x14ac:dyDescent="0.3">
      <c r="A547" s="719">
        <v>6</v>
      </c>
      <c r="B547" s="669"/>
      <c r="C547" s="1137"/>
      <c r="D547" s="1137"/>
      <c r="E547" s="1137"/>
      <c r="F547" s="1137"/>
      <c r="G547" s="646"/>
      <c r="H547" s="669"/>
      <c r="I547" s="1137"/>
      <c r="J547" s="646"/>
      <c r="K547" s="1138"/>
    </row>
    <row r="548" spans="1:11" x14ac:dyDescent="0.25">
      <c r="A548" s="1190">
        <v>1</v>
      </c>
      <c r="B548" s="745"/>
      <c r="C548" s="1117"/>
      <c r="D548" s="1117"/>
      <c r="E548" s="1117"/>
      <c r="F548" s="1117"/>
      <c r="G548" s="632"/>
      <c r="H548" s="745"/>
      <c r="I548" s="1117"/>
      <c r="J548" s="632"/>
      <c r="K548" s="1118"/>
    </row>
    <row r="549" spans="1:11" x14ac:dyDescent="0.25">
      <c r="A549" s="718">
        <v>2</v>
      </c>
      <c r="B549" s="668"/>
      <c r="C549" s="721"/>
      <c r="D549" s="721"/>
      <c r="E549" s="721"/>
      <c r="F549" s="721"/>
      <c r="G549" s="639"/>
      <c r="H549" s="668"/>
      <c r="I549" s="721"/>
      <c r="J549" s="639"/>
      <c r="K549" s="1124"/>
    </row>
    <row r="550" spans="1:11" ht="13.8" thickBot="1" x14ac:dyDescent="0.3">
      <c r="A550" s="719">
        <v>3</v>
      </c>
      <c r="B550" s="669"/>
      <c r="C550" s="1137"/>
      <c r="D550" s="1137"/>
      <c r="E550" s="1137"/>
      <c r="F550" s="1137"/>
      <c r="G550" s="646"/>
      <c r="H550" s="669"/>
      <c r="I550" s="1137"/>
      <c r="J550" s="646"/>
      <c r="K550" s="1138"/>
    </row>
    <row r="551" spans="1:11" ht="13.8" thickBot="1" x14ac:dyDescent="0.3">
      <c r="A551" s="1186" t="s">
        <v>541</v>
      </c>
      <c r="B551" s="1187"/>
      <c r="C551" s="1188"/>
      <c r="D551" s="1188"/>
      <c r="E551" s="1188"/>
      <c r="F551" s="1188"/>
      <c r="G551" s="1189"/>
      <c r="H551" s="1187"/>
      <c r="I551" s="1188"/>
      <c r="J551" s="1189"/>
      <c r="K551" s="716"/>
    </row>
    <row r="552" spans="1:11" x14ac:dyDescent="0.25">
      <c r="A552" s="1190">
        <v>1</v>
      </c>
      <c r="B552" s="745"/>
      <c r="C552" s="1117"/>
      <c r="D552" s="1117"/>
      <c r="E552" s="1117"/>
      <c r="F552" s="1117"/>
      <c r="G552" s="632"/>
      <c r="H552" s="745"/>
      <c r="I552" s="1117"/>
      <c r="J552" s="632"/>
      <c r="K552" s="1118"/>
    </row>
    <row r="553" spans="1:11" x14ac:dyDescent="0.25">
      <c r="A553" s="718">
        <v>2</v>
      </c>
      <c r="B553" s="668"/>
      <c r="C553" s="721"/>
      <c r="D553" s="721"/>
      <c r="E553" s="721"/>
      <c r="F553" s="721"/>
      <c r="G553" s="639"/>
      <c r="H553" s="668"/>
      <c r="I553" s="721"/>
      <c r="J553" s="639"/>
      <c r="K553" s="1124"/>
    </row>
    <row r="554" spans="1:11" x14ac:dyDescent="0.25">
      <c r="A554" s="718">
        <v>3</v>
      </c>
      <c r="B554" s="668"/>
      <c r="C554" s="721"/>
      <c r="D554" s="721"/>
      <c r="E554" s="721"/>
      <c r="F554" s="721"/>
      <c r="G554" s="639"/>
      <c r="H554" s="668"/>
      <c r="I554" s="721"/>
      <c r="J554" s="639"/>
      <c r="K554" s="1124"/>
    </row>
    <row r="555" spans="1:11" x14ac:dyDescent="0.25">
      <c r="A555" s="718">
        <v>4</v>
      </c>
      <c r="B555" s="668"/>
      <c r="C555" s="721"/>
      <c r="D555" s="721"/>
      <c r="E555" s="721"/>
      <c r="F555" s="721"/>
      <c r="G555" s="639"/>
      <c r="H555" s="668"/>
      <c r="I555" s="721"/>
      <c r="J555" s="639"/>
      <c r="K555" s="1124"/>
    </row>
    <row r="556" spans="1:11" x14ac:dyDescent="0.25">
      <c r="A556" s="718">
        <v>5</v>
      </c>
      <c r="B556" s="668"/>
      <c r="C556" s="721"/>
      <c r="D556" s="721"/>
      <c r="E556" s="721"/>
      <c r="F556" s="721"/>
      <c r="G556" s="639"/>
      <c r="H556" s="668"/>
      <c r="I556" s="721"/>
      <c r="J556" s="639"/>
      <c r="K556" s="1124"/>
    </row>
    <row r="557" spans="1:11" ht="13.8" thickBot="1" x14ac:dyDescent="0.3">
      <c r="A557" s="719">
        <v>6</v>
      </c>
      <c r="B557" s="669"/>
      <c r="C557" s="1137"/>
      <c r="D557" s="1137"/>
      <c r="E557" s="1137"/>
      <c r="F557" s="1137"/>
      <c r="G557" s="646"/>
      <c r="H557" s="669"/>
      <c r="I557" s="1137"/>
      <c r="J557" s="646"/>
      <c r="K557" s="1138"/>
    </row>
    <row r="558" spans="1:11" x14ac:dyDescent="0.25">
      <c r="A558" s="1190">
        <v>1</v>
      </c>
      <c r="B558" s="745"/>
      <c r="C558" s="1117"/>
      <c r="D558" s="1117"/>
      <c r="E558" s="1117"/>
      <c r="F558" s="1117"/>
      <c r="G558" s="632"/>
      <c r="H558" s="745"/>
      <c r="I558" s="1117"/>
      <c r="J558" s="632"/>
      <c r="K558" s="1118"/>
    </row>
    <row r="559" spans="1:11" x14ac:dyDescent="0.25">
      <c r="A559" s="718">
        <v>2</v>
      </c>
      <c r="B559" s="668"/>
      <c r="C559" s="721"/>
      <c r="D559" s="721"/>
      <c r="E559" s="721"/>
      <c r="F559" s="721"/>
      <c r="G559" s="639"/>
      <c r="H559" s="668"/>
      <c r="I559" s="721"/>
      <c r="J559" s="639"/>
      <c r="K559" s="1124"/>
    </row>
    <row r="560" spans="1:11" ht="13.8" thickBot="1" x14ac:dyDescent="0.3">
      <c r="A560" s="719">
        <v>3</v>
      </c>
      <c r="B560" s="669"/>
      <c r="C560" s="1137"/>
      <c r="D560" s="1137"/>
      <c r="E560" s="1137"/>
      <c r="F560" s="1137"/>
      <c r="G560" s="646"/>
      <c r="H560" s="669"/>
      <c r="I560" s="1137"/>
      <c r="J560" s="646"/>
      <c r="K560" s="1138"/>
    </row>
    <row r="561" spans="1:11" ht="13.8" thickBot="1" x14ac:dyDescent="0.3">
      <c r="A561" s="1186" t="s">
        <v>542</v>
      </c>
      <c r="B561" s="1187"/>
      <c r="C561" s="1188"/>
      <c r="D561" s="1188"/>
      <c r="E561" s="1188"/>
      <c r="F561" s="1188"/>
      <c r="G561" s="1189"/>
      <c r="H561" s="1187"/>
      <c r="I561" s="1188"/>
      <c r="J561" s="1189"/>
      <c r="K561" s="716"/>
    </row>
    <row r="562" spans="1:11" x14ac:dyDescent="0.25">
      <c r="A562" s="1190">
        <v>1</v>
      </c>
      <c r="B562" s="745"/>
      <c r="C562" s="1117"/>
      <c r="D562" s="1117"/>
      <c r="E562" s="1117"/>
      <c r="F562" s="1117"/>
      <c r="G562" s="632"/>
      <c r="H562" s="745"/>
      <c r="I562" s="1117"/>
      <c r="J562" s="632"/>
      <c r="K562" s="1118"/>
    </row>
    <row r="563" spans="1:11" x14ac:dyDescent="0.25">
      <c r="A563" s="718">
        <v>2</v>
      </c>
      <c r="B563" s="668"/>
      <c r="C563" s="721"/>
      <c r="D563" s="721"/>
      <c r="E563" s="721"/>
      <c r="F563" s="721"/>
      <c r="G563" s="639"/>
      <c r="H563" s="668"/>
      <c r="I563" s="721"/>
      <c r="J563" s="639"/>
      <c r="K563" s="1124"/>
    </row>
    <row r="564" spans="1:11" x14ac:dyDescent="0.25">
      <c r="A564" s="718">
        <v>3</v>
      </c>
      <c r="B564" s="668"/>
      <c r="C564" s="721"/>
      <c r="D564" s="721"/>
      <c r="E564" s="721"/>
      <c r="F564" s="721"/>
      <c r="G564" s="639"/>
      <c r="H564" s="668"/>
      <c r="I564" s="721"/>
      <c r="J564" s="639"/>
      <c r="K564" s="1124"/>
    </row>
    <row r="565" spans="1:11" x14ac:dyDescent="0.25">
      <c r="A565" s="718">
        <v>4</v>
      </c>
      <c r="B565" s="668"/>
      <c r="C565" s="721"/>
      <c r="D565" s="721"/>
      <c r="E565" s="721"/>
      <c r="F565" s="721"/>
      <c r="G565" s="639"/>
      <c r="H565" s="668"/>
      <c r="I565" s="721"/>
      <c r="J565" s="639"/>
      <c r="K565" s="1124"/>
    </row>
    <row r="566" spans="1:11" x14ac:dyDescent="0.25">
      <c r="A566" s="718">
        <v>5</v>
      </c>
      <c r="B566" s="668"/>
      <c r="C566" s="721"/>
      <c r="D566" s="721"/>
      <c r="E566" s="721"/>
      <c r="F566" s="721"/>
      <c r="G566" s="639"/>
      <c r="H566" s="668"/>
      <c r="I566" s="721"/>
      <c r="J566" s="639"/>
      <c r="K566" s="1124"/>
    </row>
    <row r="567" spans="1:11" ht="13.8" thickBot="1" x14ac:dyDescent="0.3">
      <c r="A567" s="719">
        <v>6</v>
      </c>
      <c r="B567" s="669"/>
      <c r="C567" s="1137"/>
      <c r="D567" s="1137"/>
      <c r="E567" s="1137"/>
      <c r="F567" s="1137"/>
      <c r="G567" s="646"/>
      <c r="H567" s="669"/>
      <c r="I567" s="1137"/>
      <c r="J567" s="646"/>
      <c r="K567" s="1138"/>
    </row>
    <row r="568" spans="1:11" x14ac:dyDescent="0.25">
      <c r="A568" s="1190">
        <v>1</v>
      </c>
      <c r="B568" s="745"/>
      <c r="C568" s="1117"/>
      <c r="D568" s="1117"/>
      <c r="E568" s="1117"/>
      <c r="F568" s="1117"/>
      <c r="G568" s="632"/>
      <c r="H568" s="745"/>
      <c r="I568" s="1117"/>
      <c r="J568" s="632"/>
      <c r="K568" s="1118"/>
    </row>
    <row r="569" spans="1:11" x14ac:dyDescent="0.25">
      <c r="A569" s="718">
        <v>2</v>
      </c>
      <c r="B569" s="668"/>
      <c r="C569" s="721"/>
      <c r="D569" s="721"/>
      <c r="E569" s="721"/>
      <c r="F569" s="721"/>
      <c r="G569" s="639"/>
      <c r="H569" s="668"/>
      <c r="I569" s="721"/>
      <c r="J569" s="639"/>
      <c r="K569" s="1124"/>
    </row>
    <row r="570" spans="1:11" ht="13.8" thickBot="1" x14ac:dyDescent="0.3">
      <c r="A570" s="1191">
        <v>3</v>
      </c>
      <c r="B570" s="1132"/>
      <c r="C570" s="1133"/>
      <c r="D570" s="1133"/>
      <c r="E570" s="1133"/>
      <c r="F570" s="1133"/>
      <c r="G570" s="1134"/>
      <c r="H570" s="1132"/>
      <c r="I570" s="1133"/>
      <c r="J570" s="1134"/>
      <c r="K570" s="1147"/>
    </row>
    <row r="571" spans="1:11" ht="13.8" thickBot="1" x14ac:dyDescent="0.3">
      <c r="A571" s="1186" t="s">
        <v>543</v>
      </c>
      <c r="B571" s="1187"/>
      <c r="C571" s="1188"/>
      <c r="D571" s="1188"/>
      <c r="E571" s="1188"/>
      <c r="F571" s="1188"/>
      <c r="G571" s="1189"/>
      <c r="H571" s="1187"/>
      <c r="I571" s="1188"/>
      <c r="J571" s="1189"/>
      <c r="K571" s="716"/>
    </row>
    <row r="572" spans="1:11" x14ac:dyDescent="0.25">
      <c r="A572" s="1190">
        <v>1</v>
      </c>
      <c r="B572" s="745"/>
      <c r="C572" s="1117"/>
      <c r="D572" s="1117"/>
      <c r="E572" s="1117"/>
      <c r="F572" s="1117"/>
      <c r="G572" s="632"/>
      <c r="H572" s="745"/>
      <c r="I572" s="1117"/>
      <c r="J572" s="632"/>
      <c r="K572" s="1118"/>
    </row>
    <row r="573" spans="1:11" x14ac:dyDescent="0.25">
      <c r="A573" s="718">
        <v>2</v>
      </c>
      <c r="B573" s="668"/>
      <c r="C573" s="721"/>
      <c r="D573" s="721"/>
      <c r="E573" s="721"/>
      <c r="F573" s="721"/>
      <c r="G573" s="639"/>
      <c r="H573" s="668"/>
      <c r="I573" s="721"/>
      <c r="J573" s="639"/>
      <c r="K573" s="1124"/>
    </row>
    <row r="574" spans="1:11" x14ac:dyDescent="0.25">
      <c r="A574" s="718">
        <v>3</v>
      </c>
      <c r="B574" s="668"/>
      <c r="C574" s="721"/>
      <c r="D574" s="721"/>
      <c r="E574" s="721"/>
      <c r="F574" s="721"/>
      <c r="G574" s="639"/>
      <c r="H574" s="668"/>
      <c r="I574" s="721"/>
      <c r="J574" s="639"/>
      <c r="K574" s="1124"/>
    </row>
    <row r="575" spans="1:11" x14ac:dyDescent="0.25">
      <c r="A575" s="718">
        <v>4</v>
      </c>
      <c r="B575" s="668"/>
      <c r="C575" s="721"/>
      <c r="D575" s="721"/>
      <c r="E575" s="721"/>
      <c r="F575" s="721"/>
      <c r="G575" s="639"/>
      <c r="H575" s="668"/>
      <c r="I575" s="721"/>
      <c r="J575" s="639"/>
      <c r="K575" s="1124"/>
    </row>
    <row r="576" spans="1:11" x14ac:dyDescent="0.25">
      <c r="A576" s="718">
        <v>5</v>
      </c>
      <c r="B576" s="668"/>
      <c r="C576" s="721"/>
      <c r="D576" s="721"/>
      <c r="E576" s="721"/>
      <c r="F576" s="721"/>
      <c r="G576" s="639"/>
      <c r="H576" s="668"/>
      <c r="I576" s="721"/>
      <c r="J576" s="639"/>
      <c r="K576" s="1124"/>
    </row>
    <row r="577" spans="1:11" ht="13.8" thickBot="1" x14ac:dyDescent="0.3">
      <c r="A577" s="719">
        <v>6</v>
      </c>
      <c r="B577" s="669"/>
      <c r="C577" s="1137"/>
      <c r="D577" s="1137"/>
      <c r="E577" s="1137"/>
      <c r="F577" s="1137"/>
      <c r="G577" s="646"/>
      <c r="H577" s="669"/>
      <c r="I577" s="1137"/>
      <c r="J577" s="646"/>
      <c r="K577" s="1138"/>
    </row>
    <row r="578" spans="1:11" x14ac:dyDescent="0.25">
      <c r="A578" s="1190">
        <v>1</v>
      </c>
      <c r="B578" s="745"/>
      <c r="C578" s="1117"/>
      <c r="D578" s="1117"/>
      <c r="E578" s="1117"/>
      <c r="F578" s="1117"/>
      <c r="G578" s="632"/>
      <c r="H578" s="745"/>
      <c r="I578" s="1117"/>
      <c r="J578" s="632"/>
      <c r="K578" s="1118"/>
    </row>
    <row r="579" spans="1:11" x14ac:dyDescent="0.25">
      <c r="A579" s="718">
        <v>2</v>
      </c>
      <c r="B579" s="668"/>
      <c r="C579" s="721"/>
      <c r="D579" s="721"/>
      <c r="E579" s="721"/>
      <c r="F579" s="721"/>
      <c r="G579" s="639"/>
      <c r="H579" s="668"/>
      <c r="I579" s="721"/>
      <c r="J579" s="639"/>
      <c r="K579" s="1124"/>
    </row>
    <row r="580" spans="1:11" ht="13.8" thickBot="1" x14ac:dyDescent="0.3">
      <c r="A580" s="719">
        <v>3</v>
      </c>
      <c r="B580" s="669"/>
      <c r="C580" s="1137"/>
      <c r="D580" s="1137"/>
      <c r="E580" s="1137"/>
      <c r="F580" s="1137"/>
      <c r="G580" s="646"/>
      <c r="H580" s="669"/>
      <c r="I580" s="1137"/>
      <c r="J580" s="646"/>
      <c r="K580" s="1138"/>
    </row>
    <row r="581" spans="1:11" ht="13.8" thickBot="1" x14ac:dyDescent="0.3">
      <c r="A581" s="1186" t="s">
        <v>544</v>
      </c>
      <c r="B581" s="1187"/>
      <c r="C581" s="1188"/>
      <c r="D581" s="1188"/>
      <c r="E581" s="1188"/>
      <c r="F581" s="1188"/>
      <c r="G581" s="1189"/>
      <c r="H581" s="1187"/>
      <c r="I581" s="1188"/>
      <c r="J581" s="1189"/>
      <c r="K581" s="716"/>
    </row>
    <row r="582" spans="1:11" x14ac:dyDescent="0.25">
      <c r="A582" s="1190">
        <v>1</v>
      </c>
      <c r="B582" s="745"/>
      <c r="C582" s="1117"/>
      <c r="D582" s="1117"/>
      <c r="E582" s="1117"/>
      <c r="F582" s="1117"/>
      <c r="G582" s="632"/>
      <c r="H582" s="745"/>
      <c r="I582" s="1117"/>
      <c r="J582" s="632"/>
      <c r="K582" s="1118"/>
    </row>
    <row r="583" spans="1:11" x14ac:dyDescent="0.25">
      <c r="A583" s="718">
        <v>2</v>
      </c>
      <c r="B583" s="668"/>
      <c r="C583" s="721"/>
      <c r="D583" s="721"/>
      <c r="E583" s="721"/>
      <c r="F583" s="721"/>
      <c r="G583" s="639"/>
      <c r="H583" s="668"/>
      <c r="I583" s="721"/>
      <c r="J583" s="639"/>
      <c r="K583" s="1124"/>
    </row>
    <row r="584" spans="1:11" x14ac:dyDescent="0.25">
      <c r="A584" s="718">
        <v>3</v>
      </c>
      <c r="B584" s="668"/>
      <c r="C584" s="721"/>
      <c r="D584" s="721"/>
      <c r="E584" s="721"/>
      <c r="F584" s="721"/>
      <c r="G584" s="639"/>
      <c r="H584" s="668"/>
      <c r="I584" s="721"/>
      <c r="J584" s="639"/>
      <c r="K584" s="1124"/>
    </row>
    <row r="585" spans="1:11" x14ac:dyDescent="0.25">
      <c r="A585" s="718">
        <v>4</v>
      </c>
      <c r="B585" s="668"/>
      <c r="C585" s="721"/>
      <c r="D585" s="721"/>
      <c r="E585" s="721"/>
      <c r="F585" s="721"/>
      <c r="G585" s="639"/>
      <c r="H585" s="668"/>
      <c r="I585" s="721"/>
      <c r="J585" s="639"/>
      <c r="K585" s="1124"/>
    </row>
    <row r="586" spans="1:11" x14ac:dyDescent="0.25">
      <c r="A586" s="718">
        <v>5</v>
      </c>
      <c r="B586" s="668"/>
      <c r="C586" s="721"/>
      <c r="D586" s="721"/>
      <c r="E586" s="721"/>
      <c r="F586" s="721"/>
      <c r="G586" s="639"/>
      <c r="H586" s="668"/>
      <c r="I586" s="721"/>
      <c r="J586" s="639"/>
      <c r="K586" s="1124"/>
    </row>
    <row r="587" spans="1:11" ht="13.8" thickBot="1" x14ac:dyDescent="0.3">
      <c r="A587" s="719">
        <v>6</v>
      </c>
      <c r="B587" s="669"/>
      <c r="C587" s="1137"/>
      <c r="D587" s="1137"/>
      <c r="E587" s="1137"/>
      <c r="F587" s="1137"/>
      <c r="G587" s="646"/>
      <c r="H587" s="669"/>
      <c r="I587" s="1137"/>
      <c r="J587" s="646"/>
      <c r="K587" s="1138"/>
    </row>
    <row r="588" spans="1:11" x14ac:dyDescent="0.25">
      <c r="A588" s="1190">
        <v>1</v>
      </c>
      <c r="B588" s="745"/>
      <c r="C588" s="1117"/>
      <c r="D588" s="1117"/>
      <c r="E588" s="1117"/>
      <c r="F588" s="1117"/>
      <c r="G588" s="632"/>
      <c r="H588" s="745"/>
      <c r="I588" s="1117"/>
      <c r="J588" s="632"/>
      <c r="K588" s="1118"/>
    </row>
    <row r="589" spans="1:11" x14ac:dyDescent="0.25">
      <c r="A589" s="718">
        <v>2</v>
      </c>
      <c r="B589" s="668"/>
      <c r="C589" s="721"/>
      <c r="D589" s="721"/>
      <c r="E589" s="721"/>
      <c r="F589" s="721"/>
      <c r="G589" s="639"/>
      <c r="H589" s="668"/>
      <c r="I589" s="721"/>
      <c r="J589" s="639"/>
      <c r="K589" s="1124"/>
    </row>
    <row r="590" spans="1:11" ht="13.8" thickBot="1" x14ac:dyDescent="0.3">
      <c r="A590" s="719">
        <v>3</v>
      </c>
      <c r="B590" s="669"/>
      <c r="C590" s="1137"/>
      <c r="D590" s="1137"/>
      <c r="E590" s="1137"/>
      <c r="F590" s="1137"/>
      <c r="G590" s="646"/>
      <c r="H590" s="669"/>
      <c r="I590" s="1137"/>
      <c r="J590" s="646"/>
      <c r="K590" s="1138"/>
    </row>
    <row r="591" spans="1:11" ht="13.8" thickBot="1" x14ac:dyDescent="0.3">
      <c r="A591" s="1186" t="s">
        <v>545</v>
      </c>
      <c r="B591" s="1187"/>
      <c r="C591" s="1188"/>
      <c r="D591" s="1188"/>
      <c r="E591" s="1188"/>
      <c r="F591" s="1188"/>
      <c r="G591" s="1189"/>
      <c r="H591" s="1187"/>
      <c r="I591" s="1188"/>
      <c r="J591" s="1189"/>
      <c r="K591" s="716"/>
    </row>
    <row r="592" spans="1:11" x14ac:dyDescent="0.25">
      <c r="A592" s="1190">
        <v>1</v>
      </c>
      <c r="B592" s="745"/>
      <c r="C592" s="1117"/>
      <c r="D592" s="1117"/>
      <c r="E592" s="1117"/>
      <c r="F592" s="1117"/>
      <c r="G592" s="632"/>
      <c r="H592" s="745"/>
      <c r="I592" s="1117"/>
      <c r="J592" s="632"/>
      <c r="K592" s="1118"/>
    </row>
    <row r="593" spans="1:11" x14ac:dyDescent="0.25">
      <c r="A593" s="718">
        <v>2</v>
      </c>
      <c r="B593" s="668"/>
      <c r="C593" s="721"/>
      <c r="D593" s="721"/>
      <c r="E593" s="721"/>
      <c r="F593" s="721"/>
      <c r="G593" s="639"/>
      <c r="H593" s="668"/>
      <c r="I593" s="721"/>
      <c r="J593" s="639"/>
      <c r="K593" s="1124"/>
    </row>
    <row r="594" spans="1:11" x14ac:dyDescent="0.25">
      <c r="A594" s="718">
        <v>3</v>
      </c>
      <c r="B594" s="668"/>
      <c r="C594" s="721"/>
      <c r="D594" s="721"/>
      <c r="E594" s="721"/>
      <c r="F594" s="721"/>
      <c r="G594" s="639"/>
      <c r="H594" s="668"/>
      <c r="I594" s="721"/>
      <c r="J594" s="639"/>
      <c r="K594" s="1124"/>
    </row>
    <row r="595" spans="1:11" x14ac:dyDescent="0.25">
      <c r="A595" s="718">
        <v>4</v>
      </c>
      <c r="B595" s="668"/>
      <c r="C595" s="721"/>
      <c r="D595" s="721"/>
      <c r="E595" s="721"/>
      <c r="F595" s="721"/>
      <c r="G595" s="639"/>
      <c r="H595" s="668"/>
      <c r="I595" s="721"/>
      <c r="J595" s="639"/>
      <c r="K595" s="1124"/>
    </row>
    <row r="596" spans="1:11" x14ac:dyDescent="0.25">
      <c r="A596" s="718">
        <v>5</v>
      </c>
      <c r="B596" s="668"/>
      <c r="C596" s="721"/>
      <c r="D596" s="721"/>
      <c r="E596" s="721"/>
      <c r="F596" s="721"/>
      <c r="G596" s="639"/>
      <c r="H596" s="668"/>
      <c r="I596" s="721"/>
      <c r="J596" s="639"/>
      <c r="K596" s="1124"/>
    </row>
    <row r="597" spans="1:11" ht="13.8" thickBot="1" x14ac:dyDescent="0.3">
      <c r="A597" s="719">
        <v>6</v>
      </c>
      <c r="B597" s="669"/>
      <c r="C597" s="1137"/>
      <c r="D597" s="1137"/>
      <c r="E597" s="1137"/>
      <c r="F597" s="1137"/>
      <c r="G597" s="646"/>
      <c r="H597" s="669"/>
      <c r="I597" s="1137"/>
      <c r="J597" s="646"/>
      <c r="K597" s="1138"/>
    </row>
    <row r="598" spans="1:11" x14ac:dyDescent="0.25">
      <c r="A598" s="1190">
        <v>1</v>
      </c>
      <c r="B598" s="745"/>
      <c r="C598" s="1117"/>
      <c r="D598" s="1117"/>
      <c r="E598" s="1117"/>
      <c r="F598" s="1117"/>
      <c r="G598" s="632"/>
      <c r="H598" s="745"/>
      <c r="I598" s="1117"/>
      <c r="J598" s="632"/>
      <c r="K598" s="1118"/>
    </row>
    <row r="599" spans="1:11" x14ac:dyDescent="0.25">
      <c r="A599" s="718">
        <v>2</v>
      </c>
      <c r="B599" s="668"/>
      <c r="C599" s="721"/>
      <c r="D599" s="721"/>
      <c r="E599" s="721"/>
      <c r="F599" s="721"/>
      <c r="G599" s="639"/>
      <c r="H599" s="668"/>
      <c r="I599" s="721"/>
      <c r="J599" s="639"/>
      <c r="K599" s="1124"/>
    </row>
    <row r="600" spans="1:11" ht="13.8" thickBot="1" x14ac:dyDescent="0.3">
      <c r="A600" s="719">
        <v>3</v>
      </c>
      <c r="B600" s="669"/>
      <c r="C600" s="1137"/>
      <c r="D600" s="1137"/>
      <c r="E600" s="1137"/>
      <c r="F600" s="1137"/>
      <c r="G600" s="646"/>
      <c r="H600" s="669"/>
      <c r="I600" s="1137"/>
      <c r="J600" s="646"/>
      <c r="K600" s="1138"/>
    </row>
    <row r="601" spans="1:11" ht="13.8" thickBot="1" x14ac:dyDescent="0.3">
      <c r="A601" s="1186" t="s">
        <v>546</v>
      </c>
      <c r="B601" s="1187"/>
      <c r="C601" s="1188"/>
      <c r="D601" s="1188"/>
      <c r="E601" s="1188"/>
      <c r="F601" s="1188"/>
      <c r="G601" s="1189"/>
      <c r="H601" s="1187"/>
      <c r="I601" s="1188"/>
      <c r="J601" s="1189"/>
      <c r="K601" s="716"/>
    </row>
    <row r="602" spans="1:11" x14ac:dyDescent="0.25">
      <c r="A602" s="1190">
        <v>1</v>
      </c>
      <c r="B602" s="745"/>
      <c r="C602" s="1117"/>
      <c r="D602" s="1117"/>
      <c r="E602" s="1117"/>
      <c r="F602" s="1117"/>
      <c r="G602" s="632"/>
      <c r="H602" s="745"/>
      <c r="I602" s="1117"/>
      <c r="J602" s="632"/>
      <c r="K602" s="1118"/>
    </row>
    <row r="603" spans="1:11" x14ac:dyDescent="0.25">
      <c r="A603" s="718">
        <v>2</v>
      </c>
      <c r="B603" s="668"/>
      <c r="C603" s="721"/>
      <c r="D603" s="721"/>
      <c r="E603" s="721"/>
      <c r="F603" s="721"/>
      <c r="G603" s="639"/>
      <c r="H603" s="668"/>
      <c r="I603" s="721"/>
      <c r="J603" s="639"/>
      <c r="K603" s="1124"/>
    </row>
    <row r="604" spans="1:11" x14ac:dyDescent="0.25">
      <c r="A604" s="718">
        <v>3</v>
      </c>
      <c r="B604" s="668"/>
      <c r="C604" s="721"/>
      <c r="D604" s="721"/>
      <c r="E604" s="721"/>
      <c r="F604" s="721"/>
      <c r="G604" s="639"/>
      <c r="H604" s="668"/>
      <c r="I604" s="721"/>
      <c r="J604" s="639"/>
      <c r="K604" s="1124"/>
    </row>
    <row r="605" spans="1:11" x14ac:dyDescent="0.25">
      <c r="A605" s="718">
        <v>4</v>
      </c>
      <c r="B605" s="668"/>
      <c r="C605" s="721"/>
      <c r="D605" s="721"/>
      <c r="E605" s="721"/>
      <c r="F605" s="721"/>
      <c r="G605" s="639"/>
      <c r="H605" s="668"/>
      <c r="I605" s="721"/>
      <c r="J605" s="639"/>
      <c r="K605" s="1124"/>
    </row>
    <row r="606" spans="1:11" x14ac:dyDescent="0.25">
      <c r="A606" s="718">
        <v>5</v>
      </c>
      <c r="B606" s="668"/>
      <c r="C606" s="721"/>
      <c r="D606" s="721"/>
      <c r="E606" s="721"/>
      <c r="F606" s="721"/>
      <c r="G606" s="639"/>
      <c r="H606" s="668"/>
      <c r="I606" s="721"/>
      <c r="J606" s="639"/>
      <c r="K606" s="1124"/>
    </row>
    <row r="607" spans="1:11" ht="13.8" thickBot="1" x14ac:dyDescent="0.3">
      <c r="A607" s="719">
        <v>6</v>
      </c>
      <c r="B607" s="669"/>
      <c r="C607" s="1137"/>
      <c r="D607" s="1137"/>
      <c r="E607" s="1137"/>
      <c r="F607" s="1137"/>
      <c r="G607" s="646"/>
      <c r="H607" s="669"/>
      <c r="I607" s="1137"/>
      <c r="J607" s="646"/>
      <c r="K607" s="1138"/>
    </row>
    <row r="608" spans="1:11" x14ac:dyDescent="0.25">
      <c r="A608" s="1190">
        <v>1</v>
      </c>
      <c r="B608" s="745"/>
      <c r="C608" s="1117"/>
      <c r="D608" s="1117"/>
      <c r="E608" s="1117"/>
      <c r="F608" s="1117"/>
      <c r="G608" s="632"/>
      <c r="H608" s="745"/>
      <c r="I608" s="1117"/>
      <c r="J608" s="632"/>
      <c r="K608" s="1118"/>
    </row>
    <row r="609" spans="1:11" x14ac:dyDescent="0.25">
      <c r="A609" s="718">
        <v>2</v>
      </c>
      <c r="B609" s="668"/>
      <c r="C609" s="721"/>
      <c r="D609" s="721"/>
      <c r="E609" s="721"/>
      <c r="F609" s="721"/>
      <c r="G609" s="639"/>
      <c r="H609" s="668"/>
      <c r="I609" s="721"/>
      <c r="J609" s="639"/>
      <c r="K609" s="1124"/>
    </row>
    <row r="610" spans="1:11" ht="13.8" thickBot="1" x14ac:dyDescent="0.3">
      <c r="A610" s="719">
        <v>3</v>
      </c>
      <c r="B610" s="669"/>
      <c r="C610" s="1137"/>
      <c r="D610" s="1137"/>
      <c r="E610" s="1137"/>
      <c r="F610" s="1137"/>
      <c r="G610" s="646"/>
      <c r="H610" s="669"/>
      <c r="I610" s="1137"/>
      <c r="J610" s="646"/>
      <c r="K610" s="1138"/>
    </row>
    <row r="611" spans="1:11" ht="13.8" thickBot="1" x14ac:dyDescent="0.3">
      <c r="A611" s="1186" t="s">
        <v>547</v>
      </c>
      <c r="B611" s="1187"/>
      <c r="C611" s="1188"/>
      <c r="D611" s="1188"/>
      <c r="E611" s="1188"/>
      <c r="F611" s="1188"/>
      <c r="G611" s="1189"/>
      <c r="H611" s="1187"/>
      <c r="I611" s="1188"/>
      <c r="J611" s="1189"/>
      <c r="K611" s="716"/>
    </row>
    <row r="612" spans="1:11" x14ac:dyDescent="0.25">
      <c r="A612" s="1190">
        <v>1</v>
      </c>
      <c r="B612" s="745"/>
      <c r="C612" s="1117"/>
      <c r="D612" s="1117"/>
      <c r="E612" s="1117"/>
      <c r="F612" s="1117"/>
      <c r="G612" s="632"/>
      <c r="H612" s="745"/>
      <c r="I612" s="1117"/>
      <c r="J612" s="632"/>
      <c r="K612" s="1118"/>
    </row>
    <row r="613" spans="1:11" x14ac:dyDescent="0.25">
      <c r="A613" s="718">
        <v>2</v>
      </c>
      <c r="B613" s="668"/>
      <c r="C613" s="721"/>
      <c r="D613" s="721"/>
      <c r="E613" s="721"/>
      <c r="F613" s="721"/>
      <c r="G613" s="639"/>
      <c r="H613" s="668"/>
      <c r="I613" s="721"/>
      <c r="J613" s="639"/>
      <c r="K613" s="1124"/>
    </row>
    <row r="614" spans="1:11" x14ac:dyDescent="0.25">
      <c r="A614" s="718">
        <v>3</v>
      </c>
      <c r="B614" s="668"/>
      <c r="C614" s="721"/>
      <c r="D614" s="721"/>
      <c r="E614" s="721"/>
      <c r="F614" s="721"/>
      <c r="G614" s="639"/>
      <c r="H614" s="668"/>
      <c r="I614" s="721"/>
      <c r="J614" s="639"/>
      <c r="K614" s="1124"/>
    </row>
    <row r="615" spans="1:11" x14ac:dyDescent="0.25">
      <c r="A615" s="718">
        <v>4</v>
      </c>
      <c r="B615" s="668"/>
      <c r="C615" s="721"/>
      <c r="D615" s="721"/>
      <c r="E615" s="721"/>
      <c r="F615" s="721"/>
      <c r="G615" s="639"/>
      <c r="H615" s="668"/>
      <c r="I615" s="721"/>
      <c r="J615" s="639"/>
      <c r="K615" s="1124"/>
    </row>
    <row r="616" spans="1:11" x14ac:dyDescent="0.25">
      <c r="A616" s="718">
        <v>5</v>
      </c>
      <c r="B616" s="668"/>
      <c r="C616" s="721"/>
      <c r="D616" s="721"/>
      <c r="E616" s="721"/>
      <c r="F616" s="721"/>
      <c r="G616" s="639"/>
      <c r="H616" s="668"/>
      <c r="I616" s="721"/>
      <c r="J616" s="639"/>
      <c r="K616" s="1124"/>
    </row>
    <row r="617" spans="1:11" ht="13.8" thickBot="1" x14ac:dyDescent="0.3">
      <c r="A617" s="719">
        <v>6</v>
      </c>
      <c r="B617" s="669"/>
      <c r="C617" s="1137"/>
      <c r="D617" s="1137"/>
      <c r="E617" s="1137"/>
      <c r="F617" s="1137"/>
      <c r="G617" s="646"/>
      <c r="H617" s="669"/>
      <c r="I617" s="1137"/>
      <c r="J617" s="646"/>
      <c r="K617" s="1138"/>
    </row>
    <row r="618" spans="1:11" x14ac:dyDescent="0.25">
      <c r="A618" s="1190">
        <v>1</v>
      </c>
      <c r="B618" s="745"/>
      <c r="C618" s="1117"/>
      <c r="D618" s="1117"/>
      <c r="E618" s="1117"/>
      <c r="F618" s="1117"/>
      <c r="G618" s="632"/>
      <c r="H618" s="745"/>
      <c r="I618" s="1117"/>
      <c r="J618" s="632"/>
      <c r="K618" s="1118"/>
    </row>
    <row r="619" spans="1:11" x14ac:dyDescent="0.25">
      <c r="A619" s="718">
        <v>2</v>
      </c>
      <c r="B619" s="668"/>
      <c r="C619" s="721"/>
      <c r="D619" s="721"/>
      <c r="E619" s="721"/>
      <c r="F619" s="721"/>
      <c r="G619" s="639"/>
      <c r="H619" s="668"/>
      <c r="I619" s="721"/>
      <c r="J619" s="639"/>
      <c r="K619" s="1124"/>
    </row>
    <row r="620" spans="1:11" ht="13.8" thickBot="1" x14ac:dyDescent="0.3">
      <c r="A620" s="1191">
        <v>3</v>
      </c>
      <c r="B620" s="1132"/>
      <c r="C620" s="1133"/>
      <c r="D620" s="1133"/>
      <c r="E620" s="1133"/>
      <c r="F620" s="1133"/>
      <c r="G620" s="1134"/>
      <c r="H620" s="1132"/>
      <c r="I620" s="1133"/>
      <c r="J620" s="1134"/>
      <c r="K620" s="1147"/>
    </row>
    <row r="621" spans="1:11" ht="13.8" thickBot="1" x14ac:dyDescent="0.3">
      <c r="A621" s="1186" t="s">
        <v>548</v>
      </c>
      <c r="B621" s="1187"/>
      <c r="C621" s="1188"/>
      <c r="D621" s="1188"/>
      <c r="E621" s="1188"/>
      <c r="F621" s="1188"/>
      <c r="G621" s="1189"/>
      <c r="H621" s="1187"/>
      <c r="I621" s="1188"/>
      <c r="J621" s="1189"/>
      <c r="K621" s="716"/>
    </row>
    <row r="622" spans="1:11" x14ac:dyDescent="0.25">
      <c r="A622" s="1190">
        <v>1</v>
      </c>
      <c r="B622" s="745"/>
      <c r="C622" s="1117"/>
      <c r="D622" s="1117"/>
      <c r="E622" s="1117"/>
      <c r="F622" s="1117"/>
      <c r="G622" s="632"/>
      <c r="H622" s="745"/>
      <c r="I622" s="1117"/>
      <c r="J622" s="632"/>
      <c r="K622" s="1118"/>
    </row>
    <row r="623" spans="1:11" x14ac:dyDescent="0.25">
      <c r="A623" s="718">
        <v>2</v>
      </c>
      <c r="B623" s="668"/>
      <c r="C623" s="721"/>
      <c r="D623" s="721"/>
      <c r="E623" s="721"/>
      <c r="F623" s="721"/>
      <c r="G623" s="639"/>
      <c r="H623" s="668"/>
      <c r="I623" s="721"/>
      <c r="J623" s="639"/>
      <c r="K623" s="1124"/>
    </row>
    <row r="624" spans="1:11" x14ac:dyDescent="0.25">
      <c r="A624" s="718">
        <v>3</v>
      </c>
      <c r="B624" s="668"/>
      <c r="C624" s="721"/>
      <c r="D624" s="721"/>
      <c r="E624" s="721"/>
      <c r="F624" s="721"/>
      <c r="G624" s="639"/>
      <c r="H624" s="668"/>
      <c r="I624" s="721"/>
      <c r="J624" s="639"/>
      <c r="K624" s="1124"/>
    </row>
    <row r="625" spans="1:11" x14ac:dyDescent="0.25">
      <c r="A625" s="718">
        <v>4</v>
      </c>
      <c r="B625" s="668"/>
      <c r="C625" s="721"/>
      <c r="D625" s="721"/>
      <c r="E625" s="721"/>
      <c r="F625" s="721"/>
      <c r="G625" s="639"/>
      <c r="H625" s="668"/>
      <c r="I625" s="721"/>
      <c r="J625" s="639"/>
      <c r="K625" s="1124"/>
    </row>
    <row r="626" spans="1:11" x14ac:dyDescent="0.25">
      <c r="A626" s="718">
        <v>5</v>
      </c>
      <c r="B626" s="668"/>
      <c r="C626" s="721"/>
      <c r="D626" s="721"/>
      <c r="E626" s="721"/>
      <c r="F626" s="721"/>
      <c r="G626" s="639"/>
      <c r="H626" s="668"/>
      <c r="I626" s="721"/>
      <c r="J626" s="639"/>
      <c r="K626" s="1124"/>
    </row>
    <row r="627" spans="1:11" ht="13.8" thickBot="1" x14ac:dyDescent="0.3">
      <c r="A627" s="719">
        <v>6</v>
      </c>
      <c r="B627" s="669"/>
      <c r="C627" s="1137"/>
      <c r="D627" s="1137"/>
      <c r="E627" s="1137"/>
      <c r="F627" s="1137"/>
      <c r="G627" s="646"/>
      <c r="H627" s="669"/>
      <c r="I627" s="1137"/>
      <c r="J627" s="646"/>
      <c r="K627" s="1138"/>
    </row>
    <row r="628" spans="1:11" x14ac:dyDescent="0.25">
      <c r="A628" s="1190">
        <v>1</v>
      </c>
      <c r="B628" s="745"/>
      <c r="C628" s="1117"/>
      <c r="D628" s="1117"/>
      <c r="E628" s="1117"/>
      <c r="F628" s="1117"/>
      <c r="G628" s="632"/>
      <c r="H628" s="745"/>
      <c r="I628" s="1117"/>
      <c r="J628" s="632"/>
      <c r="K628" s="1118"/>
    </row>
    <row r="629" spans="1:11" x14ac:dyDescent="0.25">
      <c r="A629" s="718">
        <v>2</v>
      </c>
      <c r="B629" s="668"/>
      <c r="C629" s="721"/>
      <c r="D629" s="721"/>
      <c r="E629" s="721"/>
      <c r="F629" s="721"/>
      <c r="G629" s="639"/>
      <c r="H629" s="668"/>
      <c r="I629" s="721"/>
      <c r="J629" s="639"/>
      <c r="K629" s="1124"/>
    </row>
    <row r="630" spans="1:11" ht="13.8" thickBot="1" x14ac:dyDescent="0.3">
      <c r="A630" s="719">
        <v>3</v>
      </c>
      <c r="B630" s="669"/>
      <c r="C630" s="1137"/>
      <c r="D630" s="1137"/>
      <c r="E630" s="1137"/>
      <c r="F630" s="1137"/>
      <c r="G630" s="646"/>
      <c r="H630" s="669"/>
      <c r="I630" s="1137"/>
      <c r="J630" s="646"/>
      <c r="K630" s="1138"/>
    </row>
    <row r="631" spans="1:11" ht="13.8" thickBot="1" x14ac:dyDescent="0.3">
      <c r="A631" s="1186" t="s">
        <v>549</v>
      </c>
      <c r="B631" s="1187"/>
      <c r="C631" s="1188"/>
      <c r="D631" s="1188"/>
      <c r="E631" s="1188"/>
      <c r="F631" s="1188"/>
      <c r="G631" s="1189"/>
      <c r="H631" s="1187"/>
      <c r="I631" s="1188"/>
      <c r="J631" s="1189"/>
      <c r="K631" s="716"/>
    </row>
    <row r="632" spans="1:11" x14ac:dyDescent="0.25">
      <c r="A632" s="1190">
        <v>1</v>
      </c>
      <c r="B632" s="745"/>
      <c r="C632" s="1117"/>
      <c r="D632" s="1117"/>
      <c r="E632" s="1117"/>
      <c r="F632" s="1117"/>
      <c r="G632" s="632"/>
      <c r="H632" s="745"/>
      <c r="I632" s="1117"/>
      <c r="J632" s="632"/>
      <c r="K632" s="1118"/>
    </row>
    <row r="633" spans="1:11" x14ac:dyDescent="0.25">
      <c r="A633" s="718">
        <v>2</v>
      </c>
      <c r="B633" s="668"/>
      <c r="C633" s="721"/>
      <c r="D633" s="721"/>
      <c r="E633" s="721"/>
      <c r="F633" s="721"/>
      <c r="G633" s="639"/>
      <c r="H633" s="668"/>
      <c r="I633" s="721"/>
      <c r="J633" s="639"/>
      <c r="K633" s="1124"/>
    </row>
    <row r="634" spans="1:11" x14ac:dyDescent="0.25">
      <c r="A634" s="718">
        <v>3</v>
      </c>
      <c r="B634" s="668"/>
      <c r="C634" s="721"/>
      <c r="D634" s="721"/>
      <c r="E634" s="721"/>
      <c r="F634" s="721"/>
      <c r="G634" s="639"/>
      <c r="H634" s="668"/>
      <c r="I634" s="721"/>
      <c r="J634" s="639"/>
      <c r="K634" s="1124"/>
    </row>
    <row r="635" spans="1:11" x14ac:dyDescent="0.25">
      <c r="A635" s="718">
        <v>4</v>
      </c>
      <c r="B635" s="668"/>
      <c r="C635" s="721"/>
      <c r="D635" s="721"/>
      <c r="E635" s="721"/>
      <c r="F635" s="721"/>
      <c r="G635" s="639"/>
      <c r="H635" s="668"/>
      <c r="I635" s="721"/>
      <c r="J635" s="639"/>
      <c r="K635" s="1124"/>
    </row>
    <row r="636" spans="1:11" x14ac:dyDescent="0.25">
      <c r="A636" s="718">
        <v>5</v>
      </c>
      <c r="B636" s="668"/>
      <c r="C636" s="721"/>
      <c r="D636" s="721"/>
      <c r="E636" s="721"/>
      <c r="F636" s="721"/>
      <c r="G636" s="639"/>
      <c r="H636" s="668"/>
      <c r="I636" s="721"/>
      <c r="J636" s="639"/>
      <c r="K636" s="1124"/>
    </row>
    <row r="637" spans="1:11" ht="13.8" thickBot="1" x14ac:dyDescent="0.3">
      <c r="A637" s="719">
        <v>6</v>
      </c>
      <c r="B637" s="669"/>
      <c r="C637" s="1137"/>
      <c r="D637" s="1137"/>
      <c r="E637" s="1137"/>
      <c r="F637" s="1137"/>
      <c r="G637" s="646"/>
      <c r="H637" s="669"/>
      <c r="I637" s="1137"/>
      <c r="J637" s="646"/>
      <c r="K637" s="1138"/>
    </row>
    <row r="638" spans="1:11" x14ac:dyDescent="0.25">
      <c r="A638" s="1190">
        <v>1</v>
      </c>
      <c r="B638" s="745"/>
      <c r="C638" s="1117"/>
      <c r="D638" s="1117"/>
      <c r="E638" s="1117"/>
      <c r="F638" s="1117"/>
      <c r="G638" s="632"/>
      <c r="H638" s="745"/>
      <c r="I638" s="1117"/>
      <c r="J638" s="632"/>
      <c r="K638" s="1118"/>
    </row>
    <row r="639" spans="1:11" x14ac:dyDescent="0.25">
      <c r="A639" s="718">
        <v>2</v>
      </c>
      <c r="B639" s="668"/>
      <c r="C639" s="721"/>
      <c r="D639" s="721"/>
      <c r="E639" s="721"/>
      <c r="F639" s="721"/>
      <c r="G639" s="639"/>
      <c r="H639" s="668"/>
      <c r="I639" s="721"/>
      <c r="J639" s="639"/>
      <c r="K639" s="1124"/>
    </row>
    <row r="640" spans="1:11" ht="13.8" thickBot="1" x14ac:dyDescent="0.3">
      <c r="A640" s="719">
        <v>3</v>
      </c>
      <c r="B640" s="669"/>
      <c r="C640" s="1137"/>
      <c r="D640" s="1137"/>
      <c r="E640" s="1137"/>
      <c r="F640" s="1137"/>
      <c r="G640" s="646"/>
      <c r="H640" s="669"/>
      <c r="I640" s="1137"/>
      <c r="J640" s="646"/>
      <c r="K640" s="1138"/>
    </row>
    <row r="641" spans="1:11" ht="13.8" thickBot="1" x14ac:dyDescent="0.3">
      <c r="A641" s="1186" t="s">
        <v>550</v>
      </c>
      <c r="B641" s="1187"/>
      <c r="C641" s="1188"/>
      <c r="D641" s="1188"/>
      <c r="E641" s="1188"/>
      <c r="F641" s="1188"/>
      <c r="G641" s="1189"/>
      <c r="H641" s="1187"/>
      <c r="I641" s="1188"/>
      <c r="J641" s="1189"/>
      <c r="K641" s="716"/>
    </row>
    <row r="642" spans="1:11" x14ac:dyDescent="0.25">
      <c r="A642" s="1190">
        <v>1</v>
      </c>
      <c r="B642" s="745"/>
      <c r="C642" s="1117"/>
      <c r="D642" s="1117"/>
      <c r="E642" s="1117"/>
      <c r="F642" s="1117"/>
      <c r="G642" s="632"/>
      <c r="H642" s="745"/>
      <c r="I642" s="1117"/>
      <c r="J642" s="632"/>
      <c r="K642" s="1118"/>
    </row>
    <row r="643" spans="1:11" x14ac:dyDescent="0.25">
      <c r="A643" s="718">
        <v>2</v>
      </c>
      <c r="B643" s="668"/>
      <c r="C643" s="721"/>
      <c r="D643" s="721"/>
      <c r="E643" s="721"/>
      <c r="F643" s="721"/>
      <c r="G643" s="639"/>
      <c r="H643" s="668"/>
      <c r="I643" s="721"/>
      <c r="J643" s="639"/>
      <c r="K643" s="1124"/>
    </row>
    <row r="644" spans="1:11" x14ac:dyDescent="0.25">
      <c r="A644" s="718">
        <v>3</v>
      </c>
      <c r="B644" s="668"/>
      <c r="C644" s="721"/>
      <c r="D644" s="721"/>
      <c r="E644" s="721"/>
      <c r="F644" s="721"/>
      <c r="G644" s="639"/>
      <c r="H644" s="668"/>
      <c r="I644" s="721"/>
      <c r="J644" s="639"/>
      <c r="K644" s="1124"/>
    </row>
    <row r="645" spans="1:11" x14ac:dyDescent="0.25">
      <c r="A645" s="718">
        <v>4</v>
      </c>
      <c r="B645" s="668"/>
      <c r="C645" s="721"/>
      <c r="D645" s="721"/>
      <c r="E645" s="721"/>
      <c r="F645" s="721"/>
      <c r="G645" s="639"/>
      <c r="H645" s="668"/>
      <c r="I645" s="721"/>
      <c r="J645" s="639"/>
      <c r="K645" s="1124"/>
    </row>
    <row r="646" spans="1:11" x14ac:dyDescent="0.25">
      <c r="A646" s="718">
        <v>5</v>
      </c>
      <c r="B646" s="668"/>
      <c r="C646" s="721"/>
      <c r="D646" s="721"/>
      <c r="E646" s="721"/>
      <c r="F646" s="721"/>
      <c r="G646" s="639"/>
      <c r="H646" s="668"/>
      <c r="I646" s="721"/>
      <c r="J646" s="639"/>
      <c r="K646" s="1124"/>
    </row>
    <row r="647" spans="1:11" ht="13.8" thickBot="1" x14ac:dyDescent="0.3">
      <c r="A647" s="719">
        <v>6</v>
      </c>
      <c r="B647" s="669"/>
      <c r="C647" s="1137"/>
      <c r="D647" s="1137"/>
      <c r="E647" s="1137"/>
      <c r="F647" s="1137"/>
      <c r="G647" s="646"/>
      <c r="H647" s="669"/>
      <c r="I647" s="1137"/>
      <c r="J647" s="646"/>
      <c r="K647" s="1138"/>
    </row>
    <row r="648" spans="1:11" x14ac:dyDescent="0.25">
      <c r="A648" s="1190">
        <v>1</v>
      </c>
      <c r="B648" s="745"/>
      <c r="C648" s="1117"/>
      <c r="D648" s="1117"/>
      <c r="E648" s="1117"/>
      <c r="F648" s="1117"/>
      <c r="G648" s="632"/>
      <c r="H648" s="745"/>
      <c r="I648" s="1117"/>
      <c r="J648" s="632"/>
      <c r="K648" s="1118"/>
    </row>
    <row r="649" spans="1:11" x14ac:dyDescent="0.25">
      <c r="A649" s="718">
        <v>2</v>
      </c>
      <c r="B649" s="668"/>
      <c r="C649" s="721"/>
      <c r="D649" s="721"/>
      <c r="E649" s="721"/>
      <c r="F649" s="721"/>
      <c r="G649" s="639"/>
      <c r="H649" s="668"/>
      <c r="I649" s="721"/>
      <c r="J649" s="639"/>
      <c r="K649" s="1124"/>
    </row>
    <row r="650" spans="1:11" ht="13.8" thickBot="1" x14ac:dyDescent="0.3">
      <c r="A650" s="719">
        <v>3</v>
      </c>
      <c r="B650" s="669"/>
      <c r="C650" s="1137"/>
      <c r="D650" s="1137"/>
      <c r="E650" s="1137"/>
      <c r="F650" s="1137"/>
      <c r="G650" s="646"/>
      <c r="H650" s="669"/>
      <c r="I650" s="1137"/>
      <c r="J650" s="646"/>
      <c r="K650" s="1138"/>
    </row>
    <row r="651" spans="1:11" ht="13.8" thickBot="1" x14ac:dyDescent="0.3">
      <c r="A651" s="1186" t="s">
        <v>551</v>
      </c>
      <c r="B651" s="1187"/>
      <c r="C651" s="1188"/>
      <c r="D651" s="1188"/>
      <c r="E651" s="1188"/>
      <c r="F651" s="1188"/>
      <c r="G651" s="1189"/>
      <c r="H651" s="1187"/>
      <c r="I651" s="1188"/>
      <c r="J651" s="1189"/>
      <c r="K651" s="716"/>
    </row>
    <row r="652" spans="1:11" x14ac:dyDescent="0.25">
      <c r="A652" s="1190">
        <v>1</v>
      </c>
      <c r="B652" s="745"/>
      <c r="C652" s="1117"/>
      <c r="D652" s="1117"/>
      <c r="E652" s="1117"/>
      <c r="F652" s="1117"/>
      <c r="G652" s="632"/>
      <c r="H652" s="745"/>
      <c r="I652" s="1117"/>
      <c r="J652" s="632"/>
      <c r="K652" s="1118"/>
    </row>
    <row r="653" spans="1:11" x14ac:dyDescent="0.25">
      <c r="A653" s="718">
        <v>2</v>
      </c>
      <c r="B653" s="668"/>
      <c r="C653" s="721"/>
      <c r="D653" s="721"/>
      <c r="E653" s="721"/>
      <c r="F653" s="721"/>
      <c r="G653" s="639"/>
      <c r="H653" s="668"/>
      <c r="I653" s="721"/>
      <c r="J653" s="639"/>
      <c r="K653" s="1124"/>
    </row>
    <row r="654" spans="1:11" x14ac:dyDescent="0.25">
      <c r="A654" s="718">
        <v>3</v>
      </c>
      <c r="B654" s="668"/>
      <c r="C654" s="721"/>
      <c r="D654" s="721"/>
      <c r="E654" s="721"/>
      <c r="F654" s="721"/>
      <c r="G654" s="639"/>
      <c r="H654" s="668"/>
      <c r="I654" s="721"/>
      <c r="J654" s="639"/>
      <c r="K654" s="1124"/>
    </row>
    <row r="655" spans="1:11" x14ac:dyDescent="0.25">
      <c r="A655" s="718">
        <v>4</v>
      </c>
      <c r="B655" s="668"/>
      <c r="C655" s="721"/>
      <c r="D655" s="721"/>
      <c r="E655" s="721"/>
      <c r="F655" s="721"/>
      <c r="G655" s="639"/>
      <c r="H655" s="668"/>
      <c r="I655" s="721"/>
      <c r="J655" s="639"/>
      <c r="K655" s="1124"/>
    </row>
    <row r="656" spans="1:11" x14ac:dyDescent="0.25">
      <c r="A656" s="718">
        <v>5</v>
      </c>
      <c r="B656" s="668"/>
      <c r="C656" s="721"/>
      <c r="D656" s="721"/>
      <c r="E656" s="721"/>
      <c r="F656" s="721"/>
      <c r="G656" s="639"/>
      <c r="H656" s="668"/>
      <c r="I656" s="721"/>
      <c r="J656" s="639"/>
      <c r="K656" s="1124"/>
    </row>
    <row r="657" spans="1:11" ht="13.8" thickBot="1" x14ac:dyDescent="0.3">
      <c r="A657" s="719">
        <v>6</v>
      </c>
      <c r="B657" s="669"/>
      <c r="C657" s="1137"/>
      <c r="D657" s="1137"/>
      <c r="E657" s="1137"/>
      <c r="F657" s="1137"/>
      <c r="G657" s="646"/>
      <c r="H657" s="669"/>
      <c r="I657" s="1137"/>
      <c r="J657" s="646"/>
      <c r="K657" s="1138"/>
    </row>
    <row r="658" spans="1:11" x14ac:dyDescent="0.25">
      <c r="A658" s="1190">
        <v>1</v>
      </c>
      <c r="B658" s="745"/>
      <c r="C658" s="1117"/>
      <c r="D658" s="1117"/>
      <c r="E658" s="1117"/>
      <c r="F658" s="1117"/>
      <c r="G658" s="632"/>
      <c r="H658" s="745"/>
      <c r="I658" s="1117"/>
      <c r="J658" s="632"/>
      <c r="K658" s="1118"/>
    </row>
    <row r="659" spans="1:11" x14ac:dyDescent="0.25">
      <c r="A659" s="718">
        <v>2</v>
      </c>
      <c r="B659" s="668"/>
      <c r="C659" s="721"/>
      <c r="D659" s="721"/>
      <c r="E659" s="721"/>
      <c r="F659" s="721"/>
      <c r="G659" s="639"/>
      <c r="H659" s="668"/>
      <c r="I659" s="721"/>
      <c r="J659" s="639"/>
      <c r="K659" s="1124"/>
    </row>
    <row r="660" spans="1:11" ht="13.8" thickBot="1" x14ac:dyDescent="0.3">
      <c r="A660" s="1191">
        <v>3</v>
      </c>
      <c r="B660" s="1132"/>
      <c r="C660" s="1133"/>
      <c r="D660" s="1133"/>
      <c r="E660" s="1133"/>
      <c r="F660" s="1133"/>
      <c r="G660" s="1134"/>
      <c r="H660" s="1132"/>
      <c r="I660" s="1133"/>
      <c r="J660" s="1134"/>
      <c r="K660" s="1147"/>
    </row>
    <row r="661" spans="1:11" ht="13.8" thickBot="1" x14ac:dyDescent="0.3">
      <c r="A661" s="1186" t="s">
        <v>552</v>
      </c>
      <c r="B661" s="1187"/>
      <c r="C661" s="1188"/>
      <c r="D661" s="1188"/>
      <c r="E661" s="1188"/>
      <c r="F661" s="1188"/>
      <c r="G661" s="1189"/>
      <c r="H661" s="1187"/>
      <c r="I661" s="1188"/>
      <c r="J661" s="1189"/>
      <c r="K661" s="716"/>
    </row>
    <row r="662" spans="1:11" x14ac:dyDescent="0.25">
      <c r="A662" s="1190">
        <v>1</v>
      </c>
      <c r="B662" s="745"/>
      <c r="C662" s="1117"/>
      <c r="D662" s="1117"/>
      <c r="E662" s="1117"/>
      <c r="F662" s="1117"/>
      <c r="G662" s="632"/>
      <c r="H662" s="745"/>
      <c r="I662" s="1117"/>
      <c r="J662" s="632"/>
      <c r="K662" s="1118"/>
    </row>
    <row r="663" spans="1:11" x14ac:dyDescent="0.25">
      <c r="A663" s="718">
        <v>2</v>
      </c>
      <c r="B663" s="668"/>
      <c r="C663" s="721"/>
      <c r="D663" s="721"/>
      <c r="E663" s="721"/>
      <c r="F663" s="721"/>
      <c r="G663" s="639"/>
      <c r="H663" s="668"/>
      <c r="I663" s="721"/>
      <c r="J663" s="639"/>
      <c r="K663" s="1124"/>
    </row>
    <row r="664" spans="1:11" x14ac:dyDescent="0.25">
      <c r="A664" s="718">
        <v>3</v>
      </c>
      <c r="B664" s="668"/>
      <c r="C664" s="721"/>
      <c r="D664" s="721"/>
      <c r="E664" s="721"/>
      <c r="F664" s="721"/>
      <c r="G664" s="639"/>
      <c r="H664" s="668"/>
      <c r="I664" s="721"/>
      <c r="J664" s="639"/>
      <c r="K664" s="1124"/>
    </row>
    <row r="665" spans="1:11" x14ac:dyDescent="0.25">
      <c r="A665" s="718">
        <v>4</v>
      </c>
      <c r="B665" s="668"/>
      <c r="C665" s="721"/>
      <c r="D665" s="721"/>
      <c r="E665" s="721"/>
      <c r="F665" s="721"/>
      <c r="G665" s="639"/>
      <c r="H665" s="668"/>
      <c r="I665" s="721"/>
      <c r="J665" s="639"/>
      <c r="K665" s="1124"/>
    </row>
    <row r="666" spans="1:11" x14ac:dyDescent="0.25">
      <c r="A666" s="718">
        <v>5</v>
      </c>
      <c r="B666" s="668"/>
      <c r="C666" s="721"/>
      <c r="D666" s="721"/>
      <c r="E666" s="721"/>
      <c r="F666" s="721"/>
      <c r="G666" s="639"/>
      <c r="H666" s="668"/>
      <c r="I666" s="721"/>
      <c r="J666" s="639"/>
      <c r="K666" s="1124"/>
    </row>
    <row r="667" spans="1:11" ht="13.8" thickBot="1" x14ac:dyDescent="0.3">
      <c r="A667" s="719">
        <v>6</v>
      </c>
      <c r="B667" s="669"/>
      <c r="C667" s="1137"/>
      <c r="D667" s="1137"/>
      <c r="E667" s="1137"/>
      <c r="F667" s="1137"/>
      <c r="G667" s="646"/>
      <c r="H667" s="669"/>
      <c r="I667" s="1137"/>
      <c r="J667" s="646"/>
      <c r="K667" s="1138"/>
    </row>
    <row r="668" spans="1:11" x14ac:dyDescent="0.25">
      <c r="A668" s="1190">
        <v>1</v>
      </c>
      <c r="B668" s="745"/>
      <c r="C668" s="1117"/>
      <c r="D668" s="1117"/>
      <c r="E668" s="1117"/>
      <c r="F668" s="1117"/>
      <c r="G668" s="632"/>
      <c r="H668" s="745"/>
      <c r="I668" s="1117"/>
      <c r="J668" s="632"/>
      <c r="K668" s="1118"/>
    </row>
    <row r="669" spans="1:11" x14ac:dyDescent="0.25">
      <c r="A669" s="718">
        <v>2</v>
      </c>
      <c r="B669" s="668"/>
      <c r="C669" s="721"/>
      <c r="D669" s="721"/>
      <c r="E669" s="721"/>
      <c r="F669" s="721"/>
      <c r="G669" s="639"/>
      <c r="H669" s="668"/>
      <c r="I669" s="721"/>
      <c r="J669" s="639"/>
      <c r="K669" s="1124"/>
    </row>
    <row r="670" spans="1:11" ht="13.8" thickBot="1" x14ac:dyDescent="0.3">
      <c r="A670" s="719">
        <v>3</v>
      </c>
      <c r="B670" s="669"/>
      <c r="C670" s="1137"/>
      <c r="D670" s="1137"/>
      <c r="E670" s="1137"/>
      <c r="F670" s="1137"/>
      <c r="G670" s="646"/>
      <c r="H670" s="669"/>
      <c r="I670" s="1137"/>
      <c r="J670" s="646"/>
      <c r="K670" s="1138"/>
    </row>
    <row r="671" spans="1:11" ht="13.8" thickBot="1" x14ac:dyDescent="0.3">
      <c r="A671" s="1186" t="s">
        <v>553</v>
      </c>
      <c r="B671" s="1187"/>
      <c r="C671" s="1188"/>
      <c r="D671" s="1188"/>
      <c r="E671" s="1188"/>
      <c r="F671" s="1188"/>
      <c r="G671" s="1189"/>
      <c r="H671" s="1187"/>
      <c r="I671" s="1188"/>
      <c r="J671" s="1189"/>
      <c r="K671" s="716"/>
    </row>
    <row r="672" spans="1:11" x14ac:dyDescent="0.25">
      <c r="A672" s="1190">
        <v>1</v>
      </c>
      <c r="B672" s="745"/>
      <c r="C672" s="1117"/>
      <c r="D672" s="1117"/>
      <c r="E672" s="1117"/>
      <c r="F672" s="1117"/>
      <c r="G672" s="632"/>
      <c r="H672" s="745"/>
      <c r="I672" s="1117"/>
      <c r="J672" s="632"/>
      <c r="K672" s="1118"/>
    </row>
    <row r="673" spans="1:11" x14ac:dyDescent="0.25">
      <c r="A673" s="718">
        <v>2</v>
      </c>
      <c r="B673" s="668"/>
      <c r="C673" s="721"/>
      <c r="D673" s="721"/>
      <c r="E673" s="721"/>
      <c r="F673" s="721"/>
      <c r="G673" s="639"/>
      <c r="H673" s="668"/>
      <c r="I673" s="721"/>
      <c r="J673" s="639"/>
      <c r="K673" s="1124"/>
    </row>
    <row r="674" spans="1:11" x14ac:dyDescent="0.25">
      <c r="A674" s="718">
        <v>3</v>
      </c>
      <c r="B674" s="668"/>
      <c r="C674" s="721"/>
      <c r="D674" s="721"/>
      <c r="E674" s="721"/>
      <c r="F674" s="721"/>
      <c r="G674" s="639"/>
      <c r="H674" s="668"/>
      <c r="I674" s="721"/>
      <c r="J674" s="639"/>
      <c r="K674" s="1124"/>
    </row>
    <row r="675" spans="1:11" x14ac:dyDescent="0.25">
      <c r="A675" s="718">
        <v>4</v>
      </c>
      <c r="B675" s="668"/>
      <c r="C675" s="721"/>
      <c r="D675" s="721"/>
      <c r="E675" s="721"/>
      <c r="F675" s="721"/>
      <c r="G675" s="639"/>
      <c r="H675" s="668"/>
      <c r="I675" s="721"/>
      <c r="J675" s="639"/>
      <c r="K675" s="1124"/>
    </row>
    <row r="676" spans="1:11" x14ac:dyDescent="0.25">
      <c r="A676" s="718">
        <v>5</v>
      </c>
      <c r="B676" s="668"/>
      <c r="C676" s="721"/>
      <c r="D676" s="721"/>
      <c r="E676" s="721"/>
      <c r="F676" s="721"/>
      <c r="G676" s="639"/>
      <c r="H676" s="668"/>
      <c r="I676" s="721"/>
      <c r="J676" s="639"/>
      <c r="K676" s="1124"/>
    </row>
    <row r="677" spans="1:11" ht="13.8" thickBot="1" x14ac:dyDescent="0.3">
      <c r="A677" s="719">
        <v>6</v>
      </c>
      <c r="B677" s="669"/>
      <c r="C677" s="1137"/>
      <c r="D677" s="1137"/>
      <c r="E677" s="1137"/>
      <c r="F677" s="1137"/>
      <c r="G677" s="646"/>
      <c r="H677" s="669"/>
      <c r="I677" s="1137"/>
      <c r="J677" s="646"/>
      <c r="K677" s="1138"/>
    </row>
    <row r="678" spans="1:11" x14ac:dyDescent="0.25">
      <c r="A678" s="1190">
        <v>1</v>
      </c>
      <c r="B678" s="745"/>
      <c r="C678" s="1117"/>
      <c r="D678" s="1117"/>
      <c r="E678" s="1117"/>
      <c r="F678" s="1117"/>
      <c r="G678" s="632"/>
      <c r="H678" s="745"/>
      <c r="I678" s="1117"/>
      <c r="J678" s="632"/>
      <c r="K678" s="1118"/>
    </row>
    <row r="679" spans="1:11" x14ac:dyDescent="0.25">
      <c r="A679" s="718">
        <v>2</v>
      </c>
      <c r="B679" s="668"/>
      <c r="C679" s="721"/>
      <c r="D679" s="721"/>
      <c r="E679" s="721"/>
      <c r="F679" s="721"/>
      <c r="G679" s="639"/>
      <c r="H679" s="668"/>
      <c r="I679" s="721"/>
      <c r="J679" s="639"/>
      <c r="K679" s="1124"/>
    </row>
    <row r="680" spans="1:11" ht="13.8" thickBot="1" x14ac:dyDescent="0.3">
      <c r="A680" s="719">
        <v>3</v>
      </c>
      <c r="B680" s="669"/>
      <c r="C680" s="1137"/>
      <c r="D680" s="1137"/>
      <c r="E680" s="1137"/>
      <c r="F680" s="1137"/>
      <c r="G680" s="646"/>
      <c r="H680" s="669"/>
      <c r="I680" s="1137"/>
      <c r="J680" s="646"/>
      <c r="K680" s="1138"/>
    </row>
    <row r="681" spans="1:11" ht="13.8" thickBot="1" x14ac:dyDescent="0.3">
      <c r="A681" s="1186" t="s">
        <v>554</v>
      </c>
      <c r="B681" s="1187"/>
      <c r="C681" s="1188"/>
      <c r="D681" s="1188"/>
      <c r="E681" s="1188"/>
      <c r="F681" s="1188"/>
      <c r="G681" s="1189"/>
      <c r="H681" s="1187"/>
      <c r="I681" s="1188"/>
      <c r="J681" s="1189"/>
      <c r="K681" s="716"/>
    </row>
    <row r="682" spans="1:11" x14ac:dyDescent="0.25">
      <c r="A682" s="1190">
        <v>1</v>
      </c>
      <c r="B682" s="745"/>
      <c r="C682" s="1117"/>
      <c r="D682" s="1117"/>
      <c r="E682" s="1117"/>
      <c r="F682" s="1117"/>
      <c r="G682" s="632"/>
      <c r="H682" s="745"/>
      <c r="I682" s="1117"/>
      <c r="J682" s="632"/>
      <c r="K682" s="1118"/>
    </row>
    <row r="683" spans="1:11" x14ac:dyDescent="0.25">
      <c r="A683" s="718">
        <v>2</v>
      </c>
      <c r="B683" s="668"/>
      <c r="C683" s="721"/>
      <c r="D683" s="721"/>
      <c r="E683" s="721"/>
      <c r="F683" s="721"/>
      <c r="G683" s="639"/>
      <c r="H683" s="668"/>
      <c r="I683" s="721"/>
      <c r="J683" s="639"/>
      <c r="K683" s="1124"/>
    </row>
    <row r="684" spans="1:11" x14ac:dyDescent="0.25">
      <c r="A684" s="718">
        <v>3</v>
      </c>
      <c r="B684" s="668"/>
      <c r="C684" s="721"/>
      <c r="D684" s="721"/>
      <c r="E684" s="721"/>
      <c r="F684" s="721"/>
      <c r="G684" s="639"/>
      <c r="H684" s="668"/>
      <c r="I684" s="721"/>
      <c r="J684" s="639"/>
      <c r="K684" s="1124"/>
    </row>
    <row r="685" spans="1:11" x14ac:dyDescent="0.25">
      <c r="A685" s="718">
        <v>4</v>
      </c>
      <c r="B685" s="668"/>
      <c r="C685" s="721"/>
      <c r="D685" s="721"/>
      <c r="E685" s="721"/>
      <c r="F685" s="721"/>
      <c r="G685" s="639"/>
      <c r="H685" s="668"/>
      <c r="I685" s="721"/>
      <c r="J685" s="639"/>
      <c r="K685" s="1124"/>
    </row>
    <row r="686" spans="1:11" x14ac:dyDescent="0.25">
      <c r="A686" s="718">
        <v>5</v>
      </c>
      <c r="B686" s="668"/>
      <c r="C686" s="721"/>
      <c r="D686" s="721"/>
      <c r="E686" s="721"/>
      <c r="F686" s="721"/>
      <c r="G686" s="639"/>
      <c r="H686" s="668"/>
      <c r="I686" s="721"/>
      <c r="J686" s="639"/>
      <c r="K686" s="1124"/>
    </row>
    <row r="687" spans="1:11" ht="13.8" thickBot="1" x14ac:dyDescent="0.3">
      <c r="A687" s="719">
        <v>6</v>
      </c>
      <c r="B687" s="669"/>
      <c r="C687" s="1137"/>
      <c r="D687" s="1137"/>
      <c r="E687" s="1137"/>
      <c r="F687" s="1137"/>
      <c r="G687" s="646"/>
      <c r="H687" s="669"/>
      <c r="I687" s="1137"/>
      <c r="J687" s="646"/>
      <c r="K687" s="1138"/>
    </row>
    <row r="688" spans="1:11" x14ac:dyDescent="0.25">
      <c r="A688" s="1190">
        <v>1</v>
      </c>
      <c r="B688" s="745"/>
      <c r="C688" s="1117"/>
      <c r="D688" s="1117"/>
      <c r="E688" s="1117"/>
      <c r="F688" s="1117"/>
      <c r="G688" s="632"/>
      <c r="H688" s="745"/>
      <c r="I688" s="1117"/>
      <c r="J688" s="632"/>
      <c r="K688" s="1118"/>
    </row>
    <row r="689" spans="1:11" x14ac:dyDescent="0.25">
      <c r="A689" s="718">
        <v>2</v>
      </c>
      <c r="B689" s="668"/>
      <c r="C689" s="721"/>
      <c r="D689" s="721"/>
      <c r="E689" s="721"/>
      <c r="F689" s="721"/>
      <c r="G689" s="639"/>
      <c r="H689" s="668"/>
      <c r="I689" s="721"/>
      <c r="J689" s="639"/>
      <c r="K689" s="1124"/>
    </row>
    <row r="690" spans="1:11" ht="13.8" thickBot="1" x14ac:dyDescent="0.3">
      <c r="A690" s="719">
        <v>3</v>
      </c>
      <c r="B690" s="669"/>
      <c r="C690" s="1137"/>
      <c r="D690" s="1137"/>
      <c r="E690" s="1137"/>
      <c r="F690" s="1137"/>
      <c r="G690" s="646"/>
      <c r="H690" s="669"/>
      <c r="I690" s="1137"/>
      <c r="J690" s="646"/>
      <c r="K690" s="1138"/>
    </row>
    <row r="691" spans="1:11" ht="13.8" thickBot="1" x14ac:dyDescent="0.3">
      <c r="A691" s="1186" t="s">
        <v>555</v>
      </c>
      <c r="B691" s="1187"/>
      <c r="C691" s="1188"/>
      <c r="D691" s="1188"/>
      <c r="E691" s="1188"/>
      <c r="F691" s="1188"/>
      <c r="G691" s="1189"/>
      <c r="H691" s="1187"/>
      <c r="I691" s="1188"/>
      <c r="J691" s="1189"/>
      <c r="K691" s="716"/>
    </row>
    <row r="692" spans="1:11" x14ac:dyDescent="0.25">
      <c r="A692" s="1190">
        <v>1</v>
      </c>
      <c r="B692" s="745"/>
      <c r="C692" s="1117"/>
      <c r="D692" s="1117"/>
      <c r="E692" s="1117"/>
      <c r="F692" s="1117"/>
      <c r="G692" s="632"/>
      <c r="H692" s="745"/>
      <c r="I692" s="1117"/>
      <c r="J692" s="632"/>
      <c r="K692" s="1118"/>
    </row>
    <row r="693" spans="1:11" x14ac:dyDescent="0.25">
      <c r="A693" s="718">
        <v>2</v>
      </c>
      <c r="B693" s="668"/>
      <c r="C693" s="721"/>
      <c r="D693" s="721"/>
      <c r="E693" s="721"/>
      <c r="F693" s="721"/>
      <c r="G693" s="639"/>
      <c r="H693" s="668"/>
      <c r="I693" s="721"/>
      <c r="J693" s="639"/>
      <c r="K693" s="1124"/>
    </row>
    <row r="694" spans="1:11" x14ac:dyDescent="0.25">
      <c r="A694" s="718">
        <v>3</v>
      </c>
      <c r="B694" s="668"/>
      <c r="C694" s="721"/>
      <c r="D694" s="721"/>
      <c r="E694" s="721"/>
      <c r="F694" s="721"/>
      <c r="G694" s="639"/>
      <c r="H694" s="668"/>
      <c r="I694" s="721"/>
      <c r="J694" s="639"/>
      <c r="K694" s="1124"/>
    </row>
    <row r="695" spans="1:11" x14ac:dyDescent="0.25">
      <c r="A695" s="718">
        <v>4</v>
      </c>
      <c r="B695" s="668"/>
      <c r="C695" s="721"/>
      <c r="D695" s="721"/>
      <c r="E695" s="721"/>
      <c r="F695" s="721"/>
      <c r="G695" s="639"/>
      <c r="H695" s="668"/>
      <c r="I695" s="721"/>
      <c r="J695" s="639"/>
      <c r="K695" s="1124"/>
    </row>
    <row r="696" spans="1:11" x14ac:dyDescent="0.25">
      <c r="A696" s="718">
        <v>5</v>
      </c>
      <c r="B696" s="668"/>
      <c r="C696" s="721"/>
      <c r="D696" s="721"/>
      <c r="E696" s="721"/>
      <c r="F696" s="721"/>
      <c r="G696" s="639"/>
      <c r="H696" s="668"/>
      <c r="I696" s="721"/>
      <c r="J696" s="639"/>
      <c r="K696" s="1124"/>
    </row>
    <row r="697" spans="1:11" ht="13.8" thickBot="1" x14ac:dyDescent="0.3">
      <c r="A697" s="719">
        <v>6</v>
      </c>
      <c r="B697" s="669"/>
      <c r="C697" s="1137"/>
      <c r="D697" s="1137"/>
      <c r="E697" s="1137"/>
      <c r="F697" s="1137"/>
      <c r="G697" s="646"/>
      <c r="H697" s="669"/>
      <c r="I697" s="1137"/>
      <c r="J697" s="646"/>
      <c r="K697" s="1138"/>
    </row>
    <row r="698" spans="1:11" x14ac:dyDescent="0.25">
      <c r="A698" s="1190">
        <v>1</v>
      </c>
      <c r="B698" s="745"/>
      <c r="C698" s="1117"/>
      <c r="D698" s="1117"/>
      <c r="E698" s="1117"/>
      <c r="F698" s="1117"/>
      <c r="G698" s="632"/>
      <c r="H698" s="745"/>
      <c r="I698" s="1117"/>
      <c r="J698" s="632"/>
      <c r="K698" s="1118"/>
    </row>
    <row r="699" spans="1:11" x14ac:dyDescent="0.25">
      <c r="A699" s="718">
        <v>2</v>
      </c>
      <c r="B699" s="668"/>
      <c r="C699" s="721"/>
      <c r="D699" s="721"/>
      <c r="E699" s="721"/>
      <c r="F699" s="721"/>
      <c r="G699" s="639"/>
      <c r="H699" s="668"/>
      <c r="I699" s="721"/>
      <c r="J699" s="639"/>
      <c r="K699" s="1124"/>
    </row>
    <row r="700" spans="1:11" ht="13.8" thickBot="1" x14ac:dyDescent="0.3">
      <c r="A700" s="1191">
        <v>3</v>
      </c>
      <c r="B700" s="1132"/>
      <c r="C700" s="1133"/>
      <c r="D700" s="1133"/>
      <c r="E700" s="1133"/>
      <c r="F700" s="1133"/>
      <c r="G700" s="1134"/>
      <c r="H700" s="1132"/>
      <c r="I700" s="1133"/>
      <c r="J700" s="1134"/>
      <c r="K700" s="1147"/>
    </row>
    <row r="701" spans="1:11" ht="13.8" thickBot="1" x14ac:dyDescent="0.3">
      <c r="A701" s="1186" t="s">
        <v>556</v>
      </c>
      <c r="B701" s="1187"/>
      <c r="C701" s="1188"/>
      <c r="D701" s="1188"/>
      <c r="E701" s="1188"/>
      <c r="F701" s="1188"/>
      <c r="G701" s="1189"/>
      <c r="H701" s="1187"/>
      <c r="I701" s="1188"/>
      <c r="J701" s="1189"/>
      <c r="K701" s="716"/>
    </row>
    <row r="702" spans="1:11" x14ac:dyDescent="0.25">
      <c r="A702" s="1190">
        <v>1</v>
      </c>
      <c r="B702" s="745"/>
      <c r="C702" s="1117"/>
      <c r="D702" s="1117"/>
      <c r="E702" s="1117"/>
      <c r="F702" s="1117"/>
      <c r="G702" s="632"/>
      <c r="H702" s="745"/>
      <c r="I702" s="1117"/>
      <c r="J702" s="632"/>
      <c r="K702" s="1118"/>
    </row>
    <row r="703" spans="1:11" x14ac:dyDescent="0.25">
      <c r="A703" s="718">
        <v>2</v>
      </c>
      <c r="B703" s="668"/>
      <c r="C703" s="721"/>
      <c r="D703" s="721"/>
      <c r="E703" s="721"/>
      <c r="F703" s="721"/>
      <c r="G703" s="639"/>
      <c r="H703" s="668"/>
      <c r="I703" s="721"/>
      <c r="J703" s="639"/>
      <c r="K703" s="1124"/>
    </row>
    <row r="704" spans="1:11" x14ac:dyDescent="0.25">
      <c r="A704" s="718">
        <v>3</v>
      </c>
      <c r="B704" s="668"/>
      <c r="C704" s="721"/>
      <c r="D704" s="721"/>
      <c r="E704" s="721"/>
      <c r="F704" s="721"/>
      <c r="G704" s="639"/>
      <c r="H704" s="668"/>
      <c r="I704" s="721"/>
      <c r="J704" s="639"/>
      <c r="K704" s="1124"/>
    </row>
    <row r="705" spans="1:11" x14ac:dyDescent="0.25">
      <c r="A705" s="718">
        <v>4</v>
      </c>
      <c r="B705" s="668"/>
      <c r="C705" s="721"/>
      <c r="D705" s="721"/>
      <c r="E705" s="721"/>
      <c r="F705" s="721"/>
      <c r="G705" s="639"/>
      <c r="H705" s="668"/>
      <c r="I705" s="721"/>
      <c r="J705" s="639"/>
      <c r="K705" s="1124"/>
    </row>
    <row r="706" spans="1:11" x14ac:dyDescent="0.25">
      <c r="A706" s="718">
        <v>5</v>
      </c>
      <c r="B706" s="668"/>
      <c r="C706" s="721"/>
      <c r="D706" s="721"/>
      <c r="E706" s="721"/>
      <c r="F706" s="721"/>
      <c r="G706" s="639"/>
      <c r="H706" s="668"/>
      <c r="I706" s="721"/>
      <c r="J706" s="639"/>
      <c r="K706" s="1124"/>
    </row>
    <row r="707" spans="1:11" ht="13.8" thickBot="1" x14ac:dyDescent="0.3">
      <c r="A707" s="719">
        <v>6</v>
      </c>
      <c r="B707" s="669"/>
      <c r="C707" s="1137"/>
      <c r="D707" s="1137"/>
      <c r="E707" s="1137"/>
      <c r="F707" s="1137"/>
      <c r="G707" s="646"/>
      <c r="H707" s="669"/>
      <c r="I707" s="1137"/>
      <c r="J707" s="646"/>
      <c r="K707" s="1138"/>
    </row>
    <row r="708" spans="1:11" x14ac:dyDescent="0.25">
      <c r="A708" s="1190">
        <v>1</v>
      </c>
      <c r="B708" s="745"/>
      <c r="C708" s="1117"/>
      <c r="D708" s="1117"/>
      <c r="E708" s="1117"/>
      <c r="F708" s="1117"/>
      <c r="G708" s="632"/>
      <c r="H708" s="745"/>
      <c r="I708" s="1117"/>
      <c r="J708" s="632"/>
      <c r="K708" s="1118"/>
    </row>
    <row r="709" spans="1:11" x14ac:dyDescent="0.25">
      <c r="A709" s="718">
        <v>2</v>
      </c>
      <c r="B709" s="668"/>
      <c r="C709" s="721"/>
      <c r="D709" s="721"/>
      <c r="E709" s="721"/>
      <c r="F709" s="721"/>
      <c r="G709" s="639"/>
      <c r="H709" s="668"/>
      <c r="I709" s="721"/>
      <c r="J709" s="639"/>
      <c r="K709" s="1124"/>
    </row>
    <row r="710" spans="1:11" ht="13.8" thickBot="1" x14ac:dyDescent="0.3">
      <c r="A710" s="719">
        <v>3</v>
      </c>
      <c r="B710" s="669"/>
      <c r="C710" s="1137"/>
      <c r="D710" s="1137"/>
      <c r="E710" s="1137"/>
      <c r="F710" s="1137"/>
      <c r="G710" s="646"/>
      <c r="H710" s="669"/>
      <c r="I710" s="1137"/>
      <c r="J710" s="646"/>
      <c r="K710" s="1138"/>
    </row>
    <row r="711" spans="1:11" ht="13.8" thickBot="1" x14ac:dyDescent="0.3">
      <c r="A711" s="1186" t="s">
        <v>557</v>
      </c>
      <c r="B711" s="1187"/>
      <c r="C711" s="1188"/>
      <c r="D711" s="1188"/>
      <c r="E711" s="1188"/>
      <c r="F711" s="1188"/>
      <c r="G711" s="1189"/>
      <c r="H711" s="1187"/>
      <c r="I711" s="1188"/>
      <c r="J711" s="1189"/>
      <c r="K711" s="716"/>
    </row>
    <row r="712" spans="1:11" x14ac:dyDescent="0.25">
      <c r="A712" s="1190">
        <v>1</v>
      </c>
      <c r="B712" s="745"/>
      <c r="C712" s="1117"/>
      <c r="D712" s="1117"/>
      <c r="E712" s="1117"/>
      <c r="F712" s="1117"/>
      <c r="G712" s="632"/>
      <c r="H712" s="745"/>
      <c r="I712" s="1117"/>
      <c r="J712" s="632"/>
      <c r="K712" s="1118"/>
    </row>
    <row r="713" spans="1:11" x14ac:dyDescent="0.25">
      <c r="A713" s="718">
        <v>2</v>
      </c>
      <c r="B713" s="668"/>
      <c r="C713" s="721"/>
      <c r="D713" s="721"/>
      <c r="E713" s="721"/>
      <c r="F713" s="721"/>
      <c r="G713" s="639"/>
      <c r="H713" s="668"/>
      <c r="I713" s="721"/>
      <c r="J713" s="639"/>
      <c r="K713" s="1124"/>
    </row>
    <row r="714" spans="1:11" x14ac:dyDescent="0.25">
      <c r="A714" s="718">
        <v>3</v>
      </c>
      <c r="B714" s="668"/>
      <c r="C714" s="721"/>
      <c r="D714" s="721"/>
      <c r="E714" s="721"/>
      <c r="F714" s="721"/>
      <c r="G714" s="639"/>
      <c r="H714" s="668"/>
      <c r="I714" s="721"/>
      <c r="J714" s="639"/>
      <c r="K714" s="1124"/>
    </row>
    <row r="715" spans="1:11" x14ac:dyDescent="0.25">
      <c r="A715" s="718">
        <v>4</v>
      </c>
      <c r="B715" s="668"/>
      <c r="C715" s="721"/>
      <c r="D715" s="721"/>
      <c r="E715" s="721"/>
      <c r="F715" s="721"/>
      <c r="G715" s="639"/>
      <c r="H715" s="668"/>
      <c r="I715" s="721"/>
      <c r="J715" s="639"/>
      <c r="K715" s="1124"/>
    </row>
    <row r="716" spans="1:11" x14ac:dyDescent="0.25">
      <c r="A716" s="718">
        <v>5</v>
      </c>
      <c r="B716" s="668"/>
      <c r="C716" s="721"/>
      <c r="D716" s="721"/>
      <c r="E716" s="721"/>
      <c r="F716" s="721"/>
      <c r="G716" s="639"/>
      <c r="H716" s="668"/>
      <c r="I716" s="721"/>
      <c r="J716" s="639"/>
      <c r="K716" s="1124"/>
    </row>
    <row r="717" spans="1:11" ht="13.8" thickBot="1" x14ac:dyDescent="0.3">
      <c r="A717" s="719">
        <v>6</v>
      </c>
      <c r="B717" s="669"/>
      <c r="C717" s="1137"/>
      <c r="D717" s="1137"/>
      <c r="E717" s="1137"/>
      <c r="F717" s="1137"/>
      <c r="G717" s="646"/>
      <c r="H717" s="669"/>
      <c r="I717" s="1137"/>
      <c r="J717" s="646"/>
      <c r="K717" s="1138"/>
    </row>
    <row r="718" spans="1:11" x14ac:dyDescent="0.25">
      <c r="A718" s="1190">
        <v>1</v>
      </c>
      <c r="B718" s="745"/>
      <c r="C718" s="1117"/>
      <c r="D718" s="1117"/>
      <c r="E718" s="1117"/>
      <c r="F718" s="1117"/>
      <c r="G718" s="632"/>
      <c r="H718" s="745"/>
      <c r="I718" s="1117"/>
      <c r="J718" s="632"/>
      <c r="K718" s="1118"/>
    </row>
    <row r="719" spans="1:11" x14ac:dyDescent="0.25">
      <c r="A719" s="718">
        <v>2</v>
      </c>
      <c r="B719" s="668"/>
      <c r="C719" s="721"/>
      <c r="D719" s="721"/>
      <c r="E719" s="721"/>
      <c r="F719" s="721"/>
      <c r="G719" s="639"/>
      <c r="H719" s="668"/>
      <c r="I719" s="721"/>
      <c r="J719" s="639"/>
      <c r="K719" s="1124"/>
    </row>
    <row r="720" spans="1:11" ht="13.8" thickBot="1" x14ac:dyDescent="0.3">
      <c r="A720" s="719">
        <v>3</v>
      </c>
      <c r="B720" s="669"/>
      <c r="C720" s="1137"/>
      <c r="D720" s="1137"/>
      <c r="E720" s="1137"/>
      <c r="F720" s="1137"/>
      <c r="G720" s="646"/>
      <c r="H720" s="669"/>
      <c r="I720" s="1137"/>
      <c r="J720" s="646"/>
      <c r="K720" s="1138"/>
    </row>
    <row r="721" spans="1:11" ht="13.8" thickBot="1" x14ac:dyDescent="0.3">
      <c r="A721" s="1186" t="s">
        <v>558</v>
      </c>
      <c r="B721" s="1187"/>
      <c r="C721" s="1188"/>
      <c r="D721" s="1188"/>
      <c r="E721" s="1188"/>
      <c r="F721" s="1188"/>
      <c r="G721" s="1189"/>
      <c r="H721" s="1187"/>
      <c r="I721" s="1188"/>
      <c r="J721" s="1189"/>
      <c r="K721" s="716"/>
    </row>
    <row r="722" spans="1:11" x14ac:dyDescent="0.25">
      <c r="A722" s="1190">
        <v>1</v>
      </c>
      <c r="B722" s="745"/>
      <c r="C722" s="1117"/>
      <c r="D722" s="1117"/>
      <c r="E722" s="1117"/>
      <c r="F722" s="1117"/>
      <c r="G722" s="632"/>
      <c r="H722" s="745"/>
      <c r="I722" s="1117"/>
      <c r="J722" s="632"/>
      <c r="K722" s="1118"/>
    </row>
    <row r="723" spans="1:11" x14ac:dyDescent="0.25">
      <c r="A723" s="718">
        <v>2</v>
      </c>
      <c r="B723" s="668"/>
      <c r="C723" s="721"/>
      <c r="D723" s="721"/>
      <c r="E723" s="721"/>
      <c r="F723" s="721"/>
      <c r="G723" s="639"/>
      <c r="H723" s="668"/>
      <c r="I723" s="721"/>
      <c r="J723" s="639"/>
      <c r="K723" s="1124"/>
    </row>
    <row r="724" spans="1:11" x14ac:dyDescent="0.25">
      <c r="A724" s="718">
        <v>3</v>
      </c>
      <c r="B724" s="668"/>
      <c r="C724" s="721"/>
      <c r="D724" s="721"/>
      <c r="E724" s="721"/>
      <c r="F724" s="721"/>
      <c r="G724" s="639"/>
      <c r="H724" s="668"/>
      <c r="I724" s="721"/>
      <c r="J724" s="639"/>
      <c r="K724" s="1124"/>
    </row>
    <row r="725" spans="1:11" x14ac:dyDescent="0.25">
      <c r="A725" s="718">
        <v>4</v>
      </c>
      <c r="B725" s="668"/>
      <c r="C725" s="721"/>
      <c r="D725" s="721"/>
      <c r="E725" s="721"/>
      <c r="F725" s="721"/>
      <c r="G725" s="639"/>
      <c r="H725" s="668"/>
      <c r="I725" s="721"/>
      <c r="J725" s="639"/>
      <c r="K725" s="1124"/>
    </row>
    <row r="726" spans="1:11" x14ac:dyDescent="0.25">
      <c r="A726" s="718">
        <v>5</v>
      </c>
      <c r="B726" s="668"/>
      <c r="C726" s="721"/>
      <c r="D726" s="721"/>
      <c r="E726" s="721"/>
      <c r="F726" s="721"/>
      <c r="G726" s="639"/>
      <c r="H726" s="668"/>
      <c r="I726" s="721"/>
      <c r="J726" s="639"/>
      <c r="K726" s="1124"/>
    </row>
    <row r="727" spans="1:11" ht="13.8" thickBot="1" x14ac:dyDescent="0.3">
      <c r="A727" s="719">
        <v>6</v>
      </c>
      <c r="B727" s="669"/>
      <c r="C727" s="1137"/>
      <c r="D727" s="1137"/>
      <c r="E727" s="1137"/>
      <c r="F727" s="1137"/>
      <c r="G727" s="646"/>
      <c r="H727" s="669"/>
      <c r="I727" s="1137"/>
      <c r="J727" s="646"/>
      <c r="K727" s="1138"/>
    </row>
    <row r="728" spans="1:11" x14ac:dyDescent="0.25">
      <c r="A728" s="1190">
        <v>1</v>
      </c>
      <c r="B728" s="745"/>
      <c r="C728" s="1117"/>
      <c r="D728" s="1117"/>
      <c r="E728" s="1117"/>
      <c r="F728" s="1117"/>
      <c r="G728" s="632"/>
      <c r="H728" s="745"/>
      <c r="I728" s="1117"/>
      <c r="J728" s="632"/>
      <c r="K728" s="1118"/>
    </row>
    <row r="729" spans="1:11" x14ac:dyDescent="0.25">
      <c r="A729" s="718">
        <v>2</v>
      </c>
      <c r="B729" s="668"/>
      <c r="C729" s="721"/>
      <c r="D729" s="721"/>
      <c r="E729" s="721"/>
      <c r="F729" s="721"/>
      <c r="G729" s="639"/>
      <c r="H729" s="668"/>
      <c r="I729" s="721"/>
      <c r="J729" s="639"/>
      <c r="K729" s="1124"/>
    </row>
    <row r="730" spans="1:11" ht="13.8" thickBot="1" x14ac:dyDescent="0.3">
      <c r="A730" s="719">
        <v>3</v>
      </c>
      <c r="B730" s="669"/>
      <c r="C730" s="1137"/>
      <c r="D730" s="1137"/>
      <c r="E730" s="1137"/>
      <c r="F730" s="1137"/>
      <c r="G730" s="646"/>
      <c r="H730" s="669"/>
      <c r="I730" s="1137"/>
      <c r="J730" s="646"/>
      <c r="K730" s="1138"/>
    </row>
    <row r="731" spans="1:11" ht="13.8" thickBot="1" x14ac:dyDescent="0.3">
      <c r="A731" s="1186" t="s">
        <v>559</v>
      </c>
      <c r="B731" s="1187"/>
      <c r="C731" s="1188"/>
      <c r="D731" s="1188"/>
      <c r="E731" s="1188"/>
      <c r="F731" s="1188"/>
      <c r="G731" s="1189"/>
      <c r="H731" s="1187"/>
      <c r="I731" s="1188"/>
      <c r="J731" s="1189"/>
      <c r="K731" s="716"/>
    </row>
    <row r="732" spans="1:11" x14ac:dyDescent="0.25">
      <c r="A732" s="1190">
        <v>1</v>
      </c>
      <c r="B732" s="745"/>
      <c r="C732" s="1117"/>
      <c r="D732" s="1117"/>
      <c r="E732" s="1117"/>
      <c r="F732" s="1117"/>
      <c r="G732" s="632"/>
      <c r="H732" s="745"/>
      <c r="I732" s="1117"/>
      <c r="J732" s="632"/>
      <c r="K732" s="1118"/>
    </row>
    <row r="733" spans="1:11" x14ac:dyDescent="0.25">
      <c r="A733" s="718">
        <v>2</v>
      </c>
      <c r="B733" s="668"/>
      <c r="C733" s="721"/>
      <c r="D733" s="721"/>
      <c r="E733" s="721"/>
      <c r="F733" s="721"/>
      <c r="G733" s="639"/>
      <c r="H733" s="668"/>
      <c r="I733" s="721"/>
      <c r="J733" s="639"/>
      <c r="K733" s="1124"/>
    </row>
    <row r="734" spans="1:11" x14ac:dyDescent="0.25">
      <c r="A734" s="718">
        <v>3</v>
      </c>
      <c r="B734" s="668"/>
      <c r="C734" s="721"/>
      <c r="D734" s="721"/>
      <c r="E734" s="721"/>
      <c r="F734" s="721"/>
      <c r="G734" s="639"/>
      <c r="H734" s="668"/>
      <c r="I734" s="721"/>
      <c r="J734" s="639"/>
      <c r="K734" s="1124"/>
    </row>
    <row r="735" spans="1:11" x14ac:dyDescent="0.25">
      <c r="A735" s="718">
        <v>4</v>
      </c>
      <c r="B735" s="668"/>
      <c r="C735" s="721"/>
      <c r="D735" s="721"/>
      <c r="E735" s="721"/>
      <c r="F735" s="721"/>
      <c r="G735" s="639"/>
      <c r="H735" s="668"/>
      <c r="I735" s="721"/>
      <c r="J735" s="639"/>
      <c r="K735" s="1124"/>
    </row>
    <row r="736" spans="1:11" x14ac:dyDescent="0.25">
      <c r="A736" s="718">
        <v>5</v>
      </c>
      <c r="B736" s="668"/>
      <c r="C736" s="721"/>
      <c r="D736" s="721"/>
      <c r="E736" s="721"/>
      <c r="F736" s="721"/>
      <c r="G736" s="639"/>
      <c r="H736" s="668"/>
      <c r="I736" s="721"/>
      <c r="J736" s="639"/>
      <c r="K736" s="1124"/>
    </row>
    <row r="737" spans="1:11" ht="13.8" thickBot="1" x14ac:dyDescent="0.3">
      <c r="A737" s="719">
        <v>6</v>
      </c>
      <c r="B737" s="669"/>
      <c r="C737" s="1137"/>
      <c r="D737" s="1137"/>
      <c r="E737" s="1137"/>
      <c r="F737" s="1137"/>
      <c r="G737" s="646"/>
      <c r="H737" s="669"/>
      <c r="I737" s="1137"/>
      <c r="J737" s="646"/>
      <c r="K737" s="1138"/>
    </row>
    <row r="738" spans="1:11" x14ac:dyDescent="0.25">
      <c r="A738" s="1190">
        <v>1</v>
      </c>
      <c r="B738" s="745"/>
      <c r="C738" s="1117"/>
      <c r="D738" s="1117"/>
      <c r="E738" s="1117"/>
      <c r="F738" s="1117"/>
      <c r="G738" s="632"/>
      <c r="H738" s="745"/>
      <c r="I738" s="1117"/>
      <c r="J738" s="632"/>
      <c r="K738" s="1118"/>
    </row>
    <row r="739" spans="1:11" x14ac:dyDescent="0.25">
      <c r="A739" s="718">
        <v>2</v>
      </c>
      <c r="B739" s="668"/>
      <c r="C739" s="721"/>
      <c r="D739" s="721"/>
      <c r="E739" s="721"/>
      <c r="F739" s="721"/>
      <c r="G739" s="639"/>
      <c r="H739" s="668"/>
      <c r="I739" s="721"/>
      <c r="J739" s="639"/>
      <c r="K739" s="1124"/>
    </row>
    <row r="740" spans="1:11" ht="13.8" thickBot="1" x14ac:dyDescent="0.3">
      <c r="A740" s="719">
        <v>3</v>
      </c>
      <c r="B740" s="669"/>
      <c r="C740" s="1137"/>
      <c r="D740" s="1137"/>
      <c r="E740" s="1137"/>
      <c r="F740" s="1137"/>
      <c r="G740" s="646"/>
      <c r="H740" s="669"/>
      <c r="I740" s="1137"/>
      <c r="J740" s="646"/>
      <c r="K740" s="1138"/>
    </row>
    <row r="741" spans="1:11" ht="13.8" thickBot="1" x14ac:dyDescent="0.3">
      <c r="A741" s="1186" t="s">
        <v>560</v>
      </c>
      <c r="B741" s="1187"/>
      <c r="C741" s="1188"/>
      <c r="D741" s="1188"/>
      <c r="E741" s="1188"/>
      <c r="F741" s="1188"/>
      <c r="G741" s="1189"/>
      <c r="H741" s="1187"/>
      <c r="I741" s="1188"/>
      <c r="J741" s="1189"/>
      <c r="K741" s="716"/>
    </row>
    <row r="742" spans="1:11" x14ac:dyDescent="0.25">
      <c r="A742" s="1190">
        <v>1</v>
      </c>
      <c r="B742" s="745"/>
      <c r="C742" s="1117"/>
      <c r="D742" s="1117"/>
      <c r="E742" s="1117"/>
      <c r="F742" s="1117"/>
      <c r="G742" s="632"/>
      <c r="H742" s="745"/>
      <c r="I742" s="1117"/>
      <c r="J742" s="632"/>
      <c r="K742" s="1118"/>
    </row>
    <row r="743" spans="1:11" x14ac:dyDescent="0.25">
      <c r="A743" s="718">
        <v>2</v>
      </c>
      <c r="B743" s="668"/>
      <c r="C743" s="721"/>
      <c r="D743" s="721"/>
      <c r="E743" s="721"/>
      <c r="F743" s="721"/>
      <c r="G743" s="639"/>
      <c r="H743" s="668"/>
      <c r="I743" s="721"/>
      <c r="J743" s="639"/>
      <c r="K743" s="1124"/>
    </row>
    <row r="744" spans="1:11" x14ac:dyDescent="0.25">
      <c r="A744" s="718">
        <v>3</v>
      </c>
      <c r="B744" s="668"/>
      <c r="C744" s="721"/>
      <c r="D744" s="721"/>
      <c r="E744" s="721"/>
      <c r="F744" s="721"/>
      <c r="G744" s="639"/>
      <c r="H744" s="668"/>
      <c r="I744" s="721"/>
      <c r="J744" s="639"/>
      <c r="K744" s="1124"/>
    </row>
    <row r="745" spans="1:11" x14ac:dyDescent="0.25">
      <c r="A745" s="718">
        <v>4</v>
      </c>
      <c r="B745" s="668"/>
      <c r="C745" s="721"/>
      <c r="D745" s="721"/>
      <c r="E745" s="721"/>
      <c r="F745" s="721"/>
      <c r="G745" s="639"/>
      <c r="H745" s="668"/>
      <c r="I745" s="721"/>
      <c r="J745" s="639"/>
      <c r="K745" s="1124"/>
    </row>
    <row r="746" spans="1:11" x14ac:dyDescent="0.25">
      <c r="A746" s="718">
        <v>5</v>
      </c>
      <c r="B746" s="668"/>
      <c r="C746" s="721"/>
      <c r="D746" s="721"/>
      <c r="E746" s="721"/>
      <c r="F746" s="721"/>
      <c r="G746" s="639"/>
      <c r="H746" s="668"/>
      <c r="I746" s="721"/>
      <c r="J746" s="639"/>
      <c r="K746" s="1124"/>
    </row>
    <row r="747" spans="1:11" ht="13.8" thickBot="1" x14ac:dyDescent="0.3">
      <c r="A747" s="719">
        <v>6</v>
      </c>
      <c r="B747" s="669"/>
      <c r="C747" s="1137"/>
      <c r="D747" s="1137"/>
      <c r="E747" s="1137"/>
      <c r="F747" s="1137"/>
      <c r="G747" s="646"/>
      <c r="H747" s="669"/>
      <c r="I747" s="1137"/>
      <c r="J747" s="646"/>
      <c r="K747" s="1138"/>
    </row>
    <row r="748" spans="1:11" x14ac:dyDescent="0.25">
      <c r="A748" s="1190">
        <v>1</v>
      </c>
      <c r="B748" s="745"/>
      <c r="C748" s="1117"/>
      <c r="D748" s="1117"/>
      <c r="E748" s="1117"/>
      <c r="F748" s="1117"/>
      <c r="G748" s="632"/>
      <c r="H748" s="745"/>
      <c r="I748" s="1117"/>
      <c r="J748" s="632"/>
      <c r="K748" s="1118"/>
    </row>
    <row r="749" spans="1:11" x14ac:dyDescent="0.25">
      <c r="A749" s="718">
        <v>2</v>
      </c>
      <c r="B749" s="668"/>
      <c r="C749" s="721"/>
      <c r="D749" s="721"/>
      <c r="E749" s="721"/>
      <c r="F749" s="721"/>
      <c r="G749" s="639"/>
      <c r="H749" s="668"/>
      <c r="I749" s="721"/>
      <c r="J749" s="639"/>
      <c r="K749" s="1124"/>
    </row>
    <row r="750" spans="1:11" ht="13.8" thickBot="1" x14ac:dyDescent="0.3">
      <c r="A750" s="719">
        <v>3</v>
      </c>
      <c r="B750" s="669"/>
      <c r="C750" s="1137"/>
      <c r="D750" s="1137"/>
      <c r="E750" s="1137"/>
      <c r="F750" s="1137"/>
      <c r="G750" s="646"/>
      <c r="H750" s="669"/>
      <c r="I750" s="1137"/>
      <c r="J750" s="646"/>
      <c r="K750" s="1138"/>
    </row>
    <row r="751" spans="1:11" ht="13.8" thickBot="1" x14ac:dyDescent="0.3">
      <c r="A751" s="1186" t="s">
        <v>561</v>
      </c>
      <c r="B751" s="1187"/>
      <c r="C751" s="1188"/>
      <c r="D751" s="1188"/>
      <c r="E751" s="1188"/>
      <c r="F751" s="1188"/>
      <c r="G751" s="1189"/>
      <c r="H751" s="1187"/>
      <c r="I751" s="1188"/>
      <c r="J751" s="1189"/>
      <c r="K751" s="716"/>
    </row>
    <row r="752" spans="1:11" x14ac:dyDescent="0.25">
      <c r="A752" s="1190">
        <v>1</v>
      </c>
      <c r="B752" s="745"/>
      <c r="C752" s="1117"/>
      <c r="D752" s="1117"/>
      <c r="E752" s="1117"/>
      <c r="F752" s="1117"/>
      <c r="G752" s="632"/>
      <c r="H752" s="745"/>
      <c r="I752" s="1117"/>
      <c r="J752" s="632"/>
      <c r="K752" s="1118"/>
    </row>
    <row r="753" spans="1:11" x14ac:dyDescent="0.25">
      <c r="A753" s="718">
        <v>2</v>
      </c>
      <c r="B753" s="668"/>
      <c r="C753" s="721"/>
      <c r="D753" s="721"/>
      <c r="E753" s="721"/>
      <c r="F753" s="721"/>
      <c r="G753" s="639"/>
      <c r="H753" s="668"/>
      <c r="I753" s="721"/>
      <c r="J753" s="639"/>
      <c r="K753" s="1124"/>
    </row>
    <row r="754" spans="1:11" x14ac:dyDescent="0.25">
      <c r="A754" s="718">
        <v>3</v>
      </c>
      <c r="B754" s="668"/>
      <c r="C754" s="721"/>
      <c r="D754" s="721"/>
      <c r="E754" s="721"/>
      <c r="F754" s="721"/>
      <c r="G754" s="639"/>
      <c r="H754" s="668"/>
      <c r="I754" s="721"/>
      <c r="J754" s="639"/>
      <c r="K754" s="1124"/>
    </row>
    <row r="755" spans="1:11" x14ac:dyDescent="0.25">
      <c r="A755" s="718">
        <v>4</v>
      </c>
      <c r="B755" s="668"/>
      <c r="C755" s="721"/>
      <c r="D755" s="721"/>
      <c r="E755" s="721"/>
      <c r="F755" s="721"/>
      <c r="G755" s="639"/>
      <c r="H755" s="668"/>
      <c r="I755" s="721"/>
      <c r="J755" s="639"/>
      <c r="K755" s="1124"/>
    </row>
    <row r="756" spans="1:11" x14ac:dyDescent="0.25">
      <c r="A756" s="718">
        <v>5</v>
      </c>
      <c r="B756" s="668"/>
      <c r="C756" s="721"/>
      <c r="D756" s="721"/>
      <c r="E756" s="721"/>
      <c r="F756" s="721"/>
      <c r="G756" s="639"/>
      <c r="H756" s="668"/>
      <c r="I756" s="721"/>
      <c r="J756" s="639"/>
      <c r="K756" s="1124"/>
    </row>
    <row r="757" spans="1:11" ht="13.8" thickBot="1" x14ac:dyDescent="0.3">
      <c r="A757" s="719">
        <v>6</v>
      </c>
      <c r="B757" s="669"/>
      <c r="C757" s="1137"/>
      <c r="D757" s="1137"/>
      <c r="E757" s="1137"/>
      <c r="F757" s="1137"/>
      <c r="G757" s="646"/>
      <c r="H757" s="669"/>
      <c r="I757" s="1137"/>
      <c r="J757" s="646"/>
      <c r="K757" s="1138"/>
    </row>
    <row r="758" spans="1:11" x14ac:dyDescent="0.25">
      <c r="A758" s="1190">
        <v>1</v>
      </c>
      <c r="B758" s="745"/>
      <c r="C758" s="1117"/>
      <c r="D758" s="1117"/>
      <c r="E758" s="1117"/>
      <c r="F758" s="1117"/>
      <c r="G758" s="632"/>
      <c r="H758" s="745"/>
      <c r="I758" s="1117"/>
      <c r="J758" s="632"/>
      <c r="K758" s="1118"/>
    </row>
    <row r="759" spans="1:11" x14ac:dyDescent="0.25">
      <c r="A759" s="718">
        <v>2</v>
      </c>
      <c r="B759" s="668"/>
      <c r="C759" s="721"/>
      <c r="D759" s="721"/>
      <c r="E759" s="721"/>
      <c r="F759" s="721"/>
      <c r="G759" s="639"/>
      <c r="H759" s="668"/>
      <c r="I759" s="721"/>
      <c r="J759" s="639"/>
      <c r="K759" s="1124"/>
    </row>
    <row r="760" spans="1:11" ht="13.8" thickBot="1" x14ac:dyDescent="0.3">
      <c r="A760" s="719">
        <v>3</v>
      </c>
      <c r="B760" s="669"/>
      <c r="C760" s="1137"/>
      <c r="D760" s="1137"/>
      <c r="E760" s="1137"/>
      <c r="F760" s="1137"/>
      <c r="G760" s="646"/>
      <c r="H760" s="669"/>
      <c r="I760" s="1137"/>
      <c r="J760" s="646"/>
      <c r="K760" s="1138"/>
    </row>
    <row r="761" spans="1:11" ht="13.8" thickBot="1" x14ac:dyDescent="0.3">
      <c r="A761" s="1186" t="s">
        <v>562</v>
      </c>
      <c r="B761" s="1187"/>
      <c r="C761" s="1188"/>
      <c r="D761" s="1188"/>
      <c r="E761" s="1188"/>
      <c r="F761" s="1188"/>
      <c r="G761" s="1189"/>
      <c r="H761" s="1187"/>
      <c r="I761" s="1188"/>
      <c r="J761" s="1189"/>
      <c r="K761" s="716"/>
    </row>
    <row r="762" spans="1:11" x14ac:dyDescent="0.25">
      <c r="A762" s="1190">
        <v>1</v>
      </c>
      <c r="B762" s="745"/>
      <c r="C762" s="1117"/>
      <c r="D762" s="1117"/>
      <c r="E762" s="1117"/>
      <c r="F762" s="1117"/>
      <c r="G762" s="632"/>
      <c r="H762" s="745"/>
      <c r="I762" s="1117"/>
      <c r="J762" s="632"/>
      <c r="K762" s="1118"/>
    </row>
    <row r="763" spans="1:11" x14ac:dyDescent="0.25">
      <c r="A763" s="718">
        <v>2</v>
      </c>
      <c r="B763" s="668"/>
      <c r="C763" s="721"/>
      <c r="D763" s="721"/>
      <c r="E763" s="721"/>
      <c r="F763" s="721"/>
      <c r="G763" s="639"/>
      <c r="H763" s="668"/>
      <c r="I763" s="721"/>
      <c r="J763" s="639"/>
      <c r="K763" s="1124"/>
    </row>
    <row r="764" spans="1:11" x14ac:dyDescent="0.25">
      <c r="A764" s="718">
        <v>3</v>
      </c>
      <c r="B764" s="668"/>
      <c r="C764" s="721"/>
      <c r="D764" s="721"/>
      <c r="E764" s="721"/>
      <c r="F764" s="721"/>
      <c r="G764" s="639"/>
      <c r="H764" s="668"/>
      <c r="I764" s="721"/>
      <c r="J764" s="639"/>
      <c r="K764" s="1124"/>
    </row>
    <row r="765" spans="1:11" x14ac:dyDescent="0.25">
      <c r="A765" s="718">
        <v>4</v>
      </c>
      <c r="B765" s="668"/>
      <c r="C765" s="721"/>
      <c r="D765" s="721"/>
      <c r="E765" s="721"/>
      <c r="F765" s="721"/>
      <c r="G765" s="639"/>
      <c r="H765" s="668"/>
      <c r="I765" s="721"/>
      <c r="J765" s="639"/>
      <c r="K765" s="1124"/>
    </row>
    <row r="766" spans="1:11" x14ac:dyDescent="0.25">
      <c r="A766" s="718">
        <v>5</v>
      </c>
      <c r="B766" s="668"/>
      <c r="C766" s="721"/>
      <c r="D766" s="721"/>
      <c r="E766" s="721"/>
      <c r="F766" s="721"/>
      <c r="G766" s="639"/>
      <c r="H766" s="668"/>
      <c r="I766" s="721"/>
      <c r="J766" s="639"/>
      <c r="K766" s="1124"/>
    </row>
    <row r="767" spans="1:11" ht="13.8" thickBot="1" x14ac:dyDescent="0.3">
      <c r="A767" s="719">
        <v>6</v>
      </c>
      <c r="B767" s="669"/>
      <c r="C767" s="1137"/>
      <c r="D767" s="1137"/>
      <c r="E767" s="1137"/>
      <c r="F767" s="1137"/>
      <c r="G767" s="646"/>
      <c r="H767" s="669"/>
      <c r="I767" s="1137"/>
      <c r="J767" s="646"/>
      <c r="K767" s="1138"/>
    </row>
    <row r="768" spans="1:11" x14ac:dyDescent="0.25">
      <c r="A768" s="1190">
        <v>1</v>
      </c>
      <c r="B768" s="745"/>
      <c r="C768" s="1117"/>
      <c r="D768" s="1117"/>
      <c r="E768" s="1117"/>
      <c r="F768" s="1117"/>
      <c r="G768" s="632"/>
      <c r="H768" s="745"/>
      <c r="I768" s="1117"/>
      <c r="J768" s="632"/>
      <c r="K768" s="1118"/>
    </row>
    <row r="769" spans="1:11" x14ac:dyDescent="0.25">
      <c r="A769" s="718">
        <v>2</v>
      </c>
      <c r="B769" s="668"/>
      <c r="C769" s="721"/>
      <c r="D769" s="721"/>
      <c r="E769" s="721"/>
      <c r="F769" s="721"/>
      <c r="G769" s="639"/>
      <c r="H769" s="668"/>
      <c r="I769" s="721"/>
      <c r="J769" s="639"/>
      <c r="K769" s="1124"/>
    </row>
    <row r="770" spans="1:11" ht="13.8" thickBot="1" x14ac:dyDescent="0.3">
      <c r="A770" s="1191">
        <v>3</v>
      </c>
      <c r="B770" s="1132"/>
      <c r="C770" s="1133"/>
      <c r="D770" s="1133"/>
      <c r="E770" s="1133"/>
      <c r="F770" s="1133"/>
      <c r="G770" s="1134"/>
      <c r="H770" s="1132"/>
      <c r="I770" s="1133"/>
      <c r="J770" s="1134"/>
      <c r="K770" s="1147"/>
    </row>
    <row r="771" spans="1:11" ht="13.8" thickBot="1" x14ac:dyDescent="0.3">
      <c r="A771" s="1186" t="s">
        <v>563</v>
      </c>
      <c r="B771" s="1187"/>
      <c r="C771" s="1188"/>
      <c r="D771" s="1188"/>
      <c r="E771" s="1188"/>
      <c r="F771" s="1188"/>
      <c r="G771" s="1189"/>
      <c r="H771" s="1187"/>
      <c r="I771" s="1188"/>
      <c r="J771" s="1189"/>
      <c r="K771" s="716"/>
    </row>
    <row r="772" spans="1:11" x14ac:dyDescent="0.25">
      <c r="A772" s="1190">
        <v>1</v>
      </c>
      <c r="B772" s="745"/>
      <c r="C772" s="1117"/>
      <c r="D772" s="1117"/>
      <c r="E772" s="1117"/>
      <c r="F772" s="1117"/>
      <c r="G772" s="632"/>
      <c r="H772" s="745"/>
      <c r="I772" s="1117"/>
      <c r="J772" s="632"/>
      <c r="K772" s="1118"/>
    </row>
    <row r="773" spans="1:11" x14ac:dyDescent="0.25">
      <c r="A773" s="718">
        <v>2</v>
      </c>
      <c r="B773" s="668"/>
      <c r="C773" s="721"/>
      <c r="D773" s="721"/>
      <c r="E773" s="721"/>
      <c r="F773" s="721"/>
      <c r="G773" s="639"/>
      <c r="H773" s="668"/>
      <c r="I773" s="721"/>
      <c r="J773" s="639"/>
      <c r="K773" s="1124"/>
    </row>
    <row r="774" spans="1:11" x14ac:dyDescent="0.25">
      <c r="A774" s="718">
        <v>3</v>
      </c>
      <c r="B774" s="668"/>
      <c r="C774" s="721"/>
      <c r="D774" s="721"/>
      <c r="E774" s="721"/>
      <c r="F774" s="721"/>
      <c r="G774" s="639"/>
      <c r="H774" s="668"/>
      <c r="I774" s="721"/>
      <c r="J774" s="639"/>
      <c r="K774" s="1124"/>
    </row>
    <row r="775" spans="1:11" x14ac:dyDescent="0.25">
      <c r="A775" s="718">
        <v>4</v>
      </c>
      <c r="B775" s="668"/>
      <c r="C775" s="721"/>
      <c r="D775" s="721"/>
      <c r="E775" s="721"/>
      <c r="F775" s="721"/>
      <c r="G775" s="639"/>
      <c r="H775" s="668"/>
      <c r="I775" s="721"/>
      <c r="J775" s="639"/>
      <c r="K775" s="1124"/>
    </row>
    <row r="776" spans="1:11" x14ac:dyDescent="0.25">
      <c r="A776" s="718">
        <v>5</v>
      </c>
      <c r="B776" s="668"/>
      <c r="C776" s="721"/>
      <c r="D776" s="721"/>
      <c r="E776" s="721"/>
      <c r="F776" s="721"/>
      <c r="G776" s="639"/>
      <c r="H776" s="668"/>
      <c r="I776" s="721"/>
      <c r="J776" s="639"/>
      <c r="K776" s="1124"/>
    </row>
    <row r="777" spans="1:11" ht="13.8" thickBot="1" x14ac:dyDescent="0.3">
      <c r="A777" s="719">
        <v>6</v>
      </c>
      <c r="B777" s="669"/>
      <c r="C777" s="1137"/>
      <c r="D777" s="1137"/>
      <c r="E777" s="1137"/>
      <c r="F777" s="1137"/>
      <c r="G777" s="646"/>
      <c r="H777" s="669"/>
      <c r="I777" s="1137"/>
      <c r="J777" s="646"/>
      <c r="K777" s="1138"/>
    </row>
    <row r="778" spans="1:11" x14ac:dyDescent="0.25">
      <c r="A778" s="1190">
        <v>1</v>
      </c>
      <c r="B778" s="745"/>
      <c r="C778" s="1117"/>
      <c r="D778" s="1117"/>
      <c r="E778" s="1117"/>
      <c r="F778" s="1117"/>
      <c r="G778" s="632"/>
      <c r="H778" s="745"/>
      <c r="I778" s="1117"/>
      <c r="J778" s="632"/>
      <c r="K778" s="1118"/>
    </row>
    <row r="779" spans="1:11" x14ac:dyDescent="0.25">
      <c r="A779" s="718">
        <v>2</v>
      </c>
      <c r="B779" s="668"/>
      <c r="C779" s="721"/>
      <c r="D779" s="721"/>
      <c r="E779" s="721"/>
      <c r="F779" s="721"/>
      <c r="G779" s="639"/>
      <c r="H779" s="668"/>
      <c r="I779" s="721"/>
      <c r="J779" s="639"/>
      <c r="K779" s="1124"/>
    </row>
    <row r="780" spans="1:11" ht="13.8" thickBot="1" x14ac:dyDescent="0.3">
      <c r="A780" s="719">
        <v>3</v>
      </c>
      <c r="B780" s="669"/>
      <c r="C780" s="1137"/>
      <c r="D780" s="1137"/>
      <c r="E780" s="1137"/>
      <c r="F780" s="1137"/>
      <c r="G780" s="646"/>
      <c r="H780" s="669"/>
      <c r="I780" s="1137"/>
      <c r="J780" s="646"/>
      <c r="K780" s="1138"/>
    </row>
    <row r="781" spans="1:11" ht="13.8" thickBot="1" x14ac:dyDescent="0.3">
      <c r="A781" s="1186" t="s">
        <v>564</v>
      </c>
      <c r="B781" s="1187"/>
      <c r="C781" s="1188"/>
      <c r="D781" s="1188"/>
      <c r="E781" s="1188"/>
      <c r="F781" s="1188"/>
      <c r="G781" s="1189"/>
      <c r="H781" s="1187"/>
      <c r="I781" s="1188"/>
      <c r="J781" s="1189"/>
      <c r="K781" s="716"/>
    </row>
    <row r="782" spans="1:11" x14ac:dyDescent="0.25">
      <c r="A782" s="1190">
        <v>1</v>
      </c>
      <c r="B782" s="745"/>
      <c r="C782" s="1117"/>
      <c r="D782" s="1117"/>
      <c r="E782" s="1117"/>
      <c r="F782" s="1117"/>
      <c r="G782" s="632"/>
      <c r="H782" s="745"/>
      <c r="I782" s="1117"/>
      <c r="J782" s="632"/>
      <c r="K782" s="1118"/>
    </row>
    <row r="783" spans="1:11" x14ac:dyDescent="0.25">
      <c r="A783" s="718">
        <v>2</v>
      </c>
      <c r="B783" s="668"/>
      <c r="C783" s="721"/>
      <c r="D783" s="721"/>
      <c r="E783" s="721"/>
      <c r="F783" s="721"/>
      <c r="G783" s="639"/>
      <c r="H783" s="668"/>
      <c r="I783" s="721"/>
      <c r="J783" s="639"/>
      <c r="K783" s="1124"/>
    </row>
    <row r="784" spans="1:11" x14ac:dyDescent="0.25">
      <c r="A784" s="718">
        <v>3</v>
      </c>
      <c r="B784" s="668"/>
      <c r="C784" s="721"/>
      <c r="D784" s="721"/>
      <c r="E784" s="721"/>
      <c r="F784" s="721"/>
      <c r="G784" s="639"/>
      <c r="H784" s="668"/>
      <c r="I784" s="721"/>
      <c r="J784" s="639"/>
      <c r="K784" s="1124"/>
    </row>
    <row r="785" spans="1:11" x14ac:dyDescent="0.25">
      <c r="A785" s="718">
        <v>4</v>
      </c>
      <c r="B785" s="668"/>
      <c r="C785" s="721"/>
      <c r="D785" s="721"/>
      <c r="E785" s="721"/>
      <c r="F785" s="721"/>
      <c r="G785" s="639"/>
      <c r="H785" s="668"/>
      <c r="I785" s="721"/>
      <c r="J785" s="639"/>
      <c r="K785" s="1124"/>
    </row>
    <row r="786" spans="1:11" x14ac:dyDescent="0.25">
      <c r="A786" s="718">
        <v>5</v>
      </c>
      <c r="B786" s="668"/>
      <c r="C786" s="721"/>
      <c r="D786" s="721"/>
      <c r="E786" s="721"/>
      <c r="F786" s="721"/>
      <c r="G786" s="639"/>
      <c r="H786" s="668"/>
      <c r="I786" s="721"/>
      <c r="J786" s="639"/>
      <c r="K786" s="1124"/>
    </row>
    <row r="787" spans="1:11" ht="13.8" thickBot="1" x14ac:dyDescent="0.3">
      <c r="A787" s="719">
        <v>6</v>
      </c>
      <c r="B787" s="669"/>
      <c r="C787" s="1137"/>
      <c r="D787" s="1137"/>
      <c r="E787" s="1137"/>
      <c r="F787" s="1137"/>
      <c r="G787" s="646"/>
      <c r="H787" s="669"/>
      <c r="I787" s="1137"/>
      <c r="J787" s="646"/>
      <c r="K787" s="1138"/>
    </row>
    <row r="788" spans="1:11" x14ac:dyDescent="0.25">
      <c r="A788" s="1190">
        <v>1</v>
      </c>
      <c r="B788" s="745"/>
      <c r="C788" s="1117"/>
      <c r="D788" s="1117"/>
      <c r="E788" s="1117"/>
      <c r="F788" s="1117"/>
      <c r="G788" s="632"/>
      <c r="H788" s="745"/>
      <c r="I788" s="1117"/>
      <c r="J788" s="632"/>
      <c r="K788" s="1118"/>
    </row>
    <row r="789" spans="1:11" x14ac:dyDescent="0.25">
      <c r="A789" s="718">
        <v>2</v>
      </c>
      <c r="B789" s="668"/>
      <c r="C789" s="721"/>
      <c r="D789" s="721"/>
      <c r="E789" s="721"/>
      <c r="F789" s="721"/>
      <c r="G789" s="639"/>
      <c r="H789" s="668"/>
      <c r="I789" s="721"/>
      <c r="J789" s="639"/>
      <c r="K789" s="1124"/>
    </row>
    <row r="790" spans="1:11" ht="13.8" thickBot="1" x14ac:dyDescent="0.3">
      <c r="A790" s="719">
        <v>3</v>
      </c>
      <c r="B790" s="669"/>
      <c r="C790" s="1137"/>
      <c r="D790" s="1137"/>
      <c r="E790" s="1137"/>
      <c r="F790" s="1137"/>
      <c r="G790" s="646"/>
      <c r="H790" s="669"/>
      <c r="I790" s="1137"/>
      <c r="J790" s="646"/>
      <c r="K790" s="1138"/>
    </row>
    <row r="791" spans="1:11" ht="13.8" thickBot="1" x14ac:dyDescent="0.3">
      <c r="A791" s="1186" t="s">
        <v>565</v>
      </c>
      <c r="B791" s="1187"/>
      <c r="C791" s="1188"/>
      <c r="D791" s="1188"/>
      <c r="E791" s="1188"/>
      <c r="F791" s="1188"/>
      <c r="G791" s="1189"/>
      <c r="H791" s="1187"/>
      <c r="I791" s="1188"/>
      <c r="J791" s="1189"/>
      <c r="K791" s="716"/>
    </row>
    <row r="792" spans="1:11" x14ac:dyDescent="0.25">
      <c r="A792" s="1190">
        <v>1</v>
      </c>
      <c r="B792" s="745"/>
      <c r="C792" s="1117"/>
      <c r="D792" s="1117"/>
      <c r="E792" s="1117"/>
      <c r="F792" s="1117"/>
      <c r="G792" s="632"/>
      <c r="H792" s="745"/>
      <c r="I792" s="1117"/>
      <c r="J792" s="632"/>
      <c r="K792" s="1118"/>
    </row>
    <row r="793" spans="1:11" x14ac:dyDescent="0.25">
      <c r="A793" s="718">
        <v>2</v>
      </c>
      <c r="B793" s="668"/>
      <c r="C793" s="721"/>
      <c r="D793" s="721"/>
      <c r="E793" s="721"/>
      <c r="F793" s="721"/>
      <c r="G793" s="639"/>
      <c r="H793" s="668"/>
      <c r="I793" s="721"/>
      <c r="J793" s="639"/>
      <c r="K793" s="1124"/>
    </row>
    <row r="794" spans="1:11" x14ac:dyDescent="0.25">
      <c r="A794" s="718">
        <v>3</v>
      </c>
      <c r="B794" s="668"/>
      <c r="C794" s="721"/>
      <c r="D794" s="721"/>
      <c r="E794" s="721"/>
      <c r="F794" s="721"/>
      <c r="G794" s="639"/>
      <c r="H794" s="668"/>
      <c r="I794" s="721"/>
      <c r="J794" s="639"/>
      <c r="K794" s="1124"/>
    </row>
    <row r="795" spans="1:11" x14ac:dyDescent="0.25">
      <c r="A795" s="718">
        <v>4</v>
      </c>
      <c r="B795" s="668"/>
      <c r="C795" s="721"/>
      <c r="D795" s="721"/>
      <c r="E795" s="721"/>
      <c r="F795" s="721"/>
      <c r="G795" s="639"/>
      <c r="H795" s="668"/>
      <c r="I795" s="721"/>
      <c r="J795" s="639"/>
      <c r="K795" s="1124"/>
    </row>
    <row r="796" spans="1:11" x14ac:dyDescent="0.25">
      <c r="A796" s="718">
        <v>5</v>
      </c>
      <c r="B796" s="668"/>
      <c r="C796" s="721"/>
      <c r="D796" s="721"/>
      <c r="E796" s="721"/>
      <c r="F796" s="721"/>
      <c r="G796" s="639"/>
      <c r="H796" s="668"/>
      <c r="I796" s="721"/>
      <c r="J796" s="639"/>
      <c r="K796" s="1124"/>
    </row>
    <row r="797" spans="1:11" ht="13.8" thickBot="1" x14ac:dyDescent="0.3">
      <c r="A797" s="719">
        <v>6</v>
      </c>
      <c r="B797" s="669"/>
      <c r="C797" s="1137"/>
      <c r="D797" s="1137"/>
      <c r="E797" s="1137"/>
      <c r="F797" s="1137"/>
      <c r="G797" s="646"/>
      <c r="H797" s="669"/>
      <c r="I797" s="1137"/>
      <c r="J797" s="646"/>
      <c r="K797" s="1138"/>
    </row>
    <row r="798" spans="1:11" x14ac:dyDescent="0.25">
      <c r="A798" s="1190">
        <v>1</v>
      </c>
      <c r="B798" s="745"/>
      <c r="C798" s="1117"/>
      <c r="D798" s="1117"/>
      <c r="E798" s="1117"/>
      <c r="F798" s="1117"/>
      <c r="G798" s="632"/>
      <c r="H798" s="745"/>
      <c r="I798" s="1117"/>
      <c r="J798" s="632"/>
      <c r="K798" s="1118"/>
    </row>
    <row r="799" spans="1:11" x14ac:dyDescent="0.25">
      <c r="A799" s="718">
        <v>2</v>
      </c>
      <c r="B799" s="668"/>
      <c r="C799" s="721"/>
      <c r="D799" s="721"/>
      <c r="E799" s="721"/>
      <c r="F799" s="721"/>
      <c r="G799" s="639"/>
      <c r="H799" s="668"/>
      <c r="I799" s="721"/>
      <c r="J799" s="639"/>
      <c r="K799" s="1124"/>
    </row>
    <row r="800" spans="1:11" ht="13.8" thickBot="1" x14ac:dyDescent="0.3">
      <c r="A800" s="719">
        <v>3</v>
      </c>
      <c r="B800" s="669"/>
      <c r="C800" s="1137"/>
      <c r="D800" s="1137"/>
      <c r="E800" s="1137"/>
      <c r="F800" s="1137"/>
      <c r="G800" s="646"/>
      <c r="H800" s="669"/>
      <c r="I800" s="1137"/>
      <c r="J800" s="646"/>
      <c r="K800" s="1138"/>
    </row>
    <row r="801" spans="1:11" ht="13.8" thickBot="1" x14ac:dyDescent="0.3">
      <c r="A801" s="1186" t="s">
        <v>566</v>
      </c>
      <c r="B801" s="1187"/>
      <c r="C801" s="1188"/>
      <c r="D801" s="1188"/>
      <c r="E801" s="1188"/>
      <c r="F801" s="1188"/>
      <c r="G801" s="1189"/>
      <c r="H801" s="1187"/>
      <c r="I801" s="1188"/>
      <c r="J801" s="1189"/>
      <c r="K801" s="716"/>
    </row>
    <row r="802" spans="1:11" x14ac:dyDescent="0.25">
      <c r="A802" s="1190">
        <v>1</v>
      </c>
      <c r="B802" s="745"/>
      <c r="C802" s="1117"/>
      <c r="D802" s="1117"/>
      <c r="E802" s="1117"/>
      <c r="F802" s="1117"/>
      <c r="G802" s="632"/>
      <c r="H802" s="745"/>
      <c r="I802" s="1117"/>
      <c r="J802" s="632"/>
      <c r="K802" s="1118"/>
    </row>
    <row r="803" spans="1:11" x14ac:dyDescent="0.25">
      <c r="A803" s="718">
        <v>2</v>
      </c>
      <c r="B803" s="668"/>
      <c r="C803" s="721"/>
      <c r="D803" s="721"/>
      <c r="E803" s="721"/>
      <c r="F803" s="721"/>
      <c r="G803" s="639"/>
      <c r="H803" s="668"/>
      <c r="I803" s="721"/>
      <c r="J803" s="639"/>
      <c r="K803" s="1124"/>
    </row>
    <row r="804" spans="1:11" x14ac:dyDescent="0.25">
      <c r="A804" s="718">
        <v>3</v>
      </c>
      <c r="B804" s="668"/>
      <c r="C804" s="721"/>
      <c r="D804" s="721"/>
      <c r="E804" s="721"/>
      <c r="F804" s="721"/>
      <c r="G804" s="639"/>
      <c r="H804" s="668"/>
      <c r="I804" s="721"/>
      <c r="J804" s="639"/>
      <c r="K804" s="1124"/>
    </row>
    <row r="805" spans="1:11" x14ac:dyDescent="0.25">
      <c r="A805" s="718">
        <v>4</v>
      </c>
      <c r="B805" s="668"/>
      <c r="C805" s="721"/>
      <c r="D805" s="721"/>
      <c r="E805" s="721"/>
      <c r="F805" s="721"/>
      <c r="G805" s="639"/>
      <c r="H805" s="668"/>
      <c r="I805" s="721"/>
      <c r="J805" s="639"/>
      <c r="K805" s="1124"/>
    </row>
    <row r="806" spans="1:11" x14ac:dyDescent="0.25">
      <c r="A806" s="718">
        <v>5</v>
      </c>
      <c r="B806" s="668"/>
      <c r="C806" s="721"/>
      <c r="D806" s="721"/>
      <c r="E806" s="721"/>
      <c r="F806" s="721"/>
      <c r="G806" s="639"/>
      <c r="H806" s="668"/>
      <c r="I806" s="721"/>
      <c r="J806" s="639"/>
      <c r="K806" s="1124"/>
    </row>
    <row r="807" spans="1:11" ht="13.8" thickBot="1" x14ac:dyDescent="0.3">
      <c r="A807" s="719">
        <v>6</v>
      </c>
      <c r="B807" s="669"/>
      <c r="C807" s="1137"/>
      <c r="D807" s="1137"/>
      <c r="E807" s="1137"/>
      <c r="F807" s="1137"/>
      <c r="G807" s="646"/>
      <c r="H807" s="669"/>
      <c r="I807" s="1137"/>
      <c r="J807" s="646"/>
      <c r="K807" s="1138"/>
    </row>
    <row r="808" spans="1:11" x14ac:dyDescent="0.25">
      <c r="A808" s="1190">
        <v>1</v>
      </c>
      <c r="B808" s="745"/>
      <c r="C808" s="1117"/>
      <c r="D808" s="1117"/>
      <c r="E808" s="1117"/>
      <c r="F808" s="1117"/>
      <c r="G808" s="632"/>
      <c r="H808" s="745"/>
      <c r="I808" s="1117"/>
      <c r="J808" s="632"/>
      <c r="K808" s="1118"/>
    </row>
    <row r="809" spans="1:11" x14ac:dyDescent="0.25">
      <c r="A809" s="718">
        <v>2</v>
      </c>
      <c r="B809" s="668"/>
      <c r="C809" s="721"/>
      <c r="D809" s="721"/>
      <c r="E809" s="721"/>
      <c r="F809" s="721"/>
      <c r="G809" s="639"/>
      <c r="H809" s="668"/>
      <c r="I809" s="721"/>
      <c r="J809" s="639"/>
      <c r="K809" s="1124"/>
    </row>
    <row r="810" spans="1:11" ht="13.8" thickBot="1" x14ac:dyDescent="0.3">
      <c r="A810" s="719">
        <v>3</v>
      </c>
      <c r="B810" s="669"/>
      <c r="C810" s="1137"/>
      <c r="D810" s="1137"/>
      <c r="E810" s="1137"/>
      <c r="F810" s="1137"/>
      <c r="G810" s="646"/>
      <c r="H810" s="669"/>
      <c r="I810" s="1137"/>
      <c r="J810" s="646"/>
      <c r="K810" s="1138"/>
    </row>
    <row r="811" spans="1:11" ht="13.8" thickBot="1" x14ac:dyDescent="0.3">
      <c r="A811" s="1186" t="s">
        <v>567</v>
      </c>
      <c r="B811" s="1187"/>
      <c r="C811" s="1188"/>
      <c r="D811" s="1188"/>
      <c r="E811" s="1188"/>
      <c r="F811" s="1188"/>
      <c r="G811" s="1189"/>
      <c r="H811" s="1187"/>
      <c r="I811" s="1188"/>
      <c r="J811" s="1189"/>
      <c r="K811" s="716"/>
    </row>
    <row r="812" spans="1:11" x14ac:dyDescent="0.25">
      <c r="A812" s="1190">
        <v>1</v>
      </c>
      <c r="B812" s="745"/>
      <c r="C812" s="1117"/>
      <c r="D812" s="1117"/>
      <c r="E812" s="1117"/>
      <c r="F812" s="1117"/>
      <c r="G812" s="632"/>
      <c r="H812" s="745"/>
      <c r="I812" s="1117"/>
      <c r="J812" s="632"/>
      <c r="K812" s="1118"/>
    </row>
    <row r="813" spans="1:11" x14ac:dyDescent="0.25">
      <c r="A813" s="718">
        <v>2</v>
      </c>
      <c r="B813" s="668"/>
      <c r="C813" s="721"/>
      <c r="D813" s="721"/>
      <c r="E813" s="721"/>
      <c r="F813" s="721"/>
      <c r="G813" s="639"/>
      <c r="H813" s="668"/>
      <c r="I813" s="721"/>
      <c r="J813" s="639"/>
      <c r="K813" s="1124"/>
    </row>
    <row r="814" spans="1:11" x14ac:dyDescent="0.25">
      <c r="A814" s="718">
        <v>3</v>
      </c>
      <c r="B814" s="668"/>
      <c r="C814" s="721"/>
      <c r="D814" s="721"/>
      <c r="E814" s="721"/>
      <c r="F814" s="721"/>
      <c r="G814" s="639"/>
      <c r="H814" s="668"/>
      <c r="I814" s="721"/>
      <c r="J814" s="639"/>
      <c r="K814" s="1124"/>
    </row>
    <row r="815" spans="1:11" x14ac:dyDescent="0.25">
      <c r="A815" s="718">
        <v>4</v>
      </c>
      <c r="B815" s="668"/>
      <c r="C815" s="721"/>
      <c r="D815" s="721"/>
      <c r="E815" s="721"/>
      <c r="F815" s="721"/>
      <c r="G815" s="639"/>
      <c r="H815" s="668"/>
      <c r="I815" s="721"/>
      <c r="J815" s="639"/>
      <c r="K815" s="1124"/>
    </row>
    <row r="816" spans="1:11" x14ac:dyDescent="0.25">
      <c r="A816" s="718">
        <v>5</v>
      </c>
      <c r="B816" s="668"/>
      <c r="C816" s="721"/>
      <c r="D816" s="721"/>
      <c r="E816" s="721"/>
      <c r="F816" s="721"/>
      <c r="G816" s="639"/>
      <c r="H816" s="668"/>
      <c r="I816" s="721"/>
      <c r="J816" s="639"/>
      <c r="K816" s="1124"/>
    </row>
    <row r="817" spans="1:11" ht="13.8" thickBot="1" x14ac:dyDescent="0.3">
      <c r="A817" s="719">
        <v>6</v>
      </c>
      <c r="B817" s="669"/>
      <c r="C817" s="1137"/>
      <c r="D817" s="1137"/>
      <c r="E817" s="1137"/>
      <c r="F817" s="1137"/>
      <c r="G817" s="646"/>
      <c r="H817" s="669"/>
      <c r="I817" s="1137"/>
      <c r="J817" s="646"/>
      <c r="K817" s="1138"/>
    </row>
    <row r="818" spans="1:11" x14ac:dyDescent="0.25">
      <c r="A818" s="1190">
        <v>1</v>
      </c>
      <c r="B818" s="745"/>
      <c r="C818" s="1117"/>
      <c r="D818" s="1117"/>
      <c r="E818" s="1117"/>
      <c r="F818" s="1117"/>
      <c r="G818" s="632"/>
      <c r="H818" s="745"/>
      <c r="I818" s="1117"/>
      <c r="J818" s="632"/>
      <c r="K818" s="1118"/>
    </row>
    <row r="819" spans="1:11" x14ac:dyDescent="0.25">
      <c r="A819" s="718">
        <v>2</v>
      </c>
      <c r="B819" s="668"/>
      <c r="C819" s="721"/>
      <c r="D819" s="721"/>
      <c r="E819" s="721"/>
      <c r="F819" s="721"/>
      <c r="G819" s="639"/>
      <c r="H819" s="668"/>
      <c r="I819" s="721"/>
      <c r="J819" s="639"/>
      <c r="K819" s="1124"/>
    </row>
    <row r="820" spans="1:11" ht="13.8" thickBot="1" x14ac:dyDescent="0.3">
      <c r="A820" s="719">
        <v>3</v>
      </c>
      <c r="B820" s="669"/>
      <c r="C820" s="1137"/>
      <c r="D820" s="1137"/>
      <c r="E820" s="1137"/>
      <c r="F820" s="1137"/>
      <c r="G820" s="646"/>
      <c r="H820" s="669"/>
      <c r="I820" s="1137"/>
      <c r="J820" s="646"/>
      <c r="K820" s="1138"/>
    </row>
    <row r="821" spans="1:11" ht="13.8" thickBot="1" x14ac:dyDescent="0.3">
      <c r="A821" s="1186" t="s">
        <v>568</v>
      </c>
      <c r="B821" s="1187"/>
      <c r="C821" s="1188"/>
      <c r="D821" s="1188"/>
      <c r="E821" s="1188"/>
      <c r="F821" s="1188"/>
      <c r="G821" s="1189"/>
      <c r="H821" s="1187"/>
      <c r="I821" s="1188"/>
      <c r="J821" s="1189"/>
      <c r="K821" s="716"/>
    </row>
    <row r="822" spans="1:11" x14ac:dyDescent="0.25">
      <c r="A822" s="1190">
        <v>1</v>
      </c>
      <c r="B822" s="745"/>
      <c r="C822" s="1117"/>
      <c r="D822" s="1117"/>
      <c r="E822" s="1117"/>
      <c r="F822" s="1117"/>
      <c r="G822" s="632"/>
      <c r="H822" s="745"/>
      <c r="I822" s="1117"/>
      <c r="J822" s="632"/>
      <c r="K822" s="1118"/>
    </row>
    <row r="823" spans="1:11" x14ac:dyDescent="0.25">
      <c r="A823" s="718">
        <v>2</v>
      </c>
      <c r="B823" s="668"/>
      <c r="C823" s="721"/>
      <c r="D823" s="721"/>
      <c r="E823" s="721"/>
      <c r="F823" s="721"/>
      <c r="G823" s="639"/>
      <c r="H823" s="668"/>
      <c r="I823" s="721"/>
      <c r="J823" s="639"/>
      <c r="K823" s="1124"/>
    </row>
    <row r="824" spans="1:11" x14ac:dyDescent="0.25">
      <c r="A824" s="718">
        <v>3</v>
      </c>
      <c r="B824" s="668"/>
      <c r="C824" s="721"/>
      <c r="D824" s="721"/>
      <c r="E824" s="721"/>
      <c r="F824" s="721"/>
      <c r="G824" s="639"/>
      <c r="H824" s="668"/>
      <c r="I824" s="721"/>
      <c r="J824" s="639"/>
      <c r="K824" s="1124"/>
    </row>
    <row r="825" spans="1:11" x14ac:dyDescent="0.25">
      <c r="A825" s="718">
        <v>4</v>
      </c>
      <c r="B825" s="668"/>
      <c r="C825" s="721"/>
      <c r="D825" s="721"/>
      <c r="E825" s="721"/>
      <c r="F825" s="721"/>
      <c r="G825" s="639"/>
      <c r="H825" s="668"/>
      <c r="I825" s="721"/>
      <c r="J825" s="639"/>
      <c r="K825" s="1124"/>
    </row>
    <row r="826" spans="1:11" x14ac:dyDescent="0.25">
      <c r="A826" s="718">
        <v>5</v>
      </c>
      <c r="B826" s="668"/>
      <c r="C826" s="721"/>
      <c r="D826" s="721"/>
      <c r="E826" s="721"/>
      <c r="F826" s="721"/>
      <c r="G826" s="639"/>
      <c r="H826" s="668"/>
      <c r="I826" s="721"/>
      <c r="J826" s="639"/>
      <c r="K826" s="1124"/>
    </row>
    <row r="827" spans="1:11" ht="13.8" thickBot="1" x14ac:dyDescent="0.3">
      <c r="A827" s="719">
        <v>6</v>
      </c>
      <c r="B827" s="669"/>
      <c r="C827" s="1137"/>
      <c r="D827" s="1137"/>
      <c r="E827" s="1137"/>
      <c r="F827" s="1137"/>
      <c r="G827" s="646"/>
      <c r="H827" s="669"/>
      <c r="I827" s="1137"/>
      <c r="J827" s="646"/>
      <c r="K827" s="1138"/>
    </row>
    <row r="828" spans="1:11" x14ac:dyDescent="0.25">
      <c r="A828" s="1190">
        <v>1</v>
      </c>
      <c r="B828" s="745"/>
      <c r="C828" s="1117"/>
      <c r="D828" s="1117"/>
      <c r="E828" s="1117"/>
      <c r="F828" s="1117"/>
      <c r="G828" s="632"/>
      <c r="H828" s="745"/>
      <c r="I828" s="1117"/>
      <c r="J828" s="632"/>
      <c r="K828" s="1118"/>
    </row>
    <row r="829" spans="1:11" x14ac:dyDescent="0.25">
      <c r="A829" s="718">
        <v>2</v>
      </c>
      <c r="B829" s="668"/>
      <c r="C829" s="721"/>
      <c r="D829" s="721"/>
      <c r="E829" s="721"/>
      <c r="F829" s="721"/>
      <c r="G829" s="639"/>
      <c r="H829" s="668"/>
      <c r="I829" s="721"/>
      <c r="J829" s="639"/>
      <c r="K829" s="1124"/>
    </row>
    <row r="830" spans="1:11" ht="13.8" thickBot="1" x14ac:dyDescent="0.3">
      <c r="A830" s="719">
        <v>3</v>
      </c>
      <c r="B830" s="669"/>
      <c r="C830" s="1137"/>
      <c r="D830" s="1137"/>
      <c r="E830" s="1137"/>
      <c r="F830" s="1137"/>
      <c r="G830" s="646"/>
      <c r="H830" s="669"/>
      <c r="I830" s="1137"/>
      <c r="J830" s="646"/>
      <c r="K830" s="1138"/>
    </row>
    <row r="831" spans="1:11" ht="13.8" thickBot="1" x14ac:dyDescent="0.3">
      <c r="A831" s="1186" t="s">
        <v>569</v>
      </c>
      <c r="B831" s="1187"/>
      <c r="C831" s="1188"/>
      <c r="D831" s="1188"/>
      <c r="E831" s="1188"/>
      <c r="F831" s="1188"/>
      <c r="G831" s="1189"/>
      <c r="H831" s="1187"/>
      <c r="I831" s="1188"/>
      <c r="J831" s="1189"/>
      <c r="K831" s="716"/>
    </row>
    <row r="832" spans="1:11" x14ac:dyDescent="0.25">
      <c r="A832" s="1190">
        <v>1</v>
      </c>
      <c r="B832" s="745"/>
      <c r="C832" s="1117"/>
      <c r="D832" s="1117"/>
      <c r="E832" s="1117"/>
      <c r="F832" s="1117"/>
      <c r="G832" s="632"/>
      <c r="H832" s="745"/>
      <c r="I832" s="1117"/>
      <c r="J832" s="632"/>
      <c r="K832" s="1118"/>
    </row>
    <row r="833" spans="1:11" x14ac:dyDescent="0.25">
      <c r="A833" s="718">
        <v>2</v>
      </c>
      <c r="B833" s="668"/>
      <c r="C833" s="721"/>
      <c r="D833" s="721"/>
      <c r="E833" s="721"/>
      <c r="F833" s="721"/>
      <c r="G833" s="639"/>
      <c r="H833" s="668"/>
      <c r="I833" s="721"/>
      <c r="J833" s="639"/>
      <c r="K833" s="1124"/>
    </row>
    <row r="834" spans="1:11" x14ac:dyDescent="0.25">
      <c r="A834" s="718">
        <v>3</v>
      </c>
      <c r="B834" s="668"/>
      <c r="C834" s="721"/>
      <c r="D834" s="721"/>
      <c r="E834" s="721"/>
      <c r="F834" s="721"/>
      <c r="G834" s="639"/>
      <c r="H834" s="668"/>
      <c r="I834" s="721"/>
      <c r="J834" s="639"/>
      <c r="K834" s="1124"/>
    </row>
    <row r="835" spans="1:11" x14ac:dyDescent="0.25">
      <c r="A835" s="718">
        <v>4</v>
      </c>
      <c r="B835" s="668"/>
      <c r="C835" s="721"/>
      <c r="D835" s="721"/>
      <c r="E835" s="721"/>
      <c r="F835" s="721"/>
      <c r="G835" s="639"/>
      <c r="H835" s="668"/>
      <c r="I835" s="721"/>
      <c r="J835" s="639"/>
      <c r="K835" s="1124"/>
    </row>
    <row r="836" spans="1:11" x14ac:dyDescent="0.25">
      <c r="A836" s="718">
        <v>5</v>
      </c>
      <c r="B836" s="668"/>
      <c r="C836" s="721"/>
      <c r="D836" s="721"/>
      <c r="E836" s="721"/>
      <c r="F836" s="721"/>
      <c r="G836" s="639"/>
      <c r="H836" s="668"/>
      <c r="I836" s="721"/>
      <c r="J836" s="639"/>
      <c r="K836" s="1124"/>
    </row>
    <row r="837" spans="1:11" ht="13.8" thickBot="1" x14ac:dyDescent="0.3">
      <c r="A837" s="719">
        <v>6</v>
      </c>
      <c r="B837" s="669"/>
      <c r="C837" s="1137"/>
      <c r="D837" s="1137"/>
      <c r="E837" s="1137"/>
      <c r="F837" s="1137"/>
      <c r="G837" s="646"/>
      <c r="H837" s="669"/>
      <c r="I837" s="1137"/>
      <c r="J837" s="646"/>
      <c r="K837" s="1138"/>
    </row>
    <row r="838" spans="1:11" x14ac:dyDescent="0.25">
      <c r="A838" s="1190">
        <v>1</v>
      </c>
      <c r="B838" s="745"/>
      <c r="C838" s="1117"/>
      <c r="D838" s="1117"/>
      <c r="E838" s="1117"/>
      <c r="F838" s="1117"/>
      <c r="G838" s="632"/>
      <c r="H838" s="745"/>
      <c r="I838" s="1117"/>
      <c r="J838" s="632"/>
      <c r="K838" s="1118"/>
    </row>
    <row r="839" spans="1:11" x14ac:dyDescent="0.25">
      <c r="A839" s="718">
        <v>2</v>
      </c>
      <c r="B839" s="668"/>
      <c r="C839" s="721"/>
      <c r="D839" s="721"/>
      <c r="E839" s="721"/>
      <c r="F839" s="721"/>
      <c r="G839" s="639"/>
      <c r="H839" s="668"/>
      <c r="I839" s="721"/>
      <c r="J839" s="639"/>
      <c r="K839" s="1124"/>
    </row>
    <row r="840" spans="1:11" ht="13.8" thickBot="1" x14ac:dyDescent="0.3">
      <c r="A840" s="719">
        <v>3</v>
      </c>
      <c r="B840" s="669"/>
      <c r="C840" s="1137"/>
      <c r="D840" s="1137"/>
      <c r="E840" s="1137"/>
      <c r="F840" s="1137"/>
      <c r="G840" s="646"/>
      <c r="H840" s="669"/>
      <c r="I840" s="1137"/>
      <c r="J840" s="646"/>
      <c r="K840" s="1138"/>
    </row>
    <row r="841" spans="1:11" ht="13.8" thickBot="1" x14ac:dyDescent="0.3">
      <c r="A841" s="1186" t="s">
        <v>570</v>
      </c>
      <c r="B841" s="1187"/>
      <c r="C841" s="1188"/>
      <c r="D841" s="1188"/>
      <c r="E841" s="1188"/>
      <c r="F841" s="1188"/>
      <c r="G841" s="1189"/>
      <c r="H841" s="1187"/>
      <c r="I841" s="1188"/>
      <c r="J841" s="1189"/>
      <c r="K841" s="716"/>
    </row>
    <row r="842" spans="1:11" x14ac:dyDescent="0.25">
      <c r="A842" s="1190">
        <v>1</v>
      </c>
      <c r="B842" s="745"/>
      <c r="C842" s="1117"/>
      <c r="D842" s="1117"/>
      <c r="E842" s="1117"/>
      <c r="F842" s="1117"/>
      <c r="G842" s="632"/>
      <c r="H842" s="745"/>
      <c r="I842" s="1117"/>
      <c r="J842" s="632"/>
      <c r="K842" s="1118"/>
    </row>
    <row r="843" spans="1:11" x14ac:dyDescent="0.25">
      <c r="A843" s="718">
        <v>2</v>
      </c>
      <c r="B843" s="668"/>
      <c r="C843" s="721"/>
      <c r="D843" s="721"/>
      <c r="E843" s="721"/>
      <c r="F843" s="721"/>
      <c r="G843" s="639"/>
      <c r="H843" s="668"/>
      <c r="I843" s="721"/>
      <c r="J843" s="639"/>
      <c r="K843" s="1124"/>
    </row>
    <row r="844" spans="1:11" x14ac:dyDescent="0.25">
      <c r="A844" s="718">
        <v>3</v>
      </c>
      <c r="B844" s="668"/>
      <c r="C844" s="721"/>
      <c r="D844" s="721"/>
      <c r="E844" s="721"/>
      <c r="F844" s="721"/>
      <c r="G844" s="639"/>
      <c r="H844" s="668"/>
      <c r="I844" s="721"/>
      <c r="J844" s="639"/>
      <c r="K844" s="1124"/>
    </row>
    <row r="845" spans="1:11" x14ac:dyDescent="0.25">
      <c r="A845" s="718">
        <v>4</v>
      </c>
      <c r="B845" s="668"/>
      <c r="C845" s="721"/>
      <c r="D845" s="721"/>
      <c r="E845" s="721"/>
      <c r="F845" s="721"/>
      <c r="G845" s="639"/>
      <c r="H845" s="668"/>
      <c r="I845" s="721"/>
      <c r="J845" s="639"/>
      <c r="K845" s="1124"/>
    </row>
    <row r="846" spans="1:11" x14ac:dyDescent="0.25">
      <c r="A846" s="718">
        <v>5</v>
      </c>
      <c r="B846" s="668"/>
      <c r="C846" s="721"/>
      <c r="D846" s="721"/>
      <c r="E846" s="721"/>
      <c r="F846" s="721"/>
      <c r="G846" s="639"/>
      <c r="H846" s="668"/>
      <c r="I846" s="721"/>
      <c r="J846" s="639"/>
      <c r="K846" s="1124"/>
    </row>
    <row r="847" spans="1:11" ht="13.8" thickBot="1" x14ac:dyDescent="0.3">
      <c r="A847" s="719">
        <v>6</v>
      </c>
      <c r="B847" s="669"/>
      <c r="C847" s="1137"/>
      <c r="D847" s="1137"/>
      <c r="E847" s="1137"/>
      <c r="F847" s="1137"/>
      <c r="G847" s="646"/>
      <c r="H847" s="669"/>
      <c r="I847" s="1137"/>
      <c r="J847" s="646"/>
      <c r="K847" s="1138"/>
    </row>
    <row r="848" spans="1:11" x14ac:dyDescent="0.25">
      <c r="A848" s="1190">
        <v>1</v>
      </c>
      <c r="B848" s="745"/>
      <c r="C848" s="1117"/>
      <c r="D848" s="1117"/>
      <c r="E848" s="1117"/>
      <c r="F848" s="1117"/>
      <c r="G848" s="632"/>
      <c r="H848" s="745"/>
      <c r="I848" s="1117"/>
      <c r="J848" s="632"/>
      <c r="K848" s="1118"/>
    </row>
    <row r="849" spans="1:11" x14ac:dyDescent="0.25">
      <c r="A849" s="718">
        <v>2</v>
      </c>
      <c r="B849" s="668"/>
      <c r="C849" s="721"/>
      <c r="D849" s="721"/>
      <c r="E849" s="721"/>
      <c r="F849" s="721"/>
      <c r="G849" s="639"/>
      <c r="H849" s="668"/>
      <c r="I849" s="721"/>
      <c r="J849" s="639"/>
      <c r="K849" s="1124"/>
    </row>
    <row r="850" spans="1:11" ht="13.8" thickBot="1" x14ac:dyDescent="0.3">
      <c r="A850" s="719">
        <v>3</v>
      </c>
      <c r="B850" s="669"/>
      <c r="C850" s="1137"/>
      <c r="D850" s="1137"/>
      <c r="E850" s="1137"/>
      <c r="F850" s="1137"/>
      <c r="G850" s="646"/>
      <c r="H850" s="669"/>
      <c r="I850" s="1137"/>
      <c r="J850" s="646"/>
      <c r="K850" s="1138"/>
    </row>
    <row r="851" spans="1:11" ht="13.8" thickBot="1" x14ac:dyDescent="0.3">
      <c r="A851" s="1186" t="s">
        <v>571</v>
      </c>
      <c r="B851" s="1187"/>
      <c r="C851" s="1188"/>
      <c r="D851" s="1188"/>
      <c r="E851" s="1188"/>
      <c r="F851" s="1188"/>
      <c r="G851" s="1189"/>
      <c r="H851" s="1187"/>
      <c r="I851" s="1188"/>
      <c r="J851" s="1189"/>
      <c r="K851" s="716"/>
    </row>
    <row r="852" spans="1:11" x14ac:dyDescent="0.25">
      <c r="A852" s="1190">
        <v>1</v>
      </c>
      <c r="B852" s="745"/>
      <c r="C852" s="1117"/>
      <c r="D852" s="1117"/>
      <c r="E852" s="1117"/>
      <c r="F852" s="1117"/>
      <c r="G852" s="632"/>
      <c r="H852" s="745"/>
      <c r="I852" s="1117"/>
      <c r="J852" s="632"/>
      <c r="K852" s="1118"/>
    </row>
    <row r="853" spans="1:11" x14ac:dyDescent="0.25">
      <c r="A853" s="718">
        <v>2</v>
      </c>
      <c r="B853" s="668"/>
      <c r="C853" s="721"/>
      <c r="D853" s="721"/>
      <c r="E853" s="721"/>
      <c r="F853" s="721"/>
      <c r="G853" s="639"/>
      <c r="H853" s="668"/>
      <c r="I853" s="721"/>
      <c r="J853" s="639"/>
      <c r="K853" s="1124"/>
    </row>
    <row r="854" spans="1:11" x14ac:dyDescent="0.25">
      <c r="A854" s="718">
        <v>3</v>
      </c>
      <c r="B854" s="668"/>
      <c r="C854" s="721"/>
      <c r="D854" s="721"/>
      <c r="E854" s="721"/>
      <c r="F854" s="721"/>
      <c r="G854" s="639"/>
      <c r="H854" s="668"/>
      <c r="I854" s="721"/>
      <c r="J854" s="639"/>
      <c r="K854" s="1124"/>
    </row>
    <row r="855" spans="1:11" x14ac:dyDescent="0.25">
      <c r="A855" s="718">
        <v>4</v>
      </c>
      <c r="B855" s="668"/>
      <c r="C855" s="721"/>
      <c r="D855" s="721"/>
      <c r="E855" s="721"/>
      <c r="F855" s="721"/>
      <c r="G855" s="639"/>
      <c r="H855" s="668"/>
      <c r="I855" s="721"/>
      <c r="J855" s="639"/>
      <c r="K855" s="1124"/>
    </row>
    <row r="856" spans="1:11" x14ac:dyDescent="0.25">
      <c r="A856" s="718">
        <v>5</v>
      </c>
      <c r="B856" s="668"/>
      <c r="C856" s="721"/>
      <c r="D856" s="721"/>
      <c r="E856" s="721"/>
      <c r="F856" s="721"/>
      <c r="G856" s="639"/>
      <c r="H856" s="668"/>
      <c r="I856" s="721"/>
      <c r="J856" s="639"/>
      <c r="K856" s="1124"/>
    </row>
    <row r="857" spans="1:11" ht="13.8" thickBot="1" x14ac:dyDescent="0.3">
      <c r="A857" s="719">
        <v>6</v>
      </c>
      <c r="B857" s="669"/>
      <c r="C857" s="1137"/>
      <c r="D857" s="1137"/>
      <c r="E857" s="1137"/>
      <c r="F857" s="1137"/>
      <c r="G857" s="646"/>
      <c r="H857" s="669"/>
      <c r="I857" s="1137"/>
      <c r="J857" s="646"/>
      <c r="K857" s="1138"/>
    </row>
    <row r="858" spans="1:11" x14ac:dyDescent="0.25">
      <c r="A858" s="1190">
        <v>1</v>
      </c>
      <c r="B858" s="745"/>
      <c r="C858" s="1117"/>
      <c r="D858" s="1117"/>
      <c r="E858" s="1117"/>
      <c r="F858" s="1117"/>
      <c r="G858" s="632"/>
      <c r="H858" s="745"/>
      <c r="I858" s="1117"/>
      <c r="J858" s="632"/>
      <c r="K858" s="1118"/>
    </row>
    <row r="859" spans="1:11" x14ac:dyDescent="0.25">
      <c r="A859" s="718">
        <v>2</v>
      </c>
      <c r="B859" s="668"/>
      <c r="C859" s="721"/>
      <c r="D859" s="721"/>
      <c r="E859" s="721"/>
      <c r="F859" s="721"/>
      <c r="G859" s="639"/>
      <c r="H859" s="668"/>
      <c r="I859" s="721"/>
      <c r="J859" s="639"/>
      <c r="K859" s="1124"/>
    </row>
    <row r="860" spans="1:11" ht="13.8" thickBot="1" x14ac:dyDescent="0.3">
      <c r="A860" s="1191">
        <v>3</v>
      </c>
      <c r="B860" s="1132"/>
      <c r="C860" s="1133"/>
      <c r="D860" s="1133"/>
      <c r="E860" s="1133"/>
      <c r="F860" s="1133"/>
      <c r="G860" s="1134"/>
      <c r="H860" s="1132"/>
      <c r="I860" s="1133"/>
      <c r="J860" s="1134"/>
      <c r="K860" s="1147"/>
    </row>
    <row r="861" spans="1:11" ht="13.8" thickBot="1" x14ac:dyDescent="0.3">
      <c r="A861" s="1186" t="s">
        <v>572</v>
      </c>
      <c r="B861" s="1187"/>
      <c r="C861" s="1188"/>
      <c r="D861" s="1188"/>
      <c r="E861" s="1188"/>
      <c r="F861" s="1188"/>
      <c r="G861" s="1189"/>
      <c r="H861" s="1187"/>
      <c r="I861" s="1188"/>
      <c r="J861" s="1189"/>
      <c r="K861" s="716"/>
    </row>
    <row r="862" spans="1:11" x14ac:dyDescent="0.25">
      <c r="A862" s="1190">
        <v>1</v>
      </c>
      <c r="B862" s="745"/>
      <c r="C862" s="1117"/>
      <c r="D862" s="1117"/>
      <c r="E862" s="1117"/>
      <c r="F862" s="1117"/>
      <c r="G862" s="632"/>
      <c r="H862" s="745"/>
      <c r="I862" s="1117"/>
      <c r="J862" s="632"/>
      <c r="K862" s="1118"/>
    </row>
    <row r="863" spans="1:11" x14ac:dyDescent="0.25">
      <c r="A863" s="718">
        <v>2</v>
      </c>
      <c r="B863" s="668"/>
      <c r="C863" s="721"/>
      <c r="D863" s="721"/>
      <c r="E863" s="721"/>
      <c r="F863" s="721"/>
      <c r="G863" s="639"/>
      <c r="H863" s="668"/>
      <c r="I863" s="721"/>
      <c r="J863" s="639"/>
      <c r="K863" s="1124"/>
    </row>
    <row r="864" spans="1:11" x14ac:dyDescent="0.25">
      <c r="A864" s="718">
        <v>3</v>
      </c>
      <c r="B864" s="668"/>
      <c r="C864" s="721"/>
      <c r="D864" s="721"/>
      <c r="E864" s="721"/>
      <c r="F864" s="721"/>
      <c r="G864" s="639"/>
      <c r="H864" s="668"/>
      <c r="I864" s="721"/>
      <c r="J864" s="639"/>
      <c r="K864" s="1124"/>
    </row>
    <row r="865" spans="1:11" x14ac:dyDescent="0.25">
      <c r="A865" s="718">
        <v>4</v>
      </c>
      <c r="B865" s="668"/>
      <c r="C865" s="721"/>
      <c r="D865" s="721"/>
      <c r="E865" s="721"/>
      <c r="F865" s="721"/>
      <c r="G865" s="639"/>
      <c r="H865" s="668"/>
      <c r="I865" s="721"/>
      <c r="J865" s="639"/>
      <c r="K865" s="1124"/>
    </row>
    <row r="866" spans="1:11" x14ac:dyDescent="0.25">
      <c r="A866" s="718">
        <v>5</v>
      </c>
      <c r="B866" s="668"/>
      <c r="C866" s="721"/>
      <c r="D866" s="721"/>
      <c r="E866" s="721"/>
      <c r="F866" s="721"/>
      <c r="G866" s="639"/>
      <c r="H866" s="668"/>
      <c r="I866" s="721"/>
      <c r="J866" s="639"/>
      <c r="K866" s="1124"/>
    </row>
    <row r="867" spans="1:11" ht="13.8" thickBot="1" x14ac:dyDescent="0.3">
      <c r="A867" s="719">
        <v>6</v>
      </c>
      <c r="B867" s="669"/>
      <c r="C867" s="1137"/>
      <c r="D867" s="1137"/>
      <c r="E867" s="1137"/>
      <c r="F867" s="1137"/>
      <c r="G867" s="646"/>
      <c r="H867" s="669"/>
      <c r="I867" s="1137"/>
      <c r="J867" s="646"/>
      <c r="K867" s="1138"/>
    </row>
    <row r="868" spans="1:11" x14ac:dyDescent="0.25">
      <c r="A868" s="1190">
        <v>1</v>
      </c>
      <c r="B868" s="745"/>
      <c r="C868" s="1117"/>
      <c r="D868" s="1117"/>
      <c r="E868" s="1117"/>
      <c r="F868" s="1117"/>
      <c r="G868" s="632"/>
      <c r="H868" s="745"/>
      <c r="I868" s="1117"/>
      <c r="J868" s="632"/>
      <c r="K868" s="1118"/>
    </row>
    <row r="869" spans="1:11" x14ac:dyDescent="0.25">
      <c r="A869" s="718">
        <v>2</v>
      </c>
      <c r="B869" s="668"/>
      <c r="C869" s="721"/>
      <c r="D869" s="721"/>
      <c r="E869" s="721"/>
      <c r="F869" s="721"/>
      <c r="G869" s="639"/>
      <c r="H869" s="668"/>
      <c r="I869" s="721"/>
      <c r="J869" s="639"/>
      <c r="K869" s="1124"/>
    </row>
    <row r="870" spans="1:11" ht="13.8" thickBot="1" x14ac:dyDescent="0.3">
      <c r="A870" s="719">
        <v>3</v>
      </c>
      <c r="B870" s="669"/>
      <c r="C870" s="1137"/>
      <c r="D870" s="1137"/>
      <c r="E870" s="1137"/>
      <c r="F870" s="1137"/>
      <c r="G870" s="646"/>
      <c r="H870" s="669"/>
      <c r="I870" s="1137"/>
      <c r="J870" s="646"/>
      <c r="K870" s="1138"/>
    </row>
    <row r="871" spans="1:11" ht="13.8" thickBot="1" x14ac:dyDescent="0.3">
      <c r="A871" s="1186" t="s">
        <v>573</v>
      </c>
      <c r="B871" s="1187"/>
      <c r="C871" s="1188"/>
      <c r="D871" s="1188"/>
      <c r="E871" s="1188"/>
      <c r="F871" s="1188"/>
      <c r="G871" s="1189"/>
      <c r="H871" s="1187"/>
      <c r="I871" s="1188"/>
      <c r="J871" s="1189"/>
      <c r="K871" s="716"/>
    </row>
    <row r="872" spans="1:11" x14ac:dyDescent="0.25">
      <c r="A872" s="1190">
        <v>1</v>
      </c>
      <c r="B872" s="745"/>
      <c r="C872" s="1117"/>
      <c r="D872" s="1117"/>
      <c r="E872" s="1117"/>
      <c r="F872" s="1117"/>
      <c r="G872" s="632"/>
      <c r="H872" s="745"/>
      <c r="I872" s="1117"/>
      <c r="J872" s="632"/>
      <c r="K872" s="1118"/>
    </row>
    <row r="873" spans="1:11" x14ac:dyDescent="0.25">
      <c r="A873" s="718">
        <v>2</v>
      </c>
      <c r="B873" s="668"/>
      <c r="C873" s="721"/>
      <c r="D873" s="721"/>
      <c r="E873" s="721"/>
      <c r="F873" s="721"/>
      <c r="G873" s="639"/>
      <c r="H873" s="668"/>
      <c r="I873" s="721"/>
      <c r="J873" s="639"/>
      <c r="K873" s="1124"/>
    </row>
    <row r="874" spans="1:11" x14ac:dyDescent="0.25">
      <c r="A874" s="718">
        <v>3</v>
      </c>
      <c r="B874" s="668"/>
      <c r="C874" s="721"/>
      <c r="D874" s="721"/>
      <c r="E874" s="721"/>
      <c r="F874" s="721"/>
      <c r="G874" s="639"/>
      <c r="H874" s="668"/>
      <c r="I874" s="721"/>
      <c r="J874" s="639"/>
      <c r="K874" s="1124"/>
    </row>
    <row r="875" spans="1:11" x14ac:dyDescent="0.25">
      <c r="A875" s="718">
        <v>4</v>
      </c>
      <c r="B875" s="668"/>
      <c r="C875" s="721"/>
      <c r="D875" s="721"/>
      <c r="E875" s="721"/>
      <c r="F875" s="721"/>
      <c r="G875" s="639"/>
      <c r="H875" s="668"/>
      <c r="I875" s="721"/>
      <c r="J875" s="639"/>
      <c r="K875" s="1124"/>
    </row>
    <row r="876" spans="1:11" x14ac:dyDescent="0.25">
      <c r="A876" s="718">
        <v>5</v>
      </c>
      <c r="B876" s="668"/>
      <c r="C876" s="721"/>
      <c r="D876" s="721"/>
      <c r="E876" s="721"/>
      <c r="F876" s="721"/>
      <c r="G876" s="639"/>
      <c r="H876" s="668"/>
      <c r="I876" s="721"/>
      <c r="J876" s="639"/>
      <c r="K876" s="1124"/>
    </row>
    <row r="877" spans="1:11" ht="13.8" thickBot="1" x14ac:dyDescent="0.3">
      <c r="A877" s="719">
        <v>6</v>
      </c>
      <c r="B877" s="669"/>
      <c r="C877" s="1137"/>
      <c r="D877" s="1137"/>
      <c r="E877" s="1137"/>
      <c r="F877" s="1137"/>
      <c r="G877" s="646"/>
      <c r="H877" s="669"/>
      <c r="I877" s="1137"/>
      <c r="J877" s="646"/>
      <c r="K877" s="1138"/>
    </row>
    <row r="878" spans="1:11" x14ac:dyDescent="0.25">
      <c r="A878" s="1190">
        <v>1</v>
      </c>
      <c r="B878" s="745"/>
      <c r="C878" s="1117"/>
      <c r="D878" s="1117"/>
      <c r="E878" s="1117"/>
      <c r="F878" s="1117"/>
      <c r="G878" s="632"/>
      <c r="H878" s="745"/>
      <c r="I878" s="1117"/>
      <c r="J878" s="632"/>
      <c r="K878" s="1118"/>
    </row>
    <row r="879" spans="1:11" x14ac:dyDescent="0.25">
      <c r="A879" s="718">
        <v>2</v>
      </c>
      <c r="B879" s="668"/>
      <c r="C879" s="721"/>
      <c r="D879" s="721"/>
      <c r="E879" s="721"/>
      <c r="F879" s="721"/>
      <c r="G879" s="639"/>
      <c r="H879" s="668"/>
      <c r="I879" s="721"/>
      <c r="J879" s="639"/>
      <c r="K879" s="1124"/>
    </row>
    <row r="880" spans="1:11" ht="13.8" thickBot="1" x14ac:dyDescent="0.3">
      <c r="A880" s="719">
        <v>3</v>
      </c>
      <c r="B880" s="669"/>
      <c r="C880" s="1137"/>
      <c r="D880" s="1137"/>
      <c r="E880" s="1137"/>
      <c r="F880" s="1137"/>
      <c r="G880" s="646"/>
      <c r="H880" s="669"/>
      <c r="I880" s="1137"/>
      <c r="J880" s="646"/>
      <c r="K880" s="1138"/>
    </row>
    <row r="881" spans="1:11" ht="13.8" thickBot="1" x14ac:dyDescent="0.3">
      <c r="A881" s="1186" t="s">
        <v>574</v>
      </c>
      <c r="B881" s="1187"/>
      <c r="C881" s="1188"/>
      <c r="D881" s="1188"/>
      <c r="E881" s="1188"/>
      <c r="F881" s="1188"/>
      <c r="G881" s="1189"/>
      <c r="H881" s="1187"/>
      <c r="I881" s="1188"/>
      <c r="J881" s="1189"/>
      <c r="K881" s="716"/>
    </row>
    <row r="882" spans="1:11" x14ac:dyDescent="0.25">
      <c r="A882" s="1190">
        <v>1</v>
      </c>
      <c r="B882" s="745"/>
      <c r="C882" s="1117"/>
      <c r="D882" s="1117"/>
      <c r="E882" s="1117"/>
      <c r="F882" s="1117"/>
      <c r="G882" s="632"/>
      <c r="H882" s="745"/>
      <c r="I882" s="1117"/>
      <c r="J882" s="632"/>
      <c r="K882" s="1118"/>
    </row>
    <row r="883" spans="1:11" x14ac:dyDescent="0.25">
      <c r="A883" s="718">
        <v>2</v>
      </c>
      <c r="B883" s="668"/>
      <c r="C883" s="721"/>
      <c r="D883" s="721"/>
      <c r="E883" s="721"/>
      <c r="F883" s="721"/>
      <c r="G883" s="639"/>
      <c r="H883" s="668"/>
      <c r="I883" s="721"/>
      <c r="J883" s="639"/>
      <c r="K883" s="1124"/>
    </row>
    <row r="884" spans="1:11" x14ac:dyDescent="0.25">
      <c r="A884" s="718">
        <v>3</v>
      </c>
      <c r="B884" s="668"/>
      <c r="C884" s="721"/>
      <c r="D884" s="721"/>
      <c r="E884" s="721"/>
      <c r="F884" s="721"/>
      <c r="G884" s="639"/>
      <c r="H884" s="668"/>
      <c r="I884" s="721"/>
      <c r="J884" s="639"/>
      <c r="K884" s="1124"/>
    </row>
    <row r="885" spans="1:11" x14ac:dyDescent="0.25">
      <c r="A885" s="718">
        <v>4</v>
      </c>
      <c r="B885" s="668"/>
      <c r="C885" s="721"/>
      <c r="D885" s="721"/>
      <c r="E885" s="721"/>
      <c r="F885" s="721"/>
      <c r="G885" s="639"/>
      <c r="H885" s="668"/>
      <c r="I885" s="721"/>
      <c r="J885" s="639"/>
      <c r="K885" s="1124"/>
    </row>
    <row r="886" spans="1:11" x14ac:dyDescent="0.25">
      <c r="A886" s="718">
        <v>5</v>
      </c>
      <c r="B886" s="668"/>
      <c r="C886" s="721"/>
      <c r="D886" s="721"/>
      <c r="E886" s="721"/>
      <c r="F886" s="721"/>
      <c r="G886" s="639"/>
      <c r="H886" s="668"/>
      <c r="I886" s="721"/>
      <c r="J886" s="639"/>
      <c r="K886" s="1124"/>
    </row>
    <row r="887" spans="1:11" ht="13.8" thickBot="1" x14ac:dyDescent="0.3">
      <c r="A887" s="719">
        <v>6</v>
      </c>
      <c r="B887" s="669"/>
      <c r="C887" s="1137"/>
      <c r="D887" s="1137"/>
      <c r="E887" s="1137"/>
      <c r="F887" s="1137"/>
      <c r="G887" s="646"/>
      <c r="H887" s="669"/>
      <c r="I887" s="1137"/>
      <c r="J887" s="646"/>
      <c r="K887" s="1138"/>
    </row>
    <row r="888" spans="1:11" x14ac:dyDescent="0.25">
      <c r="A888" s="1190">
        <v>1</v>
      </c>
      <c r="B888" s="745"/>
      <c r="C888" s="1117"/>
      <c r="D888" s="1117"/>
      <c r="E888" s="1117"/>
      <c r="F888" s="1117"/>
      <c r="G888" s="632"/>
      <c r="H888" s="745"/>
      <c r="I888" s="1117"/>
      <c r="J888" s="632"/>
      <c r="K888" s="1118"/>
    </row>
    <row r="889" spans="1:11" x14ac:dyDescent="0.25">
      <c r="A889" s="718">
        <v>2</v>
      </c>
      <c r="B889" s="668"/>
      <c r="C889" s="721"/>
      <c r="D889" s="721"/>
      <c r="E889" s="721"/>
      <c r="F889" s="721"/>
      <c r="G889" s="639"/>
      <c r="H889" s="668"/>
      <c r="I889" s="721"/>
      <c r="J889" s="639"/>
      <c r="K889" s="1124"/>
    </row>
    <row r="890" spans="1:11" ht="13.8" thickBot="1" x14ac:dyDescent="0.3">
      <c r="A890" s="719">
        <v>3</v>
      </c>
      <c r="B890" s="669"/>
      <c r="C890" s="1137"/>
      <c r="D890" s="1137"/>
      <c r="E890" s="1137"/>
      <c r="F890" s="1137"/>
      <c r="G890" s="646"/>
      <c r="H890" s="669"/>
      <c r="I890" s="1137"/>
      <c r="J890" s="646"/>
      <c r="K890" s="1138"/>
    </row>
    <row r="891" spans="1:11" ht="13.8" thickBot="1" x14ac:dyDescent="0.3">
      <c r="A891" s="1186" t="s">
        <v>575</v>
      </c>
      <c r="B891" s="1187"/>
      <c r="C891" s="1188"/>
      <c r="D891" s="1188"/>
      <c r="E891" s="1188"/>
      <c r="F891" s="1188"/>
      <c r="G891" s="1189"/>
      <c r="H891" s="1187"/>
      <c r="I891" s="1188"/>
      <c r="J891" s="1189"/>
      <c r="K891" s="716"/>
    </row>
    <row r="892" spans="1:11" x14ac:dyDescent="0.25">
      <c r="A892" s="1190">
        <v>1</v>
      </c>
      <c r="B892" s="745"/>
      <c r="C892" s="1117"/>
      <c r="D892" s="1117"/>
      <c r="E892" s="1117"/>
      <c r="F892" s="1117"/>
      <c r="G892" s="632"/>
      <c r="H892" s="745"/>
      <c r="I892" s="1117"/>
      <c r="J892" s="632"/>
      <c r="K892" s="1118"/>
    </row>
    <row r="893" spans="1:11" x14ac:dyDescent="0.25">
      <c r="A893" s="718">
        <v>2</v>
      </c>
      <c r="B893" s="668"/>
      <c r="C893" s="721"/>
      <c r="D893" s="721"/>
      <c r="E893" s="721"/>
      <c r="F893" s="721"/>
      <c r="G893" s="639"/>
      <c r="H893" s="668"/>
      <c r="I893" s="721"/>
      <c r="J893" s="639"/>
      <c r="K893" s="1124"/>
    </row>
    <row r="894" spans="1:11" x14ac:dyDescent="0.25">
      <c r="A894" s="718">
        <v>3</v>
      </c>
      <c r="B894" s="668"/>
      <c r="C894" s="721"/>
      <c r="D894" s="721"/>
      <c r="E894" s="721"/>
      <c r="F894" s="721"/>
      <c r="G894" s="639"/>
      <c r="H894" s="668"/>
      <c r="I894" s="721"/>
      <c r="J894" s="639"/>
      <c r="K894" s="1124"/>
    </row>
    <row r="895" spans="1:11" x14ac:dyDescent="0.25">
      <c r="A895" s="718">
        <v>4</v>
      </c>
      <c r="B895" s="668"/>
      <c r="C895" s="721"/>
      <c r="D895" s="721"/>
      <c r="E895" s="721"/>
      <c r="F895" s="721"/>
      <c r="G895" s="639"/>
      <c r="H895" s="668"/>
      <c r="I895" s="721"/>
      <c r="J895" s="639"/>
      <c r="K895" s="1124"/>
    </row>
    <row r="896" spans="1:11" x14ac:dyDescent="0.25">
      <c r="A896" s="718">
        <v>5</v>
      </c>
      <c r="B896" s="668"/>
      <c r="C896" s="721"/>
      <c r="D896" s="721"/>
      <c r="E896" s="721"/>
      <c r="F896" s="721"/>
      <c r="G896" s="639"/>
      <c r="H896" s="668"/>
      <c r="I896" s="721"/>
      <c r="J896" s="639"/>
      <c r="K896" s="1124"/>
    </row>
    <row r="897" spans="1:11" ht="13.8" thickBot="1" x14ac:dyDescent="0.3">
      <c r="A897" s="719">
        <v>6</v>
      </c>
      <c r="B897" s="669"/>
      <c r="C897" s="1137"/>
      <c r="D897" s="1137"/>
      <c r="E897" s="1137"/>
      <c r="F897" s="1137"/>
      <c r="G897" s="646"/>
      <c r="H897" s="669"/>
      <c r="I897" s="1137"/>
      <c r="J897" s="646"/>
      <c r="K897" s="1138"/>
    </row>
    <row r="898" spans="1:11" x14ac:dyDescent="0.25">
      <c r="A898" s="1190">
        <v>1</v>
      </c>
      <c r="B898" s="745"/>
      <c r="C898" s="1117"/>
      <c r="D898" s="1117"/>
      <c r="E898" s="1117"/>
      <c r="F898" s="1117"/>
      <c r="G898" s="632"/>
      <c r="H898" s="745"/>
      <c r="I898" s="1117"/>
      <c r="J898" s="632"/>
      <c r="K898" s="1118"/>
    </row>
    <row r="899" spans="1:11" x14ac:dyDescent="0.25">
      <c r="A899" s="718">
        <v>2</v>
      </c>
      <c r="B899" s="668"/>
      <c r="C899" s="721"/>
      <c r="D899" s="721"/>
      <c r="E899" s="721"/>
      <c r="F899" s="721"/>
      <c r="G899" s="639"/>
      <c r="H899" s="668"/>
      <c r="I899" s="721"/>
      <c r="J899" s="639"/>
      <c r="K899" s="1124"/>
    </row>
    <row r="900" spans="1:11" ht="13.8" thickBot="1" x14ac:dyDescent="0.3">
      <c r="A900" s="719">
        <v>3</v>
      </c>
      <c r="B900" s="669"/>
      <c r="C900" s="1137"/>
      <c r="D900" s="1137"/>
      <c r="E900" s="1137"/>
      <c r="F900" s="1137"/>
      <c r="G900" s="646"/>
      <c r="H900" s="669"/>
      <c r="I900" s="1137"/>
      <c r="J900" s="646"/>
      <c r="K900" s="1138"/>
    </row>
    <row r="901" spans="1:11" ht="13.8" thickBot="1" x14ac:dyDescent="0.3">
      <c r="A901" s="1186" t="s">
        <v>576</v>
      </c>
      <c r="B901" s="1187"/>
      <c r="C901" s="1188"/>
      <c r="D901" s="1188"/>
      <c r="E901" s="1188"/>
      <c r="F901" s="1188"/>
      <c r="G901" s="1189"/>
      <c r="H901" s="1187"/>
      <c r="I901" s="1188"/>
      <c r="J901" s="1189"/>
      <c r="K901" s="716"/>
    </row>
    <row r="902" spans="1:11" x14ac:dyDescent="0.25">
      <c r="A902" s="1190">
        <v>1</v>
      </c>
      <c r="B902" s="745"/>
      <c r="C902" s="1117"/>
      <c r="D902" s="1117"/>
      <c r="E902" s="1117"/>
      <c r="F902" s="1117"/>
      <c r="G902" s="632"/>
      <c r="H902" s="745"/>
      <c r="I902" s="1117"/>
      <c r="J902" s="632"/>
      <c r="K902" s="1118"/>
    </row>
    <row r="903" spans="1:11" x14ac:dyDescent="0.25">
      <c r="A903" s="718">
        <v>2</v>
      </c>
      <c r="B903" s="668"/>
      <c r="C903" s="721"/>
      <c r="D903" s="721"/>
      <c r="E903" s="721"/>
      <c r="F903" s="721"/>
      <c r="G903" s="639"/>
      <c r="H903" s="668"/>
      <c r="I903" s="721"/>
      <c r="J903" s="639"/>
      <c r="K903" s="1124"/>
    </row>
    <row r="904" spans="1:11" x14ac:dyDescent="0.25">
      <c r="A904" s="718">
        <v>3</v>
      </c>
      <c r="B904" s="668"/>
      <c r="C904" s="721"/>
      <c r="D904" s="721"/>
      <c r="E904" s="721"/>
      <c r="F904" s="721"/>
      <c r="G904" s="639"/>
      <c r="H904" s="668"/>
      <c r="I904" s="721"/>
      <c r="J904" s="639"/>
      <c r="K904" s="1124"/>
    </row>
    <row r="905" spans="1:11" x14ac:dyDescent="0.25">
      <c r="A905" s="718">
        <v>4</v>
      </c>
      <c r="B905" s="668"/>
      <c r="C905" s="721"/>
      <c r="D905" s="721"/>
      <c r="E905" s="721"/>
      <c r="F905" s="721"/>
      <c r="G905" s="639"/>
      <c r="H905" s="668"/>
      <c r="I905" s="721"/>
      <c r="J905" s="639"/>
      <c r="K905" s="1124"/>
    </row>
    <row r="906" spans="1:11" x14ac:dyDescent="0.25">
      <c r="A906" s="718">
        <v>5</v>
      </c>
      <c r="B906" s="668"/>
      <c r="C906" s="721"/>
      <c r="D906" s="721"/>
      <c r="E906" s="721"/>
      <c r="F906" s="721"/>
      <c r="G906" s="639"/>
      <c r="H906" s="668"/>
      <c r="I906" s="721"/>
      <c r="J906" s="639"/>
      <c r="K906" s="1124"/>
    </row>
    <row r="907" spans="1:11" ht="13.8" thickBot="1" x14ac:dyDescent="0.3">
      <c r="A907" s="719">
        <v>6</v>
      </c>
      <c r="B907" s="669"/>
      <c r="C907" s="1137"/>
      <c r="D907" s="1137"/>
      <c r="E907" s="1137"/>
      <c r="F907" s="1137"/>
      <c r="G907" s="646"/>
      <c r="H907" s="669"/>
      <c r="I907" s="1137"/>
      <c r="J907" s="646"/>
      <c r="K907" s="1138"/>
    </row>
    <row r="908" spans="1:11" x14ac:dyDescent="0.25">
      <c r="A908" s="1190">
        <v>1</v>
      </c>
      <c r="B908" s="745"/>
      <c r="C908" s="1117"/>
      <c r="D908" s="1117"/>
      <c r="E908" s="1117"/>
      <c r="F908" s="1117"/>
      <c r="G908" s="632"/>
      <c r="H908" s="745"/>
      <c r="I908" s="1117"/>
      <c r="J908" s="632"/>
      <c r="K908" s="1118"/>
    </row>
    <row r="909" spans="1:11" x14ac:dyDescent="0.25">
      <c r="A909" s="718">
        <v>2</v>
      </c>
      <c r="B909" s="668"/>
      <c r="C909" s="721"/>
      <c r="D909" s="721"/>
      <c r="E909" s="721"/>
      <c r="F909" s="721"/>
      <c r="G909" s="639"/>
      <c r="H909" s="668"/>
      <c r="I909" s="721"/>
      <c r="J909" s="639"/>
      <c r="K909" s="1124"/>
    </row>
    <row r="910" spans="1:11" ht="13.8" thickBot="1" x14ac:dyDescent="0.3">
      <c r="A910" s="719">
        <v>3</v>
      </c>
      <c r="B910" s="669"/>
      <c r="C910" s="1137"/>
      <c r="D910" s="1137"/>
      <c r="E910" s="1137"/>
      <c r="F910" s="1137"/>
      <c r="G910" s="646"/>
      <c r="H910" s="669"/>
      <c r="I910" s="1137"/>
      <c r="J910" s="646"/>
      <c r="K910" s="1138"/>
    </row>
    <row r="911" spans="1:11" ht="13.8" thickBot="1" x14ac:dyDescent="0.3">
      <c r="A911" s="1186" t="s">
        <v>577</v>
      </c>
      <c r="B911" s="1187"/>
      <c r="C911" s="1188"/>
      <c r="D911" s="1188"/>
      <c r="E911" s="1188"/>
      <c r="F911" s="1188"/>
      <c r="G911" s="1189"/>
      <c r="H911" s="1187"/>
      <c r="I911" s="1188"/>
      <c r="J911" s="1189"/>
      <c r="K911" s="716"/>
    </row>
    <row r="912" spans="1:11" x14ac:dyDescent="0.25">
      <c r="A912" s="1190">
        <v>1</v>
      </c>
      <c r="B912" s="745"/>
      <c r="C912" s="1117"/>
      <c r="D912" s="1117"/>
      <c r="E912" s="1117"/>
      <c r="F912" s="1117"/>
      <c r="G912" s="632"/>
      <c r="H912" s="745"/>
      <c r="I912" s="1117"/>
      <c r="J912" s="632"/>
      <c r="K912" s="1118"/>
    </row>
    <row r="913" spans="1:11" x14ac:dyDescent="0.25">
      <c r="A913" s="718">
        <v>2</v>
      </c>
      <c r="B913" s="668"/>
      <c r="C913" s="721"/>
      <c r="D913" s="721"/>
      <c r="E913" s="721"/>
      <c r="F913" s="721"/>
      <c r="G913" s="639"/>
      <c r="H913" s="668"/>
      <c r="I913" s="721"/>
      <c r="J913" s="639"/>
      <c r="K913" s="1124"/>
    </row>
    <row r="914" spans="1:11" x14ac:dyDescent="0.25">
      <c r="A914" s="718">
        <v>3</v>
      </c>
      <c r="B914" s="668"/>
      <c r="C914" s="721"/>
      <c r="D914" s="721"/>
      <c r="E914" s="721"/>
      <c r="F914" s="721"/>
      <c r="G914" s="639"/>
      <c r="H914" s="668"/>
      <c r="I914" s="721"/>
      <c r="J914" s="639"/>
      <c r="K914" s="1124"/>
    </row>
    <row r="915" spans="1:11" x14ac:dyDescent="0.25">
      <c r="A915" s="718">
        <v>4</v>
      </c>
      <c r="B915" s="668"/>
      <c r="C915" s="721"/>
      <c r="D915" s="721"/>
      <c r="E915" s="721"/>
      <c r="F915" s="721"/>
      <c r="G915" s="639"/>
      <c r="H915" s="668"/>
      <c r="I915" s="721"/>
      <c r="J915" s="639"/>
      <c r="K915" s="1124"/>
    </row>
    <row r="916" spans="1:11" x14ac:dyDescent="0.25">
      <c r="A916" s="718">
        <v>5</v>
      </c>
      <c r="B916" s="668"/>
      <c r="C916" s="721"/>
      <c r="D916" s="721"/>
      <c r="E916" s="721"/>
      <c r="F916" s="721"/>
      <c r="G916" s="639"/>
      <c r="H916" s="668"/>
      <c r="I916" s="721"/>
      <c r="J916" s="639"/>
      <c r="K916" s="1124"/>
    </row>
    <row r="917" spans="1:11" ht="13.8" thickBot="1" x14ac:dyDescent="0.3">
      <c r="A917" s="719">
        <v>6</v>
      </c>
      <c r="B917" s="669"/>
      <c r="C917" s="1137"/>
      <c r="D917" s="1137"/>
      <c r="E917" s="1137"/>
      <c r="F917" s="1137"/>
      <c r="G917" s="646"/>
      <c r="H917" s="669"/>
      <c r="I917" s="1137"/>
      <c r="J917" s="646"/>
      <c r="K917" s="1138"/>
    </row>
    <row r="918" spans="1:11" x14ac:dyDescent="0.25">
      <c r="A918" s="1190">
        <v>1</v>
      </c>
      <c r="B918" s="745"/>
      <c r="C918" s="1117"/>
      <c r="D918" s="1117"/>
      <c r="E918" s="1117"/>
      <c r="F918" s="1117"/>
      <c r="G918" s="632"/>
      <c r="H918" s="745"/>
      <c r="I918" s="1117"/>
      <c r="J918" s="632"/>
      <c r="K918" s="1118"/>
    </row>
    <row r="919" spans="1:11" x14ac:dyDescent="0.25">
      <c r="A919" s="718">
        <v>2</v>
      </c>
      <c r="B919" s="668"/>
      <c r="C919" s="721"/>
      <c r="D919" s="721"/>
      <c r="E919" s="721"/>
      <c r="F919" s="721"/>
      <c r="G919" s="639"/>
      <c r="H919" s="668"/>
      <c r="I919" s="721"/>
      <c r="J919" s="639"/>
      <c r="K919" s="1124"/>
    </row>
    <row r="920" spans="1:11" ht="13.8" thickBot="1" x14ac:dyDescent="0.3">
      <c r="A920" s="719">
        <v>3</v>
      </c>
      <c r="B920" s="669"/>
      <c r="C920" s="1137"/>
      <c r="D920" s="1137"/>
      <c r="E920" s="1137"/>
      <c r="F920" s="1137"/>
      <c r="G920" s="646"/>
      <c r="H920" s="669"/>
      <c r="I920" s="1137"/>
      <c r="J920" s="646"/>
      <c r="K920" s="1138"/>
    </row>
    <row r="921" spans="1:11" ht="13.8" thickBot="1" x14ac:dyDescent="0.3">
      <c r="A921" s="1186" t="s">
        <v>578</v>
      </c>
      <c r="B921" s="1187"/>
      <c r="C921" s="1188"/>
      <c r="D921" s="1188"/>
      <c r="E921" s="1188"/>
      <c r="F921" s="1188"/>
      <c r="G921" s="1189"/>
      <c r="H921" s="1187"/>
      <c r="I921" s="1188"/>
      <c r="J921" s="1189"/>
      <c r="K921" s="716"/>
    </row>
    <row r="922" spans="1:11" x14ac:dyDescent="0.25">
      <c r="A922" s="1190">
        <v>1</v>
      </c>
      <c r="B922" s="745"/>
      <c r="C922" s="1117"/>
      <c r="D922" s="1117"/>
      <c r="E922" s="1117"/>
      <c r="F922" s="1117"/>
      <c r="G922" s="632"/>
      <c r="H922" s="745"/>
      <c r="I922" s="1117"/>
      <c r="J922" s="632"/>
      <c r="K922" s="1118"/>
    </row>
    <row r="923" spans="1:11" x14ac:dyDescent="0.25">
      <c r="A923" s="718">
        <v>2</v>
      </c>
      <c r="B923" s="668"/>
      <c r="C923" s="721"/>
      <c r="D923" s="721"/>
      <c r="E923" s="721"/>
      <c r="F923" s="721"/>
      <c r="G923" s="639"/>
      <c r="H923" s="668"/>
      <c r="I923" s="721"/>
      <c r="J923" s="639"/>
      <c r="K923" s="1124"/>
    </row>
    <row r="924" spans="1:11" x14ac:dyDescent="0.25">
      <c r="A924" s="718">
        <v>3</v>
      </c>
      <c r="B924" s="668"/>
      <c r="C924" s="721"/>
      <c r="D924" s="721"/>
      <c r="E924" s="721"/>
      <c r="F924" s="721"/>
      <c r="G924" s="639"/>
      <c r="H924" s="668"/>
      <c r="I924" s="721"/>
      <c r="J924" s="639"/>
      <c r="K924" s="1124"/>
    </row>
    <row r="925" spans="1:11" x14ac:dyDescent="0.25">
      <c r="A925" s="718">
        <v>4</v>
      </c>
      <c r="B925" s="668"/>
      <c r="C925" s="721"/>
      <c r="D925" s="721"/>
      <c r="E925" s="721"/>
      <c r="F925" s="721"/>
      <c r="G925" s="639"/>
      <c r="H925" s="668"/>
      <c r="I925" s="721"/>
      <c r="J925" s="639"/>
      <c r="K925" s="1124"/>
    </row>
    <row r="926" spans="1:11" x14ac:dyDescent="0.25">
      <c r="A926" s="718">
        <v>5</v>
      </c>
      <c r="B926" s="668"/>
      <c r="C926" s="721"/>
      <c r="D926" s="721"/>
      <c r="E926" s="721"/>
      <c r="F926" s="721"/>
      <c r="G926" s="639"/>
      <c r="H926" s="668"/>
      <c r="I926" s="721"/>
      <c r="J926" s="639"/>
      <c r="K926" s="1124"/>
    </row>
    <row r="927" spans="1:11" ht="13.8" thickBot="1" x14ac:dyDescent="0.3">
      <c r="A927" s="719">
        <v>6</v>
      </c>
      <c r="B927" s="669"/>
      <c r="C927" s="1137"/>
      <c r="D927" s="1137"/>
      <c r="E927" s="1137"/>
      <c r="F927" s="1137"/>
      <c r="G927" s="646"/>
      <c r="H927" s="669"/>
      <c r="I927" s="1137"/>
      <c r="J927" s="646"/>
      <c r="K927" s="1138"/>
    </row>
    <row r="928" spans="1:11" x14ac:dyDescent="0.25">
      <c r="A928" s="1190">
        <v>1</v>
      </c>
      <c r="B928" s="745"/>
      <c r="C928" s="1117"/>
      <c r="D928" s="1117"/>
      <c r="E928" s="1117"/>
      <c r="F928" s="1117"/>
      <c r="G928" s="632"/>
      <c r="H928" s="745"/>
      <c r="I928" s="1117"/>
      <c r="J928" s="632"/>
      <c r="K928" s="1118"/>
    </row>
    <row r="929" spans="1:11" x14ac:dyDescent="0.25">
      <c r="A929" s="718">
        <v>2</v>
      </c>
      <c r="B929" s="668"/>
      <c r="C929" s="721"/>
      <c r="D929" s="721"/>
      <c r="E929" s="721"/>
      <c r="F929" s="721"/>
      <c r="G929" s="639"/>
      <c r="H929" s="668"/>
      <c r="I929" s="721"/>
      <c r="J929" s="639"/>
      <c r="K929" s="1124"/>
    </row>
    <row r="930" spans="1:11" ht="13.8" thickBot="1" x14ac:dyDescent="0.3">
      <c r="A930" s="1191">
        <v>3</v>
      </c>
      <c r="B930" s="1132"/>
      <c r="C930" s="1133"/>
      <c r="D930" s="1133"/>
      <c r="E930" s="1133"/>
      <c r="F930" s="1133"/>
      <c r="G930" s="1134"/>
      <c r="H930" s="1132"/>
      <c r="I930" s="1133"/>
      <c r="J930" s="1134"/>
      <c r="K930" s="1147"/>
    </row>
    <row r="931" spans="1:11" ht="13.8" thickBot="1" x14ac:dyDescent="0.3">
      <c r="A931" s="1186" t="s">
        <v>579</v>
      </c>
      <c r="B931" s="1187"/>
      <c r="C931" s="1188"/>
      <c r="D931" s="1188"/>
      <c r="E931" s="1188"/>
      <c r="F931" s="1188"/>
      <c r="G931" s="1189"/>
      <c r="H931" s="1187"/>
      <c r="I931" s="1188"/>
      <c r="J931" s="1189"/>
      <c r="K931" s="716"/>
    </row>
    <row r="932" spans="1:11" x14ac:dyDescent="0.25">
      <c r="A932" s="1190">
        <v>1</v>
      </c>
      <c r="B932" s="745"/>
      <c r="C932" s="1117"/>
      <c r="D932" s="1117"/>
      <c r="E932" s="1117"/>
      <c r="F932" s="1117"/>
      <c r="G932" s="632"/>
      <c r="H932" s="745"/>
      <c r="I932" s="1117"/>
      <c r="J932" s="632"/>
      <c r="K932" s="1118"/>
    </row>
    <row r="933" spans="1:11" x14ac:dyDescent="0.25">
      <c r="A933" s="718">
        <v>2</v>
      </c>
      <c r="B933" s="668"/>
      <c r="C933" s="721"/>
      <c r="D933" s="721"/>
      <c r="E933" s="721"/>
      <c r="F933" s="721"/>
      <c r="G933" s="639"/>
      <c r="H933" s="668"/>
      <c r="I933" s="721"/>
      <c r="J933" s="639"/>
      <c r="K933" s="1124"/>
    </row>
    <row r="934" spans="1:11" x14ac:dyDescent="0.25">
      <c r="A934" s="718">
        <v>3</v>
      </c>
      <c r="B934" s="668"/>
      <c r="C934" s="721"/>
      <c r="D934" s="721"/>
      <c r="E934" s="721"/>
      <c r="F934" s="721"/>
      <c r="G934" s="639"/>
      <c r="H934" s="668"/>
      <c r="I934" s="721"/>
      <c r="J934" s="639"/>
      <c r="K934" s="1124"/>
    </row>
    <row r="935" spans="1:11" x14ac:dyDescent="0.25">
      <c r="A935" s="718">
        <v>4</v>
      </c>
      <c r="B935" s="668"/>
      <c r="C935" s="721"/>
      <c r="D935" s="721"/>
      <c r="E935" s="721"/>
      <c r="F935" s="721"/>
      <c r="G935" s="639"/>
      <c r="H935" s="668"/>
      <c r="I935" s="721"/>
      <c r="J935" s="639"/>
      <c r="K935" s="1124"/>
    </row>
    <row r="936" spans="1:11" x14ac:dyDescent="0.25">
      <c r="A936" s="718">
        <v>5</v>
      </c>
      <c r="B936" s="668"/>
      <c r="C936" s="721"/>
      <c r="D936" s="721"/>
      <c r="E936" s="721"/>
      <c r="F936" s="721"/>
      <c r="G936" s="639"/>
      <c r="H936" s="668"/>
      <c r="I936" s="721"/>
      <c r="J936" s="639"/>
      <c r="K936" s="1124"/>
    </row>
    <row r="937" spans="1:11" ht="13.8" thickBot="1" x14ac:dyDescent="0.3">
      <c r="A937" s="719">
        <v>6</v>
      </c>
      <c r="B937" s="669"/>
      <c r="C937" s="1137"/>
      <c r="D937" s="1137"/>
      <c r="E937" s="1137"/>
      <c r="F937" s="1137"/>
      <c r="G937" s="646"/>
      <c r="H937" s="669"/>
      <c r="I937" s="1137"/>
      <c r="J937" s="646"/>
      <c r="K937" s="1138"/>
    </row>
    <row r="938" spans="1:11" x14ac:dyDescent="0.25">
      <c r="A938" s="1190">
        <v>1</v>
      </c>
      <c r="B938" s="745"/>
      <c r="C938" s="1117"/>
      <c r="D938" s="1117"/>
      <c r="E938" s="1117"/>
      <c r="F938" s="1117"/>
      <c r="G938" s="632"/>
      <c r="H938" s="745"/>
      <c r="I938" s="1117"/>
      <c r="J938" s="632"/>
      <c r="K938" s="1118"/>
    </row>
    <row r="939" spans="1:11" x14ac:dyDescent="0.25">
      <c r="A939" s="718">
        <v>2</v>
      </c>
      <c r="B939" s="668"/>
      <c r="C939" s="721"/>
      <c r="D939" s="721"/>
      <c r="E939" s="721"/>
      <c r="F939" s="721"/>
      <c r="G939" s="639"/>
      <c r="H939" s="668"/>
      <c r="I939" s="721"/>
      <c r="J939" s="639"/>
      <c r="K939" s="1124"/>
    </row>
    <row r="940" spans="1:11" ht="13.8" thickBot="1" x14ac:dyDescent="0.3">
      <c r="A940" s="719">
        <v>3</v>
      </c>
      <c r="B940" s="669"/>
      <c r="C940" s="1137"/>
      <c r="D940" s="1137"/>
      <c r="E940" s="1137"/>
      <c r="F940" s="1137"/>
      <c r="G940" s="646"/>
      <c r="H940" s="669"/>
      <c r="I940" s="1137"/>
      <c r="J940" s="646"/>
      <c r="K940" s="1138"/>
    </row>
    <row r="941" spans="1:11" ht="13.8" thickBot="1" x14ac:dyDescent="0.3">
      <c r="A941" s="1186" t="s">
        <v>580</v>
      </c>
      <c r="B941" s="1187"/>
      <c r="C941" s="1188"/>
      <c r="D941" s="1188"/>
      <c r="E941" s="1188"/>
      <c r="F941" s="1188"/>
      <c r="G941" s="1189"/>
      <c r="H941" s="1187"/>
      <c r="I941" s="1188"/>
      <c r="J941" s="1189"/>
      <c r="K941" s="716"/>
    </row>
    <row r="942" spans="1:11" x14ac:dyDescent="0.25">
      <c r="A942" s="1190">
        <v>1</v>
      </c>
      <c r="B942" s="745"/>
      <c r="C942" s="1117"/>
      <c r="D942" s="1117"/>
      <c r="E942" s="1117"/>
      <c r="F942" s="1117"/>
      <c r="G942" s="632"/>
      <c r="H942" s="745"/>
      <c r="I942" s="1117"/>
      <c r="J942" s="632"/>
      <c r="K942" s="1118"/>
    </row>
    <row r="943" spans="1:11" x14ac:dyDescent="0.25">
      <c r="A943" s="718">
        <v>2</v>
      </c>
      <c r="B943" s="668"/>
      <c r="C943" s="721"/>
      <c r="D943" s="721"/>
      <c r="E943" s="721"/>
      <c r="F943" s="721"/>
      <c r="G943" s="639"/>
      <c r="H943" s="668"/>
      <c r="I943" s="721"/>
      <c r="J943" s="639"/>
      <c r="K943" s="1124"/>
    </row>
    <row r="944" spans="1:11" x14ac:dyDescent="0.25">
      <c r="A944" s="718">
        <v>3</v>
      </c>
      <c r="B944" s="668"/>
      <c r="C944" s="721"/>
      <c r="D944" s="721"/>
      <c r="E944" s="721"/>
      <c r="F944" s="721"/>
      <c r="G944" s="639"/>
      <c r="H944" s="668"/>
      <c r="I944" s="721"/>
      <c r="J944" s="639"/>
      <c r="K944" s="1124"/>
    </row>
    <row r="945" spans="1:11" x14ac:dyDescent="0.25">
      <c r="A945" s="718">
        <v>4</v>
      </c>
      <c r="B945" s="668"/>
      <c r="C945" s="721"/>
      <c r="D945" s="721"/>
      <c r="E945" s="721"/>
      <c r="F945" s="721"/>
      <c r="G945" s="639"/>
      <c r="H945" s="668"/>
      <c r="I945" s="721"/>
      <c r="J945" s="639"/>
      <c r="K945" s="1124"/>
    </row>
    <row r="946" spans="1:11" x14ac:dyDescent="0.25">
      <c r="A946" s="718">
        <v>5</v>
      </c>
      <c r="B946" s="668"/>
      <c r="C946" s="721"/>
      <c r="D946" s="721"/>
      <c r="E946" s="721"/>
      <c r="F946" s="721"/>
      <c r="G946" s="639"/>
      <c r="H946" s="668"/>
      <c r="I946" s="721"/>
      <c r="J946" s="639"/>
      <c r="K946" s="1124"/>
    </row>
    <row r="947" spans="1:11" ht="13.8" thickBot="1" x14ac:dyDescent="0.3">
      <c r="A947" s="719">
        <v>6</v>
      </c>
      <c r="B947" s="669"/>
      <c r="C947" s="1137"/>
      <c r="D947" s="1137"/>
      <c r="E947" s="1137"/>
      <c r="F947" s="1137"/>
      <c r="G947" s="646"/>
      <c r="H947" s="669"/>
      <c r="I947" s="1137"/>
      <c r="J947" s="646"/>
      <c r="K947" s="1138"/>
    </row>
    <row r="948" spans="1:11" x14ac:dyDescent="0.25">
      <c r="A948" s="1190">
        <v>1</v>
      </c>
      <c r="B948" s="745"/>
      <c r="C948" s="1117"/>
      <c r="D948" s="1117"/>
      <c r="E948" s="1117"/>
      <c r="F948" s="1117"/>
      <c r="G948" s="632"/>
      <c r="H948" s="745"/>
      <c r="I948" s="1117"/>
      <c r="J948" s="632"/>
      <c r="K948" s="1118"/>
    </row>
    <row r="949" spans="1:11" x14ac:dyDescent="0.25">
      <c r="A949" s="718">
        <v>2</v>
      </c>
      <c r="B949" s="668"/>
      <c r="C949" s="721"/>
      <c r="D949" s="721"/>
      <c r="E949" s="721"/>
      <c r="F949" s="721"/>
      <c r="G949" s="639"/>
      <c r="H949" s="668"/>
      <c r="I949" s="721"/>
      <c r="J949" s="639"/>
      <c r="K949" s="1124"/>
    </row>
    <row r="950" spans="1:11" ht="13.8" thickBot="1" x14ac:dyDescent="0.3">
      <c r="A950" s="719">
        <v>3</v>
      </c>
      <c r="B950" s="669"/>
      <c r="C950" s="1137"/>
      <c r="D950" s="1137"/>
      <c r="E950" s="1137"/>
      <c r="F950" s="1137"/>
      <c r="G950" s="646"/>
      <c r="H950" s="669"/>
      <c r="I950" s="1137"/>
      <c r="J950" s="646"/>
      <c r="K950" s="1138"/>
    </row>
    <row r="951" spans="1:11" ht="13.8" thickBot="1" x14ac:dyDescent="0.3">
      <c r="A951" s="1186" t="s">
        <v>581</v>
      </c>
      <c r="B951" s="1187"/>
      <c r="C951" s="1188"/>
      <c r="D951" s="1188"/>
      <c r="E951" s="1188"/>
      <c r="F951" s="1188"/>
      <c r="G951" s="1189"/>
      <c r="H951" s="1187"/>
      <c r="I951" s="1188"/>
      <c r="J951" s="1189"/>
      <c r="K951" s="716"/>
    </row>
    <row r="952" spans="1:11" x14ac:dyDescent="0.25">
      <c r="A952" s="1190">
        <v>1</v>
      </c>
      <c r="B952" s="745"/>
      <c r="C952" s="1117"/>
      <c r="D952" s="1117"/>
      <c r="E952" s="1117"/>
      <c r="F952" s="1117"/>
      <c r="G952" s="632"/>
      <c r="H952" s="745"/>
      <c r="I952" s="1117"/>
      <c r="J952" s="632"/>
      <c r="K952" s="1118"/>
    </row>
    <row r="953" spans="1:11" x14ac:dyDescent="0.25">
      <c r="A953" s="718">
        <v>2</v>
      </c>
      <c r="B953" s="668"/>
      <c r="C953" s="721"/>
      <c r="D953" s="721"/>
      <c r="E953" s="721"/>
      <c r="F953" s="721"/>
      <c r="G953" s="639"/>
      <c r="H953" s="668"/>
      <c r="I953" s="721"/>
      <c r="J953" s="639"/>
      <c r="K953" s="1124"/>
    </row>
    <row r="954" spans="1:11" x14ac:dyDescent="0.25">
      <c r="A954" s="718">
        <v>3</v>
      </c>
      <c r="B954" s="668"/>
      <c r="C954" s="721"/>
      <c r="D954" s="721"/>
      <c r="E954" s="721"/>
      <c r="F954" s="721"/>
      <c r="G954" s="639"/>
      <c r="H954" s="668"/>
      <c r="I954" s="721"/>
      <c r="J954" s="639"/>
      <c r="K954" s="1124"/>
    </row>
    <row r="955" spans="1:11" x14ac:dyDescent="0.25">
      <c r="A955" s="718">
        <v>4</v>
      </c>
      <c r="B955" s="668"/>
      <c r="C955" s="721"/>
      <c r="D955" s="721"/>
      <c r="E955" s="721"/>
      <c r="F955" s="721"/>
      <c r="G955" s="639"/>
      <c r="H955" s="668"/>
      <c r="I955" s="721"/>
      <c r="J955" s="639"/>
      <c r="K955" s="1124"/>
    </row>
    <row r="956" spans="1:11" x14ac:dyDescent="0.25">
      <c r="A956" s="718">
        <v>5</v>
      </c>
      <c r="B956" s="668"/>
      <c r="C956" s="721"/>
      <c r="D956" s="721"/>
      <c r="E956" s="721"/>
      <c r="F956" s="721"/>
      <c r="G956" s="639"/>
      <c r="H956" s="668"/>
      <c r="I956" s="721"/>
      <c r="J956" s="639"/>
      <c r="K956" s="1124"/>
    </row>
    <row r="957" spans="1:11" ht="13.8" thickBot="1" x14ac:dyDescent="0.3">
      <c r="A957" s="719">
        <v>6</v>
      </c>
      <c r="B957" s="669"/>
      <c r="C957" s="1137"/>
      <c r="D957" s="1137"/>
      <c r="E957" s="1137"/>
      <c r="F957" s="1137"/>
      <c r="G957" s="646"/>
      <c r="H957" s="669"/>
      <c r="I957" s="1137"/>
      <c r="J957" s="646"/>
      <c r="K957" s="1138"/>
    </row>
    <row r="958" spans="1:11" x14ac:dyDescent="0.25">
      <c r="A958" s="1190">
        <v>1</v>
      </c>
      <c r="B958" s="745"/>
      <c r="C958" s="1117"/>
      <c r="D958" s="1117"/>
      <c r="E958" s="1117"/>
      <c r="F958" s="1117"/>
      <c r="G958" s="632"/>
      <c r="H958" s="745"/>
      <c r="I958" s="1117"/>
      <c r="J958" s="632"/>
      <c r="K958" s="1118"/>
    </row>
    <row r="959" spans="1:11" x14ac:dyDescent="0.25">
      <c r="A959" s="718">
        <v>2</v>
      </c>
      <c r="B959" s="668"/>
      <c r="C959" s="721"/>
      <c r="D959" s="721"/>
      <c r="E959" s="721"/>
      <c r="F959" s="721"/>
      <c r="G959" s="639"/>
      <c r="H959" s="668"/>
      <c r="I959" s="721"/>
      <c r="J959" s="639"/>
      <c r="K959" s="1124"/>
    </row>
    <row r="960" spans="1:11" ht="13.8" thickBot="1" x14ac:dyDescent="0.3">
      <c r="A960" s="719">
        <v>3</v>
      </c>
      <c r="B960" s="669"/>
      <c r="C960" s="1137"/>
      <c r="D960" s="1137"/>
      <c r="E960" s="1137"/>
      <c r="F960" s="1137"/>
      <c r="G960" s="646"/>
      <c r="H960" s="669"/>
      <c r="I960" s="1137"/>
      <c r="J960" s="646"/>
      <c r="K960" s="1138"/>
    </row>
    <row r="961" spans="1:11" ht="13.8" thickBot="1" x14ac:dyDescent="0.3">
      <c r="A961" s="1186" t="s">
        <v>582</v>
      </c>
      <c r="B961" s="1187"/>
      <c r="C961" s="1188"/>
      <c r="D961" s="1188"/>
      <c r="E961" s="1188"/>
      <c r="F961" s="1188"/>
      <c r="G961" s="1189"/>
      <c r="H961" s="1187"/>
      <c r="I961" s="1188"/>
      <c r="J961" s="1189"/>
      <c r="K961" s="716"/>
    </row>
    <row r="962" spans="1:11" x14ac:dyDescent="0.25">
      <c r="A962" s="1190">
        <v>1</v>
      </c>
      <c r="B962" s="745"/>
      <c r="C962" s="1117"/>
      <c r="D962" s="1117"/>
      <c r="E962" s="1117"/>
      <c r="F962" s="1117"/>
      <c r="G962" s="632"/>
      <c r="H962" s="745"/>
      <c r="I962" s="1117"/>
      <c r="J962" s="632"/>
      <c r="K962" s="1118"/>
    </row>
    <row r="963" spans="1:11" x14ac:dyDescent="0.25">
      <c r="A963" s="718">
        <v>2</v>
      </c>
      <c r="B963" s="668"/>
      <c r="C963" s="721"/>
      <c r="D963" s="721"/>
      <c r="E963" s="721"/>
      <c r="F963" s="721"/>
      <c r="G963" s="639"/>
      <c r="H963" s="668"/>
      <c r="I963" s="721"/>
      <c r="J963" s="639"/>
      <c r="K963" s="1124"/>
    </row>
    <row r="964" spans="1:11" x14ac:dyDescent="0.25">
      <c r="A964" s="718">
        <v>3</v>
      </c>
      <c r="B964" s="668"/>
      <c r="C964" s="721"/>
      <c r="D964" s="721"/>
      <c r="E964" s="721"/>
      <c r="F964" s="721"/>
      <c r="G964" s="639"/>
      <c r="H964" s="668"/>
      <c r="I964" s="721"/>
      <c r="J964" s="639"/>
      <c r="K964" s="1124"/>
    </row>
    <row r="965" spans="1:11" x14ac:dyDescent="0.25">
      <c r="A965" s="718">
        <v>4</v>
      </c>
      <c r="B965" s="668"/>
      <c r="C965" s="721"/>
      <c r="D965" s="721"/>
      <c r="E965" s="721"/>
      <c r="F965" s="721"/>
      <c r="G965" s="639"/>
      <c r="H965" s="668"/>
      <c r="I965" s="721"/>
      <c r="J965" s="639"/>
      <c r="K965" s="1124"/>
    </row>
    <row r="966" spans="1:11" x14ac:dyDescent="0.25">
      <c r="A966" s="718">
        <v>5</v>
      </c>
      <c r="B966" s="668"/>
      <c r="C966" s="721"/>
      <c r="D966" s="721"/>
      <c r="E966" s="721"/>
      <c r="F966" s="721"/>
      <c r="G966" s="639"/>
      <c r="H966" s="668"/>
      <c r="I966" s="721"/>
      <c r="J966" s="639"/>
      <c r="K966" s="1124"/>
    </row>
    <row r="967" spans="1:11" ht="13.8" thickBot="1" x14ac:dyDescent="0.3">
      <c r="A967" s="719">
        <v>6</v>
      </c>
      <c r="B967" s="669"/>
      <c r="C967" s="1137"/>
      <c r="D967" s="1137"/>
      <c r="E967" s="1137"/>
      <c r="F967" s="1137"/>
      <c r="G967" s="646"/>
      <c r="H967" s="669"/>
      <c r="I967" s="1137"/>
      <c r="J967" s="646"/>
      <c r="K967" s="1138"/>
    </row>
    <row r="968" spans="1:11" x14ac:dyDescent="0.25">
      <c r="A968" s="1190">
        <v>1</v>
      </c>
      <c r="B968" s="745"/>
      <c r="C968" s="1117"/>
      <c r="D968" s="1117"/>
      <c r="E968" s="1117"/>
      <c r="F968" s="1117"/>
      <c r="G968" s="632"/>
      <c r="H968" s="745"/>
      <c r="I968" s="1117"/>
      <c r="J968" s="632"/>
      <c r="K968" s="1118"/>
    </row>
    <row r="969" spans="1:11" x14ac:dyDescent="0.25">
      <c r="A969" s="718">
        <v>2</v>
      </c>
      <c r="B969" s="668"/>
      <c r="C969" s="721"/>
      <c r="D969" s="721"/>
      <c r="E969" s="721"/>
      <c r="F969" s="721"/>
      <c r="G969" s="639"/>
      <c r="H969" s="668"/>
      <c r="I969" s="721"/>
      <c r="J969" s="639"/>
      <c r="K969" s="1124"/>
    </row>
    <row r="970" spans="1:11" ht="13.8" thickBot="1" x14ac:dyDescent="0.3">
      <c r="A970" s="1191">
        <v>3</v>
      </c>
      <c r="B970" s="1132"/>
      <c r="C970" s="1133"/>
      <c r="D970" s="1133"/>
      <c r="E970" s="1133"/>
      <c r="F970" s="1133"/>
      <c r="G970" s="1134"/>
      <c r="H970" s="1132"/>
      <c r="I970" s="1133"/>
      <c r="J970" s="1134"/>
      <c r="K970" s="1147"/>
    </row>
    <row r="971" spans="1:11" ht="13.8" thickBot="1" x14ac:dyDescent="0.3">
      <c r="A971" s="1186" t="s">
        <v>583</v>
      </c>
      <c r="B971" s="1187"/>
      <c r="C971" s="1188"/>
      <c r="D971" s="1188"/>
      <c r="E971" s="1188"/>
      <c r="F971" s="1188"/>
      <c r="G971" s="1189"/>
      <c r="H971" s="1187"/>
      <c r="I971" s="1188"/>
      <c r="J971" s="1189"/>
      <c r="K971" s="716"/>
    </row>
    <row r="972" spans="1:11" x14ac:dyDescent="0.25">
      <c r="A972" s="1190">
        <v>1</v>
      </c>
      <c r="B972" s="745"/>
      <c r="C972" s="1117"/>
      <c r="D972" s="1117"/>
      <c r="E972" s="1117"/>
      <c r="F972" s="1117"/>
      <c r="G972" s="632"/>
      <c r="H972" s="745"/>
      <c r="I972" s="1117"/>
      <c r="J972" s="632"/>
      <c r="K972" s="1118"/>
    </row>
    <row r="973" spans="1:11" x14ac:dyDescent="0.25">
      <c r="A973" s="718">
        <v>2</v>
      </c>
      <c r="B973" s="668"/>
      <c r="C973" s="721"/>
      <c r="D973" s="721"/>
      <c r="E973" s="721"/>
      <c r="F973" s="721"/>
      <c r="G973" s="639"/>
      <c r="H973" s="668"/>
      <c r="I973" s="721"/>
      <c r="J973" s="639"/>
      <c r="K973" s="1124"/>
    </row>
    <row r="974" spans="1:11" x14ac:dyDescent="0.25">
      <c r="A974" s="718">
        <v>3</v>
      </c>
      <c r="B974" s="668"/>
      <c r="C974" s="721"/>
      <c r="D974" s="721"/>
      <c r="E974" s="721"/>
      <c r="F974" s="721"/>
      <c r="G974" s="639"/>
      <c r="H974" s="668"/>
      <c r="I974" s="721"/>
      <c r="J974" s="639"/>
      <c r="K974" s="1124"/>
    </row>
    <row r="975" spans="1:11" x14ac:dyDescent="0.25">
      <c r="A975" s="718">
        <v>4</v>
      </c>
      <c r="B975" s="668"/>
      <c r="C975" s="721"/>
      <c r="D975" s="721"/>
      <c r="E975" s="721"/>
      <c r="F975" s="721"/>
      <c r="G975" s="639"/>
      <c r="H975" s="668"/>
      <c r="I975" s="721"/>
      <c r="J975" s="639"/>
      <c r="K975" s="1124"/>
    </row>
    <row r="976" spans="1:11" x14ac:dyDescent="0.25">
      <c r="A976" s="718">
        <v>5</v>
      </c>
      <c r="B976" s="668"/>
      <c r="C976" s="721"/>
      <c r="D976" s="721"/>
      <c r="E976" s="721"/>
      <c r="F976" s="721"/>
      <c r="G976" s="639"/>
      <c r="H976" s="668"/>
      <c r="I976" s="721"/>
      <c r="J976" s="639"/>
      <c r="K976" s="1124"/>
    </row>
    <row r="977" spans="1:11" ht="13.8" thickBot="1" x14ac:dyDescent="0.3">
      <c r="A977" s="719">
        <v>6</v>
      </c>
      <c r="B977" s="669"/>
      <c r="C977" s="1137"/>
      <c r="D977" s="1137"/>
      <c r="E977" s="1137"/>
      <c r="F977" s="1137"/>
      <c r="G977" s="646"/>
      <c r="H977" s="669"/>
      <c r="I977" s="1137"/>
      <c r="J977" s="646"/>
      <c r="K977" s="1138"/>
    </row>
    <row r="978" spans="1:11" x14ac:dyDescent="0.25">
      <c r="A978" s="1190">
        <v>1</v>
      </c>
      <c r="B978" s="745"/>
      <c r="C978" s="1117"/>
      <c r="D978" s="1117"/>
      <c r="E978" s="1117"/>
      <c r="F978" s="1117"/>
      <c r="G978" s="632"/>
      <c r="H978" s="745"/>
      <c r="I978" s="1117"/>
      <c r="J978" s="632"/>
      <c r="K978" s="1118"/>
    </row>
    <row r="979" spans="1:11" x14ac:dyDescent="0.25">
      <c r="A979" s="718">
        <v>2</v>
      </c>
      <c r="B979" s="668"/>
      <c r="C979" s="721"/>
      <c r="D979" s="721"/>
      <c r="E979" s="721"/>
      <c r="F979" s="721"/>
      <c r="G979" s="639"/>
      <c r="H979" s="668"/>
      <c r="I979" s="721"/>
      <c r="J979" s="639"/>
      <c r="K979" s="1124"/>
    </row>
    <row r="980" spans="1:11" ht="13.8" thickBot="1" x14ac:dyDescent="0.3">
      <c r="A980" s="719">
        <v>3</v>
      </c>
      <c r="B980" s="669"/>
      <c r="C980" s="1137"/>
      <c r="D980" s="1137"/>
      <c r="E980" s="1137"/>
      <c r="F980" s="1137"/>
      <c r="G980" s="646"/>
      <c r="H980" s="669"/>
      <c r="I980" s="1137"/>
      <c r="J980" s="646"/>
      <c r="K980" s="1138"/>
    </row>
    <row r="981" spans="1:11" ht="13.8" thickBot="1" x14ac:dyDescent="0.3">
      <c r="A981" s="1186" t="s">
        <v>584</v>
      </c>
      <c r="B981" s="1187"/>
      <c r="C981" s="1188"/>
      <c r="D981" s="1188"/>
      <c r="E981" s="1188"/>
      <c r="F981" s="1188"/>
      <c r="G981" s="1189"/>
      <c r="H981" s="1187"/>
      <c r="I981" s="1188"/>
      <c r="J981" s="1189"/>
      <c r="K981" s="716"/>
    </row>
    <row r="982" spans="1:11" x14ac:dyDescent="0.25">
      <c r="A982" s="1190">
        <v>1</v>
      </c>
      <c r="B982" s="745"/>
      <c r="C982" s="1117"/>
      <c r="D982" s="1117"/>
      <c r="E982" s="1117"/>
      <c r="F982" s="1117"/>
      <c r="G982" s="632"/>
      <c r="H982" s="745"/>
      <c r="I982" s="1117"/>
      <c r="J982" s="632"/>
      <c r="K982" s="1118"/>
    </row>
    <row r="983" spans="1:11" x14ac:dyDescent="0.25">
      <c r="A983" s="718">
        <v>2</v>
      </c>
      <c r="B983" s="668"/>
      <c r="C983" s="721"/>
      <c r="D983" s="721"/>
      <c r="E983" s="721"/>
      <c r="F983" s="721"/>
      <c r="G983" s="639"/>
      <c r="H983" s="668"/>
      <c r="I983" s="721"/>
      <c r="J983" s="639"/>
      <c r="K983" s="1124"/>
    </row>
    <row r="984" spans="1:11" x14ac:dyDescent="0.25">
      <c r="A984" s="718">
        <v>3</v>
      </c>
      <c r="B984" s="668"/>
      <c r="C984" s="721"/>
      <c r="D984" s="721"/>
      <c r="E984" s="721"/>
      <c r="F984" s="721"/>
      <c r="G984" s="639"/>
      <c r="H984" s="668"/>
      <c r="I984" s="721"/>
      <c r="J984" s="639"/>
      <c r="K984" s="1124"/>
    </row>
    <row r="985" spans="1:11" x14ac:dyDescent="0.25">
      <c r="A985" s="718">
        <v>4</v>
      </c>
      <c r="B985" s="668"/>
      <c r="C985" s="721"/>
      <c r="D985" s="721"/>
      <c r="E985" s="721"/>
      <c r="F985" s="721"/>
      <c r="G985" s="639"/>
      <c r="H985" s="668"/>
      <c r="I985" s="721"/>
      <c r="J985" s="639"/>
      <c r="K985" s="1124"/>
    </row>
    <row r="986" spans="1:11" x14ac:dyDescent="0.25">
      <c r="A986" s="718">
        <v>5</v>
      </c>
      <c r="B986" s="668"/>
      <c r="C986" s="721"/>
      <c r="D986" s="721"/>
      <c r="E986" s="721"/>
      <c r="F986" s="721"/>
      <c r="G986" s="639"/>
      <c r="H986" s="668"/>
      <c r="I986" s="721"/>
      <c r="J986" s="639"/>
      <c r="K986" s="1124"/>
    </row>
    <row r="987" spans="1:11" ht="13.8" thickBot="1" x14ac:dyDescent="0.3">
      <c r="A987" s="719">
        <v>6</v>
      </c>
      <c r="B987" s="669"/>
      <c r="C987" s="1137"/>
      <c r="D987" s="1137"/>
      <c r="E987" s="1137"/>
      <c r="F987" s="1137"/>
      <c r="G987" s="646"/>
      <c r="H987" s="669"/>
      <c r="I987" s="1137"/>
      <c r="J987" s="646"/>
      <c r="K987" s="1138"/>
    </row>
    <row r="988" spans="1:11" x14ac:dyDescent="0.25">
      <c r="A988" s="1190">
        <v>1</v>
      </c>
      <c r="B988" s="745"/>
      <c r="C988" s="1117"/>
      <c r="D988" s="1117"/>
      <c r="E988" s="1117"/>
      <c r="F988" s="1117"/>
      <c r="G988" s="632"/>
      <c r="H988" s="745"/>
      <c r="I988" s="1117"/>
      <c r="J988" s="632"/>
      <c r="K988" s="1118"/>
    </row>
    <row r="989" spans="1:11" x14ac:dyDescent="0.25">
      <c r="A989" s="718">
        <v>2</v>
      </c>
      <c r="B989" s="668"/>
      <c r="C989" s="721"/>
      <c r="D989" s="721"/>
      <c r="E989" s="721"/>
      <c r="F989" s="721"/>
      <c r="G989" s="639"/>
      <c r="H989" s="668"/>
      <c r="I989" s="721"/>
      <c r="J989" s="639"/>
      <c r="K989" s="1124"/>
    </row>
    <row r="990" spans="1:11" ht="13.8" thickBot="1" x14ac:dyDescent="0.3">
      <c r="A990" s="719">
        <v>3</v>
      </c>
      <c r="B990" s="669"/>
      <c r="C990" s="1137"/>
      <c r="D990" s="1137"/>
      <c r="E990" s="1137"/>
      <c r="F990" s="1137"/>
      <c r="G990" s="646"/>
      <c r="H990" s="669"/>
      <c r="I990" s="1137"/>
      <c r="J990" s="646"/>
      <c r="K990" s="1138"/>
    </row>
    <row r="991" spans="1:11" ht="13.8" thickBot="1" x14ac:dyDescent="0.3">
      <c r="A991" s="1186" t="s">
        <v>585</v>
      </c>
      <c r="B991" s="1187"/>
      <c r="C991" s="1188"/>
      <c r="D991" s="1188"/>
      <c r="E991" s="1188"/>
      <c r="F991" s="1188"/>
      <c r="G991" s="1189"/>
      <c r="H991" s="1187"/>
      <c r="I991" s="1188"/>
      <c r="J991" s="1189"/>
      <c r="K991" s="716"/>
    </row>
    <row r="992" spans="1:11" x14ac:dyDescent="0.25">
      <c r="A992" s="1190">
        <v>1</v>
      </c>
      <c r="B992" s="745"/>
      <c r="C992" s="1117"/>
      <c r="D992" s="1117"/>
      <c r="E992" s="1117"/>
      <c r="F992" s="1117"/>
      <c r="G992" s="632"/>
      <c r="H992" s="745"/>
      <c r="I992" s="1117"/>
      <c r="J992" s="632"/>
      <c r="K992" s="1118"/>
    </row>
    <row r="993" spans="1:11" x14ac:dyDescent="0.25">
      <c r="A993" s="718">
        <v>2</v>
      </c>
      <c r="B993" s="668"/>
      <c r="C993" s="721"/>
      <c r="D993" s="721"/>
      <c r="E993" s="721"/>
      <c r="F993" s="721"/>
      <c r="G993" s="639"/>
      <c r="H993" s="668"/>
      <c r="I993" s="721"/>
      <c r="J993" s="639"/>
      <c r="K993" s="1124"/>
    </row>
    <row r="994" spans="1:11" x14ac:dyDescent="0.25">
      <c r="A994" s="718">
        <v>3</v>
      </c>
      <c r="B994" s="668"/>
      <c r="C994" s="721"/>
      <c r="D994" s="721"/>
      <c r="E994" s="721"/>
      <c r="F994" s="721"/>
      <c r="G994" s="639"/>
      <c r="H994" s="668"/>
      <c r="I994" s="721"/>
      <c r="J994" s="639"/>
      <c r="K994" s="1124"/>
    </row>
    <row r="995" spans="1:11" x14ac:dyDescent="0.25">
      <c r="A995" s="718">
        <v>4</v>
      </c>
      <c r="B995" s="668"/>
      <c r="C995" s="721"/>
      <c r="D995" s="721"/>
      <c r="E995" s="721"/>
      <c r="F995" s="721"/>
      <c r="G995" s="639"/>
      <c r="H995" s="668"/>
      <c r="I995" s="721"/>
      <c r="J995" s="639"/>
      <c r="K995" s="1124"/>
    </row>
    <row r="996" spans="1:11" x14ac:dyDescent="0.25">
      <c r="A996" s="718">
        <v>5</v>
      </c>
      <c r="B996" s="668"/>
      <c r="C996" s="721"/>
      <c r="D996" s="721"/>
      <c r="E996" s="721"/>
      <c r="F996" s="721"/>
      <c r="G996" s="639"/>
      <c r="H996" s="668"/>
      <c r="I996" s="721"/>
      <c r="J996" s="639"/>
      <c r="K996" s="1124"/>
    </row>
    <row r="997" spans="1:11" ht="13.8" thickBot="1" x14ac:dyDescent="0.3">
      <c r="A997" s="719">
        <v>6</v>
      </c>
      <c r="B997" s="669"/>
      <c r="C997" s="1137"/>
      <c r="D997" s="1137"/>
      <c r="E997" s="1137"/>
      <c r="F997" s="1137"/>
      <c r="G997" s="646"/>
      <c r="H997" s="669"/>
      <c r="I997" s="1137"/>
      <c r="J997" s="646"/>
      <c r="K997" s="1138"/>
    </row>
    <row r="998" spans="1:11" x14ac:dyDescent="0.25">
      <c r="A998" s="1190">
        <v>1</v>
      </c>
      <c r="B998" s="745"/>
      <c r="C998" s="1117"/>
      <c r="D998" s="1117"/>
      <c r="E998" s="1117"/>
      <c r="F998" s="1117"/>
      <c r="G998" s="632"/>
      <c r="H998" s="745"/>
      <c r="I998" s="1117"/>
      <c r="J998" s="632"/>
      <c r="K998" s="1118"/>
    </row>
    <row r="999" spans="1:11" x14ac:dyDescent="0.25">
      <c r="A999" s="718">
        <v>2</v>
      </c>
      <c r="B999" s="668"/>
      <c r="C999" s="721"/>
      <c r="D999" s="721"/>
      <c r="E999" s="721"/>
      <c r="F999" s="721"/>
      <c r="G999" s="639"/>
      <c r="H999" s="668"/>
      <c r="I999" s="721"/>
      <c r="J999" s="639"/>
      <c r="K999" s="1124"/>
    </row>
    <row r="1000" spans="1:11" ht="13.8" thickBot="1" x14ac:dyDescent="0.3">
      <c r="A1000" s="719">
        <v>3</v>
      </c>
      <c r="B1000" s="669"/>
      <c r="C1000" s="1137"/>
      <c r="D1000" s="1137"/>
      <c r="E1000" s="1137"/>
      <c r="F1000" s="1137"/>
      <c r="G1000" s="646"/>
      <c r="H1000" s="669"/>
      <c r="I1000" s="1137"/>
      <c r="J1000" s="646"/>
      <c r="K1000" s="1138"/>
    </row>
    <row r="1001" spans="1:11" ht="13.8" thickBot="1" x14ac:dyDescent="0.3">
      <c r="A1001" s="1186" t="s">
        <v>586</v>
      </c>
      <c r="B1001" s="1187"/>
      <c r="C1001" s="1188"/>
      <c r="D1001" s="1188"/>
      <c r="E1001" s="1188"/>
      <c r="F1001" s="1188"/>
      <c r="G1001" s="1189"/>
      <c r="H1001" s="1187"/>
      <c r="I1001" s="1188"/>
      <c r="J1001" s="1189"/>
      <c r="K1001" s="716"/>
    </row>
    <row r="1002" spans="1:11" x14ac:dyDescent="0.25">
      <c r="A1002" s="1190">
        <v>1</v>
      </c>
      <c r="B1002" s="745"/>
      <c r="C1002" s="1117"/>
      <c r="D1002" s="1117"/>
      <c r="E1002" s="1117"/>
      <c r="F1002" s="1117"/>
      <c r="G1002" s="632"/>
      <c r="H1002" s="745"/>
      <c r="I1002" s="1117"/>
      <c r="J1002" s="632"/>
      <c r="K1002" s="1118"/>
    </row>
    <row r="1003" spans="1:11" x14ac:dyDescent="0.25">
      <c r="A1003" s="718">
        <v>2</v>
      </c>
      <c r="B1003" s="668"/>
      <c r="C1003" s="721"/>
      <c r="D1003" s="721"/>
      <c r="E1003" s="721"/>
      <c r="F1003" s="721"/>
      <c r="G1003" s="639"/>
      <c r="H1003" s="668"/>
      <c r="I1003" s="721"/>
      <c r="J1003" s="639"/>
      <c r="K1003" s="1124"/>
    </row>
    <row r="1004" spans="1:11" x14ac:dyDescent="0.25">
      <c r="A1004" s="718">
        <v>3</v>
      </c>
      <c r="B1004" s="668"/>
      <c r="C1004" s="721"/>
      <c r="D1004" s="721"/>
      <c r="E1004" s="721"/>
      <c r="F1004" s="721"/>
      <c r="G1004" s="639"/>
      <c r="H1004" s="668"/>
      <c r="I1004" s="721"/>
      <c r="J1004" s="639"/>
      <c r="K1004" s="1124"/>
    </row>
    <row r="1005" spans="1:11" x14ac:dyDescent="0.25">
      <c r="A1005" s="718">
        <v>4</v>
      </c>
      <c r="B1005" s="668"/>
      <c r="C1005" s="721"/>
      <c r="D1005" s="721"/>
      <c r="E1005" s="721"/>
      <c r="F1005" s="721"/>
      <c r="G1005" s="639"/>
      <c r="H1005" s="668"/>
      <c r="I1005" s="721"/>
      <c r="J1005" s="639"/>
      <c r="K1005" s="1124"/>
    </row>
    <row r="1006" spans="1:11" x14ac:dyDescent="0.25">
      <c r="A1006" s="718">
        <v>5</v>
      </c>
      <c r="B1006" s="668"/>
      <c r="C1006" s="721"/>
      <c r="D1006" s="721"/>
      <c r="E1006" s="721"/>
      <c r="F1006" s="721"/>
      <c r="G1006" s="639"/>
      <c r="H1006" s="668"/>
      <c r="I1006" s="721"/>
      <c r="J1006" s="639"/>
      <c r="K1006" s="1124"/>
    </row>
    <row r="1007" spans="1:11" ht="13.8" thickBot="1" x14ac:dyDescent="0.3">
      <c r="A1007" s="719">
        <v>6</v>
      </c>
      <c r="B1007" s="669"/>
      <c r="C1007" s="1137"/>
      <c r="D1007" s="1137"/>
      <c r="E1007" s="1137"/>
      <c r="F1007" s="1137"/>
      <c r="G1007" s="646"/>
      <c r="H1007" s="669"/>
      <c r="I1007" s="1137"/>
      <c r="J1007" s="646"/>
      <c r="K1007" s="1138"/>
    </row>
    <row r="1008" spans="1:11" x14ac:dyDescent="0.25">
      <c r="A1008" s="1190">
        <v>1</v>
      </c>
      <c r="B1008" s="745"/>
      <c r="C1008" s="1117"/>
      <c r="D1008" s="1117"/>
      <c r="E1008" s="1117"/>
      <c r="F1008" s="1117"/>
      <c r="G1008" s="632"/>
      <c r="H1008" s="745"/>
      <c r="I1008" s="1117"/>
      <c r="J1008" s="632"/>
      <c r="K1008" s="1118"/>
    </row>
    <row r="1009" spans="1:11" x14ac:dyDescent="0.25">
      <c r="A1009" s="718">
        <v>2</v>
      </c>
      <c r="B1009" s="668"/>
      <c r="C1009" s="721"/>
      <c r="D1009" s="721"/>
      <c r="E1009" s="721"/>
      <c r="F1009" s="721"/>
      <c r="G1009" s="639"/>
      <c r="H1009" s="668"/>
      <c r="I1009" s="721"/>
      <c r="J1009" s="639"/>
      <c r="K1009" s="1124"/>
    </row>
    <row r="1010" spans="1:11" ht="13.8" thickBot="1" x14ac:dyDescent="0.3">
      <c r="A1010" s="1191">
        <v>3</v>
      </c>
      <c r="B1010" s="1132"/>
      <c r="C1010" s="1133"/>
      <c r="D1010" s="1133"/>
      <c r="E1010" s="1133"/>
      <c r="F1010" s="1133"/>
      <c r="G1010" s="1134"/>
      <c r="H1010" s="1132"/>
      <c r="I1010" s="1133"/>
      <c r="J1010" s="1134"/>
      <c r="K1010" s="1147"/>
    </row>
    <row r="1011" spans="1:11" ht="13.8" thickBot="1" x14ac:dyDescent="0.3">
      <c r="A1011" s="1186" t="s">
        <v>587</v>
      </c>
      <c r="B1011" s="1187"/>
      <c r="C1011" s="1188"/>
      <c r="D1011" s="1188"/>
      <c r="E1011" s="1188"/>
      <c r="F1011" s="1188"/>
      <c r="G1011" s="1189"/>
      <c r="H1011" s="1187"/>
      <c r="I1011" s="1188"/>
      <c r="J1011" s="1189"/>
      <c r="K1011" s="716"/>
    </row>
    <row r="1012" spans="1:11" x14ac:dyDescent="0.25">
      <c r="A1012" s="1190">
        <v>1</v>
      </c>
      <c r="B1012" s="745"/>
      <c r="C1012" s="1117"/>
      <c r="D1012" s="1117"/>
      <c r="E1012" s="1117"/>
      <c r="F1012" s="1117"/>
      <c r="G1012" s="632"/>
      <c r="H1012" s="745"/>
      <c r="I1012" s="1117"/>
      <c r="J1012" s="632"/>
      <c r="K1012" s="1118"/>
    </row>
    <row r="1013" spans="1:11" x14ac:dyDescent="0.25">
      <c r="A1013" s="718">
        <v>2</v>
      </c>
      <c r="B1013" s="668"/>
      <c r="C1013" s="721"/>
      <c r="D1013" s="721"/>
      <c r="E1013" s="721"/>
      <c r="F1013" s="721"/>
      <c r="G1013" s="639"/>
      <c r="H1013" s="668"/>
      <c r="I1013" s="721"/>
      <c r="J1013" s="639"/>
      <c r="K1013" s="1124"/>
    </row>
    <row r="1014" spans="1:11" x14ac:dyDescent="0.25">
      <c r="A1014" s="718">
        <v>3</v>
      </c>
      <c r="B1014" s="668"/>
      <c r="C1014" s="721"/>
      <c r="D1014" s="721"/>
      <c r="E1014" s="721"/>
      <c r="F1014" s="721"/>
      <c r="G1014" s="639"/>
      <c r="H1014" s="668"/>
      <c r="I1014" s="721"/>
      <c r="J1014" s="639"/>
      <c r="K1014" s="1124"/>
    </row>
    <row r="1015" spans="1:11" x14ac:dyDescent="0.25">
      <c r="A1015" s="718">
        <v>4</v>
      </c>
      <c r="B1015" s="668"/>
      <c r="C1015" s="721"/>
      <c r="D1015" s="721"/>
      <c r="E1015" s="721"/>
      <c r="F1015" s="721"/>
      <c r="G1015" s="639"/>
      <c r="H1015" s="668"/>
      <c r="I1015" s="721"/>
      <c r="J1015" s="639"/>
      <c r="K1015" s="1124"/>
    </row>
    <row r="1016" spans="1:11" x14ac:dyDescent="0.25">
      <c r="A1016" s="718">
        <v>5</v>
      </c>
      <c r="B1016" s="668"/>
      <c r="C1016" s="721"/>
      <c r="D1016" s="721"/>
      <c r="E1016" s="721"/>
      <c r="F1016" s="721"/>
      <c r="G1016" s="639"/>
      <c r="H1016" s="668"/>
      <c r="I1016" s="721"/>
      <c r="J1016" s="639"/>
      <c r="K1016" s="1124"/>
    </row>
    <row r="1017" spans="1:11" ht="13.8" thickBot="1" x14ac:dyDescent="0.3">
      <c r="A1017" s="719">
        <v>6</v>
      </c>
      <c r="B1017" s="669"/>
      <c r="C1017" s="1137"/>
      <c r="D1017" s="1137"/>
      <c r="E1017" s="1137"/>
      <c r="F1017" s="1137"/>
      <c r="G1017" s="646"/>
      <c r="H1017" s="669"/>
      <c r="I1017" s="1137"/>
      <c r="J1017" s="646"/>
      <c r="K1017" s="1138"/>
    </row>
    <row r="1018" spans="1:11" x14ac:dyDescent="0.25">
      <c r="A1018" s="1190">
        <v>1</v>
      </c>
      <c r="B1018" s="745"/>
      <c r="C1018" s="1117"/>
      <c r="D1018" s="1117"/>
      <c r="E1018" s="1117"/>
      <c r="F1018" s="1117"/>
      <c r="G1018" s="632"/>
      <c r="H1018" s="745"/>
      <c r="I1018" s="1117"/>
      <c r="J1018" s="632"/>
      <c r="K1018" s="1118"/>
    </row>
    <row r="1019" spans="1:11" x14ac:dyDescent="0.25">
      <c r="A1019" s="718">
        <v>2</v>
      </c>
      <c r="B1019" s="668"/>
      <c r="C1019" s="721"/>
      <c r="D1019" s="721"/>
      <c r="E1019" s="721"/>
      <c r="F1019" s="721"/>
      <c r="G1019" s="639"/>
      <c r="H1019" s="668"/>
      <c r="I1019" s="721"/>
      <c r="J1019" s="639"/>
      <c r="K1019" s="1124"/>
    </row>
    <row r="1020" spans="1:11" ht="13.8" thickBot="1" x14ac:dyDescent="0.3">
      <c r="A1020" s="719">
        <v>3</v>
      </c>
      <c r="B1020" s="669"/>
      <c r="C1020" s="1137"/>
      <c r="D1020" s="1137"/>
      <c r="E1020" s="1137"/>
      <c r="F1020" s="1137"/>
      <c r="G1020" s="646"/>
      <c r="H1020" s="669"/>
      <c r="I1020" s="1137"/>
      <c r="J1020" s="646"/>
      <c r="K1020" s="1138"/>
    </row>
    <row r="1021" spans="1:11" ht="13.8" thickBot="1" x14ac:dyDescent="0.3">
      <c r="A1021" s="1186" t="s">
        <v>588</v>
      </c>
      <c r="B1021" s="1187"/>
      <c r="C1021" s="1188"/>
      <c r="D1021" s="1188"/>
      <c r="E1021" s="1188"/>
      <c r="F1021" s="1188"/>
      <c r="G1021" s="1189"/>
      <c r="H1021" s="1187"/>
      <c r="I1021" s="1188"/>
      <c r="J1021" s="1189"/>
      <c r="K1021" s="716"/>
    </row>
    <row r="1022" spans="1:11" x14ac:dyDescent="0.25">
      <c r="A1022" s="1190">
        <v>1</v>
      </c>
      <c r="B1022" s="745"/>
      <c r="C1022" s="1117"/>
      <c r="D1022" s="1117"/>
      <c r="E1022" s="1117"/>
      <c r="F1022" s="1117"/>
      <c r="G1022" s="632"/>
      <c r="H1022" s="745"/>
      <c r="I1022" s="1117"/>
      <c r="J1022" s="632"/>
      <c r="K1022" s="1118"/>
    </row>
    <row r="1023" spans="1:11" x14ac:dyDescent="0.25">
      <c r="A1023" s="718">
        <v>2</v>
      </c>
      <c r="B1023" s="668"/>
      <c r="C1023" s="721"/>
      <c r="D1023" s="721"/>
      <c r="E1023" s="721"/>
      <c r="F1023" s="721"/>
      <c r="G1023" s="639"/>
      <c r="H1023" s="668"/>
      <c r="I1023" s="721"/>
      <c r="J1023" s="639"/>
      <c r="K1023" s="1124"/>
    </row>
    <row r="1024" spans="1:11" x14ac:dyDescent="0.25">
      <c r="A1024" s="718">
        <v>3</v>
      </c>
      <c r="B1024" s="668"/>
      <c r="C1024" s="721"/>
      <c r="D1024" s="721"/>
      <c r="E1024" s="721"/>
      <c r="F1024" s="721"/>
      <c r="G1024" s="639"/>
      <c r="H1024" s="668"/>
      <c r="I1024" s="721"/>
      <c r="J1024" s="639"/>
      <c r="K1024" s="1124"/>
    </row>
    <row r="1025" spans="1:11" x14ac:dyDescent="0.25">
      <c r="A1025" s="718">
        <v>4</v>
      </c>
      <c r="B1025" s="668"/>
      <c r="C1025" s="721"/>
      <c r="D1025" s="721"/>
      <c r="E1025" s="721"/>
      <c r="F1025" s="721"/>
      <c r="G1025" s="639"/>
      <c r="H1025" s="668"/>
      <c r="I1025" s="721"/>
      <c r="J1025" s="639"/>
      <c r="K1025" s="1124"/>
    </row>
    <row r="1026" spans="1:11" x14ac:dyDescent="0.25">
      <c r="A1026" s="718">
        <v>5</v>
      </c>
      <c r="B1026" s="668"/>
      <c r="C1026" s="721"/>
      <c r="D1026" s="721"/>
      <c r="E1026" s="721"/>
      <c r="F1026" s="721"/>
      <c r="G1026" s="639"/>
      <c r="H1026" s="668"/>
      <c r="I1026" s="721"/>
      <c r="J1026" s="639"/>
      <c r="K1026" s="1124"/>
    </row>
    <row r="1027" spans="1:11" ht="13.8" thickBot="1" x14ac:dyDescent="0.3">
      <c r="A1027" s="719">
        <v>6</v>
      </c>
      <c r="B1027" s="669"/>
      <c r="C1027" s="1137"/>
      <c r="D1027" s="1137"/>
      <c r="E1027" s="1137"/>
      <c r="F1027" s="1137"/>
      <c r="G1027" s="646"/>
      <c r="H1027" s="669"/>
      <c r="I1027" s="1137"/>
      <c r="J1027" s="646"/>
      <c r="K1027" s="1138"/>
    </row>
    <row r="1028" spans="1:11" x14ac:dyDescent="0.25">
      <c r="A1028" s="1190">
        <v>1</v>
      </c>
      <c r="B1028" s="745"/>
      <c r="C1028" s="1117"/>
      <c r="D1028" s="1117"/>
      <c r="E1028" s="1117"/>
      <c r="F1028" s="1117"/>
      <c r="G1028" s="632"/>
      <c r="H1028" s="745"/>
      <c r="I1028" s="1117"/>
      <c r="J1028" s="632"/>
      <c r="K1028" s="1118"/>
    </row>
    <row r="1029" spans="1:11" x14ac:dyDescent="0.25">
      <c r="A1029" s="718">
        <v>2</v>
      </c>
      <c r="B1029" s="668"/>
      <c r="C1029" s="721"/>
      <c r="D1029" s="721"/>
      <c r="E1029" s="721"/>
      <c r="F1029" s="721"/>
      <c r="G1029" s="639"/>
      <c r="H1029" s="668"/>
      <c r="I1029" s="721"/>
      <c r="J1029" s="639"/>
      <c r="K1029" s="1124"/>
    </row>
    <row r="1030" spans="1:11" ht="13.8" thickBot="1" x14ac:dyDescent="0.3">
      <c r="A1030" s="719">
        <v>3</v>
      </c>
      <c r="B1030" s="669"/>
      <c r="C1030" s="1137"/>
      <c r="D1030" s="1137"/>
      <c r="E1030" s="1137"/>
      <c r="F1030" s="1137"/>
      <c r="G1030" s="646"/>
      <c r="H1030" s="669"/>
      <c r="I1030" s="1137"/>
      <c r="J1030" s="646"/>
      <c r="K1030" s="1138"/>
    </row>
    <row r="1031" spans="1:11" ht="13.8" thickBot="1" x14ac:dyDescent="0.3">
      <c r="A1031" s="1186" t="s">
        <v>589</v>
      </c>
      <c r="B1031" s="1187"/>
      <c r="C1031" s="1188"/>
      <c r="D1031" s="1188"/>
      <c r="E1031" s="1188"/>
      <c r="F1031" s="1188"/>
      <c r="G1031" s="1189"/>
      <c r="H1031" s="1187"/>
      <c r="I1031" s="1188"/>
      <c r="J1031" s="1189"/>
      <c r="K1031" s="716"/>
    </row>
    <row r="1032" spans="1:11" x14ac:dyDescent="0.25">
      <c r="A1032" s="1190">
        <v>1</v>
      </c>
      <c r="B1032" s="745"/>
      <c r="C1032" s="1117"/>
      <c r="D1032" s="1117"/>
      <c r="E1032" s="1117"/>
      <c r="F1032" s="1117"/>
      <c r="G1032" s="632"/>
      <c r="H1032" s="745"/>
      <c r="I1032" s="1117"/>
      <c r="J1032" s="632"/>
      <c r="K1032" s="1118"/>
    </row>
    <row r="1033" spans="1:11" x14ac:dyDescent="0.25">
      <c r="A1033" s="718">
        <v>2</v>
      </c>
      <c r="B1033" s="668"/>
      <c r="C1033" s="721"/>
      <c r="D1033" s="721"/>
      <c r="E1033" s="721"/>
      <c r="F1033" s="721"/>
      <c r="G1033" s="639"/>
      <c r="H1033" s="668"/>
      <c r="I1033" s="721"/>
      <c r="J1033" s="639"/>
      <c r="K1033" s="1124"/>
    </row>
    <row r="1034" spans="1:11" x14ac:dyDescent="0.25">
      <c r="A1034" s="718">
        <v>3</v>
      </c>
      <c r="B1034" s="668"/>
      <c r="C1034" s="721"/>
      <c r="D1034" s="721"/>
      <c r="E1034" s="721"/>
      <c r="F1034" s="721"/>
      <c r="G1034" s="639"/>
      <c r="H1034" s="668"/>
      <c r="I1034" s="721"/>
      <c r="J1034" s="639"/>
      <c r="K1034" s="1124"/>
    </row>
    <row r="1035" spans="1:11" x14ac:dyDescent="0.25">
      <c r="A1035" s="718">
        <v>4</v>
      </c>
      <c r="B1035" s="668"/>
      <c r="C1035" s="721"/>
      <c r="D1035" s="721"/>
      <c r="E1035" s="721"/>
      <c r="F1035" s="721"/>
      <c r="G1035" s="639"/>
      <c r="H1035" s="668"/>
      <c r="I1035" s="721"/>
      <c r="J1035" s="639"/>
      <c r="K1035" s="1124"/>
    </row>
    <row r="1036" spans="1:11" x14ac:dyDescent="0.25">
      <c r="A1036" s="718">
        <v>5</v>
      </c>
      <c r="B1036" s="668"/>
      <c r="C1036" s="721"/>
      <c r="D1036" s="721"/>
      <c r="E1036" s="721"/>
      <c r="F1036" s="721"/>
      <c r="G1036" s="639"/>
      <c r="H1036" s="668"/>
      <c r="I1036" s="721"/>
      <c r="J1036" s="639"/>
      <c r="K1036" s="1124"/>
    </row>
    <row r="1037" spans="1:11" ht="13.8" thickBot="1" x14ac:dyDescent="0.3">
      <c r="A1037" s="719">
        <v>6</v>
      </c>
      <c r="B1037" s="669"/>
      <c r="C1037" s="1137"/>
      <c r="D1037" s="1137"/>
      <c r="E1037" s="1137"/>
      <c r="F1037" s="1137"/>
      <c r="G1037" s="646"/>
      <c r="H1037" s="669"/>
      <c r="I1037" s="1137"/>
      <c r="J1037" s="646"/>
      <c r="K1037" s="1138"/>
    </row>
    <row r="1038" spans="1:11" x14ac:dyDescent="0.25">
      <c r="A1038" s="1190">
        <v>1</v>
      </c>
      <c r="B1038" s="745"/>
      <c r="C1038" s="1117"/>
      <c r="D1038" s="1117"/>
      <c r="E1038" s="1117"/>
      <c r="F1038" s="1117"/>
      <c r="G1038" s="632"/>
      <c r="H1038" s="745"/>
      <c r="I1038" s="1117"/>
      <c r="J1038" s="632"/>
      <c r="K1038" s="1118"/>
    </row>
    <row r="1039" spans="1:11" x14ac:dyDescent="0.25">
      <c r="A1039" s="718">
        <v>2</v>
      </c>
      <c r="B1039" s="668"/>
      <c r="C1039" s="721"/>
      <c r="D1039" s="721"/>
      <c r="E1039" s="721"/>
      <c r="F1039" s="721"/>
      <c r="G1039" s="639"/>
      <c r="H1039" s="668"/>
      <c r="I1039" s="721"/>
      <c r="J1039" s="639"/>
      <c r="K1039" s="1124"/>
    </row>
    <row r="1040" spans="1:11" ht="13.8" thickBot="1" x14ac:dyDescent="0.3">
      <c r="A1040" s="719">
        <v>3</v>
      </c>
      <c r="B1040" s="669"/>
      <c r="C1040" s="1137"/>
      <c r="D1040" s="1137"/>
      <c r="E1040" s="1137"/>
      <c r="F1040" s="1137"/>
      <c r="G1040" s="646"/>
      <c r="H1040" s="669"/>
      <c r="I1040" s="1137"/>
      <c r="J1040" s="646"/>
      <c r="K1040" s="1138"/>
    </row>
    <row r="1041" spans="1:11" ht="13.8" thickBot="1" x14ac:dyDescent="0.3">
      <c r="A1041" s="1186" t="s">
        <v>590</v>
      </c>
      <c r="B1041" s="1187"/>
      <c r="C1041" s="1188"/>
      <c r="D1041" s="1188"/>
      <c r="E1041" s="1188"/>
      <c r="F1041" s="1188"/>
      <c r="G1041" s="1189"/>
      <c r="H1041" s="1187"/>
      <c r="I1041" s="1188"/>
      <c r="J1041" s="1189"/>
      <c r="K1041" s="716"/>
    </row>
    <row r="1042" spans="1:11" x14ac:dyDescent="0.25">
      <c r="A1042" s="1190">
        <v>1</v>
      </c>
      <c r="B1042" s="745"/>
      <c r="C1042" s="1117"/>
      <c r="D1042" s="1117"/>
      <c r="E1042" s="1117"/>
      <c r="F1042" s="1117"/>
      <c r="G1042" s="632"/>
      <c r="H1042" s="745"/>
      <c r="I1042" s="1117"/>
      <c r="J1042" s="632"/>
      <c r="K1042" s="1118"/>
    </row>
    <row r="1043" spans="1:11" x14ac:dyDescent="0.25">
      <c r="A1043" s="718">
        <v>2</v>
      </c>
      <c r="B1043" s="668"/>
      <c r="C1043" s="721"/>
      <c r="D1043" s="721"/>
      <c r="E1043" s="721"/>
      <c r="F1043" s="721"/>
      <c r="G1043" s="639"/>
      <c r="H1043" s="668"/>
      <c r="I1043" s="721"/>
      <c r="J1043" s="639"/>
      <c r="K1043" s="1124"/>
    </row>
    <row r="1044" spans="1:11" x14ac:dyDescent="0.25">
      <c r="A1044" s="718">
        <v>3</v>
      </c>
      <c r="B1044" s="668"/>
      <c r="C1044" s="721"/>
      <c r="D1044" s="721"/>
      <c r="E1044" s="721"/>
      <c r="F1044" s="721"/>
      <c r="G1044" s="639"/>
      <c r="H1044" s="668"/>
      <c r="I1044" s="721"/>
      <c r="J1044" s="639"/>
      <c r="K1044" s="1124"/>
    </row>
    <row r="1045" spans="1:11" x14ac:dyDescent="0.25">
      <c r="A1045" s="718">
        <v>4</v>
      </c>
      <c r="B1045" s="668"/>
      <c r="C1045" s="721"/>
      <c r="D1045" s="721"/>
      <c r="E1045" s="721"/>
      <c r="F1045" s="721"/>
      <c r="G1045" s="639"/>
      <c r="H1045" s="668"/>
      <c r="I1045" s="721"/>
      <c r="J1045" s="639"/>
      <c r="K1045" s="1124"/>
    </row>
    <row r="1046" spans="1:11" x14ac:dyDescent="0.25">
      <c r="A1046" s="718">
        <v>5</v>
      </c>
      <c r="B1046" s="668"/>
      <c r="C1046" s="721"/>
      <c r="D1046" s="721"/>
      <c r="E1046" s="721"/>
      <c r="F1046" s="721"/>
      <c r="G1046" s="639"/>
      <c r="H1046" s="668"/>
      <c r="I1046" s="721"/>
      <c r="J1046" s="639"/>
      <c r="K1046" s="1124"/>
    </row>
    <row r="1047" spans="1:11" ht="13.8" thickBot="1" x14ac:dyDescent="0.3">
      <c r="A1047" s="719">
        <v>6</v>
      </c>
      <c r="B1047" s="669"/>
      <c r="C1047" s="1137"/>
      <c r="D1047" s="1137"/>
      <c r="E1047" s="1137"/>
      <c r="F1047" s="1137"/>
      <c r="G1047" s="646"/>
      <c r="H1047" s="669"/>
      <c r="I1047" s="1137"/>
      <c r="J1047" s="646"/>
      <c r="K1047" s="1138"/>
    </row>
    <row r="1048" spans="1:11" x14ac:dyDescent="0.25">
      <c r="A1048" s="1190">
        <v>1</v>
      </c>
      <c r="B1048" s="745"/>
      <c r="C1048" s="1117"/>
      <c r="D1048" s="1117"/>
      <c r="E1048" s="1117"/>
      <c r="F1048" s="1117"/>
      <c r="G1048" s="632"/>
      <c r="H1048" s="745"/>
      <c r="I1048" s="1117"/>
      <c r="J1048" s="632"/>
      <c r="K1048" s="1118"/>
    </row>
    <row r="1049" spans="1:11" x14ac:dyDescent="0.25">
      <c r="A1049" s="718">
        <v>2</v>
      </c>
      <c r="B1049" s="668"/>
      <c r="C1049" s="721"/>
      <c r="D1049" s="721"/>
      <c r="E1049" s="721"/>
      <c r="F1049" s="721"/>
      <c r="G1049" s="639"/>
      <c r="H1049" s="668"/>
      <c r="I1049" s="721"/>
      <c r="J1049" s="639"/>
      <c r="K1049" s="1124"/>
    </row>
    <row r="1050" spans="1:11" ht="13.8" thickBot="1" x14ac:dyDescent="0.3">
      <c r="A1050" s="1191">
        <v>3</v>
      </c>
      <c r="B1050" s="1132"/>
      <c r="C1050" s="1133"/>
      <c r="D1050" s="1133"/>
      <c r="E1050" s="1133"/>
      <c r="F1050" s="1133"/>
      <c r="G1050" s="1134"/>
      <c r="H1050" s="1132"/>
      <c r="I1050" s="1133"/>
      <c r="J1050" s="1134"/>
      <c r="K1050" s="1147"/>
    </row>
    <row r="1051" spans="1:11" ht="13.8" thickBot="1" x14ac:dyDescent="0.3">
      <c r="A1051" s="1186" t="s">
        <v>591</v>
      </c>
      <c r="B1051" s="1187"/>
      <c r="C1051" s="1188"/>
      <c r="D1051" s="1188"/>
      <c r="E1051" s="1188"/>
      <c r="F1051" s="1188"/>
      <c r="G1051" s="1189"/>
      <c r="H1051" s="1187"/>
      <c r="I1051" s="1188"/>
      <c r="J1051" s="1189"/>
      <c r="K1051" s="716"/>
    </row>
    <row r="1052" spans="1:11" x14ac:dyDescent="0.25">
      <c r="A1052" s="1190">
        <v>1</v>
      </c>
      <c r="B1052" s="745"/>
      <c r="C1052" s="1117"/>
      <c r="D1052" s="1117"/>
      <c r="E1052" s="1117"/>
      <c r="F1052" s="1117"/>
      <c r="G1052" s="632"/>
      <c r="H1052" s="745"/>
      <c r="I1052" s="1117"/>
      <c r="J1052" s="632"/>
      <c r="K1052" s="1118"/>
    </row>
    <row r="1053" spans="1:11" x14ac:dyDescent="0.25">
      <c r="A1053" s="718">
        <v>2</v>
      </c>
      <c r="B1053" s="668"/>
      <c r="C1053" s="721"/>
      <c r="D1053" s="721"/>
      <c r="E1053" s="721"/>
      <c r="F1053" s="721"/>
      <c r="G1053" s="639"/>
      <c r="H1053" s="668"/>
      <c r="I1053" s="721"/>
      <c r="J1053" s="639"/>
      <c r="K1053" s="1124"/>
    </row>
    <row r="1054" spans="1:11" x14ac:dyDescent="0.25">
      <c r="A1054" s="718">
        <v>3</v>
      </c>
      <c r="B1054" s="668"/>
      <c r="C1054" s="721"/>
      <c r="D1054" s="721"/>
      <c r="E1054" s="721"/>
      <c r="F1054" s="721"/>
      <c r="G1054" s="639"/>
      <c r="H1054" s="668"/>
      <c r="I1054" s="721"/>
      <c r="J1054" s="639"/>
      <c r="K1054" s="1124"/>
    </row>
    <row r="1055" spans="1:11" x14ac:dyDescent="0.25">
      <c r="A1055" s="718">
        <v>4</v>
      </c>
      <c r="B1055" s="668"/>
      <c r="C1055" s="721"/>
      <c r="D1055" s="721"/>
      <c r="E1055" s="721"/>
      <c r="F1055" s="721"/>
      <c r="G1055" s="639"/>
      <c r="H1055" s="668"/>
      <c r="I1055" s="721"/>
      <c r="J1055" s="639"/>
      <c r="K1055" s="1124"/>
    </row>
    <row r="1056" spans="1:11" x14ac:dyDescent="0.25">
      <c r="A1056" s="718">
        <v>5</v>
      </c>
      <c r="B1056" s="668"/>
      <c r="C1056" s="721"/>
      <c r="D1056" s="721"/>
      <c r="E1056" s="721"/>
      <c r="F1056" s="721"/>
      <c r="G1056" s="639"/>
      <c r="H1056" s="668"/>
      <c r="I1056" s="721"/>
      <c r="J1056" s="639"/>
      <c r="K1056" s="1124"/>
    </row>
    <row r="1057" spans="1:11" ht="13.8" thickBot="1" x14ac:dyDescent="0.3">
      <c r="A1057" s="719">
        <v>6</v>
      </c>
      <c r="B1057" s="669"/>
      <c r="C1057" s="1137"/>
      <c r="D1057" s="1137"/>
      <c r="E1057" s="1137"/>
      <c r="F1057" s="1137"/>
      <c r="G1057" s="646"/>
      <c r="H1057" s="669"/>
      <c r="I1057" s="1137"/>
      <c r="J1057" s="646"/>
      <c r="K1057" s="1138"/>
    </row>
    <row r="1058" spans="1:11" x14ac:dyDescent="0.25">
      <c r="A1058" s="1190">
        <v>1</v>
      </c>
      <c r="B1058" s="745"/>
      <c r="C1058" s="1117"/>
      <c r="D1058" s="1117"/>
      <c r="E1058" s="1117"/>
      <c r="F1058" s="1117"/>
      <c r="G1058" s="632"/>
      <c r="H1058" s="745"/>
      <c r="I1058" s="1117"/>
      <c r="J1058" s="632"/>
      <c r="K1058" s="1118"/>
    </row>
    <row r="1059" spans="1:11" x14ac:dyDescent="0.25">
      <c r="A1059" s="718">
        <v>2</v>
      </c>
      <c r="B1059" s="668"/>
      <c r="C1059" s="721"/>
      <c r="D1059" s="721"/>
      <c r="E1059" s="721"/>
      <c r="F1059" s="721"/>
      <c r="G1059" s="639"/>
      <c r="H1059" s="668"/>
      <c r="I1059" s="721"/>
      <c r="J1059" s="639"/>
      <c r="K1059" s="1124"/>
    </row>
    <row r="1060" spans="1:11" ht="13.8" thickBot="1" x14ac:dyDescent="0.3">
      <c r="A1060" s="719">
        <v>3</v>
      </c>
      <c r="B1060" s="669"/>
      <c r="C1060" s="1137"/>
      <c r="D1060" s="1137"/>
      <c r="E1060" s="1137"/>
      <c r="F1060" s="1137"/>
      <c r="G1060" s="646"/>
      <c r="H1060" s="669"/>
      <c r="I1060" s="1137"/>
      <c r="J1060" s="646"/>
      <c r="K1060" s="1138"/>
    </row>
    <row r="1061" spans="1:11" ht="13.8" thickBot="1" x14ac:dyDescent="0.3">
      <c r="A1061" s="1186" t="s">
        <v>592</v>
      </c>
      <c r="B1061" s="1187"/>
      <c r="C1061" s="1188"/>
      <c r="D1061" s="1188"/>
      <c r="E1061" s="1188"/>
      <c r="F1061" s="1188"/>
      <c r="G1061" s="1189"/>
      <c r="H1061" s="1187"/>
      <c r="I1061" s="1188"/>
      <c r="J1061" s="1189"/>
      <c r="K1061" s="716"/>
    </row>
    <row r="1062" spans="1:11" x14ac:dyDescent="0.25">
      <c r="A1062" s="1190">
        <v>1</v>
      </c>
      <c r="B1062" s="745"/>
      <c r="C1062" s="1117"/>
      <c r="D1062" s="1117"/>
      <c r="E1062" s="1117"/>
      <c r="F1062" s="1117"/>
      <c r="G1062" s="632"/>
      <c r="H1062" s="745"/>
      <c r="I1062" s="1117"/>
      <c r="J1062" s="632"/>
      <c r="K1062" s="1118"/>
    </row>
    <row r="1063" spans="1:11" x14ac:dyDescent="0.25">
      <c r="A1063" s="718">
        <v>2</v>
      </c>
      <c r="B1063" s="668"/>
      <c r="C1063" s="721"/>
      <c r="D1063" s="721"/>
      <c r="E1063" s="721"/>
      <c r="F1063" s="721"/>
      <c r="G1063" s="639"/>
      <c r="H1063" s="668"/>
      <c r="I1063" s="721"/>
      <c r="J1063" s="639"/>
      <c r="K1063" s="1124"/>
    </row>
    <row r="1064" spans="1:11" x14ac:dyDescent="0.25">
      <c r="A1064" s="718">
        <v>3</v>
      </c>
      <c r="B1064" s="668"/>
      <c r="C1064" s="721"/>
      <c r="D1064" s="721"/>
      <c r="E1064" s="721"/>
      <c r="F1064" s="721"/>
      <c r="G1064" s="639"/>
      <c r="H1064" s="668"/>
      <c r="I1064" s="721"/>
      <c r="J1064" s="639"/>
      <c r="K1064" s="1124"/>
    </row>
    <row r="1065" spans="1:11" x14ac:dyDescent="0.25">
      <c r="A1065" s="718">
        <v>4</v>
      </c>
      <c r="B1065" s="668"/>
      <c r="C1065" s="721"/>
      <c r="D1065" s="721"/>
      <c r="E1065" s="721"/>
      <c r="F1065" s="721"/>
      <c r="G1065" s="639"/>
      <c r="H1065" s="668"/>
      <c r="I1065" s="721"/>
      <c r="J1065" s="639"/>
      <c r="K1065" s="1124"/>
    </row>
    <row r="1066" spans="1:11" x14ac:dyDescent="0.25">
      <c r="A1066" s="718">
        <v>5</v>
      </c>
      <c r="B1066" s="668"/>
      <c r="C1066" s="721"/>
      <c r="D1066" s="721"/>
      <c r="E1066" s="721"/>
      <c r="F1066" s="721"/>
      <c r="G1066" s="639"/>
      <c r="H1066" s="668"/>
      <c r="I1066" s="721"/>
      <c r="J1066" s="639"/>
      <c r="K1066" s="1124"/>
    </row>
    <row r="1067" spans="1:11" ht="13.8" thickBot="1" x14ac:dyDescent="0.3">
      <c r="A1067" s="719">
        <v>6</v>
      </c>
      <c r="B1067" s="669"/>
      <c r="C1067" s="1137"/>
      <c r="D1067" s="1137"/>
      <c r="E1067" s="1137"/>
      <c r="F1067" s="1137"/>
      <c r="G1067" s="646"/>
      <c r="H1067" s="669"/>
      <c r="I1067" s="1137"/>
      <c r="J1067" s="646"/>
      <c r="K1067" s="1138"/>
    </row>
    <row r="1068" spans="1:11" x14ac:dyDescent="0.25">
      <c r="A1068" s="1190">
        <v>1</v>
      </c>
      <c r="B1068" s="745"/>
      <c r="C1068" s="1117"/>
      <c r="D1068" s="1117"/>
      <c r="E1068" s="1117"/>
      <c r="F1068" s="1117"/>
      <c r="G1068" s="632"/>
      <c r="H1068" s="745"/>
      <c r="I1068" s="1117"/>
      <c r="J1068" s="632"/>
      <c r="K1068" s="1118"/>
    </row>
    <row r="1069" spans="1:11" x14ac:dyDescent="0.25">
      <c r="A1069" s="718">
        <v>2</v>
      </c>
      <c r="B1069" s="668"/>
      <c r="C1069" s="721"/>
      <c r="D1069" s="721"/>
      <c r="E1069" s="721"/>
      <c r="F1069" s="721"/>
      <c r="G1069" s="639"/>
      <c r="H1069" s="668"/>
      <c r="I1069" s="721"/>
      <c r="J1069" s="639"/>
      <c r="K1069" s="1124"/>
    </row>
    <row r="1070" spans="1:11" ht="13.8" thickBot="1" x14ac:dyDescent="0.3">
      <c r="A1070" s="719">
        <v>3</v>
      </c>
      <c r="B1070" s="669"/>
      <c r="C1070" s="1137"/>
      <c r="D1070" s="1137"/>
      <c r="E1070" s="1137"/>
      <c r="F1070" s="1137"/>
      <c r="G1070" s="646"/>
      <c r="H1070" s="669"/>
      <c r="I1070" s="1137"/>
      <c r="J1070" s="646"/>
      <c r="K1070" s="1138"/>
    </row>
    <row r="1071" spans="1:11" ht="13.8" thickBot="1" x14ac:dyDescent="0.3">
      <c r="A1071" s="1186" t="s">
        <v>593</v>
      </c>
      <c r="B1071" s="1187"/>
      <c r="C1071" s="1188"/>
      <c r="D1071" s="1188"/>
      <c r="E1071" s="1188"/>
      <c r="F1071" s="1188"/>
      <c r="G1071" s="1189"/>
      <c r="H1071" s="1187"/>
      <c r="I1071" s="1188"/>
      <c r="J1071" s="1189"/>
      <c r="K1071" s="716"/>
    </row>
    <row r="1072" spans="1:11" x14ac:dyDescent="0.25">
      <c r="A1072" s="1190">
        <v>1</v>
      </c>
      <c r="B1072" s="745"/>
      <c r="C1072" s="1117"/>
      <c r="D1072" s="1117"/>
      <c r="E1072" s="1117"/>
      <c r="F1072" s="1117"/>
      <c r="G1072" s="632"/>
      <c r="H1072" s="745"/>
      <c r="I1072" s="1117"/>
      <c r="J1072" s="632"/>
      <c r="K1072" s="1118"/>
    </row>
    <row r="1073" spans="1:11" x14ac:dyDescent="0.25">
      <c r="A1073" s="718">
        <v>2</v>
      </c>
      <c r="B1073" s="668"/>
      <c r="C1073" s="721"/>
      <c r="D1073" s="721"/>
      <c r="E1073" s="721"/>
      <c r="F1073" s="721"/>
      <c r="G1073" s="639"/>
      <c r="H1073" s="668"/>
      <c r="I1073" s="721"/>
      <c r="J1073" s="639"/>
      <c r="K1073" s="1124"/>
    </row>
    <row r="1074" spans="1:11" x14ac:dyDescent="0.25">
      <c r="A1074" s="718">
        <v>3</v>
      </c>
      <c r="B1074" s="668"/>
      <c r="C1074" s="721"/>
      <c r="D1074" s="721"/>
      <c r="E1074" s="721"/>
      <c r="F1074" s="721"/>
      <c r="G1074" s="639"/>
      <c r="H1074" s="668"/>
      <c r="I1074" s="721"/>
      <c r="J1074" s="639"/>
      <c r="K1074" s="1124"/>
    </row>
    <row r="1075" spans="1:11" x14ac:dyDescent="0.25">
      <c r="A1075" s="718">
        <v>4</v>
      </c>
      <c r="B1075" s="668"/>
      <c r="C1075" s="721"/>
      <c r="D1075" s="721"/>
      <c r="E1075" s="721"/>
      <c r="F1075" s="721"/>
      <c r="G1075" s="639"/>
      <c r="H1075" s="668"/>
      <c r="I1075" s="721"/>
      <c r="J1075" s="639"/>
      <c r="K1075" s="1124"/>
    </row>
    <row r="1076" spans="1:11" x14ac:dyDescent="0.25">
      <c r="A1076" s="718">
        <v>5</v>
      </c>
      <c r="B1076" s="668"/>
      <c r="C1076" s="721"/>
      <c r="D1076" s="721"/>
      <c r="E1076" s="721"/>
      <c r="F1076" s="721"/>
      <c r="G1076" s="639"/>
      <c r="H1076" s="668"/>
      <c r="I1076" s="721"/>
      <c r="J1076" s="639"/>
      <c r="K1076" s="1124"/>
    </row>
    <row r="1077" spans="1:11" ht="13.8" thickBot="1" x14ac:dyDescent="0.3">
      <c r="A1077" s="719">
        <v>6</v>
      </c>
      <c r="B1077" s="669"/>
      <c r="C1077" s="1137"/>
      <c r="D1077" s="1137"/>
      <c r="E1077" s="1137"/>
      <c r="F1077" s="1137"/>
      <c r="G1077" s="646"/>
      <c r="H1077" s="669"/>
      <c r="I1077" s="1137"/>
      <c r="J1077" s="646"/>
      <c r="K1077" s="1138"/>
    </row>
    <row r="1078" spans="1:11" x14ac:dyDescent="0.25">
      <c r="A1078" s="1190">
        <v>1</v>
      </c>
      <c r="B1078" s="745"/>
      <c r="C1078" s="1117"/>
      <c r="D1078" s="1117"/>
      <c r="E1078" s="1117"/>
      <c r="F1078" s="1117"/>
      <c r="G1078" s="632"/>
      <c r="H1078" s="745"/>
      <c r="I1078" s="1117"/>
      <c r="J1078" s="632"/>
      <c r="K1078" s="1118"/>
    </row>
    <row r="1079" spans="1:11" x14ac:dyDescent="0.25">
      <c r="A1079" s="718">
        <v>2</v>
      </c>
      <c r="B1079" s="668"/>
      <c r="C1079" s="721"/>
      <c r="D1079" s="721"/>
      <c r="E1079" s="721"/>
      <c r="F1079" s="721"/>
      <c r="G1079" s="639"/>
      <c r="H1079" s="668"/>
      <c r="I1079" s="721"/>
      <c r="J1079" s="639"/>
      <c r="K1079" s="1124"/>
    </row>
    <row r="1080" spans="1:11" ht="13.8" thickBot="1" x14ac:dyDescent="0.3">
      <c r="A1080" s="719">
        <v>3</v>
      </c>
      <c r="B1080" s="669"/>
      <c r="C1080" s="1137"/>
      <c r="D1080" s="1137"/>
      <c r="E1080" s="1137"/>
      <c r="F1080" s="1137"/>
      <c r="G1080" s="646"/>
      <c r="H1080" s="669"/>
      <c r="I1080" s="1137"/>
      <c r="J1080" s="646"/>
      <c r="K1080" s="1138"/>
    </row>
    <row r="1081" spans="1:11" ht="13.8" thickBot="1" x14ac:dyDescent="0.3">
      <c r="A1081" s="1186" t="s">
        <v>594</v>
      </c>
      <c r="B1081" s="1187"/>
      <c r="C1081" s="1188"/>
      <c r="D1081" s="1188"/>
      <c r="E1081" s="1188"/>
      <c r="F1081" s="1188"/>
      <c r="G1081" s="1189"/>
      <c r="H1081" s="1187"/>
      <c r="I1081" s="1188"/>
      <c r="J1081" s="1189"/>
      <c r="K1081" s="716"/>
    </row>
    <row r="1082" spans="1:11" x14ac:dyDescent="0.25">
      <c r="A1082" s="1190">
        <v>1</v>
      </c>
      <c r="B1082" s="745"/>
      <c r="C1082" s="1117"/>
      <c r="D1082" s="1117"/>
      <c r="E1082" s="1117"/>
      <c r="F1082" s="1117"/>
      <c r="G1082" s="632"/>
      <c r="H1082" s="745"/>
      <c r="I1082" s="1117"/>
      <c r="J1082" s="632"/>
      <c r="K1082" s="1118"/>
    </row>
    <row r="1083" spans="1:11" x14ac:dyDescent="0.25">
      <c r="A1083" s="718">
        <v>2</v>
      </c>
      <c r="B1083" s="668"/>
      <c r="C1083" s="721"/>
      <c r="D1083" s="721"/>
      <c r="E1083" s="721"/>
      <c r="F1083" s="721"/>
      <c r="G1083" s="639"/>
      <c r="H1083" s="668"/>
      <c r="I1083" s="721"/>
      <c r="J1083" s="639"/>
      <c r="K1083" s="1124"/>
    </row>
    <row r="1084" spans="1:11" x14ac:dyDescent="0.25">
      <c r="A1084" s="718">
        <v>3</v>
      </c>
      <c r="B1084" s="668"/>
      <c r="C1084" s="721"/>
      <c r="D1084" s="721"/>
      <c r="E1084" s="721"/>
      <c r="F1084" s="721"/>
      <c r="G1084" s="639"/>
      <c r="H1084" s="668"/>
      <c r="I1084" s="721"/>
      <c r="J1084" s="639"/>
      <c r="K1084" s="1124"/>
    </row>
    <row r="1085" spans="1:11" x14ac:dyDescent="0.25">
      <c r="A1085" s="718">
        <v>4</v>
      </c>
      <c r="B1085" s="668"/>
      <c r="C1085" s="721"/>
      <c r="D1085" s="721"/>
      <c r="E1085" s="721"/>
      <c r="F1085" s="721"/>
      <c r="G1085" s="639"/>
      <c r="H1085" s="668"/>
      <c r="I1085" s="721"/>
      <c r="J1085" s="639"/>
      <c r="K1085" s="1124"/>
    </row>
    <row r="1086" spans="1:11" x14ac:dyDescent="0.25">
      <c r="A1086" s="718">
        <v>5</v>
      </c>
      <c r="B1086" s="668"/>
      <c r="C1086" s="721"/>
      <c r="D1086" s="721"/>
      <c r="E1086" s="721"/>
      <c r="F1086" s="721"/>
      <c r="G1086" s="639"/>
      <c r="H1086" s="668"/>
      <c r="I1086" s="721"/>
      <c r="J1086" s="639"/>
      <c r="K1086" s="1124"/>
    </row>
    <row r="1087" spans="1:11" ht="13.8" thickBot="1" x14ac:dyDescent="0.3">
      <c r="A1087" s="719">
        <v>6</v>
      </c>
      <c r="B1087" s="669"/>
      <c r="C1087" s="1137"/>
      <c r="D1087" s="1137"/>
      <c r="E1087" s="1137"/>
      <c r="F1087" s="1137"/>
      <c r="G1087" s="646"/>
      <c r="H1087" s="669"/>
      <c r="I1087" s="1137"/>
      <c r="J1087" s="646"/>
      <c r="K1087" s="1138"/>
    </row>
    <row r="1088" spans="1:11" x14ac:dyDescent="0.25">
      <c r="A1088" s="1190">
        <v>1</v>
      </c>
      <c r="B1088" s="745"/>
      <c r="C1088" s="1117"/>
      <c r="D1088" s="1117"/>
      <c r="E1088" s="1117"/>
      <c r="F1088" s="1117"/>
      <c r="G1088" s="632"/>
      <c r="H1088" s="745"/>
      <c r="I1088" s="1117"/>
      <c r="J1088" s="632"/>
      <c r="K1088" s="1118"/>
    </row>
    <row r="1089" spans="1:11" x14ac:dyDescent="0.25">
      <c r="A1089" s="718">
        <v>2</v>
      </c>
      <c r="B1089" s="668"/>
      <c r="C1089" s="721"/>
      <c r="D1089" s="721"/>
      <c r="E1089" s="721"/>
      <c r="F1089" s="721"/>
      <c r="G1089" s="639"/>
      <c r="H1089" s="668"/>
      <c r="I1089" s="721"/>
      <c r="J1089" s="639"/>
      <c r="K1089" s="1124"/>
    </row>
    <row r="1090" spans="1:11" ht="13.8" thickBot="1" x14ac:dyDescent="0.3">
      <c r="A1090" s="719">
        <v>3</v>
      </c>
      <c r="B1090" s="669"/>
      <c r="C1090" s="1137"/>
      <c r="D1090" s="1137"/>
      <c r="E1090" s="1137"/>
      <c r="F1090" s="1137"/>
      <c r="G1090" s="646"/>
      <c r="H1090" s="669"/>
      <c r="I1090" s="1137"/>
      <c r="J1090" s="646"/>
      <c r="K1090" s="1138"/>
    </row>
    <row r="1091" spans="1:11" ht="13.8" thickBot="1" x14ac:dyDescent="0.3">
      <c r="A1091" s="1186" t="s">
        <v>595</v>
      </c>
      <c r="B1091" s="1187"/>
      <c r="C1091" s="1188"/>
      <c r="D1091" s="1188"/>
      <c r="E1091" s="1188"/>
      <c r="F1091" s="1188"/>
      <c r="G1091" s="1189"/>
      <c r="H1091" s="1187"/>
      <c r="I1091" s="1188"/>
      <c r="J1091" s="1189"/>
      <c r="K1091" s="716"/>
    </row>
    <row r="1092" spans="1:11" x14ac:dyDescent="0.25">
      <c r="A1092" s="1190">
        <v>1</v>
      </c>
      <c r="B1092" s="745"/>
      <c r="C1092" s="1117"/>
      <c r="D1092" s="1117"/>
      <c r="E1092" s="1117"/>
      <c r="F1092" s="1117"/>
      <c r="G1092" s="632"/>
      <c r="H1092" s="745"/>
      <c r="I1092" s="1117"/>
      <c r="J1092" s="632"/>
      <c r="K1092" s="1118"/>
    </row>
    <row r="1093" spans="1:11" x14ac:dyDescent="0.25">
      <c r="A1093" s="718">
        <v>2</v>
      </c>
      <c r="B1093" s="668"/>
      <c r="C1093" s="721"/>
      <c r="D1093" s="721"/>
      <c r="E1093" s="721"/>
      <c r="F1093" s="721"/>
      <c r="G1093" s="639"/>
      <c r="H1093" s="668"/>
      <c r="I1093" s="721"/>
      <c r="J1093" s="639"/>
      <c r="K1093" s="1124"/>
    </row>
    <row r="1094" spans="1:11" x14ac:dyDescent="0.25">
      <c r="A1094" s="718">
        <v>3</v>
      </c>
      <c r="B1094" s="668"/>
      <c r="C1094" s="721"/>
      <c r="D1094" s="721"/>
      <c r="E1094" s="721"/>
      <c r="F1094" s="721"/>
      <c r="G1094" s="639"/>
      <c r="H1094" s="668"/>
      <c r="I1094" s="721"/>
      <c r="J1094" s="639"/>
      <c r="K1094" s="1124"/>
    </row>
    <row r="1095" spans="1:11" x14ac:dyDescent="0.25">
      <c r="A1095" s="718">
        <v>4</v>
      </c>
      <c r="B1095" s="668"/>
      <c r="C1095" s="721"/>
      <c r="D1095" s="721"/>
      <c r="E1095" s="721"/>
      <c r="F1095" s="721"/>
      <c r="G1095" s="639"/>
      <c r="H1095" s="668"/>
      <c r="I1095" s="721"/>
      <c r="J1095" s="639"/>
      <c r="K1095" s="1124"/>
    </row>
    <row r="1096" spans="1:11" x14ac:dyDescent="0.25">
      <c r="A1096" s="718">
        <v>5</v>
      </c>
      <c r="B1096" s="668"/>
      <c r="C1096" s="721"/>
      <c r="D1096" s="721"/>
      <c r="E1096" s="721"/>
      <c r="F1096" s="721"/>
      <c r="G1096" s="639"/>
      <c r="H1096" s="668"/>
      <c r="I1096" s="721"/>
      <c r="J1096" s="639"/>
      <c r="K1096" s="1124"/>
    </row>
    <row r="1097" spans="1:11" ht="13.8" thickBot="1" x14ac:dyDescent="0.3">
      <c r="A1097" s="719">
        <v>6</v>
      </c>
      <c r="B1097" s="669"/>
      <c r="C1097" s="1137"/>
      <c r="D1097" s="1137"/>
      <c r="E1097" s="1137"/>
      <c r="F1097" s="1137"/>
      <c r="G1097" s="646"/>
      <c r="H1097" s="669"/>
      <c r="I1097" s="1137"/>
      <c r="J1097" s="646"/>
      <c r="K1097" s="1138"/>
    </row>
    <row r="1098" spans="1:11" x14ac:dyDescent="0.25">
      <c r="A1098" s="1190">
        <v>1</v>
      </c>
      <c r="B1098" s="745"/>
      <c r="C1098" s="1117"/>
      <c r="D1098" s="1117"/>
      <c r="E1098" s="1117"/>
      <c r="F1098" s="1117"/>
      <c r="G1098" s="632"/>
      <c r="H1098" s="745"/>
      <c r="I1098" s="1117"/>
      <c r="J1098" s="632"/>
      <c r="K1098" s="1118"/>
    </row>
    <row r="1099" spans="1:11" x14ac:dyDescent="0.25">
      <c r="A1099" s="718">
        <v>2</v>
      </c>
      <c r="B1099" s="668"/>
      <c r="C1099" s="721"/>
      <c r="D1099" s="721"/>
      <c r="E1099" s="721"/>
      <c r="F1099" s="721"/>
      <c r="G1099" s="639"/>
      <c r="H1099" s="668"/>
      <c r="I1099" s="721"/>
      <c r="J1099" s="639"/>
      <c r="K1099" s="1124"/>
    </row>
    <row r="1100" spans="1:11" ht="13.8" thickBot="1" x14ac:dyDescent="0.3">
      <c r="A1100" s="719">
        <v>3</v>
      </c>
      <c r="B1100" s="669"/>
      <c r="C1100" s="1137"/>
      <c r="D1100" s="1137"/>
      <c r="E1100" s="1137"/>
      <c r="F1100" s="1137"/>
      <c r="G1100" s="646"/>
      <c r="H1100" s="669"/>
      <c r="I1100" s="1137"/>
      <c r="J1100" s="646"/>
      <c r="K1100" s="1138"/>
    </row>
    <row r="1101" spans="1:11" ht="13.8" thickBot="1" x14ac:dyDescent="0.3">
      <c r="A1101" s="1186" t="s">
        <v>596</v>
      </c>
      <c r="B1101" s="1187"/>
      <c r="C1101" s="1188"/>
      <c r="D1101" s="1188"/>
      <c r="E1101" s="1188"/>
      <c r="F1101" s="1188"/>
      <c r="G1101" s="1189"/>
      <c r="H1101" s="1187"/>
      <c r="I1101" s="1188"/>
      <c r="J1101" s="1189"/>
      <c r="K1101" s="716"/>
    </row>
    <row r="1102" spans="1:11" x14ac:dyDescent="0.25">
      <c r="A1102" s="1190">
        <v>1</v>
      </c>
      <c r="B1102" s="745"/>
      <c r="C1102" s="1117"/>
      <c r="D1102" s="1117"/>
      <c r="E1102" s="1117"/>
      <c r="F1102" s="1117"/>
      <c r="G1102" s="632"/>
      <c r="H1102" s="745"/>
      <c r="I1102" s="1117"/>
      <c r="J1102" s="632"/>
      <c r="K1102" s="1118"/>
    </row>
    <row r="1103" spans="1:11" x14ac:dyDescent="0.25">
      <c r="A1103" s="718">
        <v>2</v>
      </c>
      <c r="B1103" s="668"/>
      <c r="C1103" s="721"/>
      <c r="D1103" s="721"/>
      <c r="E1103" s="721"/>
      <c r="F1103" s="721"/>
      <c r="G1103" s="639"/>
      <c r="H1103" s="668"/>
      <c r="I1103" s="721"/>
      <c r="J1103" s="639"/>
      <c r="K1103" s="1124"/>
    </row>
    <row r="1104" spans="1:11" x14ac:dyDescent="0.25">
      <c r="A1104" s="718">
        <v>3</v>
      </c>
      <c r="B1104" s="668"/>
      <c r="C1104" s="721"/>
      <c r="D1104" s="721"/>
      <c r="E1104" s="721"/>
      <c r="F1104" s="721"/>
      <c r="G1104" s="639"/>
      <c r="H1104" s="668"/>
      <c r="I1104" s="721"/>
      <c r="J1104" s="639"/>
      <c r="K1104" s="1124"/>
    </row>
    <row r="1105" spans="1:11" x14ac:dyDescent="0.25">
      <c r="A1105" s="718">
        <v>4</v>
      </c>
      <c r="B1105" s="668"/>
      <c r="C1105" s="721"/>
      <c r="D1105" s="721"/>
      <c r="E1105" s="721"/>
      <c r="F1105" s="721"/>
      <c r="G1105" s="639"/>
      <c r="H1105" s="668"/>
      <c r="I1105" s="721"/>
      <c r="J1105" s="639"/>
      <c r="K1105" s="1124"/>
    </row>
    <row r="1106" spans="1:11" x14ac:dyDescent="0.25">
      <c r="A1106" s="718">
        <v>5</v>
      </c>
      <c r="B1106" s="668"/>
      <c r="C1106" s="721"/>
      <c r="D1106" s="721"/>
      <c r="E1106" s="721"/>
      <c r="F1106" s="721"/>
      <c r="G1106" s="639"/>
      <c r="H1106" s="668"/>
      <c r="I1106" s="721"/>
      <c r="J1106" s="639"/>
      <c r="K1106" s="1124"/>
    </row>
    <row r="1107" spans="1:11" ht="13.8" thickBot="1" x14ac:dyDescent="0.3">
      <c r="A1107" s="719">
        <v>6</v>
      </c>
      <c r="B1107" s="669"/>
      <c r="C1107" s="1137"/>
      <c r="D1107" s="1137"/>
      <c r="E1107" s="1137"/>
      <c r="F1107" s="1137"/>
      <c r="G1107" s="646"/>
      <c r="H1107" s="669"/>
      <c r="I1107" s="1137"/>
      <c r="J1107" s="646"/>
      <c r="K1107" s="1138"/>
    </row>
    <row r="1108" spans="1:11" x14ac:dyDescent="0.25">
      <c r="A1108" s="1190">
        <v>1</v>
      </c>
      <c r="B1108" s="745"/>
      <c r="C1108" s="1117"/>
      <c r="D1108" s="1117"/>
      <c r="E1108" s="1117"/>
      <c r="F1108" s="1117"/>
      <c r="G1108" s="632"/>
      <c r="H1108" s="745"/>
      <c r="I1108" s="1117"/>
      <c r="J1108" s="632"/>
      <c r="K1108" s="1118"/>
    </row>
    <row r="1109" spans="1:11" x14ac:dyDescent="0.25">
      <c r="A1109" s="718">
        <v>2</v>
      </c>
      <c r="B1109" s="668"/>
      <c r="C1109" s="721"/>
      <c r="D1109" s="721"/>
      <c r="E1109" s="721"/>
      <c r="F1109" s="721"/>
      <c r="G1109" s="639"/>
      <c r="H1109" s="668"/>
      <c r="I1109" s="721"/>
      <c r="J1109" s="639"/>
      <c r="K1109" s="1124"/>
    </row>
    <row r="1110" spans="1:11" ht="13.8" thickBot="1" x14ac:dyDescent="0.3">
      <c r="A1110" s="1191">
        <v>3</v>
      </c>
      <c r="B1110" s="1132"/>
      <c r="C1110" s="1133"/>
      <c r="D1110" s="1133"/>
      <c r="E1110" s="1133"/>
      <c r="F1110" s="1133"/>
      <c r="G1110" s="1134"/>
      <c r="H1110" s="1132"/>
      <c r="I1110" s="1133"/>
      <c r="J1110" s="1134"/>
      <c r="K1110" s="1147"/>
    </row>
    <row r="1111" spans="1:11" ht="13.8" thickBot="1" x14ac:dyDescent="0.3">
      <c r="A1111" s="1186" t="s">
        <v>597</v>
      </c>
      <c r="B1111" s="1187"/>
      <c r="C1111" s="1188"/>
      <c r="D1111" s="1188"/>
      <c r="E1111" s="1188"/>
      <c r="F1111" s="1188"/>
      <c r="G1111" s="1189"/>
      <c r="H1111" s="1187"/>
      <c r="I1111" s="1188"/>
      <c r="J1111" s="1189"/>
      <c r="K1111" s="716"/>
    </row>
    <row r="1112" spans="1:11" x14ac:dyDescent="0.25">
      <c r="A1112" s="1190">
        <v>1</v>
      </c>
      <c r="B1112" s="745"/>
      <c r="C1112" s="1117"/>
      <c r="D1112" s="1117"/>
      <c r="E1112" s="1117"/>
      <c r="F1112" s="1117"/>
      <c r="G1112" s="632"/>
      <c r="H1112" s="745"/>
      <c r="I1112" s="1117"/>
      <c r="J1112" s="632"/>
      <c r="K1112" s="1118"/>
    </row>
    <row r="1113" spans="1:11" x14ac:dyDescent="0.25">
      <c r="A1113" s="718">
        <v>2</v>
      </c>
      <c r="B1113" s="668"/>
      <c r="C1113" s="721"/>
      <c r="D1113" s="721"/>
      <c r="E1113" s="721"/>
      <c r="F1113" s="721"/>
      <c r="G1113" s="639"/>
      <c r="H1113" s="668"/>
      <c r="I1113" s="721"/>
      <c r="J1113" s="639"/>
      <c r="K1113" s="1124"/>
    </row>
    <row r="1114" spans="1:11" x14ac:dyDescent="0.25">
      <c r="A1114" s="718">
        <v>3</v>
      </c>
      <c r="B1114" s="668"/>
      <c r="C1114" s="721"/>
      <c r="D1114" s="721"/>
      <c r="E1114" s="721"/>
      <c r="F1114" s="721"/>
      <c r="G1114" s="639"/>
      <c r="H1114" s="668"/>
      <c r="I1114" s="721"/>
      <c r="J1114" s="639"/>
      <c r="K1114" s="1124"/>
    </row>
    <row r="1115" spans="1:11" x14ac:dyDescent="0.25">
      <c r="A1115" s="718">
        <v>4</v>
      </c>
      <c r="B1115" s="668"/>
      <c r="C1115" s="721"/>
      <c r="D1115" s="721"/>
      <c r="E1115" s="721"/>
      <c r="F1115" s="721"/>
      <c r="G1115" s="639"/>
      <c r="H1115" s="668"/>
      <c r="I1115" s="721"/>
      <c r="J1115" s="639"/>
      <c r="K1115" s="1124"/>
    </row>
    <row r="1116" spans="1:11" x14ac:dyDescent="0.25">
      <c r="A1116" s="718">
        <v>5</v>
      </c>
      <c r="B1116" s="668"/>
      <c r="C1116" s="721"/>
      <c r="D1116" s="721"/>
      <c r="E1116" s="721"/>
      <c r="F1116" s="721"/>
      <c r="G1116" s="639"/>
      <c r="H1116" s="668"/>
      <c r="I1116" s="721"/>
      <c r="J1116" s="639"/>
      <c r="K1116" s="1124"/>
    </row>
    <row r="1117" spans="1:11" ht="13.8" thickBot="1" x14ac:dyDescent="0.3">
      <c r="A1117" s="719">
        <v>6</v>
      </c>
      <c r="B1117" s="669"/>
      <c r="C1117" s="1137"/>
      <c r="D1117" s="1137"/>
      <c r="E1117" s="1137"/>
      <c r="F1117" s="1137"/>
      <c r="G1117" s="646"/>
      <c r="H1117" s="669"/>
      <c r="I1117" s="1137"/>
      <c r="J1117" s="646"/>
      <c r="K1117" s="1138"/>
    </row>
    <row r="1118" spans="1:11" x14ac:dyDescent="0.25">
      <c r="A1118" s="1190">
        <v>1</v>
      </c>
      <c r="B1118" s="745"/>
      <c r="C1118" s="1117"/>
      <c r="D1118" s="1117"/>
      <c r="E1118" s="1117"/>
      <c r="F1118" s="1117"/>
      <c r="G1118" s="632"/>
      <c r="H1118" s="745"/>
      <c r="I1118" s="1117"/>
      <c r="J1118" s="632"/>
      <c r="K1118" s="1118"/>
    </row>
    <row r="1119" spans="1:11" x14ac:dyDescent="0.25">
      <c r="A1119" s="718">
        <v>2</v>
      </c>
      <c r="B1119" s="668"/>
      <c r="C1119" s="721"/>
      <c r="D1119" s="721"/>
      <c r="E1119" s="721"/>
      <c r="F1119" s="721"/>
      <c r="G1119" s="639"/>
      <c r="H1119" s="668"/>
      <c r="I1119" s="721"/>
      <c r="J1119" s="639"/>
      <c r="K1119" s="1124"/>
    </row>
    <row r="1120" spans="1:11" ht="13.8" thickBot="1" x14ac:dyDescent="0.3">
      <c r="A1120" s="719">
        <v>3</v>
      </c>
      <c r="B1120" s="669"/>
      <c r="C1120" s="1137"/>
      <c r="D1120" s="1137"/>
      <c r="E1120" s="1137"/>
      <c r="F1120" s="1137"/>
      <c r="G1120" s="646"/>
      <c r="H1120" s="669"/>
      <c r="I1120" s="1137"/>
      <c r="J1120" s="646"/>
      <c r="K1120" s="1138"/>
    </row>
    <row r="1121" spans="1:11" ht="13.8" thickBot="1" x14ac:dyDescent="0.3">
      <c r="A1121" s="1186" t="s">
        <v>598</v>
      </c>
      <c r="B1121" s="1187"/>
      <c r="C1121" s="1188"/>
      <c r="D1121" s="1188"/>
      <c r="E1121" s="1188"/>
      <c r="F1121" s="1188"/>
      <c r="G1121" s="1189"/>
      <c r="H1121" s="1187"/>
      <c r="I1121" s="1188"/>
      <c r="J1121" s="1189"/>
      <c r="K1121" s="716"/>
    </row>
    <row r="1122" spans="1:11" x14ac:dyDescent="0.25">
      <c r="A1122" s="1190">
        <v>1</v>
      </c>
      <c r="B1122" s="745"/>
      <c r="C1122" s="1117"/>
      <c r="D1122" s="1117"/>
      <c r="E1122" s="1117"/>
      <c r="F1122" s="1117"/>
      <c r="G1122" s="632"/>
      <c r="H1122" s="745"/>
      <c r="I1122" s="1117"/>
      <c r="J1122" s="632"/>
      <c r="K1122" s="1118"/>
    </row>
    <row r="1123" spans="1:11" x14ac:dyDescent="0.25">
      <c r="A1123" s="718">
        <v>2</v>
      </c>
      <c r="B1123" s="668"/>
      <c r="C1123" s="721"/>
      <c r="D1123" s="721"/>
      <c r="E1123" s="721"/>
      <c r="F1123" s="721"/>
      <c r="G1123" s="639"/>
      <c r="H1123" s="668"/>
      <c r="I1123" s="721"/>
      <c r="J1123" s="639"/>
      <c r="K1123" s="1124"/>
    </row>
    <row r="1124" spans="1:11" x14ac:dyDescent="0.25">
      <c r="A1124" s="718">
        <v>3</v>
      </c>
      <c r="B1124" s="668"/>
      <c r="C1124" s="721"/>
      <c r="D1124" s="721"/>
      <c r="E1124" s="721"/>
      <c r="F1124" s="721"/>
      <c r="G1124" s="639"/>
      <c r="H1124" s="668"/>
      <c r="I1124" s="721"/>
      <c r="J1124" s="639"/>
      <c r="K1124" s="1124"/>
    </row>
    <row r="1125" spans="1:11" x14ac:dyDescent="0.25">
      <c r="A1125" s="718">
        <v>4</v>
      </c>
      <c r="B1125" s="668"/>
      <c r="C1125" s="721"/>
      <c r="D1125" s="721"/>
      <c r="E1125" s="721"/>
      <c r="F1125" s="721"/>
      <c r="G1125" s="639"/>
      <c r="H1125" s="668"/>
      <c r="I1125" s="721"/>
      <c r="J1125" s="639"/>
      <c r="K1125" s="1124"/>
    </row>
    <row r="1126" spans="1:11" x14ac:dyDescent="0.25">
      <c r="A1126" s="718">
        <v>5</v>
      </c>
      <c r="B1126" s="668"/>
      <c r="C1126" s="721"/>
      <c r="D1126" s="721"/>
      <c r="E1126" s="721"/>
      <c r="F1126" s="721"/>
      <c r="G1126" s="639"/>
      <c r="H1126" s="668"/>
      <c r="I1126" s="721"/>
      <c r="J1126" s="639"/>
      <c r="K1126" s="1124"/>
    </row>
    <row r="1127" spans="1:11" ht="13.8" thickBot="1" x14ac:dyDescent="0.3">
      <c r="A1127" s="719">
        <v>6</v>
      </c>
      <c r="B1127" s="669"/>
      <c r="C1127" s="1137"/>
      <c r="D1127" s="1137"/>
      <c r="E1127" s="1137"/>
      <c r="F1127" s="1137"/>
      <c r="G1127" s="646"/>
      <c r="H1127" s="669"/>
      <c r="I1127" s="1137"/>
      <c r="J1127" s="646"/>
      <c r="K1127" s="1138"/>
    </row>
    <row r="1128" spans="1:11" x14ac:dyDescent="0.25">
      <c r="A1128" s="1190">
        <v>1</v>
      </c>
      <c r="B1128" s="745"/>
      <c r="C1128" s="1117"/>
      <c r="D1128" s="1117"/>
      <c r="E1128" s="1117"/>
      <c r="F1128" s="1117"/>
      <c r="G1128" s="632"/>
      <c r="H1128" s="745"/>
      <c r="I1128" s="1117"/>
      <c r="J1128" s="632"/>
      <c r="K1128" s="1118"/>
    </row>
    <row r="1129" spans="1:11" x14ac:dyDescent="0.25">
      <c r="A1129" s="718">
        <v>2</v>
      </c>
      <c r="B1129" s="668"/>
      <c r="C1129" s="721"/>
      <c r="D1129" s="721"/>
      <c r="E1129" s="721"/>
      <c r="F1129" s="721"/>
      <c r="G1129" s="639"/>
      <c r="H1129" s="668"/>
      <c r="I1129" s="721"/>
      <c r="J1129" s="639"/>
      <c r="K1129" s="1124"/>
    </row>
    <row r="1130" spans="1:11" ht="13.8" thickBot="1" x14ac:dyDescent="0.3">
      <c r="A1130" s="719">
        <v>3</v>
      </c>
      <c r="B1130" s="669"/>
      <c r="C1130" s="1137"/>
      <c r="D1130" s="1137"/>
      <c r="E1130" s="1137"/>
      <c r="F1130" s="1137"/>
      <c r="G1130" s="646"/>
      <c r="H1130" s="669"/>
      <c r="I1130" s="1137"/>
      <c r="J1130" s="646"/>
      <c r="K1130" s="1138"/>
    </row>
    <row r="1131" spans="1:11" ht="13.8" thickBot="1" x14ac:dyDescent="0.3">
      <c r="A1131" s="1186" t="s">
        <v>599</v>
      </c>
      <c r="B1131" s="1187"/>
      <c r="C1131" s="1188"/>
      <c r="D1131" s="1188"/>
      <c r="E1131" s="1188"/>
      <c r="F1131" s="1188"/>
      <c r="G1131" s="1189"/>
      <c r="H1131" s="1187"/>
      <c r="I1131" s="1188"/>
      <c r="J1131" s="1189"/>
      <c r="K1131" s="716"/>
    </row>
    <row r="1132" spans="1:11" x14ac:dyDescent="0.25">
      <c r="A1132" s="1190">
        <v>1</v>
      </c>
      <c r="B1132" s="745"/>
      <c r="C1132" s="1117"/>
      <c r="D1132" s="1117"/>
      <c r="E1132" s="1117"/>
      <c r="F1132" s="1117"/>
      <c r="G1132" s="632"/>
      <c r="H1132" s="745"/>
      <c r="I1132" s="1117"/>
      <c r="J1132" s="632"/>
      <c r="K1132" s="1118"/>
    </row>
    <row r="1133" spans="1:11" x14ac:dyDescent="0.25">
      <c r="A1133" s="718">
        <v>2</v>
      </c>
      <c r="B1133" s="668"/>
      <c r="C1133" s="721"/>
      <c r="D1133" s="721"/>
      <c r="E1133" s="721"/>
      <c r="F1133" s="721"/>
      <c r="G1133" s="639"/>
      <c r="H1133" s="668"/>
      <c r="I1133" s="721"/>
      <c r="J1133" s="639"/>
      <c r="K1133" s="1124"/>
    </row>
    <row r="1134" spans="1:11" x14ac:dyDescent="0.25">
      <c r="A1134" s="718">
        <v>3</v>
      </c>
      <c r="B1134" s="668"/>
      <c r="C1134" s="721"/>
      <c r="D1134" s="721"/>
      <c r="E1134" s="721"/>
      <c r="F1134" s="721"/>
      <c r="G1134" s="639"/>
      <c r="H1134" s="668"/>
      <c r="I1134" s="721"/>
      <c r="J1134" s="639"/>
      <c r="K1134" s="1124"/>
    </row>
    <row r="1135" spans="1:11" x14ac:dyDescent="0.25">
      <c r="A1135" s="718">
        <v>4</v>
      </c>
      <c r="B1135" s="668"/>
      <c r="C1135" s="721"/>
      <c r="D1135" s="721"/>
      <c r="E1135" s="721"/>
      <c r="F1135" s="721"/>
      <c r="G1135" s="639"/>
      <c r="H1135" s="668"/>
      <c r="I1135" s="721"/>
      <c r="J1135" s="639"/>
      <c r="K1135" s="1124"/>
    </row>
    <row r="1136" spans="1:11" x14ac:dyDescent="0.25">
      <c r="A1136" s="718">
        <v>5</v>
      </c>
      <c r="B1136" s="668"/>
      <c r="C1136" s="721"/>
      <c r="D1136" s="721"/>
      <c r="E1136" s="721"/>
      <c r="F1136" s="721"/>
      <c r="G1136" s="639"/>
      <c r="H1136" s="668"/>
      <c r="I1136" s="721"/>
      <c r="J1136" s="639"/>
      <c r="K1136" s="1124"/>
    </row>
    <row r="1137" spans="1:11" ht="13.8" thickBot="1" x14ac:dyDescent="0.3">
      <c r="A1137" s="719">
        <v>6</v>
      </c>
      <c r="B1137" s="669"/>
      <c r="C1137" s="1137"/>
      <c r="D1137" s="1137"/>
      <c r="E1137" s="1137"/>
      <c r="F1137" s="1137"/>
      <c r="G1137" s="646"/>
      <c r="H1137" s="669"/>
      <c r="I1137" s="1137"/>
      <c r="J1137" s="646"/>
      <c r="K1137" s="1138"/>
    </row>
    <row r="1138" spans="1:11" x14ac:dyDescent="0.25">
      <c r="A1138" s="1190">
        <v>1</v>
      </c>
      <c r="B1138" s="745"/>
      <c r="C1138" s="1117"/>
      <c r="D1138" s="1117"/>
      <c r="E1138" s="1117"/>
      <c r="F1138" s="1117"/>
      <c r="G1138" s="632"/>
      <c r="H1138" s="745"/>
      <c r="I1138" s="1117"/>
      <c r="J1138" s="632"/>
      <c r="K1138" s="1118"/>
    </row>
    <row r="1139" spans="1:11" x14ac:dyDescent="0.25">
      <c r="A1139" s="718">
        <v>2</v>
      </c>
      <c r="B1139" s="668"/>
      <c r="C1139" s="721"/>
      <c r="D1139" s="721"/>
      <c r="E1139" s="721"/>
      <c r="F1139" s="721"/>
      <c r="G1139" s="639"/>
      <c r="H1139" s="668"/>
      <c r="I1139" s="721"/>
      <c r="J1139" s="639"/>
      <c r="K1139" s="1124"/>
    </row>
    <row r="1140" spans="1:11" ht="13.8" thickBot="1" x14ac:dyDescent="0.3">
      <c r="A1140" s="719">
        <v>3</v>
      </c>
      <c r="B1140" s="669"/>
      <c r="C1140" s="1137"/>
      <c r="D1140" s="1137"/>
      <c r="E1140" s="1137"/>
      <c r="F1140" s="1137"/>
      <c r="G1140" s="646"/>
      <c r="H1140" s="669"/>
      <c r="I1140" s="1137"/>
      <c r="J1140" s="646"/>
      <c r="K1140" s="1138"/>
    </row>
    <row r="1141" spans="1:11" ht="13.8" thickBot="1" x14ac:dyDescent="0.3">
      <c r="A1141" s="1186" t="s">
        <v>600</v>
      </c>
      <c r="B1141" s="1187"/>
      <c r="C1141" s="1188"/>
      <c r="D1141" s="1188"/>
      <c r="E1141" s="1188"/>
      <c r="F1141" s="1188"/>
      <c r="G1141" s="1189"/>
      <c r="H1141" s="1187"/>
      <c r="I1141" s="1188"/>
      <c r="J1141" s="1189"/>
      <c r="K1141" s="716"/>
    </row>
    <row r="1142" spans="1:11" x14ac:dyDescent="0.25">
      <c r="A1142" s="1190">
        <v>1</v>
      </c>
      <c r="B1142" s="745"/>
      <c r="C1142" s="1117"/>
      <c r="D1142" s="1117"/>
      <c r="E1142" s="1117"/>
      <c r="F1142" s="1117"/>
      <c r="G1142" s="632"/>
      <c r="H1142" s="745"/>
      <c r="I1142" s="1117"/>
      <c r="J1142" s="632"/>
      <c r="K1142" s="1118"/>
    </row>
    <row r="1143" spans="1:11" x14ac:dyDescent="0.25">
      <c r="A1143" s="718">
        <v>2</v>
      </c>
      <c r="B1143" s="668"/>
      <c r="C1143" s="721"/>
      <c r="D1143" s="721"/>
      <c r="E1143" s="721"/>
      <c r="F1143" s="721"/>
      <c r="G1143" s="639"/>
      <c r="H1143" s="668"/>
      <c r="I1143" s="721"/>
      <c r="J1143" s="639"/>
      <c r="K1143" s="1124"/>
    </row>
    <row r="1144" spans="1:11" x14ac:dyDescent="0.25">
      <c r="A1144" s="718">
        <v>3</v>
      </c>
      <c r="B1144" s="668"/>
      <c r="C1144" s="721"/>
      <c r="D1144" s="721"/>
      <c r="E1144" s="721"/>
      <c r="F1144" s="721"/>
      <c r="G1144" s="639"/>
      <c r="H1144" s="668"/>
      <c r="I1144" s="721"/>
      <c r="J1144" s="639"/>
      <c r="K1144" s="1124"/>
    </row>
    <row r="1145" spans="1:11" x14ac:dyDescent="0.25">
      <c r="A1145" s="718">
        <v>4</v>
      </c>
      <c r="B1145" s="668"/>
      <c r="C1145" s="721"/>
      <c r="D1145" s="721"/>
      <c r="E1145" s="721"/>
      <c r="F1145" s="721"/>
      <c r="G1145" s="639"/>
      <c r="H1145" s="668"/>
      <c r="I1145" s="721"/>
      <c r="J1145" s="639"/>
      <c r="K1145" s="1124"/>
    </row>
    <row r="1146" spans="1:11" x14ac:dyDescent="0.25">
      <c r="A1146" s="718">
        <v>5</v>
      </c>
      <c r="B1146" s="668"/>
      <c r="C1146" s="721"/>
      <c r="D1146" s="721"/>
      <c r="E1146" s="721"/>
      <c r="F1146" s="721"/>
      <c r="G1146" s="639"/>
      <c r="H1146" s="668"/>
      <c r="I1146" s="721"/>
      <c r="J1146" s="639"/>
      <c r="K1146" s="1124"/>
    </row>
    <row r="1147" spans="1:11" ht="13.8" thickBot="1" x14ac:dyDescent="0.3">
      <c r="A1147" s="719">
        <v>6</v>
      </c>
      <c r="B1147" s="669"/>
      <c r="C1147" s="1137"/>
      <c r="D1147" s="1137"/>
      <c r="E1147" s="1137"/>
      <c r="F1147" s="1137"/>
      <c r="G1147" s="646"/>
      <c r="H1147" s="669"/>
      <c r="I1147" s="1137"/>
      <c r="J1147" s="646"/>
      <c r="K1147" s="1138"/>
    </row>
    <row r="1148" spans="1:11" x14ac:dyDescent="0.25">
      <c r="A1148" s="1190">
        <v>1</v>
      </c>
      <c r="B1148" s="745"/>
      <c r="C1148" s="1117"/>
      <c r="D1148" s="1117"/>
      <c r="E1148" s="1117"/>
      <c r="F1148" s="1117"/>
      <c r="G1148" s="632"/>
      <c r="H1148" s="745"/>
      <c r="I1148" s="1117"/>
      <c r="J1148" s="632"/>
      <c r="K1148" s="1118"/>
    </row>
    <row r="1149" spans="1:11" x14ac:dyDescent="0.25">
      <c r="A1149" s="718">
        <v>2</v>
      </c>
      <c r="B1149" s="668"/>
      <c r="C1149" s="721"/>
      <c r="D1149" s="721"/>
      <c r="E1149" s="721"/>
      <c r="F1149" s="721"/>
      <c r="G1149" s="639"/>
      <c r="H1149" s="668"/>
      <c r="I1149" s="721"/>
      <c r="J1149" s="639"/>
      <c r="K1149" s="1124"/>
    </row>
    <row r="1150" spans="1:11" ht="13.8" thickBot="1" x14ac:dyDescent="0.3">
      <c r="A1150" s="1191">
        <v>3</v>
      </c>
      <c r="B1150" s="1132"/>
      <c r="C1150" s="1133"/>
      <c r="D1150" s="1133"/>
      <c r="E1150" s="1133"/>
      <c r="F1150" s="1133"/>
      <c r="G1150" s="1134"/>
      <c r="H1150" s="1132"/>
      <c r="I1150" s="1133"/>
      <c r="J1150" s="1134"/>
      <c r="K1150" s="1147"/>
    </row>
    <row r="1151" spans="1:11" ht="13.8" thickBot="1" x14ac:dyDescent="0.3">
      <c r="A1151" s="1186" t="s">
        <v>601</v>
      </c>
      <c r="B1151" s="1187"/>
      <c r="C1151" s="1188"/>
      <c r="D1151" s="1188"/>
      <c r="E1151" s="1188"/>
      <c r="F1151" s="1188"/>
      <c r="G1151" s="1189"/>
      <c r="H1151" s="1187"/>
      <c r="I1151" s="1188"/>
      <c r="J1151" s="1189"/>
      <c r="K1151" s="716"/>
    </row>
    <row r="1152" spans="1:11" x14ac:dyDescent="0.25">
      <c r="A1152" s="1190">
        <v>1</v>
      </c>
      <c r="B1152" s="745"/>
      <c r="C1152" s="1117"/>
      <c r="D1152" s="1117"/>
      <c r="E1152" s="1117"/>
      <c r="F1152" s="1117"/>
      <c r="G1152" s="632"/>
      <c r="H1152" s="745"/>
      <c r="I1152" s="1117"/>
      <c r="J1152" s="632"/>
      <c r="K1152" s="1118"/>
    </row>
    <row r="1153" spans="1:11" x14ac:dyDescent="0.25">
      <c r="A1153" s="718">
        <v>2</v>
      </c>
      <c r="B1153" s="668"/>
      <c r="C1153" s="721"/>
      <c r="D1153" s="721"/>
      <c r="E1153" s="721"/>
      <c r="F1153" s="721"/>
      <c r="G1153" s="639"/>
      <c r="H1153" s="668"/>
      <c r="I1153" s="721"/>
      <c r="J1153" s="639"/>
      <c r="K1153" s="1124"/>
    </row>
    <row r="1154" spans="1:11" x14ac:dyDescent="0.25">
      <c r="A1154" s="718">
        <v>3</v>
      </c>
      <c r="B1154" s="668"/>
      <c r="C1154" s="721"/>
      <c r="D1154" s="721"/>
      <c r="E1154" s="721"/>
      <c r="F1154" s="721"/>
      <c r="G1154" s="639"/>
      <c r="H1154" s="668"/>
      <c r="I1154" s="721"/>
      <c r="J1154" s="639"/>
      <c r="K1154" s="1124"/>
    </row>
    <row r="1155" spans="1:11" x14ac:dyDescent="0.25">
      <c r="A1155" s="718">
        <v>4</v>
      </c>
      <c r="B1155" s="668"/>
      <c r="C1155" s="721"/>
      <c r="D1155" s="721"/>
      <c r="E1155" s="721"/>
      <c r="F1155" s="721"/>
      <c r="G1155" s="639"/>
      <c r="H1155" s="668"/>
      <c r="I1155" s="721"/>
      <c r="J1155" s="639"/>
      <c r="K1155" s="1124"/>
    </row>
    <row r="1156" spans="1:11" x14ac:dyDescent="0.25">
      <c r="A1156" s="718">
        <v>5</v>
      </c>
      <c r="B1156" s="668"/>
      <c r="C1156" s="721"/>
      <c r="D1156" s="721"/>
      <c r="E1156" s="721"/>
      <c r="F1156" s="721"/>
      <c r="G1156" s="639"/>
      <c r="H1156" s="668"/>
      <c r="I1156" s="721"/>
      <c r="J1156" s="639"/>
      <c r="K1156" s="1124"/>
    </row>
    <row r="1157" spans="1:11" ht="13.8" thickBot="1" x14ac:dyDescent="0.3">
      <c r="A1157" s="719">
        <v>6</v>
      </c>
      <c r="B1157" s="669"/>
      <c r="C1157" s="1137"/>
      <c r="D1157" s="1137"/>
      <c r="E1157" s="1137"/>
      <c r="F1157" s="1137"/>
      <c r="G1157" s="646"/>
      <c r="H1157" s="669"/>
      <c r="I1157" s="1137"/>
      <c r="J1157" s="646"/>
      <c r="K1157" s="1138"/>
    </row>
    <row r="1158" spans="1:11" x14ac:dyDescent="0.25">
      <c r="A1158" s="1190">
        <v>1</v>
      </c>
      <c r="B1158" s="745"/>
      <c r="C1158" s="1117"/>
      <c r="D1158" s="1117"/>
      <c r="E1158" s="1117"/>
      <c r="F1158" s="1117"/>
      <c r="G1158" s="632"/>
      <c r="H1158" s="745"/>
      <c r="I1158" s="1117"/>
      <c r="J1158" s="632"/>
      <c r="K1158" s="1118"/>
    </row>
    <row r="1159" spans="1:11" x14ac:dyDescent="0.25">
      <c r="A1159" s="718">
        <v>2</v>
      </c>
      <c r="B1159" s="668"/>
      <c r="C1159" s="721"/>
      <c r="D1159" s="721"/>
      <c r="E1159" s="721"/>
      <c r="F1159" s="721"/>
      <c r="G1159" s="639"/>
      <c r="H1159" s="668"/>
      <c r="I1159" s="721"/>
      <c r="J1159" s="639"/>
      <c r="K1159" s="1124"/>
    </row>
    <row r="1160" spans="1:11" ht="13.8" thickBot="1" x14ac:dyDescent="0.3">
      <c r="A1160" s="719">
        <v>3</v>
      </c>
      <c r="B1160" s="669"/>
      <c r="C1160" s="1137"/>
      <c r="D1160" s="1137"/>
      <c r="E1160" s="1137"/>
      <c r="F1160" s="1137"/>
      <c r="G1160" s="646"/>
      <c r="H1160" s="669"/>
      <c r="I1160" s="1137"/>
      <c r="J1160" s="646"/>
      <c r="K1160" s="1138"/>
    </row>
    <row r="1161" spans="1:11" ht="13.8" thickBot="1" x14ac:dyDescent="0.3">
      <c r="A1161" s="1186" t="s">
        <v>602</v>
      </c>
      <c r="B1161" s="1187"/>
      <c r="C1161" s="1188"/>
      <c r="D1161" s="1188"/>
      <c r="E1161" s="1188"/>
      <c r="F1161" s="1188"/>
      <c r="G1161" s="1189"/>
      <c r="H1161" s="1187"/>
      <c r="I1161" s="1188"/>
      <c r="J1161" s="1189"/>
      <c r="K1161" s="716"/>
    </row>
    <row r="1162" spans="1:11" x14ac:dyDescent="0.25">
      <c r="A1162" s="1190">
        <v>1</v>
      </c>
      <c r="B1162" s="745"/>
      <c r="C1162" s="1117"/>
      <c r="D1162" s="1117"/>
      <c r="E1162" s="1117"/>
      <c r="F1162" s="1117"/>
      <c r="G1162" s="632"/>
      <c r="H1162" s="745"/>
      <c r="I1162" s="1117"/>
      <c r="J1162" s="632"/>
      <c r="K1162" s="1118"/>
    </row>
    <row r="1163" spans="1:11" x14ac:dyDescent="0.25">
      <c r="A1163" s="718">
        <v>2</v>
      </c>
      <c r="B1163" s="668"/>
      <c r="C1163" s="721"/>
      <c r="D1163" s="721"/>
      <c r="E1163" s="721"/>
      <c r="F1163" s="721"/>
      <c r="G1163" s="639"/>
      <c r="H1163" s="668"/>
      <c r="I1163" s="721"/>
      <c r="J1163" s="639"/>
      <c r="K1163" s="1124"/>
    </row>
    <row r="1164" spans="1:11" x14ac:dyDescent="0.25">
      <c r="A1164" s="718">
        <v>3</v>
      </c>
      <c r="B1164" s="668"/>
      <c r="C1164" s="721"/>
      <c r="D1164" s="721"/>
      <c r="E1164" s="721"/>
      <c r="F1164" s="721"/>
      <c r="G1164" s="639"/>
      <c r="H1164" s="668"/>
      <c r="I1164" s="721"/>
      <c r="J1164" s="639"/>
      <c r="K1164" s="1124"/>
    </row>
    <row r="1165" spans="1:11" x14ac:dyDescent="0.25">
      <c r="A1165" s="718">
        <v>4</v>
      </c>
      <c r="B1165" s="668"/>
      <c r="C1165" s="721"/>
      <c r="D1165" s="721"/>
      <c r="E1165" s="721"/>
      <c r="F1165" s="721"/>
      <c r="G1165" s="639"/>
      <c r="H1165" s="668"/>
      <c r="I1165" s="721"/>
      <c r="J1165" s="639"/>
      <c r="K1165" s="1124"/>
    </row>
    <row r="1166" spans="1:11" x14ac:dyDescent="0.25">
      <c r="A1166" s="718">
        <v>5</v>
      </c>
      <c r="B1166" s="668"/>
      <c r="C1166" s="721"/>
      <c r="D1166" s="721"/>
      <c r="E1166" s="721"/>
      <c r="F1166" s="721"/>
      <c r="G1166" s="639"/>
      <c r="H1166" s="668"/>
      <c r="I1166" s="721"/>
      <c r="J1166" s="639"/>
      <c r="K1166" s="1124"/>
    </row>
    <row r="1167" spans="1:11" ht="13.8" thickBot="1" x14ac:dyDescent="0.3">
      <c r="A1167" s="719">
        <v>6</v>
      </c>
      <c r="B1167" s="669"/>
      <c r="C1167" s="1137"/>
      <c r="D1167" s="1137"/>
      <c r="E1167" s="1137"/>
      <c r="F1167" s="1137"/>
      <c r="G1167" s="646"/>
      <c r="H1167" s="669"/>
      <c r="I1167" s="1137"/>
      <c r="J1167" s="646"/>
      <c r="K1167" s="1138"/>
    </row>
    <row r="1168" spans="1:11" x14ac:dyDescent="0.25">
      <c r="A1168" s="1190">
        <v>1</v>
      </c>
      <c r="B1168" s="745"/>
      <c r="C1168" s="1117"/>
      <c r="D1168" s="1117"/>
      <c r="E1168" s="1117"/>
      <c r="F1168" s="1117"/>
      <c r="G1168" s="632"/>
      <c r="H1168" s="745"/>
      <c r="I1168" s="1117"/>
      <c r="J1168" s="632"/>
      <c r="K1168" s="1118"/>
    </row>
    <row r="1169" spans="1:11" x14ac:dyDescent="0.25">
      <c r="A1169" s="718">
        <v>2</v>
      </c>
      <c r="B1169" s="668"/>
      <c r="C1169" s="721"/>
      <c r="D1169" s="721"/>
      <c r="E1169" s="721"/>
      <c r="F1169" s="721"/>
      <c r="G1169" s="639"/>
      <c r="H1169" s="668"/>
      <c r="I1169" s="721"/>
      <c r="J1169" s="639"/>
      <c r="K1169" s="1124"/>
    </row>
    <row r="1170" spans="1:11" ht="13.8" thickBot="1" x14ac:dyDescent="0.3">
      <c r="A1170" s="719">
        <v>3</v>
      </c>
      <c r="B1170" s="669"/>
      <c r="C1170" s="1137"/>
      <c r="D1170" s="1137"/>
      <c r="E1170" s="1137"/>
      <c r="F1170" s="1137"/>
      <c r="G1170" s="646"/>
      <c r="H1170" s="669"/>
      <c r="I1170" s="1137"/>
      <c r="J1170" s="646"/>
      <c r="K1170" s="1138"/>
    </row>
    <row r="1171" spans="1:11" ht="13.8" thickBot="1" x14ac:dyDescent="0.3">
      <c r="A1171" s="1186" t="s">
        <v>603</v>
      </c>
      <c r="B1171" s="1187"/>
      <c r="C1171" s="1188"/>
      <c r="D1171" s="1188"/>
      <c r="E1171" s="1188"/>
      <c r="F1171" s="1188"/>
      <c r="G1171" s="1189"/>
      <c r="H1171" s="1187"/>
      <c r="I1171" s="1188"/>
      <c r="J1171" s="1189"/>
      <c r="K1171" s="716"/>
    </row>
    <row r="1172" spans="1:11" x14ac:dyDescent="0.25">
      <c r="A1172" s="1190">
        <v>1</v>
      </c>
      <c r="B1172" s="745"/>
      <c r="C1172" s="1117"/>
      <c r="D1172" s="1117"/>
      <c r="E1172" s="1117"/>
      <c r="F1172" s="1117"/>
      <c r="G1172" s="632"/>
      <c r="H1172" s="745"/>
      <c r="I1172" s="1117"/>
      <c r="J1172" s="632"/>
      <c r="K1172" s="1118"/>
    </row>
    <row r="1173" spans="1:11" x14ac:dyDescent="0.25">
      <c r="A1173" s="718">
        <v>2</v>
      </c>
      <c r="B1173" s="668"/>
      <c r="C1173" s="721"/>
      <c r="D1173" s="721"/>
      <c r="E1173" s="721"/>
      <c r="F1173" s="721"/>
      <c r="G1173" s="639"/>
      <c r="H1173" s="668"/>
      <c r="I1173" s="721"/>
      <c r="J1173" s="639"/>
      <c r="K1173" s="1124"/>
    </row>
    <row r="1174" spans="1:11" x14ac:dyDescent="0.25">
      <c r="A1174" s="718">
        <v>3</v>
      </c>
      <c r="B1174" s="668"/>
      <c r="C1174" s="721"/>
      <c r="D1174" s="721"/>
      <c r="E1174" s="721"/>
      <c r="F1174" s="721"/>
      <c r="G1174" s="639"/>
      <c r="H1174" s="668"/>
      <c r="I1174" s="721"/>
      <c r="J1174" s="639"/>
      <c r="K1174" s="1124"/>
    </row>
    <row r="1175" spans="1:11" x14ac:dyDescent="0.25">
      <c r="A1175" s="718">
        <v>4</v>
      </c>
      <c r="B1175" s="668"/>
      <c r="C1175" s="721"/>
      <c r="D1175" s="721"/>
      <c r="E1175" s="721"/>
      <c r="F1175" s="721"/>
      <c r="G1175" s="639"/>
      <c r="H1175" s="668"/>
      <c r="I1175" s="721"/>
      <c r="J1175" s="639"/>
      <c r="K1175" s="1124"/>
    </row>
    <row r="1176" spans="1:11" x14ac:dyDescent="0.25">
      <c r="A1176" s="718">
        <v>5</v>
      </c>
      <c r="B1176" s="668"/>
      <c r="C1176" s="721"/>
      <c r="D1176" s="721"/>
      <c r="E1176" s="721"/>
      <c r="F1176" s="721"/>
      <c r="G1176" s="639"/>
      <c r="H1176" s="668"/>
      <c r="I1176" s="721"/>
      <c r="J1176" s="639"/>
      <c r="K1176" s="1124"/>
    </row>
    <row r="1177" spans="1:11" ht="13.8" thickBot="1" x14ac:dyDescent="0.3">
      <c r="A1177" s="719">
        <v>6</v>
      </c>
      <c r="B1177" s="669"/>
      <c r="C1177" s="1137"/>
      <c r="D1177" s="1137"/>
      <c r="E1177" s="1137"/>
      <c r="F1177" s="1137"/>
      <c r="G1177" s="646"/>
      <c r="H1177" s="669"/>
      <c r="I1177" s="1137"/>
      <c r="J1177" s="646"/>
      <c r="K1177" s="1138"/>
    </row>
    <row r="1178" spans="1:11" x14ac:dyDescent="0.25">
      <c r="A1178" s="1190">
        <v>1</v>
      </c>
      <c r="B1178" s="745"/>
      <c r="C1178" s="1117"/>
      <c r="D1178" s="1117"/>
      <c r="E1178" s="1117"/>
      <c r="F1178" s="1117"/>
      <c r="G1178" s="632"/>
      <c r="H1178" s="745"/>
      <c r="I1178" s="1117"/>
      <c r="J1178" s="632"/>
      <c r="K1178" s="1118"/>
    </row>
    <row r="1179" spans="1:11" x14ac:dyDescent="0.25">
      <c r="A1179" s="718">
        <v>2</v>
      </c>
      <c r="B1179" s="668"/>
      <c r="C1179" s="721"/>
      <c r="D1179" s="721"/>
      <c r="E1179" s="721"/>
      <c r="F1179" s="721"/>
      <c r="G1179" s="639"/>
      <c r="H1179" s="668"/>
      <c r="I1179" s="721"/>
      <c r="J1179" s="639"/>
      <c r="K1179" s="1124"/>
    </row>
    <row r="1180" spans="1:11" ht="13.8" thickBot="1" x14ac:dyDescent="0.3">
      <c r="A1180" s="719">
        <v>3</v>
      </c>
      <c r="B1180" s="669"/>
      <c r="C1180" s="1137"/>
      <c r="D1180" s="1137"/>
      <c r="E1180" s="1137"/>
      <c r="F1180" s="1137"/>
      <c r="G1180" s="646"/>
      <c r="H1180" s="669"/>
      <c r="I1180" s="1137"/>
      <c r="J1180" s="646"/>
      <c r="K1180" s="1138"/>
    </row>
    <row r="1181" spans="1:11" ht="13.8" thickBot="1" x14ac:dyDescent="0.3">
      <c r="A1181" s="1186" t="s">
        <v>604</v>
      </c>
      <c r="B1181" s="1187"/>
      <c r="C1181" s="1188"/>
      <c r="D1181" s="1188"/>
      <c r="E1181" s="1188"/>
      <c r="F1181" s="1188"/>
      <c r="G1181" s="1189"/>
      <c r="H1181" s="1187"/>
      <c r="I1181" s="1188"/>
      <c r="J1181" s="1189"/>
      <c r="K1181" s="716"/>
    </row>
    <row r="1182" spans="1:11" x14ac:dyDescent="0.25">
      <c r="A1182" s="1190">
        <v>1</v>
      </c>
      <c r="B1182" s="745"/>
      <c r="C1182" s="1117"/>
      <c r="D1182" s="1117"/>
      <c r="E1182" s="1117"/>
      <c r="F1182" s="1117"/>
      <c r="G1182" s="632"/>
      <c r="H1182" s="745"/>
      <c r="I1182" s="1117"/>
      <c r="J1182" s="632"/>
      <c r="K1182" s="1118"/>
    </row>
    <row r="1183" spans="1:11" x14ac:dyDescent="0.25">
      <c r="A1183" s="718">
        <v>2</v>
      </c>
      <c r="B1183" s="668"/>
      <c r="C1183" s="721"/>
      <c r="D1183" s="721"/>
      <c r="E1183" s="721"/>
      <c r="F1183" s="721"/>
      <c r="G1183" s="639"/>
      <c r="H1183" s="668"/>
      <c r="I1183" s="721"/>
      <c r="J1183" s="639"/>
      <c r="K1183" s="1124"/>
    </row>
    <row r="1184" spans="1:11" x14ac:dyDescent="0.25">
      <c r="A1184" s="718">
        <v>3</v>
      </c>
      <c r="B1184" s="668"/>
      <c r="C1184" s="721"/>
      <c r="D1184" s="721"/>
      <c r="E1184" s="721"/>
      <c r="F1184" s="721"/>
      <c r="G1184" s="639"/>
      <c r="H1184" s="668"/>
      <c r="I1184" s="721"/>
      <c r="J1184" s="639"/>
      <c r="K1184" s="1124"/>
    </row>
    <row r="1185" spans="1:11" x14ac:dyDescent="0.25">
      <c r="A1185" s="718">
        <v>4</v>
      </c>
      <c r="B1185" s="668"/>
      <c r="C1185" s="721"/>
      <c r="D1185" s="721"/>
      <c r="E1185" s="721"/>
      <c r="F1185" s="721"/>
      <c r="G1185" s="639"/>
      <c r="H1185" s="668"/>
      <c r="I1185" s="721"/>
      <c r="J1185" s="639"/>
      <c r="K1185" s="1124"/>
    </row>
    <row r="1186" spans="1:11" x14ac:dyDescent="0.25">
      <c r="A1186" s="718">
        <v>5</v>
      </c>
      <c r="B1186" s="668"/>
      <c r="C1186" s="721"/>
      <c r="D1186" s="721"/>
      <c r="E1186" s="721"/>
      <c r="F1186" s="721"/>
      <c r="G1186" s="639"/>
      <c r="H1186" s="668"/>
      <c r="I1186" s="721"/>
      <c r="J1186" s="639"/>
      <c r="K1186" s="1124"/>
    </row>
    <row r="1187" spans="1:11" ht="13.8" thickBot="1" x14ac:dyDescent="0.3">
      <c r="A1187" s="719">
        <v>6</v>
      </c>
      <c r="B1187" s="669"/>
      <c r="C1187" s="1137"/>
      <c r="D1187" s="1137"/>
      <c r="E1187" s="1137"/>
      <c r="F1187" s="1137"/>
      <c r="G1187" s="646"/>
      <c r="H1187" s="669"/>
      <c r="I1187" s="1137"/>
      <c r="J1187" s="646"/>
      <c r="K1187" s="1138"/>
    </row>
    <row r="1188" spans="1:11" x14ac:dyDescent="0.25">
      <c r="A1188" s="1190">
        <v>1</v>
      </c>
      <c r="B1188" s="745"/>
      <c r="C1188" s="1117"/>
      <c r="D1188" s="1117"/>
      <c r="E1188" s="1117"/>
      <c r="F1188" s="1117"/>
      <c r="G1188" s="632"/>
      <c r="H1188" s="745"/>
      <c r="I1188" s="1117"/>
      <c r="J1188" s="632"/>
      <c r="K1188" s="1118"/>
    </row>
    <row r="1189" spans="1:11" x14ac:dyDescent="0.25">
      <c r="A1189" s="718">
        <v>2</v>
      </c>
      <c r="B1189" s="668"/>
      <c r="C1189" s="721"/>
      <c r="D1189" s="721"/>
      <c r="E1189" s="721"/>
      <c r="F1189" s="721"/>
      <c r="G1189" s="639"/>
      <c r="H1189" s="668"/>
      <c r="I1189" s="721"/>
      <c r="J1189" s="639"/>
      <c r="K1189" s="1124"/>
    </row>
    <row r="1190" spans="1:11" ht="13.8" thickBot="1" x14ac:dyDescent="0.3">
      <c r="A1190" s="719">
        <v>3</v>
      </c>
      <c r="B1190" s="669"/>
      <c r="C1190" s="1137"/>
      <c r="D1190" s="1137"/>
      <c r="E1190" s="1137"/>
      <c r="F1190" s="1137"/>
      <c r="G1190" s="646"/>
      <c r="H1190" s="669"/>
      <c r="I1190" s="1137"/>
      <c r="J1190" s="646"/>
      <c r="K1190" s="1138"/>
    </row>
    <row r="1191" spans="1:11" ht="13.8" thickBot="1" x14ac:dyDescent="0.3">
      <c r="A1191" s="1186" t="s">
        <v>605</v>
      </c>
      <c r="B1191" s="1187"/>
      <c r="C1191" s="1188"/>
      <c r="D1191" s="1188"/>
      <c r="E1191" s="1188"/>
      <c r="F1191" s="1188"/>
      <c r="G1191" s="1189"/>
      <c r="H1191" s="1187"/>
      <c r="I1191" s="1188"/>
      <c r="J1191" s="1189"/>
      <c r="K1191" s="716"/>
    </row>
    <row r="1192" spans="1:11" x14ac:dyDescent="0.25">
      <c r="A1192" s="1190">
        <v>1</v>
      </c>
      <c r="B1192" s="745"/>
      <c r="C1192" s="1117"/>
      <c r="D1192" s="1117"/>
      <c r="E1192" s="1117"/>
      <c r="F1192" s="1117"/>
      <c r="G1192" s="632"/>
      <c r="H1192" s="745"/>
      <c r="I1192" s="1117"/>
      <c r="J1192" s="632"/>
      <c r="K1192" s="1118"/>
    </row>
    <row r="1193" spans="1:11" x14ac:dyDescent="0.25">
      <c r="A1193" s="718">
        <v>2</v>
      </c>
      <c r="B1193" s="668"/>
      <c r="C1193" s="721"/>
      <c r="D1193" s="721"/>
      <c r="E1193" s="721"/>
      <c r="F1193" s="721"/>
      <c r="G1193" s="639"/>
      <c r="H1193" s="668"/>
      <c r="I1193" s="721"/>
      <c r="J1193" s="639"/>
      <c r="K1193" s="1124"/>
    </row>
    <row r="1194" spans="1:11" x14ac:dyDescent="0.25">
      <c r="A1194" s="718">
        <v>3</v>
      </c>
      <c r="B1194" s="668"/>
      <c r="C1194" s="721"/>
      <c r="D1194" s="721"/>
      <c r="E1194" s="721"/>
      <c r="F1194" s="721"/>
      <c r="G1194" s="639"/>
      <c r="H1194" s="668"/>
      <c r="I1194" s="721"/>
      <c r="J1194" s="639"/>
      <c r="K1194" s="1124"/>
    </row>
    <row r="1195" spans="1:11" x14ac:dyDescent="0.25">
      <c r="A1195" s="718">
        <v>4</v>
      </c>
      <c r="B1195" s="668"/>
      <c r="C1195" s="721"/>
      <c r="D1195" s="721"/>
      <c r="E1195" s="721"/>
      <c r="F1195" s="721"/>
      <c r="G1195" s="639"/>
      <c r="H1195" s="668"/>
      <c r="I1195" s="721"/>
      <c r="J1195" s="639"/>
      <c r="K1195" s="1124"/>
    </row>
    <row r="1196" spans="1:11" x14ac:dyDescent="0.25">
      <c r="A1196" s="718">
        <v>5</v>
      </c>
      <c r="B1196" s="668"/>
      <c r="C1196" s="721"/>
      <c r="D1196" s="721"/>
      <c r="E1196" s="721"/>
      <c r="F1196" s="721"/>
      <c r="G1196" s="639"/>
      <c r="H1196" s="668"/>
      <c r="I1196" s="721"/>
      <c r="J1196" s="639"/>
      <c r="K1196" s="1124"/>
    </row>
    <row r="1197" spans="1:11" ht="13.8" thickBot="1" x14ac:dyDescent="0.3">
      <c r="A1197" s="719">
        <v>6</v>
      </c>
      <c r="B1197" s="669"/>
      <c r="C1197" s="1137"/>
      <c r="D1197" s="1137"/>
      <c r="E1197" s="1137"/>
      <c r="F1197" s="1137"/>
      <c r="G1197" s="646"/>
      <c r="H1197" s="669"/>
      <c r="I1197" s="1137"/>
      <c r="J1197" s="646"/>
      <c r="K1197" s="1138"/>
    </row>
    <row r="1198" spans="1:11" x14ac:dyDescent="0.25">
      <c r="A1198" s="1190">
        <v>1</v>
      </c>
      <c r="B1198" s="745"/>
      <c r="C1198" s="1117"/>
      <c r="D1198" s="1117"/>
      <c r="E1198" s="1117"/>
      <c r="F1198" s="1117"/>
      <c r="G1198" s="632"/>
      <c r="H1198" s="745"/>
      <c r="I1198" s="1117"/>
      <c r="J1198" s="632"/>
      <c r="K1198" s="1118"/>
    </row>
    <row r="1199" spans="1:11" x14ac:dyDescent="0.25">
      <c r="A1199" s="718">
        <v>2</v>
      </c>
      <c r="B1199" s="668"/>
      <c r="C1199" s="721"/>
      <c r="D1199" s="721"/>
      <c r="E1199" s="721"/>
      <c r="F1199" s="721"/>
      <c r="G1199" s="639"/>
      <c r="H1199" s="668"/>
      <c r="I1199" s="721"/>
      <c r="J1199" s="639"/>
      <c r="K1199" s="1124"/>
    </row>
    <row r="1200" spans="1:11" ht="13.8" thickBot="1" x14ac:dyDescent="0.3">
      <c r="A1200" s="1191">
        <v>3</v>
      </c>
      <c r="B1200" s="1132"/>
      <c r="C1200" s="1133"/>
      <c r="D1200" s="1133"/>
      <c r="E1200" s="1133"/>
      <c r="F1200" s="1133"/>
      <c r="G1200" s="1134"/>
      <c r="H1200" s="1132"/>
      <c r="I1200" s="1133"/>
      <c r="J1200" s="1134"/>
      <c r="K1200" s="1147"/>
    </row>
    <row r="1201" spans="1:11" ht="13.8" thickBot="1" x14ac:dyDescent="0.3">
      <c r="A1201" s="1186" t="s">
        <v>606</v>
      </c>
      <c r="B1201" s="1187"/>
      <c r="C1201" s="1188"/>
      <c r="D1201" s="1188"/>
      <c r="E1201" s="1188"/>
      <c r="F1201" s="1188"/>
      <c r="G1201" s="1189"/>
      <c r="H1201" s="1187"/>
      <c r="I1201" s="1188"/>
      <c r="J1201" s="1189"/>
      <c r="K1201" s="716"/>
    </row>
    <row r="1202" spans="1:11" x14ac:dyDescent="0.25">
      <c r="A1202" s="1190">
        <v>1</v>
      </c>
      <c r="B1202" s="745"/>
      <c r="C1202" s="1117"/>
      <c r="D1202" s="1117"/>
      <c r="E1202" s="1117"/>
      <c r="F1202" s="1117"/>
      <c r="G1202" s="632"/>
      <c r="H1202" s="745"/>
      <c r="I1202" s="1117"/>
      <c r="J1202" s="632"/>
      <c r="K1202" s="1118"/>
    </row>
    <row r="1203" spans="1:11" x14ac:dyDescent="0.25">
      <c r="A1203" s="718">
        <v>2</v>
      </c>
      <c r="B1203" s="668"/>
      <c r="C1203" s="721"/>
      <c r="D1203" s="721"/>
      <c r="E1203" s="721"/>
      <c r="F1203" s="721"/>
      <c r="G1203" s="639"/>
      <c r="H1203" s="668"/>
      <c r="I1203" s="721"/>
      <c r="J1203" s="639"/>
      <c r="K1203" s="1124"/>
    </row>
    <row r="1204" spans="1:11" x14ac:dyDescent="0.25">
      <c r="A1204" s="718">
        <v>3</v>
      </c>
      <c r="B1204" s="668"/>
      <c r="C1204" s="721"/>
      <c r="D1204" s="721"/>
      <c r="E1204" s="721"/>
      <c r="F1204" s="721"/>
      <c r="G1204" s="639"/>
      <c r="H1204" s="668"/>
      <c r="I1204" s="721"/>
      <c r="J1204" s="639"/>
      <c r="K1204" s="1124"/>
    </row>
    <row r="1205" spans="1:11" x14ac:dyDescent="0.25">
      <c r="A1205" s="718">
        <v>4</v>
      </c>
      <c r="B1205" s="668"/>
      <c r="C1205" s="721"/>
      <c r="D1205" s="721"/>
      <c r="E1205" s="721"/>
      <c r="F1205" s="721"/>
      <c r="G1205" s="639"/>
      <c r="H1205" s="668"/>
      <c r="I1205" s="721"/>
      <c r="J1205" s="639"/>
      <c r="K1205" s="1124"/>
    </row>
    <row r="1206" spans="1:11" x14ac:dyDescent="0.25">
      <c r="A1206" s="718">
        <v>5</v>
      </c>
      <c r="B1206" s="668"/>
      <c r="C1206" s="721"/>
      <c r="D1206" s="721"/>
      <c r="E1206" s="721"/>
      <c r="F1206" s="721"/>
      <c r="G1206" s="639"/>
      <c r="H1206" s="668"/>
      <c r="I1206" s="721"/>
      <c r="J1206" s="639"/>
      <c r="K1206" s="1124"/>
    </row>
    <row r="1207" spans="1:11" ht="13.8" thickBot="1" x14ac:dyDescent="0.3">
      <c r="A1207" s="719">
        <v>6</v>
      </c>
      <c r="B1207" s="669"/>
      <c r="C1207" s="1137"/>
      <c r="D1207" s="1137"/>
      <c r="E1207" s="1137"/>
      <c r="F1207" s="1137"/>
      <c r="G1207" s="646"/>
      <c r="H1207" s="669"/>
      <c r="I1207" s="1137"/>
      <c r="J1207" s="646"/>
      <c r="K1207" s="1138"/>
    </row>
    <row r="1208" spans="1:11" x14ac:dyDescent="0.25">
      <c r="A1208" s="1190">
        <v>1</v>
      </c>
      <c r="B1208" s="745"/>
      <c r="C1208" s="1117"/>
      <c r="D1208" s="1117"/>
      <c r="E1208" s="1117"/>
      <c r="F1208" s="1117"/>
      <c r="G1208" s="632"/>
      <c r="H1208" s="745"/>
      <c r="I1208" s="1117"/>
      <c r="J1208" s="632"/>
      <c r="K1208" s="1118"/>
    </row>
    <row r="1209" spans="1:11" x14ac:dyDescent="0.25">
      <c r="A1209" s="718">
        <v>2</v>
      </c>
      <c r="B1209" s="668"/>
      <c r="C1209" s="721"/>
      <c r="D1209" s="721"/>
      <c r="E1209" s="721"/>
      <c r="F1209" s="721"/>
      <c r="G1209" s="639"/>
      <c r="H1209" s="668"/>
      <c r="I1209" s="721"/>
      <c r="J1209" s="639"/>
      <c r="K1209" s="1124"/>
    </row>
    <row r="1210" spans="1:11" ht="13.8" thickBot="1" x14ac:dyDescent="0.3">
      <c r="A1210" s="719">
        <v>3</v>
      </c>
      <c r="B1210" s="669"/>
      <c r="C1210" s="1137"/>
      <c r="D1210" s="1137"/>
      <c r="E1210" s="1137"/>
      <c r="F1210" s="1137"/>
      <c r="G1210" s="646"/>
      <c r="H1210" s="669"/>
      <c r="I1210" s="1137"/>
      <c r="J1210" s="646"/>
      <c r="K1210" s="1138"/>
    </row>
    <row r="1211" spans="1:11" ht="13.8" thickBot="1" x14ac:dyDescent="0.3">
      <c r="A1211" s="1186" t="s">
        <v>607</v>
      </c>
      <c r="B1211" s="1187"/>
      <c r="C1211" s="1188"/>
      <c r="D1211" s="1188"/>
      <c r="E1211" s="1188"/>
      <c r="F1211" s="1188"/>
      <c r="G1211" s="1189"/>
      <c r="H1211" s="1187"/>
      <c r="I1211" s="1188"/>
      <c r="J1211" s="1189"/>
      <c r="K1211" s="716"/>
    </row>
    <row r="1212" spans="1:11" x14ac:dyDescent="0.25">
      <c r="A1212" s="1190">
        <v>1</v>
      </c>
      <c r="B1212" s="745"/>
      <c r="C1212" s="1117"/>
      <c r="D1212" s="1117"/>
      <c r="E1212" s="1117"/>
      <c r="F1212" s="1117"/>
      <c r="G1212" s="632"/>
      <c r="H1212" s="745"/>
      <c r="I1212" s="1117"/>
      <c r="J1212" s="632"/>
      <c r="K1212" s="1118"/>
    </row>
    <row r="1213" spans="1:11" x14ac:dyDescent="0.25">
      <c r="A1213" s="718">
        <v>2</v>
      </c>
      <c r="B1213" s="668"/>
      <c r="C1213" s="721"/>
      <c r="D1213" s="721"/>
      <c r="E1213" s="721"/>
      <c r="F1213" s="721"/>
      <c r="G1213" s="639"/>
      <c r="H1213" s="668"/>
      <c r="I1213" s="721"/>
      <c r="J1213" s="639"/>
      <c r="K1213" s="1124"/>
    </row>
    <row r="1214" spans="1:11" x14ac:dyDescent="0.25">
      <c r="A1214" s="718">
        <v>3</v>
      </c>
      <c r="B1214" s="668"/>
      <c r="C1214" s="721"/>
      <c r="D1214" s="721"/>
      <c r="E1214" s="721"/>
      <c r="F1214" s="721"/>
      <c r="G1214" s="639"/>
      <c r="H1214" s="668"/>
      <c r="I1214" s="721"/>
      <c r="J1214" s="639"/>
      <c r="K1214" s="1124"/>
    </row>
    <row r="1215" spans="1:11" x14ac:dyDescent="0.25">
      <c r="A1215" s="718">
        <v>4</v>
      </c>
      <c r="B1215" s="668"/>
      <c r="C1215" s="721"/>
      <c r="D1215" s="721"/>
      <c r="E1215" s="721"/>
      <c r="F1215" s="721"/>
      <c r="G1215" s="639"/>
      <c r="H1215" s="668"/>
      <c r="I1215" s="721"/>
      <c r="J1215" s="639"/>
      <c r="K1215" s="1124"/>
    </row>
    <row r="1216" spans="1:11" x14ac:dyDescent="0.25">
      <c r="A1216" s="718">
        <v>5</v>
      </c>
      <c r="B1216" s="668"/>
      <c r="C1216" s="721"/>
      <c r="D1216" s="721"/>
      <c r="E1216" s="721"/>
      <c r="F1216" s="721"/>
      <c r="G1216" s="639"/>
      <c r="H1216" s="668"/>
      <c r="I1216" s="721"/>
      <c r="J1216" s="639"/>
      <c r="K1216" s="1124"/>
    </row>
    <row r="1217" spans="1:11" ht="13.8" thickBot="1" x14ac:dyDescent="0.3">
      <c r="A1217" s="719">
        <v>6</v>
      </c>
      <c r="B1217" s="669"/>
      <c r="C1217" s="1137"/>
      <c r="D1217" s="1137"/>
      <c r="E1217" s="1137"/>
      <c r="F1217" s="1137"/>
      <c r="G1217" s="646"/>
      <c r="H1217" s="669"/>
      <c r="I1217" s="1137"/>
      <c r="J1217" s="646"/>
      <c r="K1217" s="1138"/>
    </row>
    <row r="1218" spans="1:11" x14ac:dyDescent="0.25">
      <c r="A1218" s="1190">
        <v>1</v>
      </c>
      <c r="B1218" s="745"/>
      <c r="C1218" s="1117"/>
      <c r="D1218" s="1117"/>
      <c r="E1218" s="1117"/>
      <c r="F1218" s="1117"/>
      <c r="G1218" s="632"/>
      <c r="H1218" s="745"/>
      <c r="I1218" s="1117"/>
      <c r="J1218" s="632"/>
      <c r="K1218" s="1118"/>
    </row>
    <row r="1219" spans="1:11" x14ac:dyDescent="0.25">
      <c r="A1219" s="718">
        <v>2</v>
      </c>
      <c r="B1219" s="668"/>
      <c r="C1219" s="721"/>
      <c r="D1219" s="721"/>
      <c r="E1219" s="721"/>
      <c r="F1219" s="721"/>
      <c r="G1219" s="639"/>
      <c r="H1219" s="668"/>
      <c r="I1219" s="721"/>
      <c r="J1219" s="639"/>
      <c r="K1219" s="1124"/>
    </row>
    <row r="1220" spans="1:11" ht="13.8" thickBot="1" x14ac:dyDescent="0.3">
      <c r="A1220" s="719">
        <v>3</v>
      </c>
      <c r="B1220" s="669"/>
      <c r="C1220" s="1137"/>
      <c r="D1220" s="1137"/>
      <c r="E1220" s="1137"/>
      <c r="F1220" s="1137"/>
      <c r="G1220" s="646"/>
      <c r="H1220" s="669"/>
      <c r="I1220" s="1137"/>
      <c r="J1220" s="646"/>
      <c r="K1220" s="1138"/>
    </row>
    <row r="1221" spans="1:11" ht="13.8" thickBot="1" x14ac:dyDescent="0.3">
      <c r="A1221" s="1186" t="s">
        <v>608</v>
      </c>
      <c r="B1221" s="1187"/>
      <c r="C1221" s="1188"/>
      <c r="D1221" s="1188"/>
      <c r="E1221" s="1188"/>
      <c r="F1221" s="1188"/>
      <c r="G1221" s="1189"/>
      <c r="H1221" s="1187"/>
      <c r="I1221" s="1188"/>
      <c r="J1221" s="1189"/>
      <c r="K1221" s="716"/>
    </row>
    <row r="1222" spans="1:11" x14ac:dyDescent="0.25">
      <c r="A1222" s="1190">
        <v>1</v>
      </c>
      <c r="B1222" s="745"/>
      <c r="C1222" s="1117"/>
      <c r="D1222" s="1117"/>
      <c r="E1222" s="1117"/>
      <c r="F1222" s="1117"/>
      <c r="G1222" s="632"/>
      <c r="H1222" s="745"/>
      <c r="I1222" s="1117"/>
      <c r="J1222" s="632"/>
      <c r="K1222" s="1118"/>
    </row>
    <row r="1223" spans="1:11" x14ac:dyDescent="0.25">
      <c r="A1223" s="718">
        <v>2</v>
      </c>
      <c r="B1223" s="668"/>
      <c r="C1223" s="721"/>
      <c r="D1223" s="721"/>
      <c r="E1223" s="721"/>
      <c r="F1223" s="721"/>
      <c r="G1223" s="639"/>
      <c r="H1223" s="668"/>
      <c r="I1223" s="721"/>
      <c r="J1223" s="639"/>
      <c r="K1223" s="1124"/>
    </row>
    <row r="1224" spans="1:11" x14ac:dyDescent="0.25">
      <c r="A1224" s="718">
        <v>3</v>
      </c>
      <c r="B1224" s="668"/>
      <c r="C1224" s="721"/>
      <c r="D1224" s="721"/>
      <c r="E1224" s="721"/>
      <c r="F1224" s="721"/>
      <c r="G1224" s="639"/>
      <c r="H1224" s="668"/>
      <c r="I1224" s="721"/>
      <c r="J1224" s="639"/>
      <c r="K1224" s="1124"/>
    </row>
    <row r="1225" spans="1:11" x14ac:dyDescent="0.25">
      <c r="A1225" s="718">
        <v>4</v>
      </c>
      <c r="B1225" s="668"/>
      <c r="C1225" s="721"/>
      <c r="D1225" s="721"/>
      <c r="E1225" s="721"/>
      <c r="F1225" s="721"/>
      <c r="G1225" s="639"/>
      <c r="H1225" s="668"/>
      <c r="I1225" s="721"/>
      <c r="J1225" s="639"/>
      <c r="K1225" s="1124"/>
    </row>
    <row r="1226" spans="1:11" x14ac:dyDescent="0.25">
      <c r="A1226" s="718">
        <v>5</v>
      </c>
      <c r="B1226" s="668"/>
      <c r="C1226" s="721"/>
      <c r="D1226" s="721"/>
      <c r="E1226" s="721"/>
      <c r="F1226" s="721"/>
      <c r="G1226" s="639"/>
      <c r="H1226" s="668"/>
      <c r="I1226" s="721"/>
      <c r="J1226" s="639"/>
      <c r="K1226" s="1124"/>
    </row>
    <row r="1227" spans="1:11" ht="13.8" thickBot="1" x14ac:dyDescent="0.3">
      <c r="A1227" s="719">
        <v>6</v>
      </c>
      <c r="B1227" s="669"/>
      <c r="C1227" s="1137"/>
      <c r="D1227" s="1137"/>
      <c r="E1227" s="1137"/>
      <c r="F1227" s="1137"/>
      <c r="G1227" s="646"/>
      <c r="H1227" s="669"/>
      <c r="I1227" s="1137"/>
      <c r="J1227" s="646"/>
      <c r="K1227" s="1138"/>
    </row>
    <row r="1228" spans="1:11" x14ac:dyDescent="0.25">
      <c r="A1228" s="1190">
        <v>1</v>
      </c>
      <c r="B1228" s="745"/>
      <c r="C1228" s="1117"/>
      <c r="D1228" s="1117"/>
      <c r="E1228" s="1117"/>
      <c r="F1228" s="1117"/>
      <c r="G1228" s="632"/>
      <c r="H1228" s="745"/>
      <c r="I1228" s="1117"/>
      <c r="J1228" s="632"/>
      <c r="K1228" s="1118"/>
    </row>
    <row r="1229" spans="1:11" x14ac:dyDescent="0.25">
      <c r="A1229" s="718">
        <v>2</v>
      </c>
      <c r="B1229" s="668"/>
      <c r="C1229" s="721"/>
      <c r="D1229" s="721"/>
      <c r="E1229" s="721"/>
      <c r="F1229" s="721"/>
      <c r="G1229" s="639"/>
      <c r="H1229" s="668"/>
      <c r="I1229" s="721"/>
      <c r="J1229" s="639"/>
      <c r="K1229" s="1124"/>
    </row>
    <row r="1230" spans="1:11" ht="13.8" thickBot="1" x14ac:dyDescent="0.3">
      <c r="A1230" s="719">
        <v>3</v>
      </c>
      <c r="B1230" s="669"/>
      <c r="C1230" s="1137"/>
      <c r="D1230" s="1137"/>
      <c r="E1230" s="1137"/>
      <c r="F1230" s="1137"/>
      <c r="G1230" s="646"/>
      <c r="H1230" s="669"/>
      <c r="I1230" s="1137"/>
      <c r="J1230" s="646"/>
      <c r="K1230" s="1138"/>
    </row>
    <row r="1231" spans="1:11" ht="13.8" thickBot="1" x14ac:dyDescent="0.3">
      <c r="A1231" s="1186" t="s">
        <v>609</v>
      </c>
      <c r="B1231" s="1187"/>
      <c r="C1231" s="1188"/>
      <c r="D1231" s="1188"/>
      <c r="E1231" s="1188"/>
      <c r="F1231" s="1188"/>
      <c r="G1231" s="1189"/>
      <c r="H1231" s="1187"/>
      <c r="I1231" s="1188"/>
      <c r="J1231" s="1189"/>
      <c r="K1231" s="716"/>
    </row>
    <row r="1232" spans="1:11" x14ac:dyDescent="0.25">
      <c r="A1232" s="1190">
        <v>1</v>
      </c>
      <c r="B1232" s="745"/>
      <c r="C1232" s="1117"/>
      <c r="D1232" s="1117"/>
      <c r="E1232" s="1117"/>
      <c r="F1232" s="1117"/>
      <c r="G1232" s="632"/>
      <c r="H1232" s="745"/>
      <c r="I1232" s="1117"/>
      <c r="J1232" s="632"/>
      <c r="K1232" s="1118"/>
    </row>
    <row r="1233" spans="1:11" x14ac:dyDescent="0.25">
      <c r="A1233" s="718">
        <v>2</v>
      </c>
      <c r="B1233" s="668"/>
      <c r="C1233" s="721"/>
      <c r="D1233" s="721"/>
      <c r="E1233" s="721"/>
      <c r="F1233" s="721"/>
      <c r="G1233" s="639"/>
      <c r="H1233" s="668"/>
      <c r="I1233" s="721"/>
      <c r="J1233" s="639"/>
      <c r="K1233" s="1124"/>
    </row>
    <row r="1234" spans="1:11" x14ac:dyDescent="0.25">
      <c r="A1234" s="718">
        <v>3</v>
      </c>
      <c r="B1234" s="668"/>
      <c r="C1234" s="721"/>
      <c r="D1234" s="721"/>
      <c r="E1234" s="721"/>
      <c r="F1234" s="721"/>
      <c r="G1234" s="639"/>
      <c r="H1234" s="668"/>
      <c r="I1234" s="721"/>
      <c r="J1234" s="639"/>
      <c r="K1234" s="1124"/>
    </row>
    <row r="1235" spans="1:11" x14ac:dyDescent="0.25">
      <c r="A1235" s="718">
        <v>4</v>
      </c>
      <c r="B1235" s="668"/>
      <c r="C1235" s="721"/>
      <c r="D1235" s="721"/>
      <c r="E1235" s="721"/>
      <c r="F1235" s="721"/>
      <c r="G1235" s="639"/>
      <c r="H1235" s="668"/>
      <c r="I1235" s="721"/>
      <c r="J1235" s="639"/>
      <c r="K1235" s="1124"/>
    </row>
    <row r="1236" spans="1:11" x14ac:dyDescent="0.25">
      <c r="A1236" s="718">
        <v>5</v>
      </c>
      <c r="B1236" s="668"/>
      <c r="C1236" s="721"/>
      <c r="D1236" s="721"/>
      <c r="E1236" s="721"/>
      <c r="F1236" s="721"/>
      <c r="G1236" s="639"/>
      <c r="H1236" s="668"/>
      <c r="I1236" s="721"/>
      <c r="J1236" s="639"/>
      <c r="K1236" s="1124"/>
    </row>
    <row r="1237" spans="1:11" ht="13.8" thickBot="1" x14ac:dyDescent="0.3">
      <c r="A1237" s="719">
        <v>6</v>
      </c>
      <c r="B1237" s="669"/>
      <c r="C1237" s="1137"/>
      <c r="D1237" s="1137"/>
      <c r="E1237" s="1137"/>
      <c r="F1237" s="1137"/>
      <c r="G1237" s="646"/>
      <c r="H1237" s="669"/>
      <c r="I1237" s="1137"/>
      <c r="J1237" s="646"/>
      <c r="K1237" s="1138"/>
    </row>
    <row r="1238" spans="1:11" x14ac:dyDescent="0.25">
      <c r="A1238" s="1190">
        <v>1</v>
      </c>
      <c r="B1238" s="745"/>
      <c r="C1238" s="1117"/>
      <c r="D1238" s="1117"/>
      <c r="E1238" s="1117"/>
      <c r="F1238" s="1117"/>
      <c r="G1238" s="632"/>
      <c r="H1238" s="745"/>
      <c r="I1238" s="1117"/>
      <c r="J1238" s="632"/>
      <c r="K1238" s="1118"/>
    </row>
    <row r="1239" spans="1:11" x14ac:dyDescent="0.25">
      <c r="A1239" s="718">
        <v>2</v>
      </c>
      <c r="B1239" s="668"/>
      <c r="C1239" s="721"/>
      <c r="D1239" s="721"/>
      <c r="E1239" s="721"/>
      <c r="F1239" s="721"/>
      <c r="G1239" s="639"/>
      <c r="H1239" s="668"/>
      <c r="I1239" s="721"/>
      <c r="J1239" s="639"/>
      <c r="K1239" s="1124"/>
    </row>
    <row r="1240" spans="1:11" ht="13.8" thickBot="1" x14ac:dyDescent="0.3">
      <c r="A1240" s="1191">
        <v>3</v>
      </c>
      <c r="B1240" s="1132"/>
      <c r="C1240" s="1133"/>
      <c r="D1240" s="1133"/>
      <c r="E1240" s="1133"/>
      <c r="F1240" s="1133"/>
      <c r="G1240" s="1134"/>
      <c r="H1240" s="1132"/>
      <c r="I1240" s="1133"/>
      <c r="J1240" s="1134"/>
      <c r="K1240" s="1147"/>
    </row>
    <row r="1241" spans="1:11" ht="13.8" thickBot="1" x14ac:dyDescent="0.3">
      <c r="A1241" s="1186" t="s">
        <v>610</v>
      </c>
      <c r="B1241" s="1187"/>
      <c r="C1241" s="1188"/>
      <c r="D1241" s="1188"/>
      <c r="E1241" s="1188"/>
      <c r="F1241" s="1188"/>
      <c r="G1241" s="1189"/>
      <c r="H1241" s="1187"/>
      <c r="I1241" s="1188"/>
      <c r="J1241" s="1189"/>
      <c r="K1241" s="716"/>
    </row>
    <row r="1242" spans="1:11" x14ac:dyDescent="0.25">
      <c r="A1242" s="1190">
        <v>1</v>
      </c>
      <c r="B1242" s="745"/>
      <c r="C1242" s="1117"/>
      <c r="D1242" s="1117"/>
      <c r="E1242" s="1117"/>
      <c r="F1242" s="1117"/>
      <c r="G1242" s="632"/>
      <c r="H1242" s="745"/>
      <c r="I1242" s="1117"/>
      <c r="J1242" s="632"/>
      <c r="K1242" s="1118"/>
    </row>
    <row r="1243" spans="1:11" x14ac:dyDescent="0.25">
      <c r="A1243" s="718">
        <v>2</v>
      </c>
      <c r="B1243" s="668"/>
      <c r="C1243" s="721"/>
      <c r="D1243" s="721"/>
      <c r="E1243" s="721"/>
      <c r="F1243" s="721"/>
      <c r="G1243" s="639"/>
      <c r="H1243" s="668"/>
      <c r="I1243" s="721"/>
      <c r="J1243" s="639"/>
      <c r="K1243" s="1124"/>
    </row>
    <row r="1244" spans="1:11" x14ac:dyDescent="0.25">
      <c r="A1244" s="718">
        <v>3</v>
      </c>
      <c r="B1244" s="668"/>
      <c r="C1244" s="721"/>
      <c r="D1244" s="721"/>
      <c r="E1244" s="721"/>
      <c r="F1244" s="721"/>
      <c r="G1244" s="639"/>
      <c r="H1244" s="668"/>
      <c r="I1244" s="721"/>
      <c r="J1244" s="639"/>
      <c r="K1244" s="1124"/>
    </row>
    <row r="1245" spans="1:11" x14ac:dyDescent="0.25">
      <c r="A1245" s="718">
        <v>4</v>
      </c>
      <c r="B1245" s="668"/>
      <c r="C1245" s="721"/>
      <c r="D1245" s="721"/>
      <c r="E1245" s="721"/>
      <c r="F1245" s="721"/>
      <c r="G1245" s="639"/>
      <c r="H1245" s="668"/>
      <c r="I1245" s="721"/>
      <c r="J1245" s="639"/>
      <c r="K1245" s="1124"/>
    </row>
    <row r="1246" spans="1:11" x14ac:dyDescent="0.25">
      <c r="A1246" s="718">
        <v>5</v>
      </c>
      <c r="B1246" s="668"/>
      <c r="C1246" s="721"/>
      <c r="D1246" s="721"/>
      <c r="E1246" s="721"/>
      <c r="F1246" s="721"/>
      <c r="G1246" s="639"/>
      <c r="H1246" s="668"/>
      <c r="I1246" s="721"/>
      <c r="J1246" s="639"/>
      <c r="K1246" s="1124"/>
    </row>
    <row r="1247" spans="1:11" ht="13.8" thickBot="1" x14ac:dyDescent="0.3">
      <c r="A1247" s="719">
        <v>6</v>
      </c>
      <c r="B1247" s="669"/>
      <c r="C1247" s="1137"/>
      <c r="D1247" s="1137"/>
      <c r="E1247" s="1137"/>
      <c r="F1247" s="1137"/>
      <c r="G1247" s="646"/>
      <c r="H1247" s="669"/>
      <c r="I1247" s="1137"/>
      <c r="J1247" s="646"/>
      <c r="K1247" s="1138"/>
    </row>
    <row r="1248" spans="1:11" x14ac:dyDescent="0.25">
      <c r="A1248" s="1190">
        <v>1</v>
      </c>
      <c r="B1248" s="745"/>
      <c r="C1248" s="1117"/>
      <c r="D1248" s="1117"/>
      <c r="E1248" s="1117"/>
      <c r="F1248" s="1117"/>
      <c r="G1248" s="632"/>
      <c r="H1248" s="745"/>
      <c r="I1248" s="1117"/>
      <c r="J1248" s="632"/>
      <c r="K1248" s="1118"/>
    </row>
    <row r="1249" spans="1:11" x14ac:dyDescent="0.25">
      <c r="A1249" s="718">
        <v>2</v>
      </c>
      <c r="B1249" s="668"/>
      <c r="C1249" s="721"/>
      <c r="D1249" s="721"/>
      <c r="E1249" s="721"/>
      <c r="F1249" s="721"/>
      <c r="G1249" s="639"/>
      <c r="H1249" s="668"/>
      <c r="I1249" s="721"/>
      <c r="J1249" s="639"/>
      <c r="K1249" s="1124"/>
    </row>
    <row r="1250" spans="1:11" ht="13.8" thickBot="1" x14ac:dyDescent="0.3">
      <c r="A1250" s="719">
        <v>3</v>
      </c>
      <c r="B1250" s="669"/>
      <c r="C1250" s="1137"/>
      <c r="D1250" s="1137"/>
      <c r="E1250" s="1137"/>
      <c r="F1250" s="1137"/>
      <c r="G1250" s="646"/>
      <c r="H1250" s="669"/>
      <c r="I1250" s="1137"/>
      <c r="J1250" s="646"/>
      <c r="K1250" s="1138"/>
    </row>
    <row r="1251" spans="1:11" ht="13.8" thickBot="1" x14ac:dyDescent="0.3">
      <c r="A1251" s="1186" t="s">
        <v>611</v>
      </c>
      <c r="B1251" s="1187"/>
      <c r="C1251" s="1188"/>
      <c r="D1251" s="1188"/>
      <c r="E1251" s="1188"/>
      <c r="F1251" s="1188"/>
      <c r="G1251" s="1189"/>
      <c r="H1251" s="1187"/>
      <c r="I1251" s="1188"/>
      <c r="J1251" s="1189"/>
      <c r="K1251" s="716"/>
    </row>
    <row r="1252" spans="1:11" x14ac:dyDescent="0.25">
      <c r="A1252" s="1190">
        <v>1</v>
      </c>
      <c r="B1252" s="745"/>
      <c r="C1252" s="1117"/>
      <c r="D1252" s="1117"/>
      <c r="E1252" s="1117"/>
      <c r="F1252" s="1117"/>
      <c r="G1252" s="632"/>
      <c r="H1252" s="745"/>
      <c r="I1252" s="1117"/>
      <c r="J1252" s="632"/>
      <c r="K1252" s="1118"/>
    </row>
    <row r="1253" spans="1:11" x14ac:dyDescent="0.25">
      <c r="A1253" s="718">
        <v>2</v>
      </c>
      <c r="B1253" s="668"/>
      <c r="C1253" s="721"/>
      <c r="D1253" s="721"/>
      <c r="E1253" s="721"/>
      <c r="F1253" s="721"/>
      <c r="G1253" s="639"/>
      <c r="H1253" s="668"/>
      <c r="I1253" s="721"/>
      <c r="J1253" s="639"/>
      <c r="K1253" s="1124"/>
    </row>
    <row r="1254" spans="1:11" x14ac:dyDescent="0.25">
      <c r="A1254" s="718">
        <v>3</v>
      </c>
      <c r="B1254" s="668"/>
      <c r="C1254" s="721"/>
      <c r="D1254" s="721"/>
      <c r="E1254" s="721"/>
      <c r="F1254" s="721"/>
      <c r="G1254" s="639"/>
      <c r="H1254" s="668"/>
      <c r="I1254" s="721"/>
      <c r="J1254" s="639"/>
      <c r="K1254" s="1124"/>
    </row>
    <row r="1255" spans="1:11" x14ac:dyDescent="0.25">
      <c r="A1255" s="718">
        <v>4</v>
      </c>
      <c r="B1255" s="668"/>
      <c r="C1255" s="721"/>
      <c r="D1255" s="721"/>
      <c r="E1255" s="721"/>
      <c r="F1255" s="721"/>
      <c r="G1255" s="639"/>
      <c r="H1255" s="668"/>
      <c r="I1255" s="721"/>
      <c r="J1255" s="639"/>
      <c r="K1255" s="1124"/>
    </row>
    <row r="1256" spans="1:11" x14ac:dyDescent="0.25">
      <c r="A1256" s="718">
        <v>5</v>
      </c>
      <c r="B1256" s="668"/>
      <c r="C1256" s="721"/>
      <c r="D1256" s="721"/>
      <c r="E1256" s="721"/>
      <c r="F1256" s="721"/>
      <c r="G1256" s="639"/>
      <c r="H1256" s="668"/>
      <c r="I1256" s="721"/>
      <c r="J1256" s="639"/>
      <c r="K1256" s="1124"/>
    </row>
    <row r="1257" spans="1:11" ht="13.8" thickBot="1" x14ac:dyDescent="0.3">
      <c r="A1257" s="719">
        <v>6</v>
      </c>
      <c r="B1257" s="669"/>
      <c r="C1257" s="1137"/>
      <c r="D1257" s="1137"/>
      <c r="E1257" s="1137"/>
      <c r="F1257" s="1137"/>
      <c r="G1257" s="646"/>
      <c r="H1257" s="669"/>
      <c r="I1257" s="1137"/>
      <c r="J1257" s="646"/>
      <c r="K1257" s="1138"/>
    </row>
    <row r="1258" spans="1:11" x14ac:dyDescent="0.25">
      <c r="A1258" s="1190">
        <v>1</v>
      </c>
      <c r="B1258" s="745"/>
      <c r="C1258" s="1117"/>
      <c r="D1258" s="1117"/>
      <c r="E1258" s="1117"/>
      <c r="F1258" s="1117"/>
      <c r="G1258" s="632"/>
      <c r="H1258" s="745"/>
      <c r="I1258" s="1117"/>
      <c r="J1258" s="632"/>
      <c r="K1258" s="1118"/>
    </row>
    <row r="1259" spans="1:11" x14ac:dyDescent="0.25">
      <c r="A1259" s="718">
        <v>2</v>
      </c>
      <c r="B1259" s="668"/>
      <c r="C1259" s="721"/>
      <c r="D1259" s="721"/>
      <c r="E1259" s="721"/>
      <c r="F1259" s="721"/>
      <c r="G1259" s="639"/>
      <c r="H1259" s="668"/>
      <c r="I1259" s="721"/>
      <c r="J1259" s="639"/>
      <c r="K1259" s="1124"/>
    </row>
    <row r="1260" spans="1:11" ht="13.8" thickBot="1" x14ac:dyDescent="0.3">
      <c r="A1260" s="719">
        <v>3</v>
      </c>
      <c r="B1260" s="669"/>
      <c r="C1260" s="1137"/>
      <c r="D1260" s="1137"/>
      <c r="E1260" s="1137"/>
      <c r="F1260" s="1137"/>
      <c r="G1260" s="646"/>
      <c r="H1260" s="669"/>
      <c r="I1260" s="1137"/>
      <c r="J1260" s="646"/>
      <c r="K1260" s="1138"/>
    </row>
    <row r="1261" spans="1:11" ht="13.8" thickBot="1" x14ac:dyDescent="0.3">
      <c r="A1261" s="1186" t="s">
        <v>612</v>
      </c>
      <c r="B1261" s="1187"/>
      <c r="C1261" s="1188"/>
      <c r="D1261" s="1188"/>
      <c r="E1261" s="1188"/>
      <c r="F1261" s="1188"/>
      <c r="G1261" s="1189"/>
      <c r="H1261" s="1187"/>
      <c r="I1261" s="1188"/>
      <c r="J1261" s="1189"/>
      <c r="K1261" s="716"/>
    </row>
    <row r="1262" spans="1:11" x14ac:dyDescent="0.25">
      <c r="A1262" s="1190">
        <v>1</v>
      </c>
      <c r="B1262" s="745"/>
      <c r="C1262" s="1117"/>
      <c r="D1262" s="1117"/>
      <c r="E1262" s="1117"/>
      <c r="F1262" s="1117"/>
      <c r="G1262" s="632"/>
      <c r="H1262" s="745"/>
      <c r="I1262" s="1117"/>
      <c r="J1262" s="632"/>
      <c r="K1262" s="1118"/>
    </row>
    <row r="1263" spans="1:11" x14ac:dyDescent="0.25">
      <c r="A1263" s="718">
        <v>2</v>
      </c>
      <c r="B1263" s="668"/>
      <c r="C1263" s="721"/>
      <c r="D1263" s="721"/>
      <c r="E1263" s="721"/>
      <c r="F1263" s="721"/>
      <c r="G1263" s="639"/>
      <c r="H1263" s="668"/>
      <c r="I1263" s="721"/>
      <c r="J1263" s="639"/>
      <c r="K1263" s="1124"/>
    </row>
    <row r="1264" spans="1:11" x14ac:dyDescent="0.25">
      <c r="A1264" s="718">
        <v>3</v>
      </c>
      <c r="B1264" s="668"/>
      <c r="C1264" s="721"/>
      <c r="D1264" s="721"/>
      <c r="E1264" s="721"/>
      <c r="F1264" s="721"/>
      <c r="G1264" s="639"/>
      <c r="H1264" s="668"/>
      <c r="I1264" s="721"/>
      <c r="J1264" s="639"/>
      <c r="K1264" s="1124"/>
    </row>
    <row r="1265" spans="1:11" x14ac:dyDescent="0.25">
      <c r="A1265" s="718">
        <v>4</v>
      </c>
      <c r="B1265" s="668"/>
      <c r="C1265" s="721"/>
      <c r="D1265" s="721"/>
      <c r="E1265" s="721"/>
      <c r="F1265" s="721"/>
      <c r="G1265" s="639"/>
      <c r="H1265" s="668"/>
      <c r="I1265" s="721"/>
      <c r="J1265" s="639"/>
      <c r="K1265" s="1124"/>
    </row>
    <row r="1266" spans="1:11" x14ac:dyDescent="0.25">
      <c r="A1266" s="718">
        <v>5</v>
      </c>
      <c r="B1266" s="668"/>
      <c r="C1266" s="721"/>
      <c r="D1266" s="721"/>
      <c r="E1266" s="721"/>
      <c r="F1266" s="721"/>
      <c r="G1266" s="639"/>
      <c r="H1266" s="668"/>
      <c r="I1266" s="721"/>
      <c r="J1266" s="639"/>
      <c r="K1266" s="1124"/>
    </row>
    <row r="1267" spans="1:11" ht="13.8" thickBot="1" x14ac:dyDescent="0.3">
      <c r="A1267" s="719">
        <v>6</v>
      </c>
      <c r="B1267" s="669"/>
      <c r="C1267" s="1137"/>
      <c r="D1267" s="1137"/>
      <c r="E1267" s="1137"/>
      <c r="F1267" s="1137"/>
      <c r="G1267" s="646"/>
      <c r="H1267" s="669"/>
      <c r="I1267" s="1137"/>
      <c r="J1267" s="646"/>
      <c r="K1267" s="1138"/>
    </row>
    <row r="1268" spans="1:11" x14ac:dyDescent="0.25">
      <c r="A1268" s="1190">
        <v>1</v>
      </c>
      <c r="B1268" s="745"/>
      <c r="C1268" s="1117"/>
      <c r="D1268" s="1117"/>
      <c r="E1268" s="1117"/>
      <c r="F1268" s="1117"/>
      <c r="G1268" s="632"/>
      <c r="H1268" s="745"/>
      <c r="I1268" s="1117"/>
      <c r="J1268" s="632"/>
      <c r="K1268" s="1118"/>
    </row>
    <row r="1269" spans="1:11" x14ac:dyDescent="0.25">
      <c r="A1269" s="718">
        <v>2</v>
      </c>
      <c r="B1269" s="668"/>
      <c r="C1269" s="721"/>
      <c r="D1269" s="721"/>
      <c r="E1269" s="721"/>
      <c r="F1269" s="721"/>
      <c r="G1269" s="639"/>
      <c r="H1269" s="668"/>
      <c r="I1269" s="721"/>
      <c r="J1269" s="639"/>
      <c r="K1269" s="1124"/>
    </row>
    <row r="1270" spans="1:11" ht="13.8" thickBot="1" x14ac:dyDescent="0.3">
      <c r="A1270" s="719">
        <v>3</v>
      </c>
      <c r="B1270" s="669"/>
      <c r="C1270" s="1137"/>
      <c r="D1270" s="1137"/>
      <c r="E1270" s="1137"/>
      <c r="F1270" s="1137"/>
      <c r="G1270" s="646"/>
      <c r="H1270" s="669"/>
      <c r="I1270" s="1137"/>
      <c r="J1270" s="646"/>
      <c r="K1270" s="1138"/>
    </row>
    <row r="1271" spans="1:11" ht="13.8" thickBot="1" x14ac:dyDescent="0.3">
      <c r="A1271" s="1186" t="s">
        <v>613</v>
      </c>
      <c r="B1271" s="1187"/>
      <c r="C1271" s="1188"/>
      <c r="D1271" s="1188"/>
      <c r="E1271" s="1188"/>
      <c r="F1271" s="1188"/>
      <c r="G1271" s="1189"/>
      <c r="H1271" s="1187"/>
      <c r="I1271" s="1188"/>
      <c r="J1271" s="1189"/>
      <c r="K1271" s="716"/>
    </row>
    <row r="1272" spans="1:11" x14ac:dyDescent="0.25">
      <c r="A1272" s="1190">
        <v>1</v>
      </c>
      <c r="B1272" s="745"/>
      <c r="C1272" s="1117"/>
      <c r="D1272" s="1117"/>
      <c r="E1272" s="1117"/>
      <c r="F1272" s="1117"/>
      <c r="G1272" s="632"/>
      <c r="H1272" s="745"/>
      <c r="I1272" s="1117"/>
      <c r="J1272" s="632"/>
      <c r="K1272" s="1118"/>
    </row>
    <row r="1273" spans="1:11" x14ac:dyDescent="0.25">
      <c r="A1273" s="718">
        <v>2</v>
      </c>
      <c r="B1273" s="668"/>
      <c r="C1273" s="721"/>
      <c r="D1273" s="721"/>
      <c r="E1273" s="721"/>
      <c r="F1273" s="721"/>
      <c r="G1273" s="639"/>
      <c r="H1273" s="668"/>
      <c r="I1273" s="721"/>
      <c r="J1273" s="639"/>
      <c r="K1273" s="1124"/>
    </row>
    <row r="1274" spans="1:11" x14ac:dyDescent="0.25">
      <c r="A1274" s="718">
        <v>3</v>
      </c>
      <c r="B1274" s="668"/>
      <c r="C1274" s="721"/>
      <c r="D1274" s="721"/>
      <c r="E1274" s="721"/>
      <c r="F1274" s="721"/>
      <c r="G1274" s="639"/>
      <c r="H1274" s="668"/>
      <c r="I1274" s="721"/>
      <c r="J1274" s="639"/>
      <c r="K1274" s="1124"/>
    </row>
    <row r="1275" spans="1:11" x14ac:dyDescent="0.25">
      <c r="A1275" s="718">
        <v>4</v>
      </c>
      <c r="B1275" s="668"/>
      <c r="C1275" s="721"/>
      <c r="D1275" s="721"/>
      <c r="E1275" s="721"/>
      <c r="F1275" s="721"/>
      <c r="G1275" s="639"/>
      <c r="H1275" s="668"/>
      <c r="I1275" s="721"/>
      <c r="J1275" s="639"/>
      <c r="K1275" s="1124"/>
    </row>
    <row r="1276" spans="1:11" x14ac:dyDescent="0.25">
      <c r="A1276" s="718">
        <v>5</v>
      </c>
      <c r="B1276" s="668"/>
      <c r="C1276" s="721"/>
      <c r="D1276" s="721"/>
      <c r="E1276" s="721"/>
      <c r="F1276" s="721"/>
      <c r="G1276" s="639"/>
      <c r="H1276" s="668"/>
      <c r="I1276" s="721"/>
      <c r="J1276" s="639"/>
      <c r="K1276" s="1124"/>
    </row>
    <row r="1277" spans="1:11" ht="13.8" thickBot="1" x14ac:dyDescent="0.3">
      <c r="A1277" s="719">
        <v>6</v>
      </c>
      <c r="B1277" s="669"/>
      <c r="C1277" s="1137"/>
      <c r="D1277" s="1137"/>
      <c r="E1277" s="1137"/>
      <c r="F1277" s="1137"/>
      <c r="G1277" s="646"/>
      <c r="H1277" s="669"/>
      <c r="I1277" s="1137"/>
      <c r="J1277" s="646"/>
      <c r="K1277" s="1138"/>
    </row>
    <row r="1278" spans="1:11" x14ac:dyDescent="0.25">
      <c r="A1278" s="1190">
        <v>1</v>
      </c>
      <c r="B1278" s="745"/>
      <c r="C1278" s="1117"/>
      <c r="D1278" s="1117"/>
      <c r="E1278" s="1117"/>
      <c r="F1278" s="1117"/>
      <c r="G1278" s="632"/>
      <c r="H1278" s="745"/>
      <c r="I1278" s="1117"/>
      <c r="J1278" s="632"/>
      <c r="K1278" s="1118"/>
    </row>
    <row r="1279" spans="1:11" x14ac:dyDescent="0.25">
      <c r="A1279" s="718">
        <v>2</v>
      </c>
      <c r="B1279" s="668"/>
      <c r="C1279" s="721"/>
      <c r="D1279" s="721"/>
      <c r="E1279" s="721"/>
      <c r="F1279" s="721"/>
      <c r="G1279" s="639"/>
      <c r="H1279" s="668"/>
      <c r="I1279" s="721"/>
      <c r="J1279" s="639"/>
      <c r="K1279" s="1124"/>
    </row>
    <row r="1280" spans="1:11" ht="13.8" thickBot="1" x14ac:dyDescent="0.3">
      <c r="A1280" s="1191">
        <v>3</v>
      </c>
      <c r="B1280" s="1132"/>
      <c r="C1280" s="1133"/>
      <c r="D1280" s="1133"/>
      <c r="E1280" s="1133"/>
      <c r="F1280" s="1133"/>
      <c r="G1280" s="1134"/>
      <c r="H1280" s="1132"/>
      <c r="I1280" s="1133"/>
      <c r="J1280" s="1134"/>
      <c r="K1280" s="1147"/>
    </row>
    <row r="1281" spans="1:11" ht="13.8" thickBot="1" x14ac:dyDescent="0.3">
      <c r="A1281" s="1186" t="s">
        <v>614</v>
      </c>
      <c r="B1281" s="1187"/>
      <c r="C1281" s="1188"/>
      <c r="D1281" s="1188"/>
      <c r="E1281" s="1188"/>
      <c r="F1281" s="1188"/>
      <c r="G1281" s="1189"/>
      <c r="H1281" s="1187"/>
      <c r="I1281" s="1188"/>
      <c r="J1281" s="1189"/>
      <c r="K1281" s="716"/>
    </row>
    <row r="1282" spans="1:11" x14ac:dyDescent="0.25">
      <c r="A1282" s="1190">
        <v>1</v>
      </c>
      <c r="B1282" s="745"/>
      <c r="C1282" s="1117"/>
      <c r="D1282" s="1117"/>
      <c r="E1282" s="1117"/>
      <c r="F1282" s="1117"/>
      <c r="G1282" s="632"/>
      <c r="H1282" s="745"/>
      <c r="I1282" s="1117"/>
      <c r="J1282" s="632"/>
      <c r="K1282" s="1118"/>
    </row>
    <row r="1283" spans="1:11" x14ac:dyDescent="0.25">
      <c r="A1283" s="718">
        <v>2</v>
      </c>
      <c r="B1283" s="668"/>
      <c r="C1283" s="721"/>
      <c r="D1283" s="721"/>
      <c r="E1283" s="721"/>
      <c r="F1283" s="721"/>
      <c r="G1283" s="639"/>
      <c r="H1283" s="668"/>
      <c r="I1283" s="721"/>
      <c r="J1283" s="639"/>
      <c r="K1283" s="1124"/>
    </row>
    <row r="1284" spans="1:11" x14ac:dyDescent="0.25">
      <c r="A1284" s="718">
        <v>3</v>
      </c>
      <c r="B1284" s="668"/>
      <c r="C1284" s="721"/>
      <c r="D1284" s="721"/>
      <c r="E1284" s="721"/>
      <c r="F1284" s="721"/>
      <c r="G1284" s="639"/>
      <c r="H1284" s="668"/>
      <c r="I1284" s="721"/>
      <c r="J1284" s="639"/>
      <c r="K1284" s="1124"/>
    </row>
    <row r="1285" spans="1:11" x14ac:dyDescent="0.25">
      <c r="A1285" s="718">
        <v>4</v>
      </c>
      <c r="B1285" s="668"/>
      <c r="C1285" s="721"/>
      <c r="D1285" s="721"/>
      <c r="E1285" s="721"/>
      <c r="F1285" s="721"/>
      <c r="G1285" s="639"/>
      <c r="H1285" s="668"/>
      <c r="I1285" s="721"/>
      <c r="J1285" s="639"/>
      <c r="K1285" s="1124"/>
    </row>
    <row r="1286" spans="1:11" x14ac:dyDescent="0.25">
      <c r="A1286" s="718">
        <v>5</v>
      </c>
      <c r="B1286" s="668"/>
      <c r="C1286" s="721"/>
      <c r="D1286" s="721"/>
      <c r="E1286" s="721"/>
      <c r="F1286" s="721"/>
      <c r="G1286" s="639"/>
      <c r="H1286" s="668"/>
      <c r="I1286" s="721"/>
      <c r="J1286" s="639"/>
      <c r="K1286" s="1124"/>
    </row>
    <row r="1287" spans="1:11" ht="13.8" thickBot="1" x14ac:dyDescent="0.3">
      <c r="A1287" s="719">
        <v>6</v>
      </c>
      <c r="B1287" s="669"/>
      <c r="C1287" s="1137"/>
      <c r="D1287" s="1137"/>
      <c r="E1287" s="1137"/>
      <c r="F1287" s="1137"/>
      <c r="G1287" s="646"/>
      <c r="H1287" s="669"/>
      <c r="I1287" s="1137"/>
      <c r="J1287" s="646"/>
      <c r="K1287" s="1138"/>
    </row>
    <row r="1288" spans="1:11" x14ac:dyDescent="0.25">
      <c r="A1288" s="1190">
        <v>1</v>
      </c>
      <c r="B1288" s="745"/>
      <c r="C1288" s="1117"/>
      <c r="D1288" s="1117"/>
      <c r="E1288" s="1117"/>
      <c r="F1288" s="1117"/>
      <c r="G1288" s="632"/>
      <c r="H1288" s="745"/>
      <c r="I1288" s="1117"/>
      <c r="J1288" s="632"/>
      <c r="K1288" s="1118"/>
    </row>
    <row r="1289" spans="1:11" x14ac:dyDescent="0.25">
      <c r="A1289" s="718">
        <v>2</v>
      </c>
      <c r="B1289" s="668"/>
      <c r="C1289" s="721"/>
      <c r="D1289" s="721"/>
      <c r="E1289" s="721"/>
      <c r="F1289" s="721"/>
      <c r="G1289" s="639"/>
      <c r="H1289" s="668"/>
      <c r="I1289" s="721"/>
      <c r="J1289" s="639"/>
      <c r="K1289" s="1124"/>
    </row>
    <row r="1290" spans="1:11" ht="13.8" thickBot="1" x14ac:dyDescent="0.3">
      <c r="A1290" s="719">
        <v>3</v>
      </c>
      <c r="B1290" s="669"/>
      <c r="C1290" s="1137"/>
      <c r="D1290" s="1137"/>
      <c r="E1290" s="1137"/>
      <c r="F1290" s="1137"/>
      <c r="G1290" s="646"/>
      <c r="H1290" s="669"/>
      <c r="I1290" s="1137"/>
      <c r="J1290" s="646"/>
      <c r="K1290" s="1138"/>
    </row>
    <row r="1291" spans="1:11" ht="13.8" thickBot="1" x14ac:dyDescent="0.3">
      <c r="A1291" s="1186" t="s">
        <v>615</v>
      </c>
      <c r="B1291" s="1187"/>
      <c r="C1291" s="1188"/>
      <c r="D1291" s="1188"/>
      <c r="E1291" s="1188"/>
      <c r="F1291" s="1188"/>
      <c r="G1291" s="1189"/>
      <c r="H1291" s="1187"/>
      <c r="I1291" s="1188"/>
      <c r="J1291" s="1189"/>
      <c r="K1291" s="716"/>
    </row>
    <row r="1292" spans="1:11" x14ac:dyDescent="0.25">
      <c r="A1292" s="1190">
        <v>1</v>
      </c>
      <c r="B1292" s="745"/>
      <c r="C1292" s="1117"/>
      <c r="D1292" s="1117"/>
      <c r="E1292" s="1117"/>
      <c r="F1292" s="1117"/>
      <c r="G1292" s="632"/>
      <c r="H1292" s="745"/>
      <c r="I1292" s="1117"/>
      <c r="J1292" s="632"/>
      <c r="K1292" s="1118"/>
    </row>
    <row r="1293" spans="1:11" x14ac:dyDescent="0.25">
      <c r="A1293" s="718">
        <v>2</v>
      </c>
      <c r="B1293" s="668"/>
      <c r="C1293" s="721"/>
      <c r="D1293" s="721"/>
      <c r="E1293" s="721"/>
      <c r="F1293" s="721"/>
      <c r="G1293" s="639"/>
      <c r="H1293" s="668"/>
      <c r="I1293" s="721"/>
      <c r="J1293" s="639"/>
      <c r="K1293" s="1124"/>
    </row>
    <row r="1294" spans="1:11" x14ac:dyDescent="0.25">
      <c r="A1294" s="718">
        <v>3</v>
      </c>
      <c r="B1294" s="668"/>
      <c r="C1294" s="721"/>
      <c r="D1294" s="721"/>
      <c r="E1294" s="721"/>
      <c r="F1294" s="721"/>
      <c r="G1294" s="639"/>
      <c r="H1294" s="668"/>
      <c r="I1294" s="721"/>
      <c r="J1294" s="639"/>
      <c r="K1294" s="1124"/>
    </row>
    <row r="1295" spans="1:11" x14ac:dyDescent="0.25">
      <c r="A1295" s="718">
        <v>4</v>
      </c>
      <c r="B1295" s="668"/>
      <c r="C1295" s="721"/>
      <c r="D1295" s="721"/>
      <c r="E1295" s="721"/>
      <c r="F1295" s="721"/>
      <c r="G1295" s="639"/>
      <c r="H1295" s="668"/>
      <c r="I1295" s="721"/>
      <c r="J1295" s="639"/>
      <c r="K1295" s="1124"/>
    </row>
    <row r="1296" spans="1:11" x14ac:dyDescent="0.25">
      <c r="A1296" s="718">
        <v>5</v>
      </c>
      <c r="B1296" s="668"/>
      <c r="C1296" s="721"/>
      <c r="D1296" s="721"/>
      <c r="E1296" s="721"/>
      <c r="F1296" s="721"/>
      <c r="G1296" s="639"/>
      <c r="H1296" s="668"/>
      <c r="I1296" s="721"/>
      <c r="J1296" s="639"/>
      <c r="K1296" s="1124"/>
    </row>
    <row r="1297" spans="1:11" ht="13.8" thickBot="1" x14ac:dyDescent="0.3">
      <c r="A1297" s="719">
        <v>6</v>
      </c>
      <c r="B1297" s="669"/>
      <c r="C1297" s="1137"/>
      <c r="D1297" s="1137"/>
      <c r="E1297" s="1137"/>
      <c r="F1297" s="1137"/>
      <c r="G1297" s="646"/>
      <c r="H1297" s="669"/>
      <c r="I1297" s="1137"/>
      <c r="J1297" s="646"/>
      <c r="K1297" s="1138"/>
    </row>
    <row r="1298" spans="1:11" x14ac:dyDescent="0.25">
      <c r="A1298" s="1190">
        <v>1</v>
      </c>
      <c r="B1298" s="745"/>
      <c r="C1298" s="1117"/>
      <c r="D1298" s="1117"/>
      <c r="E1298" s="1117"/>
      <c r="F1298" s="1117"/>
      <c r="G1298" s="632"/>
      <c r="H1298" s="745"/>
      <c r="I1298" s="1117"/>
      <c r="J1298" s="632"/>
      <c r="K1298" s="1118"/>
    </row>
    <row r="1299" spans="1:11" x14ac:dyDescent="0.25">
      <c r="A1299" s="718">
        <v>2</v>
      </c>
      <c r="B1299" s="668"/>
      <c r="C1299" s="721"/>
      <c r="D1299" s="721"/>
      <c r="E1299" s="721"/>
      <c r="F1299" s="721"/>
      <c r="G1299" s="639"/>
      <c r="H1299" s="668"/>
      <c r="I1299" s="721"/>
      <c r="J1299" s="639"/>
      <c r="K1299" s="1124"/>
    </row>
    <row r="1300" spans="1:11" ht="13.8" thickBot="1" x14ac:dyDescent="0.3">
      <c r="A1300" s="719">
        <v>3</v>
      </c>
      <c r="B1300" s="669"/>
      <c r="C1300" s="1137"/>
      <c r="D1300" s="1137"/>
      <c r="E1300" s="1137"/>
      <c r="F1300" s="1137"/>
      <c r="G1300" s="646"/>
      <c r="H1300" s="669"/>
      <c r="I1300" s="1137"/>
      <c r="J1300" s="646"/>
      <c r="K1300" s="1138"/>
    </row>
    <row r="1301" spans="1:11" ht="13.8" thickBot="1" x14ac:dyDescent="0.3">
      <c r="A1301" s="1186" t="s">
        <v>616</v>
      </c>
      <c r="B1301" s="1187"/>
      <c r="C1301" s="1188"/>
      <c r="D1301" s="1188"/>
      <c r="E1301" s="1188"/>
      <c r="F1301" s="1188"/>
      <c r="G1301" s="1189"/>
      <c r="H1301" s="1187"/>
      <c r="I1301" s="1188"/>
      <c r="J1301" s="1189"/>
      <c r="K1301" s="716"/>
    </row>
    <row r="1302" spans="1:11" x14ac:dyDescent="0.25">
      <c r="A1302" s="1190">
        <v>1</v>
      </c>
      <c r="B1302" s="745"/>
      <c r="C1302" s="1117"/>
      <c r="D1302" s="1117"/>
      <c r="E1302" s="1117"/>
      <c r="F1302" s="1117"/>
      <c r="G1302" s="632"/>
      <c r="H1302" s="745"/>
      <c r="I1302" s="1117"/>
      <c r="J1302" s="632"/>
      <c r="K1302" s="1118"/>
    </row>
    <row r="1303" spans="1:11" x14ac:dyDescent="0.25">
      <c r="A1303" s="718">
        <v>2</v>
      </c>
      <c r="B1303" s="668"/>
      <c r="C1303" s="721"/>
      <c r="D1303" s="721"/>
      <c r="E1303" s="721"/>
      <c r="F1303" s="721"/>
      <c r="G1303" s="639"/>
      <c r="H1303" s="668"/>
      <c r="I1303" s="721"/>
      <c r="J1303" s="639"/>
      <c r="K1303" s="1124"/>
    </row>
    <row r="1304" spans="1:11" x14ac:dyDescent="0.25">
      <c r="A1304" s="718">
        <v>3</v>
      </c>
      <c r="B1304" s="668"/>
      <c r="C1304" s="721"/>
      <c r="D1304" s="721"/>
      <c r="E1304" s="721"/>
      <c r="F1304" s="721"/>
      <c r="G1304" s="639"/>
      <c r="H1304" s="668"/>
      <c r="I1304" s="721"/>
      <c r="J1304" s="639"/>
      <c r="K1304" s="1124"/>
    </row>
    <row r="1305" spans="1:11" x14ac:dyDescent="0.25">
      <c r="A1305" s="718">
        <v>4</v>
      </c>
      <c r="B1305" s="668"/>
      <c r="C1305" s="721"/>
      <c r="D1305" s="721"/>
      <c r="E1305" s="721"/>
      <c r="F1305" s="721"/>
      <c r="G1305" s="639"/>
      <c r="H1305" s="668"/>
      <c r="I1305" s="721"/>
      <c r="J1305" s="639"/>
      <c r="K1305" s="1124"/>
    </row>
    <row r="1306" spans="1:11" x14ac:dyDescent="0.25">
      <c r="A1306" s="718">
        <v>5</v>
      </c>
      <c r="B1306" s="668"/>
      <c r="C1306" s="721"/>
      <c r="D1306" s="721"/>
      <c r="E1306" s="721"/>
      <c r="F1306" s="721"/>
      <c r="G1306" s="639"/>
      <c r="H1306" s="668"/>
      <c r="I1306" s="721"/>
      <c r="J1306" s="639"/>
      <c r="K1306" s="1124"/>
    </row>
    <row r="1307" spans="1:11" ht="13.8" thickBot="1" x14ac:dyDescent="0.3">
      <c r="A1307" s="719">
        <v>6</v>
      </c>
      <c r="B1307" s="669"/>
      <c r="C1307" s="1137"/>
      <c r="D1307" s="1137"/>
      <c r="E1307" s="1137"/>
      <c r="F1307" s="1137"/>
      <c r="G1307" s="646"/>
      <c r="H1307" s="669"/>
      <c r="I1307" s="1137"/>
      <c r="J1307" s="646"/>
      <c r="K1307" s="1138"/>
    </row>
    <row r="1308" spans="1:11" x14ac:dyDescent="0.25">
      <c r="A1308" s="1190">
        <v>1</v>
      </c>
      <c r="B1308" s="745"/>
      <c r="C1308" s="1117"/>
      <c r="D1308" s="1117"/>
      <c r="E1308" s="1117"/>
      <c r="F1308" s="1117"/>
      <c r="G1308" s="632"/>
      <c r="H1308" s="745"/>
      <c r="I1308" s="1117"/>
      <c r="J1308" s="632"/>
      <c r="K1308" s="1118"/>
    </row>
    <row r="1309" spans="1:11" x14ac:dyDescent="0.25">
      <c r="A1309" s="718">
        <v>2</v>
      </c>
      <c r="B1309" s="668"/>
      <c r="C1309" s="721"/>
      <c r="D1309" s="721"/>
      <c r="E1309" s="721"/>
      <c r="F1309" s="721"/>
      <c r="G1309" s="639"/>
      <c r="H1309" s="668"/>
      <c r="I1309" s="721"/>
      <c r="J1309" s="639"/>
      <c r="K1309" s="1124"/>
    </row>
    <row r="1310" spans="1:11" ht="13.8" thickBot="1" x14ac:dyDescent="0.3">
      <c r="A1310" s="719">
        <v>3</v>
      </c>
      <c r="B1310" s="669"/>
      <c r="C1310" s="1137"/>
      <c r="D1310" s="1137"/>
      <c r="E1310" s="1137"/>
      <c r="F1310" s="1137"/>
      <c r="G1310" s="646"/>
      <c r="H1310" s="669"/>
      <c r="I1310" s="1137"/>
      <c r="J1310" s="646"/>
      <c r="K1310" s="1138"/>
    </row>
    <row r="1311" spans="1:11" ht="13.8" thickBot="1" x14ac:dyDescent="0.3">
      <c r="A1311" s="1186" t="s">
        <v>617</v>
      </c>
      <c r="B1311" s="1187"/>
      <c r="C1311" s="1188"/>
      <c r="D1311" s="1188"/>
      <c r="E1311" s="1188"/>
      <c r="F1311" s="1188"/>
      <c r="G1311" s="1189"/>
      <c r="H1311" s="1187"/>
      <c r="I1311" s="1188"/>
      <c r="J1311" s="1189"/>
      <c r="K1311" s="716"/>
    </row>
    <row r="1312" spans="1:11" x14ac:dyDescent="0.25">
      <c r="A1312" s="1190">
        <v>1</v>
      </c>
      <c r="B1312" s="745"/>
      <c r="C1312" s="1117"/>
      <c r="D1312" s="1117"/>
      <c r="E1312" s="1117"/>
      <c r="F1312" s="1117"/>
      <c r="G1312" s="632"/>
      <c r="H1312" s="745"/>
      <c r="I1312" s="1117"/>
      <c r="J1312" s="632"/>
      <c r="K1312" s="1118"/>
    </row>
    <row r="1313" spans="1:11" x14ac:dyDescent="0.25">
      <c r="A1313" s="718">
        <v>2</v>
      </c>
      <c r="B1313" s="668"/>
      <c r="C1313" s="721"/>
      <c r="D1313" s="721"/>
      <c r="E1313" s="721"/>
      <c r="F1313" s="721"/>
      <c r="G1313" s="639"/>
      <c r="H1313" s="668"/>
      <c r="I1313" s="721"/>
      <c r="J1313" s="639"/>
      <c r="K1313" s="1124"/>
    </row>
    <row r="1314" spans="1:11" x14ac:dyDescent="0.25">
      <c r="A1314" s="718">
        <v>3</v>
      </c>
      <c r="B1314" s="668"/>
      <c r="C1314" s="721"/>
      <c r="D1314" s="721"/>
      <c r="E1314" s="721"/>
      <c r="F1314" s="721"/>
      <c r="G1314" s="639"/>
      <c r="H1314" s="668"/>
      <c r="I1314" s="721"/>
      <c r="J1314" s="639"/>
      <c r="K1314" s="1124"/>
    </row>
    <row r="1315" spans="1:11" x14ac:dyDescent="0.25">
      <c r="A1315" s="718">
        <v>4</v>
      </c>
      <c r="B1315" s="668"/>
      <c r="C1315" s="721"/>
      <c r="D1315" s="721"/>
      <c r="E1315" s="721"/>
      <c r="F1315" s="721"/>
      <c r="G1315" s="639"/>
      <c r="H1315" s="668"/>
      <c r="I1315" s="721"/>
      <c r="J1315" s="639"/>
      <c r="K1315" s="1124"/>
    </row>
    <row r="1316" spans="1:11" x14ac:dyDescent="0.25">
      <c r="A1316" s="718">
        <v>5</v>
      </c>
      <c r="B1316" s="668"/>
      <c r="C1316" s="721"/>
      <c r="D1316" s="721"/>
      <c r="E1316" s="721"/>
      <c r="F1316" s="721"/>
      <c r="G1316" s="639"/>
      <c r="H1316" s="668"/>
      <c r="I1316" s="721"/>
      <c r="J1316" s="639"/>
      <c r="K1316" s="1124"/>
    </row>
    <row r="1317" spans="1:11" ht="13.8" thickBot="1" x14ac:dyDescent="0.3">
      <c r="A1317" s="719">
        <v>6</v>
      </c>
      <c r="B1317" s="669"/>
      <c r="C1317" s="1137"/>
      <c r="D1317" s="1137"/>
      <c r="E1317" s="1137"/>
      <c r="F1317" s="1137"/>
      <c r="G1317" s="646"/>
      <c r="H1317" s="669"/>
      <c r="I1317" s="1137"/>
      <c r="J1317" s="646"/>
      <c r="K1317" s="1138"/>
    </row>
    <row r="1318" spans="1:11" x14ac:dyDescent="0.25">
      <c r="A1318" s="1190">
        <v>1</v>
      </c>
      <c r="B1318" s="745"/>
      <c r="C1318" s="1117"/>
      <c r="D1318" s="1117"/>
      <c r="E1318" s="1117"/>
      <c r="F1318" s="1117"/>
      <c r="G1318" s="632"/>
      <c r="H1318" s="745"/>
      <c r="I1318" s="1117"/>
      <c r="J1318" s="632"/>
      <c r="K1318" s="1118"/>
    </row>
    <row r="1319" spans="1:11" x14ac:dyDescent="0.25">
      <c r="A1319" s="718">
        <v>2</v>
      </c>
      <c r="B1319" s="668"/>
      <c r="C1319" s="721"/>
      <c r="D1319" s="721"/>
      <c r="E1319" s="721"/>
      <c r="F1319" s="721"/>
      <c r="G1319" s="639"/>
      <c r="H1319" s="668"/>
      <c r="I1319" s="721"/>
      <c r="J1319" s="639"/>
      <c r="K1319" s="1124"/>
    </row>
    <row r="1320" spans="1:11" ht="13.8" thickBot="1" x14ac:dyDescent="0.3">
      <c r="A1320" s="1191">
        <v>3</v>
      </c>
      <c r="B1320" s="1132"/>
      <c r="C1320" s="1133"/>
      <c r="D1320" s="1133"/>
      <c r="E1320" s="1133"/>
      <c r="F1320" s="1133"/>
      <c r="G1320" s="1134"/>
      <c r="H1320" s="1132"/>
      <c r="I1320" s="1133"/>
      <c r="J1320" s="1134"/>
      <c r="K1320" s="1147"/>
    </row>
    <row r="1321" spans="1:11" ht="13.8" thickBot="1" x14ac:dyDescent="0.3">
      <c r="A1321" s="1186" t="s">
        <v>618</v>
      </c>
      <c r="B1321" s="1187"/>
      <c r="C1321" s="1188"/>
      <c r="D1321" s="1188"/>
      <c r="E1321" s="1188"/>
      <c r="F1321" s="1188"/>
      <c r="G1321" s="1189"/>
      <c r="H1321" s="1187"/>
      <c r="I1321" s="1188"/>
      <c r="J1321" s="1189"/>
      <c r="K1321" s="716"/>
    </row>
    <row r="1322" spans="1:11" x14ac:dyDescent="0.25">
      <c r="A1322" s="1190">
        <v>1</v>
      </c>
      <c r="B1322" s="745"/>
      <c r="C1322" s="1117"/>
      <c r="D1322" s="1117"/>
      <c r="E1322" s="1117"/>
      <c r="F1322" s="1117"/>
      <c r="G1322" s="632"/>
      <c r="H1322" s="745"/>
      <c r="I1322" s="1117"/>
      <c r="J1322" s="632"/>
      <c r="K1322" s="1118"/>
    </row>
    <row r="1323" spans="1:11" x14ac:dyDescent="0.25">
      <c r="A1323" s="718">
        <v>2</v>
      </c>
      <c r="B1323" s="668"/>
      <c r="C1323" s="721"/>
      <c r="D1323" s="721"/>
      <c r="E1323" s="721"/>
      <c r="F1323" s="721"/>
      <c r="G1323" s="639"/>
      <c r="H1323" s="668"/>
      <c r="I1323" s="721"/>
      <c r="J1323" s="639"/>
      <c r="K1323" s="1124"/>
    </row>
    <row r="1324" spans="1:11" x14ac:dyDescent="0.25">
      <c r="A1324" s="718">
        <v>3</v>
      </c>
      <c r="B1324" s="668"/>
      <c r="C1324" s="721"/>
      <c r="D1324" s="721"/>
      <c r="E1324" s="721"/>
      <c r="F1324" s="721"/>
      <c r="G1324" s="639"/>
      <c r="H1324" s="668"/>
      <c r="I1324" s="721"/>
      <c r="J1324" s="639"/>
      <c r="K1324" s="1124"/>
    </row>
    <row r="1325" spans="1:11" x14ac:dyDescent="0.25">
      <c r="A1325" s="718">
        <v>4</v>
      </c>
      <c r="B1325" s="668"/>
      <c r="C1325" s="721"/>
      <c r="D1325" s="721"/>
      <c r="E1325" s="721"/>
      <c r="F1325" s="721"/>
      <c r="G1325" s="639"/>
      <c r="H1325" s="668"/>
      <c r="I1325" s="721"/>
      <c r="J1325" s="639"/>
      <c r="K1325" s="1124"/>
    </row>
    <row r="1326" spans="1:11" x14ac:dyDescent="0.25">
      <c r="A1326" s="718">
        <v>5</v>
      </c>
      <c r="B1326" s="668"/>
      <c r="C1326" s="721"/>
      <c r="D1326" s="721"/>
      <c r="E1326" s="721"/>
      <c r="F1326" s="721"/>
      <c r="G1326" s="639"/>
      <c r="H1326" s="668"/>
      <c r="I1326" s="721"/>
      <c r="J1326" s="639"/>
      <c r="K1326" s="1124"/>
    </row>
    <row r="1327" spans="1:11" ht="13.8" thickBot="1" x14ac:dyDescent="0.3">
      <c r="A1327" s="719">
        <v>6</v>
      </c>
      <c r="B1327" s="669"/>
      <c r="C1327" s="1137"/>
      <c r="D1327" s="1137"/>
      <c r="E1327" s="1137"/>
      <c r="F1327" s="1137"/>
      <c r="G1327" s="646"/>
      <c r="H1327" s="669"/>
      <c r="I1327" s="1137"/>
      <c r="J1327" s="646"/>
      <c r="K1327" s="1138"/>
    </row>
    <row r="1328" spans="1:11" x14ac:dyDescent="0.25">
      <c r="A1328" s="1190">
        <v>1</v>
      </c>
      <c r="B1328" s="745"/>
      <c r="C1328" s="1117"/>
      <c r="D1328" s="1117"/>
      <c r="E1328" s="1117"/>
      <c r="F1328" s="1117"/>
      <c r="G1328" s="632"/>
      <c r="H1328" s="745"/>
      <c r="I1328" s="1117"/>
      <c r="J1328" s="632"/>
      <c r="K1328" s="1118"/>
    </row>
    <row r="1329" spans="1:11" x14ac:dyDescent="0.25">
      <c r="A1329" s="718">
        <v>2</v>
      </c>
      <c r="B1329" s="668"/>
      <c r="C1329" s="721"/>
      <c r="D1329" s="721"/>
      <c r="E1329" s="721"/>
      <c r="F1329" s="721"/>
      <c r="G1329" s="639"/>
      <c r="H1329" s="668"/>
      <c r="I1329" s="721"/>
      <c r="J1329" s="639"/>
      <c r="K1329" s="1124"/>
    </row>
    <row r="1330" spans="1:11" ht="13.8" thickBot="1" x14ac:dyDescent="0.3">
      <c r="A1330" s="719">
        <v>3</v>
      </c>
      <c r="B1330" s="669"/>
      <c r="C1330" s="1137"/>
      <c r="D1330" s="1137"/>
      <c r="E1330" s="1137"/>
      <c r="F1330" s="1137"/>
      <c r="G1330" s="646"/>
      <c r="H1330" s="669"/>
      <c r="I1330" s="1137"/>
      <c r="J1330" s="646"/>
      <c r="K1330" s="1138"/>
    </row>
    <row r="1331" spans="1:11" ht="13.8" thickBot="1" x14ac:dyDescent="0.3">
      <c r="A1331" s="1186" t="s">
        <v>619</v>
      </c>
      <c r="B1331" s="1187"/>
      <c r="C1331" s="1188"/>
      <c r="D1331" s="1188"/>
      <c r="E1331" s="1188"/>
      <c r="F1331" s="1188"/>
      <c r="G1331" s="1189"/>
      <c r="H1331" s="1187"/>
      <c r="I1331" s="1188"/>
      <c r="J1331" s="1189"/>
      <c r="K1331" s="716"/>
    </row>
    <row r="1332" spans="1:11" x14ac:dyDescent="0.25">
      <c r="A1332" s="1190">
        <v>1</v>
      </c>
      <c r="B1332" s="745"/>
      <c r="C1332" s="1117"/>
      <c r="D1332" s="1117"/>
      <c r="E1332" s="1117"/>
      <c r="F1332" s="1117"/>
      <c r="G1332" s="632"/>
      <c r="H1332" s="745"/>
      <c r="I1332" s="1117"/>
      <c r="J1332" s="632"/>
      <c r="K1332" s="1118"/>
    </row>
    <row r="1333" spans="1:11" x14ac:dyDescent="0.25">
      <c r="A1333" s="718">
        <v>2</v>
      </c>
      <c r="B1333" s="668"/>
      <c r="C1333" s="721"/>
      <c r="D1333" s="721"/>
      <c r="E1333" s="721"/>
      <c r="F1333" s="721"/>
      <c r="G1333" s="639"/>
      <c r="H1333" s="668"/>
      <c r="I1333" s="721"/>
      <c r="J1333" s="639"/>
      <c r="K1333" s="1124"/>
    </row>
    <row r="1334" spans="1:11" x14ac:dyDescent="0.25">
      <c r="A1334" s="718">
        <v>3</v>
      </c>
      <c r="B1334" s="668"/>
      <c r="C1334" s="721"/>
      <c r="D1334" s="721"/>
      <c r="E1334" s="721"/>
      <c r="F1334" s="721"/>
      <c r="G1334" s="639"/>
      <c r="H1334" s="668"/>
      <c r="I1334" s="721"/>
      <c r="J1334" s="639"/>
      <c r="K1334" s="1124"/>
    </row>
    <row r="1335" spans="1:11" x14ac:dyDescent="0.25">
      <c r="A1335" s="718">
        <v>4</v>
      </c>
      <c r="B1335" s="668"/>
      <c r="C1335" s="721"/>
      <c r="D1335" s="721"/>
      <c r="E1335" s="721"/>
      <c r="F1335" s="721"/>
      <c r="G1335" s="639"/>
      <c r="H1335" s="668"/>
      <c r="I1335" s="721"/>
      <c r="J1335" s="639"/>
      <c r="K1335" s="1124"/>
    </row>
    <row r="1336" spans="1:11" x14ac:dyDescent="0.25">
      <c r="A1336" s="718">
        <v>5</v>
      </c>
      <c r="B1336" s="668"/>
      <c r="C1336" s="721"/>
      <c r="D1336" s="721"/>
      <c r="E1336" s="721"/>
      <c r="F1336" s="721"/>
      <c r="G1336" s="639"/>
      <c r="H1336" s="668"/>
      <c r="I1336" s="721"/>
      <c r="J1336" s="639"/>
      <c r="K1336" s="1124"/>
    </row>
    <row r="1337" spans="1:11" ht="13.8" thickBot="1" x14ac:dyDescent="0.3">
      <c r="A1337" s="719">
        <v>6</v>
      </c>
      <c r="B1337" s="669"/>
      <c r="C1337" s="1137"/>
      <c r="D1337" s="1137"/>
      <c r="E1337" s="1137"/>
      <c r="F1337" s="1137"/>
      <c r="G1337" s="646"/>
      <c r="H1337" s="669"/>
      <c r="I1337" s="1137"/>
      <c r="J1337" s="646"/>
      <c r="K1337" s="1138"/>
    </row>
    <row r="1338" spans="1:11" x14ac:dyDescent="0.25">
      <c r="A1338" s="1190">
        <v>1</v>
      </c>
      <c r="B1338" s="745"/>
      <c r="C1338" s="1117"/>
      <c r="D1338" s="1117"/>
      <c r="E1338" s="1117"/>
      <c r="F1338" s="1117"/>
      <c r="G1338" s="632"/>
      <c r="H1338" s="745"/>
      <c r="I1338" s="1117"/>
      <c r="J1338" s="632"/>
      <c r="K1338" s="1118"/>
    </row>
    <row r="1339" spans="1:11" x14ac:dyDescent="0.25">
      <c r="A1339" s="718">
        <v>2</v>
      </c>
      <c r="B1339" s="668"/>
      <c r="C1339" s="721"/>
      <c r="D1339" s="721"/>
      <c r="E1339" s="721"/>
      <c r="F1339" s="721"/>
      <c r="G1339" s="639"/>
      <c r="H1339" s="668"/>
      <c r="I1339" s="721"/>
      <c r="J1339" s="639"/>
      <c r="K1339" s="1124"/>
    </row>
    <row r="1340" spans="1:11" ht="13.8" thickBot="1" x14ac:dyDescent="0.3">
      <c r="A1340" s="719">
        <v>3</v>
      </c>
      <c r="B1340" s="669"/>
      <c r="C1340" s="1137"/>
      <c r="D1340" s="1137"/>
      <c r="E1340" s="1137"/>
      <c r="F1340" s="1137"/>
      <c r="G1340" s="646"/>
      <c r="H1340" s="669"/>
      <c r="I1340" s="1137"/>
      <c r="J1340" s="646"/>
      <c r="K1340" s="1138"/>
    </row>
    <row r="1341" spans="1:11" ht="13.8" thickBot="1" x14ac:dyDescent="0.3">
      <c r="A1341" s="1186" t="s">
        <v>620</v>
      </c>
      <c r="B1341" s="1187"/>
      <c r="C1341" s="1188"/>
      <c r="D1341" s="1188"/>
      <c r="E1341" s="1188"/>
      <c r="F1341" s="1188"/>
      <c r="G1341" s="1189"/>
      <c r="H1341" s="1187"/>
      <c r="I1341" s="1188"/>
      <c r="J1341" s="1189"/>
      <c r="K1341" s="716"/>
    </row>
    <row r="1342" spans="1:11" x14ac:dyDescent="0.25">
      <c r="A1342" s="1190">
        <v>1</v>
      </c>
      <c r="B1342" s="745"/>
      <c r="C1342" s="1117"/>
      <c r="D1342" s="1117"/>
      <c r="E1342" s="1117"/>
      <c r="F1342" s="1117"/>
      <c r="G1342" s="632"/>
      <c r="H1342" s="745"/>
      <c r="I1342" s="1117"/>
      <c r="J1342" s="632"/>
      <c r="K1342" s="1118"/>
    </row>
    <row r="1343" spans="1:11" x14ac:dyDescent="0.25">
      <c r="A1343" s="718">
        <v>2</v>
      </c>
      <c r="B1343" s="668"/>
      <c r="C1343" s="721"/>
      <c r="D1343" s="721"/>
      <c r="E1343" s="721"/>
      <c r="F1343" s="721"/>
      <c r="G1343" s="639"/>
      <c r="H1343" s="668"/>
      <c r="I1343" s="721"/>
      <c r="J1343" s="639"/>
      <c r="K1343" s="1124"/>
    </row>
    <row r="1344" spans="1:11" x14ac:dyDescent="0.25">
      <c r="A1344" s="718">
        <v>3</v>
      </c>
      <c r="B1344" s="668"/>
      <c r="C1344" s="721"/>
      <c r="D1344" s="721"/>
      <c r="E1344" s="721"/>
      <c r="F1344" s="721"/>
      <c r="G1344" s="639"/>
      <c r="H1344" s="668"/>
      <c r="I1344" s="721"/>
      <c r="J1344" s="639"/>
      <c r="K1344" s="1124"/>
    </row>
    <row r="1345" spans="1:11" x14ac:dyDescent="0.25">
      <c r="A1345" s="718">
        <v>4</v>
      </c>
      <c r="B1345" s="668"/>
      <c r="C1345" s="721"/>
      <c r="D1345" s="721"/>
      <c r="E1345" s="721"/>
      <c r="F1345" s="721"/>
      <c r="G1345" s="639"/>
      <c r="H1345" s="668"/>
      <c r="I1345" s="721"/>
      <c r="J1345" s="639"/>
      <c r="K1345" s="1124"/>
    </row>
    <row r="1346" spans="1:11" x14ac:dyDescent="0.25">
      <c r="A1346" s="718">
        <v>5</v>
      </c>
      <c r="B1346" s="668"/>
      <c r="C1346" s="721"/>
      <c r="D1346" s="721"/>
      <c r="E1346" s="721"/>
      <c r="F1346" s="721"/>
      <c r="G1346" s="639"/>
      <c r="H1346" s="668"/>
      <c r="I1346" s="721"/>
      <c r="J1346" s="639"/>
      <c r="K1346" s="1124"/>
    </row>
    <row r="1347" spans="1:11" ht="13.8" thickBot="1" x14ac:dyDescent="0.3">
      <c r="A1347" s="719">
        <v>6</v>
      </c>
      <c r="B1347" s="669"/>
      <c r="C1347" s="1137"/>
      <c r="D1347" s="1137"/>
      <c r="E1347" s="1137"/>
      <c r="F1347" s="1137"/>
      <c r="G1347" s="646"/>
      <c r="H1347" s="669"/>
      <c r="I1347" s="1137"/>
      <c r="J1347" s="646"/>
      <c r="K1347" s="1138"/>
    </row>
    <row r="1348" spans="1:11" x14ac:dyDescent="0.25">
      <c r="A1348" s="1190">
        <v>1</v>
      </c>
      <c r="B1348" s="745"/>
      <c r="C1348" s="1117"/>
      <c r="D1348" s="1117"/>
      <c r="E1348" s="1117"/>
      <c r="F1348" s="1117"/>
      <c r="G1348" s="632"/>
      <c r="H1348" s="745"/>
      <c r="I1348" s="1117"/>
      <c r="J1348" s="632"/>
      <c r="K1348" s="1118"/>
    </row>
    <row r="1349" spans="1:11" x14ac:dyDescent="0.25">
      <c r="A1349" s="718">
        <v>2</v>
      </c>
      <c r="B1349" s="668"/>
      <c r="C1349" s="721"/>
      <c r="D1349" s="721"/>
      <c r="E1349" s="721"/>
      <c r="F1349" s="721"/>
      <c r="G1349" s="639"/>
      <c r="H1349" s="668"/>
      <c r="I1349" s="721"/>
      <c r="J1349" s="639"/>
      <c r="K1349" s="1124"/>
    </row>
    <row r="1350" spans="1:11" ht="13.8" thickBot="1" x14ac:dyDescent="0.3">
      <c r="A1350" s="719">
        <v>3</v>
      </c>
      <c r="B1350" s="669"/>
      <c r="C1350" s="1137"/>
      <c r="D1350" s="1137"/>
      <c r="E1350" s="1137"/>
      <c r="F1350" s="1137"/>
      <c r="G1350" s="646"/>
      <c r="H1350" s="669"/>
      <c r="I1350" s="1137"/>
      <c r="J1350" s="646"/>
      <c r="K1350" s="1138"/>
    </row>
    <row r="1351" spans="1:11" ht="13.8" thickBot="1" x14ac:dyDescent="0.3">
      <c r="A1351" s="1186" t="s">
        <v>621</v>
      </c>
      <c r="B1351" s="1187"/>
      <c r="C1351" s="1188"/>
      <c r="D1351" s="1188"/>
      <c r="E1351" s="1188"/>
      <c r="F1351" s="1188"/>
      <c r="G1351" s="1189"/>
      <c r="H1351" s="1187"/>
      <c r="I1351" s="1188"/>
      <c r="J1351" s="1189"/>
      <c r="K1351" s="716"/>
    </row>
    <row r="1352" spans="1:11" x14ac:dyDescent="0.25">
      <c r="A1352" s="1190">
        <v>1</v>
      </c>
      <c r="B1352" s="745"/>
      <c r="C1352" s="1117"/>
      <c r="D1352" s="1117"/>
      <c r="E1352" s="1117"/>
      <c r="F1352" s="1117"/>
      <c r="G1352" s="632"/>
      <c r="H1352" s="745"/>
      <c r="I1352" s="1117"/>
      <c r="J1352" s="632"/>
      <c r="K1352" s="1118"/>
    </row>
    <row r="1353" spans="1:11" x14ac:dyDescent="0.25">
      <c r="A1353" s="718">
        <v>2</v>
      </c>
      <c r="B1353" s="668"/>
      <c r="C1353" s="721"/>
      <c r="D1353" s="721"/>
      <c r="E1353" s="721"/>
      <c r="F1353" s="721"/>
      <c r="G1353" s="639"/>
      <c r="H1353" s="668"/>
      <c r="I1353" s="721"/>
      <c r="J1353" s="639"/>
      <c r="K1353" s="1124"/>
    </row>
    <row r="1354" spans="1:11" x14ac:dyDescent="0.25">
      <c r="A1354" s="718">
        <v>3</v>
      </c>
      <c r="B1354" s="668"/>
      <c r="C1354" s="721"/>
      <c r="D1354" s="721"/>
      <c r="E1354" s="721"/>
      <c r="F1354" s="721"/>
      <c r="G1354" s="639"/>
      <c r="H1354" s="668"/>
      <c r="I1354" s="721"/>
      <c r="J1354" s="639"/>
      <c r="K1354" s="1124"/>
    </row>
    <row r="1355" spans="1:11" x14ac:dyDescent="0.25">
      <c r="A1355" s="718">
        <v>4</v>
      </c>
      <c r="B1355" s="668"/>
      <c r="C1355" s="721"/>
      <c r="D1355" s="721"/>
      <c r="E1355" s="721"/>
      <c r="F1355" s="721"/>
      <c r="G1355" s="639"/>
      <c r="H1355" s="668"/>
      <c r="I1355" s="721"/>
      <c r="J1355" s="639"/>
      <c r="K1355" s="1124"/>
    </row>
    <row r="1356" spans="1:11" x14ac:dyDescent="0.25">
      <c r="A1356" s="718">
        <v>5</v>
      </c>
      <c r="B1356" s="668"/>
      <c r="C1356" s="721"/>
      <c r="D1356" s="721"/>
      <c r="E1356" s="721"/>
      <c r="F1356" s="721"/>
      <c r="G1356" s="639"/>
      <c r="H1356" s="668"/>
      <c r="I1356" s="721"/>
      <c r="J1356" s="639"/>
      <c r="K1356" s="1124"/>
    </row>
    <row r="1357" spans="1:11" ht="13.8" thickBot="1" x14ac:dyDescent="0.3">
      <c r="A1357" s="719">
        <v>6</v>
      </c>
      <c r="B1357" s="669"/>
      <c r="C1357" s="1137"/>
      <c r="D1357" s="1137"/>
      <c r="E1357" s="1137"/>
      <c r="F1357" s="1137"/>
      <c r="G1357" s="646"/>
      <c r="H1357" s="669"/>
      <c r="I1357" s="1137"/>
      <c r="J1357" s="646"/>
      <c r="K1357" s="1138"/>
    </row>
    <row r="1358" spans="1:11" x14ac:dyDescent="0.25">
      <c r="A1358" s="1190">
        <v>1</v>
      </c>
      <c r="B1358" s="745"/>
      <c r="C1358" s="1117"/>
      <c r="D1358" s="1117"/>
      <c r="E1358" s="1117"/>
      <c r="F1358" s="1117"/>
      <c r="G1358" s="632"/>
      <c r="H1358" s="745"/>
      <c r="I1358" s="1117"/>
      <c r="J1358" s="632"/>
      <c r="K1358" s="1118"/>
    </row>
    <row r="1359" spans="1:11" x14ac:dyDescent="0.25">
      <c r="A1359" s="718">
        <v>2</v>
      </c>
      <c r="B1359" s="668"/>
      <c r="C1359" s="721"/>
      <c r="D1359" s="721"/>
      <c r="E1359" s="721"/>
      <c r="F1359" s="721"/>
      <c r="G1359" s="639"/>
      <c r="H1359" s="668"/>
      <c r="I1359" s="721"/>
      <c r="J1359" s="639"/>
      <c r="K1359" s="1124"/>
    </row>
    <row r="1360" spans="1:11" ht="13.8" thickBot="1" x14ac:dyDescent="0.3">
      <c r="A1360" s="1191">
        <v>3</v>
      </c>
      <c r="B1360" s="1132"/>
      <c r="C1360" s="1133"/>
      <c r="D1360" s="1133"/>
      <c r="E1360" s="1133"/>
      <c r="F1360" s="1133"/>
      <c r="G1360" s="1134"/>
      <c r="H1360" s="1132"/>
      <c r="I1360" s="1133"/>
      <c r="J1360" s="1134"/>
      <c r="K1360" s="1147"/>
    </row>
    <row r="1361" spans="1:11" ht="13.8" thickBot="1" x14ac:dyDescent="0.3">
      <c r="A1361" s="1186" t="s">
        <v>622</v>
      </c>
      <c r="B1361" s="1187"/>
      <c r="C1361" s="1188"/>
      <c r="D1361" s="1188"/>
      <c r="E1361" s="1188"/>
      <c r="F1361" s="1188"/>
      <c r="G1361" s="1189"/>
      <c r="H1361" s="1187"/>
      <c r="I1361" s="1188"/>
      <c r="J1361" s="1189"/>
      <c r="K1361" s="716"/>
    </row>
    <row r="1362" spans="1:11" x14ac:dyDescent="0.25">
      <c r="A1362" s="1190">
        <v>1</v>
      </c>
      <c r="B1362" s="745"/>
      <c r="C1362" s="1117"/>
      <c r="D1362" s="1117"/>
      <c r="E1362" s="1117"/>
      <c r="F1362" s="1117"/>
      <c r="G1362" s="632"/>
      <c r="H1362" s="745"/>
      <c r="I1362" s="1117"/>
      <c r="J1362" s="632"/>
      <c r="K1362" s="1118"/>
    </row>
    <row r="1363" spans="1:11" x14ac:dyDescent="0.25">
      <c r="A1363" s="718">
        <v>2</v>
      </c>
      <c r="B1363" s="668"/>
      <c r="C1363" s="721"/>
      <c r="D1363" s="721"/>
      <c r="E1363" s="721"/>
      <c r="F1363" s="721"/>
      <c r="G1363" s="639"/>
      <c r="H1363" s="668"/>
      <c r="I1363" s="721"/>
      <c r="J1363" s="639"/>
      <c r="K1363" s="1124"/>
    </row>
    <row r="1364" spans="1:11" x14ac:dyDescent="0.25">
      <c r="A1364" s="718">
        <v>3</v>
      </c>
      <c r="B1364" s="668"/>
      <c r="C1364" s="721"/>
      <c r="D1364" s="721"/>
      <c r="E1364" s="721"/>
      <c r="F1364" s="721"/>
      <c r="G1364" s="639"/>
      <c r="H1364" s="668"/>
      <c r="I1364" s="721"/>
      <c r="J1364" s="639"/>
      <c r="K1364" s="1124"/>
    </row>
    <row r="1365" spans="1:11" x14ac:dyDescent="0.25">
      <c r="A1365" s="718">
        <v>4</v>
      </c>
      <c r="B1365" s="668"/>
      <c r="C1365" s="721"/>
      <c r="D1365" s="721"/>
      <c r="E1365" s="721"/>
      <c r="F1365" s="721"/>
      <c r="G1365" s="639"/>
      <c r="H1365" s="668"/>
      <c r="I1365" s="721"/>
      <c r="J1365" s="639"/>
      <c r="K1365" s="1124"/>
    </row>
    <row r="1366" spans="1:11" x14ac:dyDescent="0.25">
      <c r="A1366" s="718">
        <v>5</v>
      </c>
      <c r="B1366" s="668"/>
      <c r="C1366" s="721"/>
      <c r="D1366" s="721"/>
      <c r="E1366" s="721"/>
      <c r="F1366" s="721"/>
      <c r="G1366" s="639"/>
      <c r="H1366" s="668"/>
      <c r="I1366" s="721"/>
      <c r="J1366" s="639"/>
      <c r="K1366" s="1124"/>
    </row>
    <row r="1367" spans="1:11" ht="13.8" thickBot="1" x14ac:dyDescent="0.3">
      <c r="A1367" s="719">
        <v>6</v>
      </c>
      <c r="B1367" s="669"/>
      <c r="C1367" s="1137"/>
      <c r="D1367" s="1137"/>
      <c r="E1367" s="1137"/>
      <c r="F1367" s="1137"/>
      <c r="G1367" s="646"/>
      <c r="H1367" s="669"/>
      <c r="I1367" s="1137"/>
      <c r="J1367" s="646"/>
      <c r="K1367" s="1138"/>
    </row>
    <row r="1368" spans="1:11" x14ac:dyDescent="0.25">
      <c r="A1368" s="1190">
        <v>1</v>
      </c>
      <c r="B1368" s="745"/>
      <c r="C1368" s="1117"/>
      <c r="D1368" s="1117"/>
      <c r="E1368" s="1117"/>
      <c r="F1368" s="1117"/>
      <c r="G1368" s="632"/>
      <c r="H1368" s="745"/>
      <c r="I1368" s="1117"/>
      <c r="J1368" s="632"/>
      <c r="K1368" s="1118"/>
    </row>
    <row r="1369" spans="1:11" x14ac:dyDescent="0.25">
      <c r="A1369" s="718">
        <v>2</v>
      </c>
      <c r="B1369" s="668"/>
      <c r="C1369" s="721"/>
      <c r="D1369" s="721"/>
      <c r="E1369" s="721"/>
      <c r="F1369" s="721"/>
      <c r="G1369" s="639"/>
      <c r="H1369" s="668"/>
      <c r="I1369" s="721"/>
      <c r="J1369" s="639"/>
      <c r="K1369" s="1124"/>
    </row>
    <row r="1370" spans="1:11" ht="13.8" thickBot="1" x14ac:dyDescent="0.3">
      <c r="A1370" s="719">
        <v>3</v>
      </c>
      <c r="B1370" s="669"/>
      <c r="C1370" s="1137"/>
      <c r="D1370" s="1137"/>
      <c r="E1370" s="1137"/>
      <c r="F1370" s="1137"/>
      <c r="G1370" s="646"/>
      <c r="H1370" s="669"/>
      <c r="I1370" s="1137"/>
      <c r="J1370" s="646"/>
      <c r="K1370" s="1138"/>
    </row>
    <row r="1371" spans="1:11" ht="13.8" thickBot="1" x14ac:dyDescent="0.3">
      <c r="A1371" s="1186" t="s">
        <v>623</v>
      </c>
      <c r="B1371" s="1187"/>
      <c r="C1371" s="1188"/>
      <c r="D1371" s="1188"/>
      <c r="E1371" s="1188"/>
      <c r="F1371" s="1188"/>
      <c r="G1371" s="1189"/>
      <c r="H1371" s="1187"/>
      <c r="I1371" s="1188"/>
      <c r="J1371" s="1189"/>
      <c r="K1371" s="716"/>
    </row>
    <row r="1372" spans="1:11" x14ac:dyDescent="0.25">
      <c r="A1372" s="1190">
        <v>1</v>
      </c>
      <c r="B1372" s="745"/>
      <c r="C1372" s="1117"/>
      <c r="D1372" s="1117"/>
      <c r="E1372" s="1117"/>
      <c r="F1372" s="1117"/>
      <c r="G1372" s="632"/>
      <c r="H1372" s="745"/>
      <c r="I1372" s="1117"/>
      <c r="J1372" s="632"/>
      <c r="K1372" s="1118"/>
    </row>
    <row r="1373" spans="1:11" x14ac:dyDescent="0.25">
      <c r="A1373" s="718">
        <v>2</v>
      </c>
      <c r="B1373" s="668"/>
      <c r="C1373" s="721"/>
      <c r="D1373" s="721"/>
      <c r="E1373" s="721"/>
      <c r="F1373" s="721"/>
      <c r="G1373" s="639"/>
      <c r="H1373" s="668"/>
      <c r="I1373" s="721"/>
      <c r="J1373" s="639"/>
      <c r="K1373" s="1124"/>
    </row>
    <row r="1374" spans="1:11" x14ac:dyDescent="0.25">
      <c r="A1374" s="718">
        <v>3</v>
      </c>
      <c r="B1374" s="668"/>
      <c r="C1374" s="721"/>
      <c r="D1374" s="721"/>
      <c r="E1374" s="721"/>
      <c r="F1374" s="721"/>
      <c r="G1374" s="639"/>
      <c r="H1374" s="668"/>
      <c r="I1374" s="721"/>
      <c r="J1374" s="639"/>
      <c r="K1374" s="1124"/>
    </row>
    <row r="1375" spans="1:11" x14ac:dyDescent="0.25">
      <c r="A1375" s="718">
        <v>4</v>
      </c>
      <c r="B1375" s="668"/>
      <c r="C1375" s="721"/>
      <c r="D1375" s="721"/>
      <c r="E1375" s="721"/>
      <c r="F1375" s="721"/>
      <c r="G1375" s="639"/>
      <c r="H1375" s="668"/>
      <c r="I1375" s="721"/>
      <c r="J1375" s="639"/>
      <c r="K1375" s="1124"/>
    </row>
    <row r="1376" spans="1:11" x14ac:dyDescent="0.25">
      <c r="A1376" s="718">
        <v>5</v>
      </c>
      <c r="B1376" s="668"/>
      <c r="C1376" s="721"/>
      <c r="D1376" s="721"/>
      <c r="E1376" s="721"/>
      <c r="F1376" s="721"/>
      <c r="G1376" s="639"/>
      <c r="H1376" s="668"/>
      <c r="I1376" s="721"/>
      <c r="J1376" s="639"/>
      <c r="K1376" s="1124"/>
    </row>
    <row r="1377" spans="1:11" ht="13.8" thickBot="1" x14ac:dyDescent="0.3">
      <c r="A1377" s="719">
        <v>6</v>
      </c>
      <c r="B1377" s="669"/>
      <c r="C1377" s="1137"/>
      <c r="D1377" s="1137"/>
      <c r="E1377" s="1137"/>
      <c r="F1377" s="1137"/>
      <c r="G1377" s="646"/>
      <c r="H1377" s="669"/>
      <c r="I1377" s="1137"/>
      <c r="J1377" s="646"/>
      <c r="K1377" s="1138"/>
    </row>
    <row r="1378" spans="1:11" x14ac:dyDescent="0.25">
      <c r="A1378" s="1190">
        <v>1</v>
      </c>
      <c r="B1378" s="745"/>
      <c r="C1378" s="1117"/>
      <c r="D1378" s="1117"/>
      <c r="E1378" s="1117"/>
      <c r="F1378" s="1117"/>
      <c r="G1378" s="632"/>
      <c r="H1378" s="745"/>
      <c r="I1378" s="1117"/>
      <c r="J1378" s="632"/>
      <c r="K1378" s="1118"/>
    </row>
    <row r="1379" spans="1:11" x14ac:dyDescent="0.25">
      <c r="A1379" s="718">
        <v>2</v>
      </c>
      <c r="B1379" s="668"/>
      <c r="C1379" s="721"/>
      <c r="D1379" s="721"/>
      <c r="E1379" s="721"/>
      <c r="F1379" s="721"/>
      <c r="G1379" s="639"/>
      <c r="H1379" s="668"/>
      <c r="I1379" s="721"/>
      <c r="J1379" s="639"/>
      <c r="K1379" s="1124"/>
    </row>
    <row r="1380" spans="1:11" ht="13.8" thickBot="1" x14ac:dyDescent="0.3">
      <c r="A1380" s="719">
        <v>3</v>
      </c>
      <c r="B1380" s="669"/>
      <c r="C1380" s="1137"/>
      <c r="D1380" s="1137"/>
      <c r="E1380" s="1137"/>
      <c r="F1380" s="1137"/>
      <c r="G1380" s="646"/>
      <c r="H1380" s="669"/>
      <c r="I1380" s="1137"/>
      <c r="J1380" s="646"/>
      <c r="K1380" s="1138"/>
    </row>
    <row r="1381" spans="1:11" ht="13.8" thickBot="1" x14ac:dyDescent="0.3">
      <c r="A1381" s="1186" t="s">
        <v>624</v>
      </c>
      <c r="B1381" s="1187"/>
      <c r="C1381" s="1188"/>
      <c r="D1381" s="1188"/>
      <c r="E1381" s="1188"/>
      <c r="F1381" s="1188"/>
      <c r="G1381" s="1189"/>
      <c r="H1381" s="1187"/>
      <c r="I1381" s="1188"/>
      <c r="J1381" s="1189"/>
      <c r="K1381" s="716"/>
    </row>
    <row r="1382" spans="1:11" x14ac:dyDescent="0.25">
      <c r="A1382" s="1190">
        <v>1</v>
      </c>
      <c r="B1382" s="745"/>
      <c r="C1382" s="1117"/>
      <c r="D1382" s="1117"/>
      <c r="E1382" s="1117"/>
      <c r="F1382" s="1117"/>
      <c r="G1382" s="632"/>
      <c r="H1382" s="745"/>
      <c r="I1382" s="1117"/>
      <c r="J1382" s="632"/>
      <c r="K1382" s="1118"/>
    </row>
    <row r="1383" spans="1:11" x14ac:dyDescent="0.25">
      <c r="A1383" s="718">
        <v>2</v>
      </c>
      <c r="B1383" s="668"/>
      <c r="C1383" s="721"/>
      <c r="D1383" s="721"/>
      <c r="E1383" s="721"/>
      <c r="F1383" s="721"/>
      <c r="G1383" s="639"/>
      <c r="H1383" s="668"/>
      <c r="I1383" s="721"/>
      <c r="J1383" s="639"/>
      <c r="K1383" s="1124"/>
    </row>
    <row r="1384" spans="1:11" x14ac:dyDescent="0.25">
      <c r="A1384" s="718">
        <v>3</v>
      </c>
      <c r="B1384" s="668"/>
      <c r="C1384" s="721"/>
      <c r="D1384" s="721"/>
      <c r="E1384" s="721"/>
      <c r="F1384" s="721"/>
      <c r="G1384" s="639"/>
      <c r="H1384" s="668"/>
      <c r="I1384" s="721"/>
      <c r="J1384" s="639"/>
      <c r="K1384" s="1124"/>
    </row>
    <row r="1385" spans="1:11" x14ac:dyDescent="0.25">
      <c r="A1385" s="718">
        <v>4</v>
      </c>
      <c r="B1385" s="668"/>
      <c r="C1385" s="721"/>
      <c r="D1385" s="721"/>
      <c r="E1385" s="721"/>
      <c r="F1385" s="721"/>
      <c r="G1385" s="639"/>
      <c r="H1385" s="668"/>
      <c r="I1385" s="721"/>
      <c r="J1385" s="639"/>
      <c r="K1385" s="1124"/>
    </row>
    <row r="1386" spans="1:11" x14ac:dyDescent="0.25">
      <c r="A1386" s="718">
        <v>5</v>
      </c>
      <c r="B1386" s="668"/>
      <c r="C1386" s="721"/>
      <c r="D1386" s="721"/>
      <c r="E1386" s="721"/>
      <c r="F1386" s="721"/>
      <c r="G1386" s="639"/>
      <c r="H1386" s="668"/>
      <c r="I1386" s="721"/>
      <c r="J1386" s="639"/>
      <c r="K1386" s="1124"/>
    </row>
    <row r="1387" spans="1:11" ht="13.8" thickBot="1" x14ac:dyDescent="0.3">
      <c r="A1387" s="719">
        <v>6</v>
      </c>
      <c r="B1387" s="669"/>
      <c r="C1387" s="1137"/>
      <c r="D1387" s="1137"/>
      <c r="E1387" s="1137"/>
      <c r="F1387" s="1137"/>
      <c r="G1387" s="646"/>
      <c r="H1387" s="669"/>
      <c r="I1387" s="1137"/>
      <c r="J1387" s="646"/>
      <c r="K1387" s="1138"/>
    </row>
    <row r="1388" spans="1:11" x14ac:dyDescent="0.25">
      <c r="A1388" s="1190">
        <v>1</v>
      </c>
      <c r="B1388" s="745"/>
      <c r="C1388" s="1117"/>
      <c r="D1388" s="1117"/>
      <c r="E1388" s="1117"/>
      <c r="F1388" s="1117"/>
      <c r="G1388" s="632"/>
      <c r="H1388" s="745"/>
      <c r="I1388" s="1117"/>
      <c r="J1388" s="632"/>
      <c r="K1388" s="1118"/>
    </row>
    <row r="1389" spans="1:11" x14ac:dyDescent="0.25">
      <c r="A1389" s="718">
        <v>2</v>
      </c>
      <c r="B1389" s="668"/>
      <c r="C1389" s="721"/>
      <c r="D1389" s="721"/>
      <c r="E1389" s="721"/>
      <c r="F1389" s="721"/>
      <c r="G1389" s="639"/>
      <c r="H1389" s="668"/>
      <c r="I1389" s="721"/>
      <c r="J1389" s="639"/>
      <c r="K1389" s="1124"/>
    </row>
    <row r="1390" spans="1:11" ht="13.8" thickBot="1" x14ac:dyDescent="0.3">
      <c r="A1390" s="719">
        <v>3</v>
      </c>
      <c r="B1390" s="669"/>
      <c r="C1390" s="1137"/>
      <c r="D1390" s="1137"/>
      <c r="E1390" s="1137"/>
      <c r="F1390" s="1137"/>
      <c r="G1390" s="646"/>
      <c r="H1390" s="669"/>
      <c r="I1390" s="1137"/>
      <c r="J1390" s="646"/>
      <c r="K1390" s="1138"/>
    </row>
    <row r="1391" spans="1:11" ht="13.8" thickBot="1" x14ac:dyDescent="0.3">
      <c r="A1391" s="1186" t="s">
        <v>625</v>
      </c>
      <c r="B1391" s="1187"/>
      <c r="C1391" s="1188"/>
      <c r="D1391" s="1188"/>
      <c r="E1391" s="1188"/>
      <c r="F1391" s="1188"/>
      <c r="G1391" s="1189"/>
      <c r="H1391" s="1187"/>
      <c r="I1391" s="1188"/>
      <c r="J1391" s="1189"/>
      <c r="K1391" s="716"/>
    </row>
    <row r="1392" spans="1:11" x14ac:dyDescent="0.25">
      <c r="A1392" s="1190">
        <v>1</v>
      </c>
      <c r="B1392" s="745"/>
      <c r="C1392" s="1117"/>
      <c r="D1392" s="1117"/>
      <c r="E1392" s="1117"/>
      <c r="F1392" s="1117"/>
      <c r="G1392" s="632"/>
      <c r="H1392" s="745"/>
      <c r="I1392" s="1117"/>
      <c r="J1392" s="632"/>
      <c r="K1392" s="1118"/>
    </row>
    <row r="1393" spans="1:11" x14ac:dyDescent="0.25">
      <c r="A1393" s="718">
        <v>2</v>
      </c>
      <c r="B1393" s="668"/>
      <c r="C1393" s="721"/>
      <c r="D1393" s="721"/>
      <c r="E1393" s="721"/>
      <c r="F1393" s="721"/>
      <c r="G1393" s="639"/>
      <c r="H1393" s="668"/>
      <c r="I1393" s="721"/>
      <c r="J1393" s="639"/>
      <c r="K1393" s="1124"/>
    </row>
    <row r="1394" spans="1:11" x14ac:dyDescent="0.25">
      <c r="A1394" s="718">
        <v>3</v>
      </c>
      <c r="B1394" s="668"/>
      <c r="C1394" s="721"/>
      <c r="D1394" s="721"/>
      <c r="E1394" s="721"/>
      <c r="F1394" s="721"/>
      <c r="G1394" s="639"/>
      <c r="H1394" s="668"/>
      <c r="I1394" s="721"/>
      <c r="J1394" s="639"/>
      <c r="K1394" s="1124"/>
    </row>
    <row r="1395" spans="1:11" x14ac:dyDescent="0.25">
      <c r="A1395" s="718">
        <v>4</v>
      </c>
      <c r="B1395" s="668"/>
      <c r="C1395" s="721"/>
      <c r="D1395" s="721"/>
      <c r="E1395" s="721"/>
      <c r="F1395" s="721"/>
      <c r="G1395" s="639"/>
      <c r="H1395" s="668"/>
      <c r="I1395" s="721"/>
      <c r="J1395" s="639"/>
      <c r="K1395" s="1124"/>
    </row>
    <row r="1396" spans="1:11" x14ac:dyDescent="0.25">
      <c r="A1396" s="718">
        <v>5</v>
      </c>
      <c r="B1396" s="668"/>
      <c r="C1396" s="721"/>
      <c r="D1396" s="721"/>
      <c r="E1396" s="721"/>
      <c r="F1396" s="721"/>
      <c r="G1396" s="639"/>
      <c r="H1396" s="668"/>
      <c r="I1396" s="721"/>
      <c r="J1396" s="639"/>
      <c r="K1396" s="1124"/>
    </row>
    <row r="1397" spans="1:11" ht="13.8" thickBot="1" x14ac:dyDescent="0.3">
      <c r="A1397" s="719">
        <v>6</v>
      </c>
      <c r="B1397" s="669"/>
      <c r="C1397" s="1137"/>
      <c r="D1397" s="1137"/>
      <c r="E1397" s="1137"/>
      <c r="F1397" s="1137"/>
      <c r="G1397" s="646"/>
      <c r="H1397" s="669"/>
      <c r="I1397" s="1137"/>
      <c r="J1397" s="646"/>
      <c r="K1397" s="1138"/>
    </row>
    <row r="1398" spans="1:11" x14ac:dyDescent="0.25">
      <c r="A1398" s="1190">
        <v>1</v>
      </c>
      <c r="B1398" s="745"/>
      <c r="C1398" s="1117"/>
      <c r="D1398" s="1117"/>
      <c r="E1398" s="1117"/>
      <c r="F1398" s="1117"/>
      <c r="G1398" s="632"/>
      <c r="H1398" s="745"/>
      <c r="I1398" s="1117"/>
      <c r="J1398" s="632"/>
      <c r="K1398" s="1118"/>
    </row>
    <row r="1399" spans="1:11" x14ac:dyDescent="0.25">
      <c r="A1399" s="718">
        <v>2</v>
      </c>
      <c r="B1399" s="668"/>
      <c r="C1399" s="721"/>
      <c r="D1399" s="721"/>
      <c r="E1399" s="721"/>
      <c r="F1399" s="721"/>
      <c r="G1399" s="639"/>
      <c r="H1399" s="668"/>
      <c r="I1399" s="721"/>
      <c r="J1399" s="639"/>
      <c r="K1399" s="1124"/>
    </row>
    <row r="1400" spans="1:11" ht="13.8" thickBot="1" x14ac:dyDescent="0.3">
      <c r="A1400" s="719">
        <v>3</v>
      </c>
      <c r="B1400" s="669"/>
      <c r="C1400" s="1137"/>
      <c r="D1400" s="1137"/>
      <c r="E1400" s="1137"/>
      <c r="F1400" s="1137"/>
      <c r="G1400" s="646"/>
      <c r="H1400" s="669"/>
      <c r="I1400" s="1137"/>
      <c r="J1400" s="646"/>
      <c r="K1400" s="1138"/>
    </row>
    <row r="1401" spans="1:11" ht="13.8" thickBot="1" x14ac:dyDescent="0.3">
      <c r="A1401" s="1186" t="s">
        <v>626</v>
      </c>
      <c r="B1401" s="1187"/>
      <c r="C1401" s="1188"/>
      <c r="D1401" s="1188"/>
      <c r="E1401" s="1188"/>
      <c r="F1401" s="1188"/>
      <c r="G1401" s="1189"/>
      <c r="H1401" s="1187"/>
      <c r="I1401" s="1188"/>
      <c r="J1401" s="1189"/>
      <c r="K1401" s="716"/>
    </row>
    <row r="1402" spans="1:11" x14ac:dyDescent="0.25">
      <c r="A1402" s="1190">
        <v>1</v>
      </c>
      <c r="B1402" s="745"/>
      <c r="C1402" s="1117"/>
      <c r="D1402" s="1117"/>
      <c r="E1402" s="1117"/>
      <c r="F1402" s="1117"/>
      <c r="G1402" s="632"/>
      <c r="H1402" s="745"/>
      <c r="I1402" s="1117"/>
      <c r="J1402" s="632"/>
      <c r="K1402" s="1118"/>
    </row>
    <row r="1403" spans="1:11" x14ac:dyDescent="0.25">
      <c r="A1403" s="718">
        <v>2</v>
      </c>
      <c r="B1403" s="668"/>
      <c r="C1403" s="721"/>
      <c r="D1403" s="721"/>
      <c r="E1403" s="721"/>
      <c r="F1403" s="721"/>
      <c r="G1403" s="639"/>
      <c r="H1403" s="668"/>
      <c r="I1403" s="721"/>
      <c r="J1403" s="639"/>
      <c r="K1403" s="1124"/>
    </row>
    <row r="1404" spans="1:11" x14ac:dyDescent="0.25">
      <c r="A1404" s="718">
        <v>3</v>
      </c>
      <c r="B1404" s="668"/>
      <c r="C1404" s="721"/>
      <c r="D1404" s="721"/>
      <c r="E1404" s="721"/>
      <c r="F1404" s="721"/>
      <c r="G1404" s="639"/>
      <c r="H1404" s="668"/>
      <c r="I1404" s="721"/>
      <c r="J1404" s="639"/>
      <c r="K1404" s="1124"/>
    </row>
    <row r="1405" spans="1:11" x14ac:dyDescent="0.25">
      <c r="A1405" s="718">
        <v>4</v>
      </c>
      <c r="B1405" s="668"/>
      <c r="C1405" s="721"/>
      <c r="D1405" s="721"/>
      <c r="E1405" s="721"/>
      <c r="F1405" s="721"/>
      <c r="G1405" s="639"/>
      <c r="H1405" s="668"/>
      <c r="I1405" s="721"/>
      <c r="J1405" s="639"/>
      <c r="K1405" s="1124"/>
    </row>
    <row r="1406" spans="1:11" x14ac:dyDescent="0.25">
      <c r="A1406" s="718">
        <v>5</v>
      </c>
      <c r="B1406" s="668"/>
      <c r="C1406" s="721"/>
      <c r="D1406" s="721"/>
      <c r="E1406" s="721"/>
      <c r="F1406" s="721"/>
      <c r="G1406" s="639"/>
      <c r="H1406" s="668"/>
      <c r="I1406" s="721"/>
      <c r="J1406" s="639"/>
      <c r="K1406" s="1124"/>
    </row>
    <row r="1407" spans="1:11" ht="13.8" thickBot="1" x14ac:dyDescent="0.3">
      <c r="A1407" s="719">
        <v>6</v>
      </c>
      <c r="B1407" s="669"/>
      <c r="C1407" s="1137"/>
      <c r="D1407" s="1137"/>
      <c r="E1407" s="1137"/>
      <c r="F1407" s="1137"/>
      <c r="G1407" s="646"/>
      <c r="H1407" s="669"/>
      <c r="I1407" s="1137"/>
      <c r="J1407" s="646"/>
      <c r="K1407" s="1138"/>
    </row>
    <row r="1408" spans="1:11" x14ac:dyDescent="0.25">
      <c r="A1408" s="1190">
        <v>1</v>
      </c>
      <c r="B1408" s="745"/>
      <c r="C1408" s="1117"/>
      <c r="D1408" s="1117"/>
      <c r="E1408" s="1117"/>
      <c r="F1408" s="1117"/>
      <c r="G1408" s="632"/>
      <c r="H1408" s="745"/>
      <c r="I1408" s="1117"/>
      <c r="J1408" s="632"/>
      <c r="K1408" s="1118"/>
    </row>
    <row r="1409" spans="1:11" x14ac:dyDescent="0.25">
      <c r="A1409" s="718">
        <v>2</v>
      </c>
      <c r="B1409" s="668"/>
      <c r="C1409" s="721"/>
      <c r="D1409" s="721"/>
      <c r="E1409" s="721"/>
      <c r="F1409" s="721"/>
      <c r="G1409" s="639"/>
      <c r="H1409" s="668"/>
      <c r="I1409" s="721"/>
      <c r="J1409" s="639"/>
      <c r="K1409" s="1124"/>
    </row>
    <row r="1410" spans="1:11" ht="13.8" thickBot="1" x14ac:dyDescent="0.3">
      <c r="A1410" s="719">
        <v>3</v>
      </c>
      <c r="B1410" s="669"/>
      <c r="C1410" s="1137"/>
      <c r="D1410" s="1137"/>
      <c r="E1410" s="1137"/>
      <c r="F1410" s="1137"/>
      <c r="G1410" s="646"/>
      <c r="H1410" s="669"/>
      <c r="I1410" s="1137"/>
      <c r="J1410" s="646"/>
      <c r="K1410" s="1138"/>
    </row>
    <row r="1411" spans="1:11" ht="13.8" thickBot="1" x14ac:dyDescent="0.3">
      <c r="A1411" s="1186" t="s">
        <v>627</v>
      </c>
      <c r="B1411" s="1187"/>
      <c r="C1411" s="1188"/>
      <c r="D1411" s="1188"/>
      <c r="E1411" s="1188"/>
      <c r="F1411" s="1188"/>
      <c r="G1411" s="1189"/>
      <c r="H1411" s="1187"/>
      <c r="I1411" s="1188"/>
      <c r="J1411" s="1189"/>
      <c r="K1411" s="716"/>
    </row>
    <row r="1412" spans="1:11" x14ac:dyDescent="0.25">
      <c r="A1412" s="1190">
        <v>1</v>
      </c>
      <c r="B1412" s="745"/>
      <c r="C1412" s="1117"/>
      <c r="D1412" s="1117"/>
      <c r="E1412" s="1117"/>
      <c r="F1412" s="1117"/>
      <c r="G1412" s="632"/>
      <c r="H1412" s="745"/>
      <c r="I1412" s="1117"/>
      <c r="J1412" s="632"/>
      <c r="K1412" s="1118"/>
    </row>
    <row r="1413" spans="1:11" x14ac:dyDescent="0.25">
      <c r="A1413" s="718">
        <v>2</v>
      </c>
      <c r="B1413" s="668"/>
      <c r="C1413" s="721"/>
      <c r="D1413" s="721"/>
      <c r="E1413" s="721"/>
      <c r="F1413" s="721"/>
      <c r="G1413" s="639"/>
      <c r="H1413" s="668"/>
      <c r="I1413" s="721"/>
      <c r="J1413" s="639"/>
      <c r="K1413" s="1124"/>
    </row>
    <row r="1414" spans="1:11" x14ac:dyDescent="0.25">
      <c r="A1414" s="718">
        <v>3</v>
      </c>
      <c r="B1414" s="668"/>
      <c r="C1414" s="721"/>
      <c r="D1414" s="721"/>
      <c r="E1414" s="721"/>
      <c r="F1414" s="721"/>
      <c r="G1414" s="639"/>
      <c r="H1414" s="668"/>
      <c r="I1414" s="721"/>
      <c r="J1414" s="639"/>
      <c r="K1414" s="1124"/>
    </row>
    <row r="1415" spans="1:11" x14ac:dyDescent="0.25">
      <c r="A1415" s="718">
        <v>4</v>
      </c>
      <c r="B1415" s="668"/>
      <c r="C1415" s="721"/>
      <c r="D1415" s="721"/>
      <c r="E1415" s="721"/>
      <c r="F1415" s="721"/>
      <c r="G1415" s="639"/>
      <c r="H1415" s="668"/>
      <c r="I1415" s="721"/>
      <c r="J1415" s="639"/>
      <c r="K1415" s="1124"/>
    </row>
    <row r="1416" spans="1:11" x14ac:dyDescent="0.25">
      <c r="A1416" s="718">
        <v>5</v>
      </c>
      <c r="B1416" s="668"/>
      <c r="C1416" s="721"/>
      <c r="D1416" s="721"/>
      <c r="E1416" s="721"/>
      <c r="F1416" s="721"/>
      <c r="G1416" s="639"/>
      <c r="H1416" s="668"/>
      <c r="I1416" s="721"/>
      <c r="J1416" s="639"/>
      <c r="K1416" s="1124"/>
    </row>
    <row r="1417" spans="1:11" ht="13.8" thickBot="1" x14ac:dyDescent="0.3">
      <c r="A1417" s="719">
        <v>6</v>
      </c>
      <c r="B1417" s="669"/>
      <c r="C1417" s="1137"/>
      <c r="D1417" s="1137"/>
      <c r="E1417" s="1137"/>
      <c r="F1417" s="1137"/>
      <c r="G1417" s="646"/>
      <c r="H1417" s="669"/>
      <c r="I1417" s="1137"/>
      <c r="J1417" s="646"/>
      <c r="K1417" s="1138"/>
    </row>
    <row r="1418" spans="1:11" x14ac:dyDescent="0.25">
      <c r="A1418" s="1190">
        <v>1</v>
      </c>
      <c r="B1418" s="745"/>
      <c r="C1418" s="1117"/>
      <c r="D1418" s="1117"/>
      <c r="E1418" s="1117"/>
      <c r="F1418" s="1117"/>
      <c r="G1418" s="632"/>
      <c r="H1418" s="745"/>
      <c r="I1418" s="1117"/>
      <c r="J1418" s="632"/>
      <c r="K1418" s="1118"/>
    </row>
    <row r="1419" spans="1:11" x14ac:dyDescent="0.25">
      <c r="A1419" s="718">
        <v>2</v>
      </c>
      <c r="B1419" s="668"/>
      <c r="C1419" s="721"/>
      <c r="D1419" s="721"/>
      <c r="E1419" s="721"/>
      <c r="F1419" s="721"/>
      <c r="G1419" s="639"/>
      <c r="H1419" s="668"/>
      <c r="I1419" s="721"/>
      <c r="J1419" s="639"/>
      <c r="K1419" s="1124"/>
    </row>
    <row r="1420" spans="1:11" ht="13.8" thickBot="1" x14ac:dyDescent="0.3">
      <c r="A1420" s="719">
        <v>3</v>
      </c>
      <c r="B1420" s="669"/>
      <c r="C1420" s="1137"/>
      <c r="D1420" s="1137"/>
      <c r="E1420" s="1137"/>
      <c r="F1420" s="1137"/>
      <c r="G1420" s="646"/>
      <c r="H1420" s="669"/>
      <c r="I1420" s="1137"/>
      <c r="J1420" s="646"/>
      <c r="K1420" s="1138"/>
    </row>
    <row r="1421" spans="1:11" ht="13.8" thickBot="1" x14ac:dyDescent="0.3">
      <c r="A1421" s="1186" t="s">
        <v>628</v>
      </c>
      <c r="B1421" s="1187"/>
      <c r="C1421" s="1188"/>
      <c r="D1421" s="1188"/>
      <c r="E1421" s="1188"/>
      <c r="F1421" s="1188"/>
      <c r="G1421" s="1189"/>
      <c r="H1421" s="1187"/>
      <c r="I1421" s="1188"/>
      <c r="J1421" s="1189"/>
      <c r="K1421" s="716"/>
    </row>
    <row r="1422" spans="1:11" x14ac:dyDescent="0.25">
      <c r="A1422" s="1190">
        <v>1</v>
      </c>
      <c r="B1422" s="745"/>
      <c r="C1422" s="1117"/>
      <c r="D1422" s="1117"/>
      <c r="E1422" s="1117"/>
      <c r="F1422" s="1117"/>
      <c r="G1422" s="632"/>
      <c r="H1422" s="745"/>
      <c r="I1422" s="1117"/>
      <c r="J1422" s="632"/>
      <c r="K1422" s="1118"/>
    </row>
    <row r="1423" spans="1:11" x14ac:dyDescent="0.25">
      <c r="A1423" s="718">
        <v>2</v>
      </c>
      <c r="B1423" s="668"/>
      <c r="C1423" s="721"/>
      <c r="D1423" s="721"/>
      <c r="E1423" s="721"/>
      <c r="F1423" s="721"/>
      <c r="G1423" s="639"/>
      <c r="H1423" s="668"/>
      <c r="I1423" s="721"/>
      <c r="J1423" s="639"/>
      <c r="K1423" s="1124"/>
    </row>
    <row r="1424" spans="1:11" x14ac:dyDescent="0.25">
      <c r="A1424" s="718">
        <v>3</v>
      </c>
      <c r="B1424" s="668"/>
      <c r="C1424" s="721"/>
      <c r="D1424" s="721"/>
      <c r="E1424" s="721"/>
      <c r="F1424" s="721"/>
      <c r="G1424" s="639"/>
      <c r="H1424" s="668"/>
      <c r="I1424" s="721"/>
      <c r="J1424" s="639"/>
      <c r="K1424" s="1124"/>
    </row>
    <row r="1425" spans="1:11" x14ac:dyDescent="0.25">
      <c r="A1425" s="718">
        <v>4</v>
      </c>
      <c r="B1425" s="668"/>
      <c r="C1425" s="721"/>
      <c r="D1425" s="721"/>
      <c r="E1425" s="721"/>
      <c r="F1425" s="721"/>
      <c r="G1425" s="639"/>
      <c r="H1425" s="668"/>
      <c r="I1425" s="721"/>
      <c r="J1425" s="639"/>
      <c r="K1425" s="1124"/>
    </row>
    <row r="1426" spans="1:11" x14ac:dyDescent="0.25">
      <c r="A1426" s="718">
        <v>5</v>
      </c>
      <c r="B1426" s="668"/>
      <c r="C1426" s="721"/>
      <c r="D1426" s="721"/>
      <c r="E1426" s="721"/>
      <c r="F1426" s="721"/>
      <c r="G1426" s="639"/>
      <c r="H1426" s="668"/>
      <c r="I1426" s="721"/>
      <c r="J1426" s="639"/>
      <c r="K1426" s="1124"/>
    </row>
    <row r="1427" spans="1:11" ht="13.8" thickBot="1" x14ac:dyDescent="0.3">
      <c r="A1427" s="719">
        <v>6</v>
      </c>
      <c r="B1427" s="669"/>
      <c r="C1427" s="1137"/>
      <c r="D1427" s="1137"/>
      <c r="E1427" s="1137"/>
      <c r="F1427" s="1137"/>
      <c r="G1427" s="646"/>
      <c r="H1427" s="669"/>
      <c r="I1427" s="1137"/>
      <c r="J1427" s="646"/>
      <c r="K1427" s="1138"/>
    </row>
    <row r="1428" spans="1:11" x14ac:dyDescent="0.25">
      <c r="A1428" s="1190">
        <v>1</v>
      </c>
      <c r="B1428" s="745"/>
      <c r="C1428" s="1117"/>
      <c r="D1428" s="1117"/>
      <c r="E1428" s="1117"/>
      <c r="F1428" s="1117"/>
      <c r="G1428" s="632"/>
      <c r="H1428" s="745"/>
      <c r="I1428" s="1117"/>
      <c r="J1428" s="632"/>
      <c r="K1428" s="1118"/>
    </row>
    <row r="1429" spans="1:11" x14ac:dyDescent="0.25">
      <c r="A1429" s="718">
        <v>2</v>
      </c>
      <c r="B1429" s="668"/>
      <c r="C1429" s="721"/>
      <c r="D1429" s="721"/>
      <c r="E1429" s="721"/>
      <c r="F1429" s="721"/>
      <c r="G1429" s="639"/>
      <c r="H1429" s="668"/>
      <c r="I1429" s="721"/>
      <c r="J1429" s="639"/>
      <c r="K1429" s="1124"/>
    </row>
    <row r="1430" spans="1:11" ht="13.8" thickBot="1" x14ac:dyDescent="0.3">
      <c r="A1430" s="1191">
        <v>3</v>
      </c>
      <c r="B1430" s="1132"/>
      <c r="C1430" s="1133"/>
      <c r="D1430" s="1133"/>
      <c r="E1430" s="1133"/>
      <c r="F1430" s="1133"/>
      <c r="G1430" s="1134"/>
      <c r="H1430" s="1132"/>
      <c r="I1430" s="1133"/>
      <c r="J1430" s="1134"/>
      <c r="K1430" s="1147"/>
    </row>
    <row r="1431" spans="1:11" ht="13.8" thickBot="1" x14ac:dyDescent="0.3">
      <c r="A1431" s="1186" t="s">
        <v>629</v>
      </c>
      <c r="B1431" s="1187"/>
      <c r="C1431" s="1188"/>
      <c r="D1431" s="1188"/>
      <c r="E1431" s="1188"/>
      <c r="F1431" s="1188"/>
      <c r="G1431" s="1189"/>
      <c r="H1431" s="1187"/>
      <c r="I1431" s="1188"/>
      <c r="J1431" s="1189"/>
      <c r="K1431" s="716"/>
    </row>
    <row r="1432" spans="1:11" x14ac:dyDescent="0.25">
      <c r="A1432" s="1190">
        <v>1</v>
      </c>
      <c r="B1432" s="745"/>
      <c r="C1432" s="1117"/>
      <c r="D1432" s="1117"/>
      <c r="E1432" s="1117"/>
      <c r="F1432" s="1117"/>
      <c r="G1432" s="632"/>
      <c r="H1432" s="745"/>
      <c r="I1432" s="1117"/>
      <c r="J1432" s="632"/>
      <c r="K1432" s="1118"/>
    </row>
    <row r="1433" spans="1:11" x14ac:dyDescent="0.25">
      <c r="A1433" s="718">
        <v>2</v>
      </c>
      <c r="B1433" s="668"/>
      <c r="C1433" s="721"/>
      <c r="D1433" s="721"/>
      <c r="E1433" s="721"/>
      <c r="F1433" s="721"/>
      <c r="G1433" s="639"/>
      <c r="H1433" s="668"/>
      <c r="I1433" s="721"/>
      <c r="J1433" s="639"/>
      <c r="K1433" s="1124"/>
    </row>
    <row r="1434" spans="1:11" x14ac:dyDescent="0.25">
      <c r="A1434" s="718">
        <v>3</v>
      </c>
      <c r="B1434" s="668"/>
      <c r="C1434" s="721"/>
      <c r="D1434" s="721"/>
      <c r="E1434" s="721"/>
      <c r="F1434" s="721"/>
      <c r="G1434" s="639"/>
      <c r="H1434" s="668"/>
      <c r="I1434" s="721"/>
      <c r="J1434" s="639"/>
      <c r="K1434" s="1124"/>
    </row>
    <row r="1435" spans="1:11" x14ac:dyDescent="0.25">
      <c r="A1435" s="718">
        <v>4</v>
      </c>
      <c r="B1435" s="668"/>
      <c r="C1435" s="721"/>
      <c r="D1435" s="721"/>
      <c r="E1435" s="721"/>
      <c r="F1435" s="721"/>
      <c r="G1435" s="639"/>
      <c r="H1435" s="668"/>
      <c r="I1435" s="721"/>
      <c r="J1435" s="639"/>
      <c r="K1435" s="1124"/>
    </row>
    <row r="1436" spans="1:11" x14ac:dyDescent="0.25">
      <c r="A1436" s="718">
        <v>5</v>
      </c>
      <c r="B1436" s="668"/>
      <c r="C1436" s="721"/>
      <c r="D1436" s="721"/>
      <c r="E1436" s="721"/>
      <c r="F1436" s="721"/>
      <c r="G1436" s="639"/>
      <c r="H1436" s="668"/>
      <c r="I1436" s="721"/>
      <c r="J1436" s="639"/>
      <c r="K1436" s="1124"/>
    </row>
    <row r="1437" spans="1:11" ht="13.8" thickBot="1" x14ac:dyDescent="0.3">
      <c r="A1437" s="719">
        <v>6</v>
      </c>
      <c r="B1437" s="669"/>
      <c r="C1437" s="1137"/>
      <c r="D1437" s="1137"/>
      <c r="E1437" s="1137"/>
      <c r="F1437" s="1137"/>
      <c r="G1437" s="646"/>
      <c r="H1437" s="669"/>
      <c r="I1437" s="1137"/>
      <c r="J1437" s="646"/>
      <c r="K1437" s="1138"/>
    </row>
    <row r="1438" spans="1:11" x14ac:dyDescent="0.25">
      <c r="A1438" s="1190">
        <v>1</v>
      </c>
      <c r="B1438" s="745"/>
      <c r="C1438" s="1117"/>
      <c r="D1438" s="1117"/>
      <c r="E1438" s="1117"/>
      <c r="F1438" s="1117"/>
      <c r="G1438" s="632"/>
      <c r="H1438" s="745"/>
      <c r="I1438" s="1117"/>
      <c r="J1438" s="632"/>
      <c r="K1438" s="1118"/>
    </row>
    <row r="1439" spans="1:11" x14ac:dyDescent="0.25">
      <c r="A1439" s="718">
        <v>2</v>
      </c>
      <c r="B1439" s="668"/>
      <c r="C1439" s="721"/>
      <c r="D1439" s="721"/>
      <c r="E1439" s="721"/>
      <c r="F1439" s="721"/>
      <c r="G1439" s="639"/>
      <c r="H1439" s="668"/>
      <c r="I1439" s="721"/>
      <c r="J1439" s="639"/>
      <c r="K1439" s="1124"/>
    </row>
    <row r="1440" spans="1:11" ht="13.8" thickBot="1" x14ac:dyDescent="0.3">
      <c r="A1440" s="719">
        <v>3</v>
      </c>
      <c r="B1440" s="669"/>
      <c r="C1440" s="1137"/>
      <c r="D1440" s="1137"/>
      <c r="E1440" s="1137"/>
      <c r="F1440" s="1137"/>
      <c r="G1440" s="646"/>
      <c r="H1440" s="669"/>
      <c r="I1440" s="1137"/>
      <c r="J1440" s="646"/>
      <c r="K1440" s="1138"/>
    </row>
    <row r="1441" spans="1:11" ht="13.8" thickBot="1" x14ac:dyDescent="0.3">
      <c r="A1441" s="1186" t="s">
        <v>630</v>
      </c>
      <c r="B1441" s="1187"/>
      <c r="C1441" s="1188"/>
      <c r="D1441" s="1188"/>
      <c r="E1441" s="1188"/>
      <c r="F1441" s="1188"/>
      <c r="G1441" s="1189"/>
      <c r="H1441" s="1187"/>
      <c r="I1441" s="1188"/>
      <c r="J1441" s="1189"/>
      <c r="K1441" s="716"/>
    </row>
    <row r="1442" spans="1:11" x14ac:dyDescent="0.25">
      <c r="A1442" s="1190">
        <v>1</v>
      </c>
      <c r="B1442" s="745"/>
      <c r="C1442" s="1117"/>
      <c r="D1442" s="1117"/>
      <c r="E1442" s="1117"/>
      <c r="F1442" s="1117"/>
      <c r="G1442" s="632"/>
      <c r="H1442" s="745"/>
      <c r="I1442" s="1117"/>
      <c r="J1442" s="632"/>
      <c r="K1442" s="1118"/>
    </row>
    <row r="1443" spans="1:11" x14ac:dyDescent="0.25">
      <c r="A1443" s="718">
        <v>2</v>
      </c>
      <c r="B1443" s="668"/>
      <c r="C1443" s="721"/>
      <c r="D1443" s="721"/>
      <c r="E1443" s="721"/>
      <c r="F1443" s="721"/>
      <c r="G1443" s="639"/>
      <c r="H1443" s="668"/>
      <c r="I1443" s="721"/>
      <c r="J1443" s="639"/>
      <c r="K1443" s="1124"/>
    </row>
    <row r="1444" spans="1:11" x14ac:dyDescent="0.25">
      <c r="A1444" s="718">
        <v>3</v>
      </c>
      <c r="B1444" s="668"/>
      <c r="C1444" s="721"/>
      <c r="D1444" s="721"/>
      <c r="E1444" s="721"/>
      <c r="F1444" s="721"/>
      <c r="G1444" s="639"/>
      <c r="H1444" s="668"/>
      <c r="I1444" s="721"/>
      <c r="J1444" s="639"/>
      <c r="K1444" s="1124"/>
    </row>
    <row r="1445" spans="1:11" x14ac:dyDescent="0.25">
      <c r="A1445" s="718">
        <v>4</v>
      </c>
      <c r="B1445" s="668"/>
      <c r="C1445" s="721"/>
      <c r="D1445" s="721"/>
      <c r="E1445" s="721"/>
      <c r="F1445" s="721"/>
      <c r="G1445" s="639"/>
      <c r="H1445" s="668"/>
      <c r="I1445" s="721"/>
      <c r="J1445" s="639"/>
      <c r="K1445" s="1124"/>
    </row>
    <row r="1446" spans="1:11" x14ac:dyDescent="0.25">
      <c r="A1446" s="718">
        <v>5</v>
      </c>
      <c r="B1446" s="668"/>
      <c r="C1446" s="721"/>
      <c r="D1446" s="721"/>
      <c r="E1446" s="721"/>
      <c r="F1446" s="721"/>
      <c r="G1446" s="639"/>
      <c r="H1446" s="668"/>
      <c r="I1446" s="721"/>
      <c r="J1446" s="639"/>
      <c r="K1446" s="1124"/>
    </row>
    <row r="1447" spans="1:11" ht="13.8" thickBot="1" x14ac:dyDescent="0.3">
      <c r="A1447" s="719">
        <v>6</v>
      </c>
      <c r="B1447" s="669"/>
      <c r="C1447" s="1137"/>
      <c r="D1447" s="1137"/>
      <c r="E1447" s="1137"/>
      <c r="F1447" s="1137"/>
      <c r="G1447" s="646"/>
      <c r="H1447" s="669"/>
      <c r="I1447" s="1137"/>
      <c r="J1447" s="646"/>
      <c r="K1447" s="1138"/>
    </row>
    <row r="1448" spans="1:11" x14ac:dyDescent="0.25">
      <c r="A1448" s="1190">
        <v>1</v>
      </c>
      <c r="B1448" s="745"/>
      <c r="C1448" s="1117"/>
      <c r="D1448" s="1117"/>
      <c r="E1448" s="1117"/>
      <c r="F1448" s="1117"/>
      <c r="G1448" s="632"/>
      <c r="H1448" s="745"/>
      <c r="I1448" s="1117"/>
      <c r="J1448" s="632"/>
      <c r="K1448" s="1118"/>
    </row>
    <row r="1449" spans="1:11" x14ac:dyDescent="0.25">
      <c r="A1449" s="718">
        <v>2</v>
      </c>
      <c r="B1449" s="668"/>
      <c r="C1449" s="721"/>
      <c r="D1449" s="721"/>
      <c r="E1449" s="721"/>
      <c r="F1449" s="721"/>
      <c r="G1449" s="639"/>
      <c r="H1449" s="668"/>
      <c r="I1449" s="721"/>
      <c r="J1449" s="639"/>
      <c r="K1449" s="1124"/>
    </row>
    <row r="1450" spans="1:11" ht="13.8" thickBot="1" x14ac:dyDescent="0.3">
      <c r="A1450" s="719">
        <v>3</v>
      </c>
      <c r="B1450" s="669"/>
      <c r="C1450" s="1137"/>
      <c r="D1450" s="1137"/>
      <c r="E1450" s="1137"/>
      <c r="F1450" s="1137"/>
      <c r="G1450" s="646"/>
      <c r="H1450" s="669"/>
      <c r="I1450" s="1137"/>
      <c r="J1450" s="646"/>
      <c r="K1450" s="1138"/>
    </row>
    <row r="1451" spans="1:11" ht="13.8" thickBot="1" x14ac:dyDescent="0.3">
      <c r="A1451" s="1186" t="s">
        <v>631</v>
      </c>
      <c r="B1451" s="1187"/>
      <c r="C1451" s="1188"/>
      <c r="D1451" s="1188"/>
      <c r="E1451" s="1188"/>
      <c r="F1451" s="1188"/>
      <c r="G1451" s="1189"/>
      <c r="H1451" s="1187"/>
      <c r="I1451" s="1188"/>
      <c r="J1451" s="1189"/>
      <c r="K1451" s="716"/>
    </row>
    <row r="1452" spans="1:11" x14ac:dyDescent="0.25">
      <c r="A1452" s="1190">
        <v>1</v>
      </c>
      <c r="B1452" s="745"/>
      <c r="C1452" s="1117"/>
      <c r="D1452" s="1117"/>
      <c r="E1452" s="1117"/>
      <c r="F1452" s="1117"/>
      <c r="G1452" s="632"/>
      <c r="H1452" s="745"/>
      <c r="I1452" s="1117"/>
      <c r="J1452" s="632"/>
      <c r="K1452" s="1118"/>
    </row>
    <row r="1453" spans="1:11" x14ac:dyDescent="0.25">
      <c r="A1453" s="718">
        <v>2</v>
      </c>
      <c r="B1453" s="668"/>
      <c r="C1453" s="721"/>
      <c r="D1453" s="721"/>
      <c r="E1453" s="721"/>
      <c r="F1453" s="721"/>
      <c r="G1453" s="639"/>
      <c r="H1453" s="668"/>
      <c r="I1453" s="721"/>
      <c r="J1453" s="639"/>
      <c r="K1453" s="1124"/>
    </row>
    <row r="1454" spans="1:11" x14ac:dyDescent="0.25">
      <c r="A1454" s="718">
        <v>3</v>
      </c>
      <c r="B1454" s="668"/>
      <c r="C1454" s="721"/>
      <c r="D1454" s="721"/>
      <c r="E1454" s="721"/>
      <c r="F1454" s="721"/>
      <c r="G1454" s="639"/>
      <c r="H1454" s="668"/>
      <c r="I1454" s="721"/>
      <c r="J1454" s="639"/>
      <c r="K1454" s="1124"/>
    </row>
    <row r="1455" spans="1:11" x14ac:dyDescent="0.25">
      <c r="A1455" s="718">
        <v>4</v>
      </c>
      <c r="B1455" s="668"/>
      <c r="C1455" s="721"/>
      <c r="D1455" s="721"/>
      <c r="E1455" s="721"/>
      <c r="F1455" s="721"/>
      <c r="G1455" s="639"/>
      <c r="H1455" s="668"/>
      <c r="I1455" s="721"/>
      <c r="J1455" s="639"/>
      <c r="K1455" s="1124"/>
    </row>
    <row r="1456" spans="1:11" x14ac:dyDescent="0.25">
      <c r="A1456" s="718">
        <v>5</v>
      </c>
      <c r="B1456" s="668"/>
      <c r="C1456" s="721"/>
      <c r="D1456" s="721"/>
      <c r="E1456" s="721"/>
      <c r="F1456" s="721"/>
      <c r="G1456" s="639"/>
      <c r="H1456" s="668"/>
      <c r="I1456" s="721"/>
      <c r="J1456" s="639"/>
      <c r="K1456" s="1124"/>
    </row>
    <row r="1457" spans="1:11" ht="13.8" thickBot="1" x14ac:dyDescent="0.3">
      <c r="A1457" s="719">
        <v>6</v>
      </c>
      <c r="B1457" s="669"/>
      <c r="C1457" s="1137"/>
      <c r="D1457" s="1137"/>
      <c r="E1457" s="1137"/>
      <c r="F1457" s="1137"/>
      <c r="G1457" s="646"/>
      <c r="H1457" s="669"/>
      <c r="I1457" s="1137"/>
      <c r="J1457" s="646"/>
      <c r="K1457" s="1138"/>
    </row>
    <row r="1458" spans="1:11" x14ac:dyDescent="0.25">
      <c r="A1458" s="1190">
        <v>1</v>
      </c>
      <c r="B1458" s="745"/>
      <c r="C1458" s="1117"/>
      <c r="D1458" s="1117"/>
      <c r="E1458" s="1117"/>
      <c r="F1458" s="1117"/>
      <c r="G1458" s="632"/>
      <c r="H1458" s="745"/>
      <c r="I1458" s="1117"/>
      <c r="J1458" s="632"/>
      <c r="K1458" s="1118"/>
    </row>
    <row r="1459" spans="1:11" x14ac:dyDescent="0.25">
      <c r="A1459" s="718">
        <v>2</v>
      </c>
      <c r="B1459" s="668"/>
      <c r="C1459" s="721"/>
      <c r="D1459" s="721"/>
      <c r="E1459" s="721"/>
      <c r="F1459" s="721"/>
      <c r="G1459" s="639"/>
      <c r="H1459" s="668"/>
      <c r="I1459" s="721"/>
      <c r="J1459" s="639"/>
      <c r="K1459" s="1124"/>
    </row>
    <row r="1460" spans="1:11" ht="13.8" thickBot="1" x14ac:dyDescent="0.3">
      <c r="A1460" s="719">
        <v>3</v>
      </c>
      <c r="B1460" s="669"/>
      <c r="C1460" s="1137"/>
      <c r="D1460" s="1137"/>
      <c r="E1460" s="1137"/>
      <c r="F1460" s="1137"/>
      <c r="G1460" s="646"/>
      <c r="H1460" s="669"/>
      <c r="I1460" s="1137"/>
      <c r="J1460" s="646"/>
      <c r="K1460" s="1138"/>
    </row>
    <row r="1461" spans="1:11" ht="13.8" thickBot="1" x14ac:dyDescent="0.3">
      <c r="A1461" s="1186" t="s">
        <v>632</v>
      </c>
      <c r="B1461" s="1187"/>
      <c r="C1461" s="1188"/>
      <c r="D1461" s="1188"/>
      <c r="E1461" s="1188"/>
      <c r="F1461" s="1188"/>
      <c r="G1461" s="1189"/>
      <c r="H1461" s="1187"/>
      <c r="I1461" s="1188"/>
      <c r="J1461" s="1189"/>
      <c r="K1461" s="716"/>
    </row>
    <row r="1462" spans="1:11" x14ac:dyDescent="0.25">
      <c r="A1462" s="1190">
        <v>1</v>
      </c>
      <c r="B1462" s="745"/>
      <c r="C1462" s="1117"/>
      <c r="D1462" s="1117"/>
      <c r="E1462" s="1117"/>
      <c r="F1462" s="1117"/>
      <c r="G1462" s="632"/>
      <c r="H1462" s="745"/>
      <c r="I1462" s="1117"/>
      <c r="J1462" s="632"/>
      <c r="K1462" s="1118"/>
    </row>
    <row r="1463" spans="1:11" x14ac:dyDescent="0.25">
      <c r="A1463" s="718">
        <v>2</v>
      </c>
      <c r="B1463" s="668"/>
      <c r="C1463" s="721"/>
      <c r="D1463" s="721"/>
      <c r="E1463" s="721"/>
      <c r="F1463" s="721"/>
      <c r="G1463" s="639"/>
      <c r="H1463" s="668"/>
      <c r="I1463" s="721"/>
      <c r="J1463" s="639"/>
      <c r="K1463" s="1124"/>
    </row>
    <row r="1464" spans="1:11" x14ac:dyDescent="0.25">
      <c r="A1464" s="718">
        <v>3</v>
      </c>
      <c r="B1464" s="668"/>
      <c r="C1464" s="721"/>
      <c r="D1464" s="721"/>
      <c r="E1464" s="721"/>
      <c r="F1464" s="721"/>
      <c r="G1464" s="639"/>
      <c r="H1464" s="668"/>
      <c r="I1464" s="721"/>
      <c r="J1464" s="639"/>
      <c r="K1464" s="1124"/>
    </row>
    <row r="1465" spans="1:11" x14ac:dyDescent="0.25">
      <c r="A1465" s="718">
        <v>4</v>
      </c>
      <c r="B1465" s="668"/>
      <c r="C1465" s="721"/>
      <c r="D1465" s="721"/>
      <c r="E1465" s="721"/>
      <c r="F1465" s="721"/>
      <c r="G1465" s="639"/>
      <c r="H1465" s="668"/>
      <c r="I1465" s="721"/>
      <c r="J1465" s="639"/>
      <c r="K1465" s="1124"/>
    </row>
    <row r="1466" spans="1:11" x14ac:dyDescent="0.25">
      <c r="A1466" s="718">
        <v>5</v>
      </c>
      <c r="B1466" s="668"/>
      <c r="C1466" s="721"/>
      <c r="D1466" s="721"/>
      <c r="E1466" s="721"/>
      <c r="F1466" s="721"/>
      <c r="G1466" s="639"/>
      <c r="H1466" s="668"/>
      <c r="I1466" s="721"/>
      <c r="J1466" s="639"/>
      <c r="K1466" s="1124"/>
    </row>
    <row r="1467" spans="1:11" ht="13.8" thickBot="1" x14ac:dyDescent="0.3">
      <c r="A1467" s="719">
        <v>6</v>
      </c>
      <c r="B1467" s="669"/>
      <c r="C1467" s="1137"/>
      <c r="D1467" s="1137"/>
      <c r="E1467" s="1137"/>
      <c r="F1467" s="1137"/>
      <c r="G1467" s="646"/>
      <c r="H1467" s="669"/>
      <c r="I1467" s="1137"/>
      <c r="J1467" s="646"/>
      <c r="K1467" s="1138"/>
    </row>
    <row r="1468" spans="1:11" x14ac:dyDescent="0.25">
      <c r="A1468" s="1190">
        <v>1</v>
      </c>
      <c r="B1468" s="745"/>
      <c r="C1468" s="1117"/>
      <c r="D1468" s="1117"/>
      <c r="E1468" s="1117"/>
      <c r="F1468" s="1117"/>
      <c r="G1468" s="632"/>
      <c r="H1468" s="745"/>
      <c r="I1468" s="1117"/>
      <c r="J1468" s="632"/>
      <c r="K1468" s="1118"/>
    </row>
    <row r="1469" spans="1:11" x14ac:dyDescent="0.25">
      <c r="A1469" s="718">
        <v>2</v>
      </c>
      <c r="B1469" s="668"/>
      <c r="C1469" s="721"/>
      <c r="D1469" s="721"/>
      <c r="E1469" s="721"/>
      <c r="F1469" s="721"/>
      <c r="G1469" s="639"/>
      <c r="H1469" s="668"/>
      <c r="I1469" s="721"/>
      <c r="J1469" s="639"/>
      <c r="K1469" s="1124"/>
    </row>
    <row r="1470" spans="1:11" ht="13.8" thickBot="1" x14ac:dyDescent="0.3">
      <c r="A1470" s="719">
        <v>3</v>
      </c>
      <c r="B1470" s="669"/>
      <c r="C1470" s="1137"/>
      <c r="D1470" s="1137"/>
      <c r="E1470" s="1137"/>
      <c r="F1470" s="1137"/>
      <c r="G1470" s="646"/>
      <c r="H1470" s="669"/>
      <c r="I1470" s="1137"/>
      <c r="J1470" s="646"/>
      <c r="K1470" s="1138"/>
    </row>
    <row r="1471" spans="1:11" ht="13.8" thickBot="1" x14ac:dyDescent="0.3">
      <c r="A1471" s="1186" t="s">
        <v>633</v>
      </c>
      <c r="B1471" s="1187"/>
      <c r="C1471" s="1188"/>
      <c r="D1471" s="1188"/>
      <c r="E1471" s="1188"/>
      <c r="F1471" s="1188"/>
      <c r="G1471" s="1189"/>
      <c r="H1471" s="1187"/>
      <c r="I1471" s="1188"/>
      <c r="J1471" s="1189"/>
      <c r="K1471" s="716"/>
    </row>
    <row r="1472" spans="1:11" x14ac:dyDescent="0.25">
      <c r="A1472" s="1190">
        <v>1</v>
      </c>
      <c r="B1472" s="745"/>
      <c r="C1472" s="1117"/>
      <c r="D1472" s="1117"/>
      <c r="E1472" s="1117"/>
      <c r="F1472" s="1117"/>
      <c r="G1472" s="632"/>
      <c r="H1472" s="745"/>
      <c r="I1472" s="1117"/>
      <c r="J1472" s="632"/>
      <c r="K1472" s="1118"/>
    </row>
    <row r="1473" spans="1:11" x14ac:dyDescent="0.25">
      <c r="A1473" s="718">
        <v>2</v>
      </c>
      <c r="B1473" s="668"/>
      <c r="C1473" s="721"/>
      <c r="D1473" s="721"/>
      <c r="E1473" s="721"/>
      <c r="F1473" s="721"/>
      <c r="G1473" s="639"/>
      <c r="H1473" s="668"/>
      <c r="I1473" s="721"/>
      <c r="J1473" s="639"/>
      <c r="K1473" s="1124"/>
    </row>
    <row r="1474" spans="1:11" x14ac:dyDescent="0.25">
      <c r="A1474" s="718">
        <v>3</v>
      </c>
      <c r="B1474" s="668"/>
      <c r="C1474" s="721"/>
      <c r="D1474" s="721"/>
      <c r="E1474" s="721"/>
      <c r="F1474" s="721"/>
      <c r="G1474" s="639"/>
      <c r="H1474" s="668"/>
      <c r="I1474" s="721"/>
      <c r="J1474" s="639"/>
      <c r="K1474" s="1124"/>
    </row>
    <row r="1475" spans="1:11" x14ac:dyDescent="0.25">
      <c r="A1475" s="718">
        <v>4</v>
      </c>
      <c r="B1475" s="668"/>
      <c r="C1475" s="721"/>
      <c r="D1475" s="721"/>
      <c r="E1475" s="721"/>
      <c r="F1475" s="721"/>
      <c r="G1475" s="639"/>
      <c r="H1475" s="668"/>
      <c r="I1475" s="721"/>
      <c r="J1475" s="639"/>
      <c r="K1475" s="1124"/>
    </row>
    <row r="1476" spans="1:11" x14ac:dyDescent="0.25">
      <c r="A1476" s="718">
        <v>5</v>
      </c>
      <c r="B1476" s="668"/>
      <c r="C1476" s="721"/>
      <c r="D1476" s="721"/>
      <c r="E1476" s="721"/>
      <c r="F1476" s="721"/>
      <c r="G1476" s="639"/>
      <c r="H1476" s="668"/>
      <c r="I1476" s="721"/>
      <c r="J1476" s="639"/>
      <c r="K1476" s="1124"/>
    </row>
    <row r="1477" spans="1:11" ht="13.8" thickBot="1" x14ac:dyDescent="0.3">
      <c r="A1477" s="719">
        <v>6</v>
      </c>
      <c r="B1477" s="669"/>
      <c r="C1477" s="1137"/>
      <c r="D1477" s="1137"/>
      <c r="E1477" s="1137"/>
      <c r="F1477" s="1137"/>
      <c r="G1477" s="646"/>
      <c r="H1477" s="669"/>
      <c r="I1477" s="1137"/>
      <c r="J1477" s="646"/>
      <c r="K1477" s="1138"/>
    </row>
    <row r="1478" spans="1:11" x14ac:dyDescent="0.25">
      <c r="A1478" s="1190">
        <v>1</v>
      </c>
      <c r="B1478" s="745"/>
      <c r="C1478" s="1117"/>
      <c r="D1478" s="1117"/>
      <c r="E1478" s="1117"/>
      <c r="F1478" s="1117"/>
      <c r="G1478" s="632"/>
      <c r="H1478" s="745"/>
      <c r="I1478" s="1117"/>
      <c r="J1478" s="632"/>
      <c r="K1478" s="1118"/>
    </row>
    <row r="1479" spans="1:11" x14ac:dyDescent="0.25">
      <c r="A1479" s="718">
        <v>2</v>
      </c>
      <c r="B1479" s="668"/>
      <c r="C1479" s="721"/>
      <c r="D1479" s="721"/>
      <c r="E1479" s="721"/>
      <c r="F1479" s="721"/>
      <c r="G1479" s="639"/>
      <c r="H1479" s="668"/>
      <c r="I1479" s="721"/>
      <c r="J1479" s="639"/>
      <c r="K1479" s="1124"/>
    </row>
    <row r="1480" spans="1:11" ht="13.8" thickBot="1" x14ac:dyDescent="0.3">
      <c r="A1480" s="719">
        <v>3</v>
      </c>
      <c r="B1480" s="669"/>
      <c r="C1480" s="1137"/>
      <c r="D1480" s="1137"/>
      <c r="E1480" s="1137"/>
      <c r="F1480" s="1137"/>
      <c r="G1480" s="646"/>
      <c r="H1480" s="669"/>
      <c r="I1480" s="1137"/>
      <c r="J1480" s="646"/>
      <c r="K1480" s="1138"/>
    </row>
    <row r="1481" spans="1:11" ht="13.8" thickBot="1" x14ac:dyDescent="0.3">
      <c r="A1481" s="1186" t="s">
        <v>634</v>
      </c>
      <c r="B1481" s="1187"/>
      <c r="C1481" s="1188"/>
      <c r="D1481" s="1188"/>
      <c r="E1481" s="1188"/>
      <c r="F1481" s="1188"/>
      <c r="G1481" s="1189"/>
      <c r="H1481" s="1187"/>
      <c r="I1481" s="1188"/>
      <c r="J1481" s="1189"/>
      <c r="K1481" s="716"/>
    </row>
    <row r="1482" spans="1:11" x14ac:dyDescent="0.25">
      <c r="A1482" s="1190">
        <v>1</v>
      </c>
      <c r="B1482" s="745"/>
      <c r="C1482" s="1117"/>
      <c r="D1482" s="1117"/>
      <c r="E1482" s="1117"/>
      <c r="F1482" s="1117"/>
      <c r="G1482" s="632"/>
      <c r="H1482" s="745"/>
      <c r="I1482" s="1117"/>
      <c r="J1482" s="632"/>
      <c r="K1482" s="1118"/>
    </row>
    <row r="1483" spans="1:11" x14ac:dyDescent="0.25">
      <c r="A1483" s="718">
        <v>2</v>
      </c>
      <c r="B1483" s="668"/>
      <c r="C1483" s="721"/>
      <c r="D1483" s="721"/>
      <c r="E1483" s="721"/>
      <c r="F1483" s="721"/>
      <c r="G1483" s="639"/>
      <c r="H1483" s="668"/>
      <c r="I1483" s="721"/>
      <c r="J1483" s="639"/>
      <c r="K1483" s="1124"/>
    </row>
    <row r="1484" spans="1:11" x14ac:dyDescent="0.25">
      <c r="A1484" s="718">
        <v>3</v>
      </c>
      <c r="B1484" s="668"/>
      <c r="C1484" s="721"/>
      <c r="D1484" s="721"/>
      <c r="E1484" s="721"/>
      <c r="F1484" s="721"/>
      <c r="G1484" s="639"/>
      <c r="H1484" s="668"/>
      <c r="I1484" s="721"/>
      <c r="J1484" s="639"/>
      <c r="K1484" s="1124"/>
    </row>
    <row r="1485" spans="1:11" x14ac:dyDescent="0.25">
      <c r="A1485" s="718">
        <v>4</v>
      </c>
      <c r="B1485" s="668"/>
      <c r="C1485" s="721"/>
      <c r="D1485" s="721"/>
      <c r="E1485" s="721"/>
      <c r="F1485" s="721"/>
      <c r="G1485" s="639"/>
      <c r="H1485" s="668"/>
      <c r="I1485" s="721"/>
      <c r="J1485" s="639"/>
      <c r="K1485" s="1124"/>
    </row>
    <row r="1486" spans="1:11" x14ac:dyDescent="0.25">
      <c r="A1486" s="718">
        <v>5</v>
      </c>
      <c r="B1486" s="668"/>
      <c r="C1486" s="721"/>
      <c r="D1486" s="721"/>
      <c r="E1486" s="721"/>
      <c r="F1486" s="721"/>
      <c r="G1486" s="639"/>
      <c r="H1486" s="668"/>
      <c r="I1486" s="721"/>
      <c r="J1486" s="639"/>
      <c r="K1486" s="1124"/>
    </row>
    <row r="1487" spans="1:11" ht="13.8" thickBot="1" x14ac:dyDescent="0.3">
      <c r="A1487" s="719">
        <v>6</v>
      </c>
      <c r="B1487" s="669"/>
      <c r="C1487" s="1137"/>
      <c r="D1487" s="1137"/>
      <c r="E1487" s="1137"/>
      <c r="F1487" s="1137"/>
      <c r="G1487" s="646"/>
      <c r="H1487" s="669"/>
      <c r="I1487" s="1137"/>
      <c r="J1487" s="646"/>
      <c r="K1487" s="1138"/>
    </row>
    <row r="1488" spans="1:11" x14ac:dyDescent="0.25">
      <c r="A1488" s="1190">
        <v>1</v>
      </c>
      <c r="B1488" s="745"/>
      <c r="C1488" s="1117"/>
      <c r="D1488" s="1117"/>
      <c r="E1488" s="1117"/>
      <c r="F1488" s="1117"/>
      <c r="G1488" s="632"/>
      <c r="H1488" s="745"/>
      <c r="I1488" s="1117"/>
      <c r="J1488" s="632"/>
      <c r="K1488" s="1118"/>
    </row>
    <row r="1489" spans="1:11" x14ac:dyDescent="0.25">
      <c r="A1489" s="718">
        <v>2</v>
      </c>
      <c r="B1489" s="668"/>
      <c r="C1489" s="721"/>
      <c r="D1489" s="721"/>
      <c r="E1489" s="721"/>
      <c r="F1489" s="721"/>
      <c r="G1489" s="639"/>
      <c r="H1489" s="668"/>
      <c r="I1489" s="721"/>
      <c r="J1489" s="639"/>
      <c r="K1489" s="1124"/>
    </row>
    <row r="1490" spans="1:11" ht="13.8" thickBot="1" x14ac:dyDescent="0.3">
      <c r="A1490" s="719">
        <v>3</v>
      </c>
      <c r="B1490" s="669"/>
      <c r="C1490" s="1137"/>
      <c r="D1490" s="1137"/>
      <c r="E1490" s="1137"/>
      <c r="F1490" s="1137"/>
      <c r="G1490" s="646"/>
      <c r="H1490" s="669"/>
      <c r="I1490" s="1137"/>
      <c r="J1490" s="646"/>
      <c r="K1490" s="1138"/>
    </row>
    <row r="1491" spans="1:11" ht="13.8" thickBot="1" x14ac:dyDescent="0.3">
      <c r="A1491" s="1186" t="s">
        <v>635</v>
      </c>
      <c r="B1491" s="1187"/>
      <c r="C1491" s="1188"/>
      <c r="D1491" s="1188"/>
      <c r="E1491" s="1188"/>
      <c r="F1491" s="1188"/>
      <c r="G1491" s="1189"/>
      <c r="H1491" s="1187"/>
      <c r="I1491" s="1188"/>
      <c r="J1491" s="1189"/>
      <c r="K1491" s="716"/>
    </row>
    <row r="1492" spans="1:11" x14ac:dyDescent="0.25">
      <c r="A1492" s="1190">
        <v>1</v>
      </c>
      <c r="B1492" s="745"/>
      <c r="C1492" s="1117"/>
      <c r="D1492" s="1117"/>
      <c r="E1492" s="1117"/>
      <c r="F1492" s="1117"/>
      <c r="G1492" s="632"/>
      <c r="H1492" s="745"/>
      <c r="I1492" s="1117"/>
      <c r="J1492" s="632"/>
      <c r="K1492" s="1118"/>
    </row>
    <row r="1493" spans="1:11" x14ac:dyDescent="0.25">
      <c r="A1493" s="718">
        <v>2</v>
      </c>
      <c r="B1493" s="668"/>
      <c r="C1493" s="721"/>
      <c r="D1493" s="721"/>
      <c r="E1493" s="721"/>
      <c r="F1493" s="721"/>
      <c r="G1493" s="639"/>
      <c r="H1493" s="668"/>
      <c r="I1493" s="721"/>
      <c r="J1493" s="639"/>
      <c r="K1493" s="1124"/>
    </row>
    <row r="1494" spans="1:11" x14ac:dyDescent="0.25">
      <c r="A1494" s="718">
        <v>3</v>
      </c>
      <c r="B1494" s="668"/>
      <c r="C1494" s="721"/>
      <c r="D1494" s="721"/>
      <c r="E1494" s="721"/>
      <c r="F1494" s="721"/>
      <c r="G1494" s="639"/>
      <c r="H1494" s="668"/>
      <c r="I1494" s="721"/>
      <c r="J1494" s="639"/>
      <c r="K1494" s="1124"/>
    </row>
    <row r="1495" spans="1:11" x14ac:dyDescent="0.25">
      <c r="A1495" s="718">
        <v>4</v>
      </c>
      <c r="B1495" s="668"/>
      <c r="C1495" s="721"/>
      <c r="D1495" s="721"/>
      <c r="E1495" s="721"/>
      <c r="F1495" s="721"/>
      <c r="G1495" s="639"/>
      <c r="H1495" s="668"/>
      <c r="I1495" s="721"/>
      <c r="J1495" s="639"/>
      <c r="K1495" s="1124"/>
    </row>
    <row r="1496" spans="1:11" x14ac:dyDescent="0.25">
      <c r="A1496" s="718">
        <v>5</v>
      </c>
      <c r="B1496" s="668"/>
      <c r="C1496" s="721"/>
      <c r="D1496" s="721"/>
      <c r="E1496" s="721"/>
      <c r="F1496" s="721"/>
      <c r="G1496" s="639"/>
      <c r="H1496" s="668"/>
      <c r="I1496" s="721"/>
      <c r="J1496" s="639"/>
      <c r="K1496" s="1124"/>
    </row>
    <row r="1497" spans="1:11" ht="13.8" thickBot="1" x14ac:dyDescent="0.3">
      <c r="A1497" s="719">
        <v>6</v>
      </c>
      <c r="B1497" s="669"/>
      <c r="C1497" s="1137"/>
      <c r="D1497" s="1137"/>
      <c r="E1497" s="1137"/>
      <c r="F1497" s="1137"/>
      <c r="G1497" s="646"/>
      <c r="H1497" s="669"/>
      <c r="I1497" s="1137"/>
      <c r="J1497" s="646"/>
      <c r="K1497" s="1138"/>
    </row>
    <row r="1498" spans="1:11" x14ac:dyDescent="0.25">
      <c r="A1498" s="1190">
        <v>1</v>
      </c>
      <c r="B1498" s="745"/>
      <c r="C1498" s="1117"/>
      <c r="D1498" s="1117"/>
      <c r="E1498" s="1117"/>
      <c r="F1498" s="1117"/>
      <c r="G1498" s="632"/>
      <c r="H1498" s="745"/>
      <c r="I1498" s="1117"/>
      <c r="J1498" s="632"/>
      <c r="K1498" s="1118"/>
    </row>
    <row r="1499" spans="1:11" x14ac:dyDescent="0.25">
      <c r="A1499" s="718">
        <v>2</v>
      </c>
      <c r="B1499" s="668"/>
      <c r="C1499" s="721"/>
      <c r="D1499" s="721"/>
      <c r="E1499" s="721"/>
      <c r="F1499" s="721"/>
      <c r="G1499" s="639"/>
      <c r="H1499" s="668"/>
      <c r="I1499" s="721"/>
      <c r="J1499" s="639"/>
      <c r="K1499" s="1124"/>
    </row>
    <row r="1500" spans="1:11" ht="13.8" thickBot="1" x14ac:dyDescent="0.3">
      <c r="A1500" s="719">
        <v>3</v>
      </c>
      <c r="B1500" s="669"/>
      <c r="C1500" s="1137"/>
      <c r="D1500" s="1137"/>
      <c r="E1500" s="1137"/>
      <c r="F1500" s="1137"/>
      <c r="G1500" s="646"/>
      <c r="H1500" s="669"/>
      <c r="I1500" s="1137"/>
      <c r="J1500" s="646"/>
      <c r="K1500" s="1138"/>
    </row>
    <row r="1501" spans="1:11" ht="13.8" thickBot="1" x14ac:dyDescent="0.3">
      <c r="A1501" s="1186" t="s">
        <v>636</v>
      </c>
      <c r="B1501" s="1187"/>
      <c r="C1501" s="1188"/>
      <c r="D1501" s="1188"/>
      <c r="E1501" s="1188"/>
      <c r="F1501" s="1188"/>
      <c r="G1501" s="1189"/>
      <c r="H1501" s="1187"/>
      <c r="I1501" s="1188"/>
      <c r="J1501" s="1189"/>
      <c r="K1501" s="716"/>
    </row>
    <row r="1502" spans="1:11" x14ac:dyDescent="0.25">
      <c r="A1502" s="1190">
        <v>1</v>
      </c>
      <c r="B1502" s="745"/>
      <c r="C1502" s="1117"/>
      <c r="D1502" s="1117"/>
      <c r="E1502" s="1117"/>
      <c r="F1502" s="1117"/>
      <c r="G1502" s="632"/>
      <c r="H1502" s="745"/>
      <c r="I1502" s="1117"/>
      <c r="J1502" s="632"/>
      <c r="K1502" s="1118"/>
    </row>
    <row r="1503" spans="1:11" x14ac:dyDescent="0.25">
      <c r="A1503" s="718">
        <v>2</v>
      </c>
      <c r="B1503" s="668"/>
      <c r="C1503" s="721"/>
      <c r="D1503" s="721"/>
      <c r="E1503" s="721"/>
      <c r="F1503" s="721"/>
      <c r="G1503" s="639"/>
      <c r="H1503" s="668"/>
      <c r="I1503" s="721"/>
      <c r="J1503" s="639"/>
      <c r="K1503" s="1124"/>
    </row>
    <row r="1504" spans="1:11" x14ac:dyDescent="0.25">
      <c r="A1504" s="718">
        <v>3</v>
      </c>
      <c r="B1504" s="668"/>
      <c r="C1504" s="721"/>
      <c r="D1504" s="721"/>
      <c r="E1504" s="721"/>
      <c r="F1504" s="721"/>
      <c r="G1504" s="639"/>
      <c r="H1504" s="668"/>
      <c r="I1504" s="721"/>
      <c r="J1504" s="639"/>
      <c r="K1504" s="1124"/>
    </row>
    <row r="1505" spans="1:11" x14ac:dyDescent="0.25">
      <c r="A1505" s="718">
        <v>4</v>
      </c>
      <c r="B1505" s="668"/>
      <c r="C1505" s="721"/>
      <c r="D1505" s="721"/>
      <c r="E1505" s="721"/>
      <c r="F1505" s="721"/>
      <c r="G1505" s="639"/>
      <c r="H1505" s="668"/>
      <c r="I1505" s="721"/>
      <c r="J1505" s="639"/>
      <c r="K1505" s="1124"/>
    </row>
    <row r="1506" spans="1:11" x14ac:dyDescent="0.25">
      <c r="A1506" s="718">
        <v>5</v>
      </c>
      <c r="B1506" s="668"/>
      <c r="C1506" s="721"/>
      <c r="D1506" s="721"/>
      <c r="E1506" s="721"/>
      <c r="F1506" s="721"/>
      <c r="G1506" s="639"/>
      <c r="H1506" s="668"/>
      <c r="I1506" s="721"/>
      <c r="J1506" s="639"/>
      <c r="K1506" s="1124"/>
    </row>
    <row r="1507" spans="1:11" ht="13.8" thickBot="1" x14ac:dyDescent="0.3">
      <c r="A1507" s="719">
        <v>6</v>
      </c>
      <c r="B1507" s="669"/>
      <c r="C1507" s="1137"/>
      <c r="D1507" s="1137"/>
      <c r="E1507" s="1137"/>
      <c r="F1507" s="1137"/>
      <c r="G1507" s="646"/>
      <c r="H1507" s="669"/>
      <c r="I1507" s="1137"/>
      <c r="J1507" s="646"/>
      <c r="K1507" s="1138"/>
    </row>
    <row r="1508" spans="1:11" x14ac:dyDescent="0.25">
      <c r="A1508" s="1190">
        <v>1</v>
      </c>
      <c r="B1508" s="745"/>
      <c r="C1508" s="1117"/>
      <c r="D1508" s="1117"/>
      <c r="E1508" s="1117"/>
      <c r="F1508" s="1117"/>
      <c r="G1508" s="632"/>
      <c r="H1508" s="745"/>
      <c r="I1508" s="1117"/>
      <c r="J1508" s="632"/>
      <c r="K1508" s="1118"/>
    </row>
    <row r="1509" spans="1:11" x14ac:dyDescent="0.25">
      <c r="A1509" s="718">
        <v>2</v>
      </c>
      <c r="B1509" s="668"/>
      <c r="C1509" s="721"/>
      <c r="D1509" s="721"/>
      <c r="E1509" s="721"/>
      <c r="F1509" s="721"/>
      <c r="G1509" s="639"/>
      <c r="H1509" s="668"/>
      <c r="I1509" s="721"/>
      <c r="J1509" s="639"/>
      <c r="K1509" s="1124"/>
    </row>
    <row r="1510" spans="1:11" ht="13.8" thickBot="1" x14ac:dyDescent="0.3">
      <c r="A1510" s="719">
        <v>3</v>
      </c>
      <c r="B1510" s="669"/>
      <c r="C1510" s="1137"/>
      <c r="D1510" s="1137"/>
      <c r="E1510" s="1137"/>
      <c r="F1510" s="1137"/>
      <c r="G1510" s="646"/>
      <c r="H1510" s="669"/>
      <c r="I1510" s="1137"/>
      <c r="J1510" s="646"/>
      <c r="K1510" s="1138"/>
    </row>
    <row r="1511" spans="1:11" ht="13.8" thickBot="1" x14ac:dyDescent="0.3">
      <c r="A1511" s="1186" t="s">
        <v>637</v>
      </c>
      <c r="B1511" s="1187"/>
      <c r="C1511" s="1188"/>
      <c r="D1511" s="1188"/>
      <c r="E1511" s="1188"/>
      <c r="F1511" s="1188"/>
      <c r="G1511" s="1189"/>
      <c r="H1511" s="1187"/>
      <c r="I1511" s="1188"/>
      <c r="J1511" s="1189"/>
      <c r="K1511" s="716"/>
    </row>
    <row r="1512" spans="1:11" x14ac:dyDescent="0.25">
      <c r="A1512" s="1190">
        <v>1</v>
      </c>
      <c r="B1512" s="745"/>
      <c r="C1512" s="1117"/>
      <c r="D1512" s="1117"/>
      <c r="E1512" s="1117"/>
      <c r="F1512" s="1117"/>
      <c r="G1512" s="632"/>
      <c r="H1512" s="745"/>
      <c r="I1512" s="1117"/>
      <c r="J1512" s="632"/>
      <c r="K1512" s="1118"/>
    </row>
    <row r="1513" spans="1:11" x14ac:dyDescent="0.25">
      <c r="A1513" s="718">
        <v>2</v>
      </c>
      <c r="B1513" s="668"/>
      <c r="C1513" s="721"/>
      <c r="D1513" s="721"/>
      <c r="E1513" s="721"/>
      <c r="F1513" s="721"/>
      <c r="G1513" s="639"/>
      <c r="H1513" s="668"/>
      <c r="I1513" s="721"/>
      <c r="J1513" s="639"/>
      <c r="K1513" s="1124"/>
    </row>
    <row r="1514" spans="1:11" x14ac:dyDescent="0.25">
      <c r="A1514" s="718">
        <v>3</v>
      </c>
      <c r="B1514" s="668"/>
      <c r="C1514" s="721"/>
      <c r="D1514" s="721"/>
      <c r="E1514" s="721"/>
      <c r="F1514" s="721"/>
      <c r="G1514" s="639"/>
      <c r="H1514" s="668"/>
      <c r="I1514" s="721"/>
      <c r="J1514" s="639"/>
      <c r="K1514" s="1124"/>
    </row>
    <row r="1515" spans="1:11" x14ac:dyDescent="0.25">
      <c r="A1515" s="718">
        <v>4</v>
      </c>
      <c r="B1515" s="668"/>
      <c r="C1515" s="721"/>
      <c r="D1515" s="721"/>
      <c r="E1515" s="721"/>
      <c r="F1515" s="721"/>
      <c r="G1515" s="639"/>
      <c r="H1515" s="668"/>
      <c r="I1515" s="721"/>
      <c r="J1515" s="639"/>
      <c r="K1515" s="1124"/>
    </row>
    <row r="1516" spans="1:11" x14ac:dyDescent="0.25">
      <c r="A1516" s="718">
        <v>5</v>
      </c>
      <c r="B1516" s="668"/>
      <c r="C1516" s="721"/>
      <c r="D1516" s="721"/>
      <c r="E1516" s="721"/>
      <c r="F1516" s="721"/>
      <c r="G1516" s="639"/>
      <c r="H1516" s="668"/>
      <c r="I1516" s="721"/>
      <c r="J1516" s="639"/>
      <c r="K1516" s="1124"/>
    </row>
    <row r="1517" spans="1:11" ht="13.8" thickBot="1" x14ac:dyDescent="0.3">
      <c r="A1517" s="719">
        <v>6</v>
      </c>
      <c r="B1517" s="669"/>
      <c r="C1517" s="1137"/>
      <c r="D1517" s="1137"/>
      <c r="E1517" s="1137"/>
      <c r="F1517" s="1137"/>
      <c r="G1517" s="646"/>
      <c r="H1517" s="669"/>
      <c r="I1517" s="1137"/>
      <c r="J1517" s="646"/>
      <c r="K1517" s="1138"/>
    </row>
    <row r="1518" spans="1:11" x14ac:dyDescent="0.25">
      <c r="A1518" s="1190">
        <v>1</v>
      </c>
      <c r="B1518" s="745"/>
      <c r="C1518" s="1117"/>
      <c r="D1518" s="1117"/>
      <c r="E1518" s="1117"/>
      <c r="F1518" s="1117"/>
      <c r="G1518" s="632"/>
      <c r="H1518" s="745"/>
      <c r="I1518" s="1117"/>
      <c r="J1518" s="632"/>
      <c r="K1518" s="1118"/>
    </row>
    <row r="1519" spans="1:11" x14ac:dyDescent="0.25">
      <c r="A1519" s="718">
        <v>2</v>
      </c>
      <c r="B1519" s="668"/>
      <c r="C1519" s="721"/>
      <c r="D1519" s="721"/>
      <c r="E1519" s="721"/>
      <c r="F1519" s="721"/>
      <c r="G1519" s="639"/>
      <c r="H1519" s="668"/>
      <c r="I1519" s="721"/>
      <c r="J1519" s="639"/>
      <c r="K1519" s="1124"/>
    </row>
    <row r="1520" spans="1:11" ht="13.8" thickBot="1" x14ac:dyDescent="0.3">
      <c r="A1520" s="1191">
        <v>3</v>
      </c>
      <c r="B1520" s="1132"/>
      <c r="C1520" s="1133"/>
      <c r="D1520" s="1133"/>
      <c r="E1520" s="1133"/>
      <c r="F1520" s="1133"/>
      <c r="G1520" s="1134"/>
      <c r="H1520" s="1132"/>
      <c r="I1520" s="1133"/>
      <c r="J1520" s="1134"/>
      <c r="K1520" s="1147"/>
    </row>
    <row r="1521" spans="1:11" ht="13.8" thickBot="1" x14ac:dyDescent="0.3">
      <c r="A1521" s="1186" t="s">
        <v>638</v>
      </c>
      <c r="B1521" s="1187"/>
      <c r="C1521" s="1188"/>
      <c r="D1521" s="1188"/>
      <c r="E1521" s="1188"/>
      <c r="F1521" s="1188"/>
      <c r="G1521" s="1189"/>
      <c r="H1521" s="1187"/>
      <c r="I1521" s="1188"/>
      <c r="J1521" s="1189"/>
      <c r="K1521" s="716"/>
    </row>
    <row r="1522" spans="1:11" x14ac:dyDescent="0.25">
      <c r="A1522" s="1190">
        <v>1</v>
      </c>
      <c r="B1522" s="745"/>
      <c r="C1522" s="1117"/>
      <c r="D1522" s="1117"/>
      <c r="E1522" s="1117"/>
      <c r="F1522" s="1117"/>
      <c r="G1522" s="632"/>
      <c r="H1522" s="745"/>
      <c r="I1522" s="1117"/>
      <c r="J1522" s="632"/>
      <c r="K1522" s="1118"/>
    </row>
    <row r="1523" spans="1:11" x14ac:dyDescent="0.25">
      <c r="A1523" s="718">
        <v>2</v>
      </c>
      <c r="B1523" s="668"/>
      <c r="C1523" s="721"/>
      <c r="D1523" s="721"/>
      <c r="E1523" s="721"/>
      <c r="F1523" s="721"/>
      <c r="G1523" s="639"/>
      <c r="H1523" s="668"/>
      <c r="I1523" s="721"/>
      <c r="J1523" s="639"/>
      <c r="K1523" s="1124"/>
    </row>
    <row r="1524" spans="1:11" x14ac:dyDescent="0.25">
      <c r="A1524" s="718">
        <v>3</v>
      </c>
      <c r="B1524" s="668"/>
      <c r="C1524" s="721"/>
      <c r="D1524" s="721"/>
      <c r="E1524" s="721"/>
      <c r="F1524" s="721"/>
      <c r="G1524" s="639"/>
      <c r="H1524" s="668"/>
      <c r="I1524" s="721"/>
      <c r="J1524" s="639"/>
      <c r="K1524" s="1124"/>
    </row>
    <row r="1525" spans="1:11" x14ac:dyDescent="0.25">
      <c r="A1525" s="718">
        <v>4</v>
      </c>
      <c r="B1525" s="668"/>
      <c r="C1525" s="721"/>
      <c r="D1525" s="721"/>
      <c r="E1525" s="721"/>
      <c r="F1525" s="721"/>
      <c r="G1525" s="639"/>
      <c r="H1525" s="668"/>
      <c r="I1525" s="721"/>
      <c r="J1525" s="639"/>
      <c r="K1525" s="1124"/>
    </row>
    <row r="1526" spans="1:11" x14ac:dyDescent="0.25">
      <c r="A1526" s="718">
        <v>5</v>
      </c>
      <c r="B1526" s="668"/>
      <c r="C1526" s="721"/>
      <c r="D1526" s="721"/>
      <c r="E1526" s="721"/>
      <c r="F1526" s="721"/>
      <c r="G1526" s="639"/>
      <c r="H1526" s="668"/>
      <c r="I1526" s="721"/>
      <c r="J1526" s="639"/>
      <c r="K1526" s="1124"/>
    </row>
    <row r="1527" spans="1:11" ht="13.8" thickBot="1" x14ac:dyDescent="0.3">
      <c r="A1527" s="719">
        <v>6</v>
      </c>
      <c r="B1527" s="669"/>
      <c r="C1527" s="1137"/>
      <c r="D1527" s="1137"/>
      <c r="E1527" s="1137"/>
      <c r="F1527" s="1137"/>
      <c r="G1527" s="646"/>
      <c r="H1527" s="669"/>
      <c r="I1527" s="1137"/>
      <c r="J1527" s="646"/>
      <c r="K1527" s="1138"/>
    </row>
    <row r="1528" spans="1:11" x14ac:dyDescent="0.25">
      <c r="A1528" s="1190">
        <v>1</v>
      </c>
      <c r="B1528" s="745"/>
      <c r="C1528" s="1117"/>
      <c r="D1528" s="1117"/>
      <c r="E1528" s="1117"/>
      <c r="F1528" s="1117"/>
      <c r="G1528" s="632"/>
      <c r="H1528" s="745"/>
      <c r="I1528" s="1117"/>
      <c r="J1528" s="632"/>
      <c r="K1528" s="1118"/>
    </row>
    <row r="1529" spans="1:11" x14ac:dyDescent="0.25">
      <c r="A1529" s="718">
        <v>2</v>
      </c>
      <c r="B1529" s="668"/>
      <c r="C1529" s="721"/>
      <c r="D1529" s="721"/>
      <c r="E1529" s="721"/>
      <c r="F1529" s="721"/>
      <c r="G1529" s="639"/>
      <c r="H1529" s="668"/>
      <c r="I1529" s="721"/>
      <c r="J1529" s="639"/>
      <c r="K1529" s="1124"/>
    </row>
    <row r="1530" spans="1:11" ht="13.8" thickBot="1" x14ac:dyDescent="0.3">
      <c r="A1530" s="719">
        <v>3</v>
      </c>
      <c r="B1530" s="669"/>
      <c r="C1530" s="1137"/>
      <c r="D1530" s="1137"/>
      <c r="E1530" s="1137"/>
      <c r="F1530" s="1137"/>
      <c r="G1530" s="646"/>
      <c r="H1530" s="669"/>
      <c r="I1530" s="1137"/>
      <c r="J1530" s="646"/>
      <c r="K1530" s="1138"/>
    </row>
    <row r="1531" spans="1:11" ht="13.8" thickBot="1" x14ac:dyDescent="0.3">
      <c r="A1531" s="1186" t="s">
        <v>639</v>
      </c>
      <c r="B1531" s="1187"/>
      <c r="C1531" s="1188"/>
      <c r="D1531" s="1188"/>
      <c r="E1531" s="1188"/>
      <c r="F1531" s="1188"/>
      <c r="G1531" s="1189"/>
      <c r="H1531" s="1187"/>
      <c r="I1531" s="1188"/>
      <c r="J1531" s="1189"/>
      <c r="K1531" s="716"/>
    </row>
    <row r="1532" spans="1:11" x14ac:dyDescent="0.25">
      <c r="A1532" s="1190">
        <v>1</v>
      </c>
      <c r="B1532" s="745"/>
      <c r="C1532" s="1117"/>
      <c r="D1532" s="1117"/>
      <c r="E1532" s="1117"/>
      <c r="F1532" s="1117"/>
      <c r="G1532" s="632"/>
      <c r="H1532" s="745"/>
      <c r="I1532" s="1117"/>
      <c r="J1532" s="632"/>
      <c r="K1532" s="1118"/>
    </row>
    <row r="1533" spans="1:11" x14ac:dyDescent="0.25">
      <c r="A1533" s="718">
        <v>2</v>
      </c>
      <c r="B1533" s="668"/>
      <c r="C1533" s="721"/>
      <c r="D1533" s="721"/>
      <c r="E1533" s="721"/>
      <c r="F1533" s="721"/>
      <c r="G1533" s="639"/>
      <c r="H1533" s="668"/>
      <c r="I1533" s="721"/>
      <c r="J1533" s="639"/>
      <c r="K1533" s="1124"/>
    </row>
    <row r="1534" spans="1:11" x14ac:dyDescent="0.25">
      <c r="A1534" s="718">
        <v>3</v>
      </c>
      <c r="B1534" s="668"/>
      <c r="C1534" s="721"/>
      <c r="D1534" s="721"/>
      <c r="E1534" s="721"/>
      <c r="F1534" s="721"/>
      <c r="G1534" s="639"/>
      <c r="H1534" s="668"/>
      <c r="I1534" s="721"/>
      <c r="J1534" s="639"/>
      <c r="K1534" s="1124"/>
    </row>
    <row r="1535" spans="1:11" x14ac:dyDescent="0.25">
      <c r="A1535" s="718">
        <v>4</v>
      </c>
      <c r="B1535" s="668"/>
      <c r="C1535" s="721"/>
      <c r="D1535" s="721"/>
      <c r="E1535" s="721"/>
      <c r="F1535" s="721"/>
      <c r="G1535" s="639"/>
      <c r="H1535" s="668"/>
      <c r="I1535" s="721"/>
      <c r="J1535" s="639"/>
      <c r="K1535" s="1124"/>
    </row>
    <row r="1536" spans="1:11" x14ac:dyDescent="0.25">
      <c r="A1536" s="718">
        <v>5</v>
      </c>
      <c r="B1536" s="668"/>
      <c r="C1536" s="721"/>
      <c r="D1536" s="721"/>
      <c r="E1536" s="721"/>
      <c r="F1536" s="721"/>
      <c r="G1536" s="639"/>
      <c r="H1536" s="668"/>
      <c r="I1536" s="721"/>
      <c r="J1536" s="639"/>
      <c r="K1536" s="1124"/>
    </row>
    <row r="1537" spans="1:11" ht="13.8" thickBot="1" x14ac:dyDescent="0.3">
      <c r="A1537" s="719">
        <v>6</v>
      </c>
      <c r="B1537" s="669"/>
      <c r="C1537" s="1137"/>
      <c r="D1537" s="1137"/>
      <c r="E1537" s="1137"/>
      <c r="F1537" s="1137"/>
      <c r="G1537" s="646"/>
      <c r="H1537" s="669"/>
      <c r="I1537" s="1137"/>
      <c r="J1537" s="646"/>
      <c r="K1537" s="1138"/>
    </row>
    <row r="1538" spans="1:11" x14ac:dyDescent="0.25">
      <c r="A1538" s="1190">
        <v>1</v>
      </c>
      <c r="B1538" s="745"/>
      <c r="C1538" s="1117"/>
      <c r="D1538" s="1117"/>
      <c r="E1538" s="1117"/>
      <c r="F1538" s="1117"/>
      <c r="G1538" s="632"/>
      <c r="H1538" s="745"/>
      <c r="I1538" s="1117"/>
      <c r="J1538" s="632"/>
      <c r="K1538" s="1118"/>
    </row>
    <row r="1539" spans="1:11" x14ac:dyDescent="0.25">
      <c r="A1539" s="718">
        <v>2</v>
      </c>
      <c r="B1539" s="668"/>
      <c r="C1539" s="721"/>
      <c r="D1539" s="721"/>
      <c r="E1539" s="721"/>
      <c r="F1539" s="721"/>
      <c r="G1539" s="639"/>
      <c r="H1539" s="668"/>
      <c r="I1539" s="721"/>
      <c r="J1539" s="639"/>
      <c r="K1539" s="1124"/>
    </row>
    <row r="1540" spans="1:11" ht="13.8" thickBot="1" x14ac:dyDescent="0.3">
      <c r="A1540" s="719">
        <v>3</v>
      </c>
      <c r="B1540" s="669"/>
      <c r="C1540" s="1137"/>
      <c r="D1540" s="1137"/>
      <c r="E1540" s="1137"/>
      <c r="F1540" s="1137"/>
      <c r="G1540" s="646"/>
      <c r="H1540" s="669"/>
      <c r="I1540" s="1137"/>
      <c r="J1540" s="646"/>
      <c r="K1540" s="1138"/>
    </row>
    <row r="1541" spans="1:11" ht="13.8" thickBot="1" x14ac:dyDescent="0.3">
      <c r="A1541" s="1186" t="s">
        <v>640</v>
      </c>
      <c r="B1541" s="1187"/>
      <c r="C1541" s="1188"/>
      <c r="D1541" s="1188"/>
      <c r="E1541" s="1188"/>
      <c r="F1541" s="1188"/>
      <c r="G1541" s="1189"/>
      <c r="H1541" s="1187"/>
      <c r="I1541" s="1188"/>
      <c r="J1541" s="1189"/>
      <c r="K1541" s="716"/>
    </row>
    <row r="1542" spans="1:11" x14ac:dyDescent="0.25">
      <c r="A1542" s="1190">
        <v>1</v>
      </c>
      <c r="B1542" s="745"/>
      <c r="C1542" s="1117"/>
      <c r="D1542" s="1117"/>
      <c r="E1542" s="1117"/>
      <c r="F1542" s="1117"/>
      <c r="G1542" s="632"/>
      <c r="H1542" s="745"/>
      <c r="I1542" s="1117"/>
      <c r="J1542" s="632"/>
      <c r="K1542" s="1118"/>
    </row>
    <row r="1543" spans="1:11" x14ac:dyDescent="0.25">
      <c r="A1543" s="718">
        <v>2</v>
      </c>
      <c r="B1543" s="668"/>
      <c r="C1543" s="721"/>
      <c r="D1543" s="721"/>
      <c r="E1543" s="721"/>
      <c r="F1543" s="721"/>
      <c r="G1543" s="639"/>
      <c r="H1543" s="668"/>
      <c r="I1543" s="721"/>
      <c r="J1543" s="639"/>
      <c r="K1543" s="1124"/>
    </row>
    <row r="1544" spans="1:11" x14ac:dyDescent="0.25">
      <c r="A1544" s="718">
        <v>3</v>
      </c>
      <c r="B1544" s="668"/>
      <c r="C1544" s="721"/>
      <c r="D1544" s="721"/>
      <c r="E1544" s="721"/>
      <c r="F1544" s="721"/>
      <c r="G1544" s="639"/>
      <c r="H1544" s="668"/>
      <c r="I1544" s="721"/>
      <c r="J1544" s="639"/>
      <c r="K1544" s="1124"/>
    </row>
    <row r="1545" spans="1:11" x14ac:dyDescent="0.25">
      <c r="A1545" s="718">
        <v>4</v>
      </c>
      <c r="B1545" s="668"/>
      <c r="C1545" s="721"/>
      <c r="D1545" s="721"/>
      <c r="E1545" s="721"/>
      <c r="F1545" s="721"/>
      <c r="G1545" s="639"/>
      <c r="H1545" s="668"/>
      <c r="I1545" s="721"/>
      <c r="J1545" s="639"/>
      <c r="K1545" s="1124"/>
    </row>
    <row r="1546" spans="1:11" x14ac:dyDescent="0.25">
      <c r="A1546" s="718">
        <v>5</v>
      </c>
      <c r="B1546" s="668"/>
      <c r="C1546" s="721"/>
      <c r="D1546" s="721"/>
      <c r="E1546" s="721"/>
      <c r="F1546" s="721"/>
      <c r="G1546" s="639"/>
      <c r="H1546" s="668"/>
      <c r="I1546" s="721"/>
      <c r="J1546" s="639"/>
      <c r="K1546" s="1124"/>
    </row>
    <row r="1547" spans="1:11" ht="13.8" thickBot="1" x14ac:dyDescent="0.3">
      <c r="A1547" s="719">
        <v>6</v>
      </c>
      <c r="B1547" s="669"/>
      <c r="C1547" s="1137"/>
      <c r="D1547" s="1137"/>
      <c r="E1547" s="1137"/>
      <c r="F1547" s="1137"/>
      <c r="G1547" s="646"/>
      <c r="H1547" s="669"/>
      <c r="I1547" s="1137"/>
      <c r="J1547" s="646"/>
      <c r="K1547" s="1138"/>
    </row>
    <row r="1548" spans="1:11" x14ac:dyDescent="0.25">
      <c r="A1548" s="1190">
        <v>1</v>
      </c>
      <c r="B1548" s="745"/>
      <c r="C1548" s="1117"/>
      <c r="D1548" s="1117"/>
      <c r="E1548" s="1117"/>
      <c r="F1548" s="1117"/>
      <c r="G1548" s="632"/>
      <c r="H1548" s="745"/>
      <c r="I1548" s="1117"/>
      <c r="J1548" s="632"/>
      <c r="K1548" s="1118"/>
    </row>
    <row r="1549" spans="1:11" x14ac:dyDescent="0.25">
      <c r="A1549" s="718">
        <v>2</v>
      </c>
      <c r="B1549" s="668"/>
      <c r="C1549" s="721"/>
      <c r="D1549" s="721"/>
      <c r="E1549" s="721"/>
      <c r="F1549" s="721"/>
      <c r="G1549" s="639"/>
      <c r="H1549" s="668"/>
      <c r="I1549" s="721"/>
      <c r="J1549" s="639"/>
      <c r="K1549" s="1124"/>
    </row>
    <row r="1550" spans="1:11" ht="13.8" thickBot="1" x14ac:dyDescent="0.3">
      <c r="A1550" s="719">
        <v>3</v>
      </c>
      <c r="B1550" s="669"/>
      <c r="C1550" s="1137"/>
      <c r="D1550" s="1137"/>
      <c r="E1550" s="1137"/>
      <c r="F1550" s="1137"/>
      <c r="G1550" s="646"/>
      <c r="H1550" s="669"/>
      <c r="I1550" s="1137"/>
      <c r="J1550" s="646"/>
      <c r="K1550" s="1138"/>
    </row>
    <row r="1551" spans="1:11" ht="13.8" thickBot="1" x14ac:dyDescent="0.3">
      <c r="A1551" s="1186" t="s">
        <v>641</v>
      </c>
      <c r="B1551" s="1187"/>
      <c r="C1551" s="1188"/>
      <c r="D1551" s="1188"/>
      <c r="E1551" s="1188"/>
      <c r="F1551" s="1188"/>
      <c r="G1551" s="1189"/>
      <c r="H1551" s="1187"/>
      <c r="I1551" s="1188"/>
      <c r="J1551" s="1189"/>
      <c r="K1551" s="716"/>
    </row>
    <row r="1552" spans="1:11" x14ac:dyDescent="0.25">
      <c r="A1552" s="1190">
        <v>1</v>
      </c>
      <c r="B1552" s="745"/>
      <c r="C1552" s="1117"/>
      <c r="D1552" s="1117"/>
      <c r="E1552" s="1117"/>
      <c r="F1552" s="1117"/>
      <c r="G1552" s="632"/>
      <c r="H1552" s="745"/>
      <c r="I1552" s="1117"/>
      <c r="J1552" s="632"/>
      <c r="K1552" s="1118"/>
    </row>
    <row r="1553" spans="1:11" x14ac:dyDescent="0.25">
      <c r="A1553" s="718">
        <v>2</v>
      </c>
      <c r="B1553" s="668"/>
      <c r="C1553" s="721"/>
      <c r="D1553" s="721"/>
      <c r="E1553" s="721"/>
      <c r="F1553" s="721"/>
      <c r="G1553" s="639"/>
      <c r="H1553" s="668"/>
      <c r="I1553" s="721"/>
      <c r="J1553" s="639"/>
      <c r="K1553" s="1124"/>
    </row>
    <row r="1554" spans="1:11" x14ac:dyDescent="0.25">
      <c r="A1554" s="718">
        <v>3</v>
      </c>
      <c r="B1554" s="668"/>
      <c r="C1554" s="721"/>
      <c r="D1554" s="721"/>
      <c r="E1554" s="721"/>
      <c r="F1554" s="721"/>
      <c r="G1554" s="639"/>
      <c r="H1554" s="668"/>
      <c r="I1554" s="721"/>
      <c r="J1554" s="639"/>
      <c r="K1554" s="1124"/>
    </row>
    <row r="1555" spans="1:11" x14ac:dyDescent="0.25">
      <c r="A1555" s="718">
        <v>4</v>
      </c>
      <c r="B1555" s="668"/>
      <c r="C1555" s="721"/>
      <c r="D1555" s="721"/>
      <c r="E1555" s="721"/>
      <c r="F1555" s="721"/>
      <c r="G1555" s="639"/>
      <c r="H1555" s="668"/>
      <c r="I1555" s="721"/>
      <c r="J1555" s="639"/>
      <c r="K1555" s="1124"/>
    </row>
    <row r="1556" spans="1:11" x14ac:dyDescent="0.25">
      <c r="A1556" s="718">
        <v>5</v>
      </c>
      <c r="B1556" s="668"/>
      <c r="C1556" s="721"/>
      <c r="D1556" s="721"/>
      <c r="E1556" s="721"/>
      <c r="F1556" s="721"/>
      <c r="G1556" s="639"/>
      <c r="H1556" s="668"/>
      <c r="I1556" s="721"/>
      <c r="J1556" s="639"/>
      <c r="K1556" s="1124"/>
    </row>
    <row r="1557" spans="1:11" ht="13.8" thickBot="1" x14ac:dyDescent="0.3">
      <c r="A1557" s="719">
        <v>6</v>
      </c>
      <c r="B1557" s="669"/>
      <c r="C1557" s="1137"/>
      <c r="D1557" s="1137"/>
      <c r="E1557" s="1137"/>
      <c r="F1557" s="1137"/>
      <c r="G1557" s="646"/>
      <c r="H1557" s="669"/>
      <c r="I1557" s="1137"/>
      <c r="J1557" s="646"/>
      <c r="K1557" s="1138"/>
    </row>
    <row r="1558" spans="1:11" x14ac:dyDescent="0.25">
      <c r="A1558" s="1190">
        <v>1</v>
      </c>
      <c r="B1558" s="745"/>
      <c r="C1558" s="1117"/>
      <c r="D1558" s="1117"/>
      <c r="E1558" s="1117"/>
      <c r="F1558" s="1117"/>
      <c r="G1558" s="632"/>
      <c r="H1558" s="745"/>
      <c r="I1558" s="1117"/>
      <c r="J1558" s="632"/>
      <c r="K1558" s="1118"/>
    </row>
    <row r="1559" spans="1:11" x14ac:dyDescent="0.25">
      <c r="A1559" s="718">
        <v>2</v>
      </c>
      <c r="B1559" s="668"/>
      <c r="C1559" s="721"/>
      <c r="D1559" s="721"/>
      <c r="E1559" s="721"/>
      <c r="F1559" s="721"/>
      <c r="G1559" s="639"/>
      <c r="H1559" s="668"/>
      <c r="I1559" s="721"/>
      <c r="J1559" s="639"/>
      <c r="K1559" s="1124"/>
    </row>
    <row r="1560" spans="1:11" ht="13.8" thickBot="1" x14ac:dyDescent="0.3">
      <c r="A1560" s="719">
        <v>3</v>
      </c>
      <c r="B1560" s="669"/>
      <c r="C1560" s="1137"/>
      <c r="D1560" s="1137"/>
      <c r="E1560" s="1137"/>
      <c r="F1560" s="1137"/>
      <c r="G1560" s="646"/>
      <c r="H1560" s="669"/>
      <c r="I1560" s="1137"/>
      <c r="J1560" s="646"/>
      <c r="K1560" s="1138"/>
    </row>
    <row r="1561" spans="1:11" ht="13.8" thickBot="1" x14ac:dyDescent="0.3">
      <c r="A1561" s="1186" t="s">
        <v>642</v>
      </c>
      <c r="B1561" s="1187"/>
      <c r="C1561" s="1188"/>
      <c r="D1561" s="1188"/>
      <c r="E1561" s="1188"/>
      <c r="F1561" s="1188"/>
      <c r="G1561" s="1189"/>
      <c r="H1561" s="1187"/>
      <c r="I1561" s="1188"/>
      <c r="J1561" s="1189"/>
      <c r="K1561" s="716"/>
    </row>
    <row r="1562" spans="1:11" x14ac:dyDescent="0.25">
      <c r="A1562" s="1190">
        <v>1</v>
      </c>
      <c r="B1562" s="745"/>
      <c r="C1562" s="1117"/>
      <c r="D1562" s="1117"/>
      <c r="E1562" s="1117"/>
      <c r="F1562" s="1117"/>
      <c r="G1562" s="632"/>
      <c r="H1562" s="745"/>
      <c r="I1562" s="1117"/>
      <c r="J1562" s="632"/>
      <c r="K1562" s="1118"/>
    </row>
    <row r="1563" spans="1:11" x14ac:dyDescent="0.25">
      <c r="A1563" s="718">
        <v>2</v>
      </c>
      <c r="B1563" s="668"/>
      <c r="C1563" s="721"/>
      <c r="D1563" s="721"/>
      <c r="E1563" s="721"/>
      <c r="F1563" s="721"/>
      <c r="G1563" s="639"/>
      <c r="H1563" s="668"/>
      <c r="I1563" s="721"/>
      <c r="J1563" s="639"/>
      <c r="K1563" s="1124"/>
    </row>
    <row r="1564" spans="1:11" x14ac:dyDescent="0.25">
      <c r="A1564" s="718">
        <v>3</v>
      </c>
      <c r="B1564" s="668"/>
      <c r="C1564" s="721"/>
      <c r="D1564" s="721"/>
      <c r="E1564" s="721"/>
      <c r="F1564" s="721"/>
      <c r="G1564" s="639"/>
      <c r="H1564" s="668"/>
      <c r="I1564" s="721"/>
      <c r="J1564" s="639"/>
      <c r="K1564" s="1124"/>
    </row>
    <row r="1565" spans="1:11" x14ac:dyDescent="0.25">
      <c r="A1565" s="718">
        <v>4</v>
      </c>
      <c r="B1565" s="668"/>
      <c r="C1565" s="721"/>
      <c r="D1565" s="721"/>
      <c r="E1565" s="721"/>
      <c r="F1565" s="721"/>
      <c r="G1565" s="639"/>
      <c r="H1565" s="668"/>
      <c r="I1565" s="721"/>
      <c r="J1565" s="639"/>
      <c r="K1565" s="1124"/>
    </row>
    <row r="1566" spans="1:11" x14ac:dyDescent="0.25">
      <c r="A1566" s="718">
        <v>5</v>
      </c>
      <c r="B1566" s="668"/>
      <c r="C1566" s="721"/>
      <c r="D1566" s="721"/>
      <c r="E1566" s="721"/>
      <c r="F1566" s="721"/>
      <c r="G1566" s="639"/>
      <c r="H1566" s="668"/>
      <c r="I1566" s="721"/>
      <c r="J1566" s="639"/>
      <c r="K1566" s="1124"/>
    </row>
    <row r="1567" spans="1:11" ht="13.8" thickBot="1" x14ac:dyDescent="0.3">
      <c r="A1567" s="719">
        <v>6</v>
      </c>
      <c r="B1567" s="669"/>
      <c r="C1567" s="1137"/>
      <c r="D1567" s="1137"/>
      <c r="E1567" s="1137"/>
      <c r="F1567" s="1137"/>
      <c r="G1567" s="646"/>
      <c r="H1567" s="669"/>
      <c r="I1567" s="1137"/>
      <c r="J1567" s="646"/>
      <c r="K1567" s="1138"/>
    </row>
    <row r="1568" spans="1:11" x14ac:dyDescent="0.25">
      <c r="A1568" s="1190">
        <v>1</v>
      </c>
      <c r="B1568" s="745"/>
      <c r="C1568" s="1117"/>
      <c r="D1568" s="1117"/>
      <c r="E1568" s="1117"/>
      <c r="F1568" s="1117"/>
      <c r="G1568" s="632"/>
      <c r="H1568" s="745"/>
      <c r="I1568" s="1117"/>
      <c r="J1568" s="632"/>
      <c r="K1568" s="1118"/>
    </row>
    <row r="1569" spans="1:11" x14ac:dyDescent="0.25">
      <c r="A1569" s="718">
        <v>2</v>
      </c>
      <c r="B1569" s="668"/>
      <c r="C1569" s="721"/>
      <c r="D1569" s="721"/>
      <c r="E1569" s="721"/>
      <c r="F1569" s="721"/>
      <c r="G1569" s="639"/>
      <c r="H1569" s="668"/>
      <c r="I1569" s="721"/>
      <c r="J1569" s="639"/>
      <c r="K1569" s="1124"/>
    </row>
    <row r="1570" spans="1:11" ht="13.8" thickBot="1" x14ac:dyDescent="0.3">
      <c r="A1570" s="719">
        <v>3</v>
      </c>
      <c r="B1570" s="669"/>
      <c r="C1570" s="1137"/>
      <c r="D1570" s="1137"/>
      <c r="E1570" s="1137"/>
      <c r="F1570" s="1137"/>
      <c r="G1570" s="646"/>
      <c r="H1570" s="669"/>
      <c r="I1570" s="1137"/>
      <c r="J1570" s="646"/>
      <c r="K1570" s="1138"/>
    </row>
    <row r="1571" spans="1:11" ht="13.8" thickBot="1" x14ac:dyDescent="0.3">
      <c r="A1571" s="1186" t="s">
        <v>643</v>
      </c>
      <c r="B1571" s="1187"/>
      <c r="C1571" s="1188"/>
      <c r="D1571" s="1188"/>
      <c r="E1571" s="1188"/>
      <c r="F1571" s="1188"/>
      <c r="G1571" s="1189"/>
      <c r="H1571" s="1187"/>
      <c r="I1571" s="1188"/>
      <c r="J1571" s="1189"/>
      <c r="K1571" s="716"/>
    </row>
    <row r="1572" spans="1:11" x14ac:dyDescent="0.25">
      <c r="A1572" s="1190">
        <v>1</v>
      </c>
      <c r="B1572" s="745"/>
      <c r="C1572" s="1117"/>
      <c r="D1572" s="1117"/>
      <c r="E1572" s="1117"/>
      <c r="F1572" s="1117"/>
      <c r="G1572" s="632"/>
      <c r="H1572" s="745"/>
      <c r="I1572" s="1117"/>
      <c r="J1572" s="632"/>
      <c r="K1572" s="1118"/>
    </row>
    <row r="1573" spans="1:11" x14ac:dyDescent="0.25">
      <c r="A1573" s="718">
        <v>2</v>
      </c>
      <c r="B1573" s="668"/>
      <c r="C1573" s="721"/>
      <c r="D1573" s="721"/>
      <c r="E1573" s="721"/>
      <c r="F1573" s="721"/>
      <c r="G1573" s="639"/>
      <c r="H1573" s="668"/>
      <c r="I1573" s="721"/>
      <c r="J1573" s="639"/>
      <c r="K1573" s="1124"/>
    </row>
    <row r="1574" spans="1:11" x14ac:dyDescent="0.25">
      <c r="A1574" s="718">
        <v>3</v>
      </c>
      <c r="B1574" s="668"/>
      <c r="C1574" s="721"/>
      <c r="D1574" s="721"/>
      <c r="E1574" s="721"/>
      <c r="F1574" s="721"/>
      <c r="G1574" s="639"/>
      <c r="H1574" s="668"/>
      <c r="I1574" s="721"/>
      <c r="J1574" s="639"/>
      <c r="K1574" s="1124"/>
    </row>
    <row r="1575" spans="1:11" x14ac:dyDescent="0.25">
      <c r="A1575" s="718">
        <v>4</v>
      </c>
      <c r="B1575" s="668"/>
      <c r="C1575" s="721"/>
      <c r="D1575" s="721"/>
      <c r="E1575" s="721"/>
      <c r="F1575" s="721"/>
      <c r="G1575" s="639"/>
      <c r="H1575" s="668"/>
      <c r="I1575" s="721"/>
      <c r="J1575" s="639"/>
      <c r="K1575" s="1124"/>
    </row>
    <row r="1576" spans="1:11" x14ac:dyDescent="0.25">
      <c r="A1576" s="718">
        <v>5</v>
      </c>
      <c r="B1576" s="668"/>
      <c r="C1576" s="721"/>
      <c r="D1576" s="721"/>
      <c r="E1576" s="721"/>
      <c r="F1576" s="721"/>
      <c r="G1576" s="639"/>
      <c r="H1576" s="668"/>
      <c r="I1576" s="721"/>
      <c r="J1576" s="639"/>
      <c r="K1576" s="1124"/>
    </row>
    <row r="1577" spans="1:11" ht="13.8" thickBot="1" x14ac:dyDescent="0.3">
      <c r="A1577" s="719">
        <v>6</v>
      </c>
      <c r="B1577" s="669"/>
      <c r="C1577" s="1137"/>
      <c r="D1577" s="1137"/>
      <c r="E1577" s="1137"/>
      <c r="F1577" s="1137"/>
      <c r="G1577" s="646"/>
      <c r="H1577" s="669"/>
      <c r="I1577" s="1137"/>
      <c r="J1577" s="646"/>
      <c r="K1577" s="1138"/>
    </row>
    <row r="1578" spans="1:11" x14ac:dyDescent="0.25">
      <c r="A1578" s="1190">
        <v>1</v>
      </c>
      <c r="B1578" s="745"/>
      <c r="C1578" s="1117"/>
      <c r="D1578" s="1117"/>
      <c r="E1578" s="1117"/>
      <c r="F1578" s="1117"/>
      <c r="G1578" s="632"/>
      <c r="H1578" s="745"/>
      <c r="I1578" s="1117"/>
      <c r="J1578" s="632"/>
      <c r="K1578" s="1118"/>
    </row>
    <row r="1579" spans="1:11" x14ac:dyDescent="0.25">
      <c r="A1579" s="718">
        <v>2</v>
      </c>
      <c r="B1579" s="668"/>
      <c r="C1579" s="721"/>
      <c r="D1579" s="721"/>
      <c r="E1579" s="721"/>
      <c r="F1579" s="721"/>
      <c r="G1579" s="639"/>
      <c r="H1579" s="668"/>
      <c r="I1579" s="721"/>
      <c r="J1579" s="639"/>
      <c r="K1579" s="1124"/>
    </row>
    <row r="1580" spans="1:11" ht="13.8" thickBot="1" x14ac:dyDescent="0.3">
      <c r="A1580" s="719">
        <v>3</v>
      </c>
      <c r="B1580" s="669"/>
      <c r="C1580" s="1137"/>
      <c r="D1580" s="1137"/>
      <c r="E1580" s="1137"/>
      <c r="F1580" s="1137"/>
      <c r="G1580" s="646"/>
      <c r="H1580" s="669"/>
      <c r="I1580" s="1137"/>
      <c r="J1580" s="646"/>
      <c r="K1580" s="1138"/>
    </row>
    <row r="1581" spans="1:11" ht="13.8" thickBot="1" x14ac:dyDescent="0.3">
      <c r="A1581" s="1186" t="s">
        <v>644</v>
      </c>
      <c r="B1581" s="1187"/>
      <c r="C1581" s="1188"/>
      <c r="D1581" s="1188"/>
      <c r="E1581" s="1188"/>
      <c r="F1581" s="1188"/>
      <c r="G1581" s="1189"/>
      <c r="H1581" s="1187"/>
      <c r="I1581" s="1188"/>
      <c r="J1581" s="1189"/>
      <c r="K1581" s="716"/>
    </row>
    <row r="1582" spans="1:11" x14ac:dyDescent="0.25">
      <c r="A1582" s="1190">
        <v>1</v>
      </c>
      <c r="B1582" s="745"/>
      <c r="C1582" s="1117"/>
      <c r="D1582" s="1117"/>
      <c r="E1582" s="1117"/>
      <c r="F1582" s="1117"/>
      <c r="G1582" s="632"/>
      <c r="H1582" s="745"/>
      <c r="I1582" s="1117"/>
      <c r="J1582" s="632"/>
      <c r="K1582" s="1118"/>
    </row>
    <row r="1583" spans="1:11" x14ac:dyDescent="0.25">
      <c r="A1583" s="718">
        <v>2</v>
      </c>
      <c r="B1583" s="668"/>
      <c r="C1583" s="721"/>
      <c r="D1583" s="721"/>
      <c r="E1583" s="721"/>
      <c r="F1583" s="721"/>
      <c r="G1583" s="639"/>
      <c r="H1583" s="668"/>
      <c r="I1583" s="721"/>
      <c r="J1583" s="639"/>
      <c r="K1583" s="1124"/>
    </row>
    <row r="1584" spans="1:11" x14ac:dyDescent="0.25">
      <c r="A1584" s="718">
        <v>3</v>
      </c>
      <c r="B1584" s="668"/>
      <c r="C1584" s="721"/>
      <c r="D1584" s="721"/>
      <c r="E1584" s="721"/>
      <c r="F1584" s="721"/>
      <c r="G1584" s="639"/>
      <c r="H1584" s="668"/>
      <c r="I1584" s="721"/>
      <c r="J1584" s="639"/>
      <c r="K1584" s="1124"/>
    </row>
    <row r="1585" spans="1:11" x14ac:dyDescent="0.25">
      <c r="A1585" s="718">
        <v>4</v>
      </c>
      <c r="B1585" s="668"/>
      <c r="C1585" s="721"/>
      <c r="D1585" s="721"/>
      <c r="E1585" s="721"/>
      <c r="F1585" s="721"/>
      <c r="G1585" s="639"/>
      <c r="H1585" s="668"/>
      <c r="I1585" s="721"/>
      <c r="J1585" s="639"/>
      <c r="K1585" s="1124"/>
    </row>
    <row r="1586" spans="1:11" x14ac:dyDescent="0.25">
      <c r="A1586" s="718">
        <v>5</v>
      </c>
      <c r="B1586" s="668"/>
      <c r="C1586" s="721"/>
      <c r="D1586" s="721"/>
      <c r="E1586" s="721"/>
      <c r="F1586" s="721"/>
      <c r="G1586" s="639"/>
      <c r="H1586" s="668"/>
      <c r="I1586" s="721"/>
      <c r="J1586" s="639"/>
      <c r="K1586" s="1124"/>
    </row>
    <row r="1587" spans="1:11" ht="13.8" thickBot="1" x14ac:dyDescent="0.3">
      <c r="A1587" s="719">
        <v>6</v>
      </c>
      <c r="B1587" s="669"/>
      <c r="C1587" s="1137"/>
      <c r="D1587" s="1137"/>
      <c r="E1587" s="1137"/>
      <c r="F1587" s="1137"/>
      <c r="G1587" s="646"/>
      <c r="H1587" s="669"/>
      <c r="I1587" s="1137"/>
      <c r="J1587" s="646"/>
      <c r="K1587" s="1138"/>
    </row>
    <row r="1588" spans="1:11" x14ac:dyDescent="0.25">
      <c r="A1588" s="1190">
        <v>1</v>
      </c>
      <c r="B1588" s="745"/>
      <c r="C1588" s="1117"/>
      <c r="D1588" s="1117"/>
      <c r="E1588" s="1117"/>
      <c r="F1588" s="1117"/>
      <c r="G1588" s="632"/>
      <c r="H1588" s="745"/>
      <c r="I1588" s="1117"/>
      <c r="J1588" s="632"/>
      <c r="K1588" s="1118"/>
    </row>
    <row r="1589" spans="1:11" x14ac:dyDescent="0.25">
      <c r="A1589" s="718">
        <v>2</v>
      </c>
      <c r="B1589" s="668"/>
      <c r="C1589" s="721"/>
      <c r="D1589" s="721"/>
      <c r="E1589" s="721"/>
      <c r="F1589" s="721"/>
      <c r="G1589" s="639"/>
      <c r="H1589" s="668"/>
      <c r="I1589" s="721"/>
      <c r="J1589" s="639"/>
      <c r="K1589" s="1124"/>
    </row>
    <row r="1590" spans="1:11" ht="13.8" thickBot="1" x14ac:dyDescent="0.3">
      <c r="A1590" s="1191">
        <v>3</v>
      </c>
      <c r="B1590" s="1132"/>
      <c r="C1590" s="1133"/>
      <c r="D1590" s="1133"/>
      <c r="E1590" s="1133"/>
      <c r="F1590" s="1133"/>
      <c r="G1590" s="1134"/>
      <c r="H1590" s="1132"/>
      <c r="I1590" s="1133"/>
      <c r="J1590" s="1134"/>
      <c r="K1590" s="1147"/>
    </row>
    <row r="1591" spans="1:11" ht="13.8" thickBot="1" x14ac:dyDescent="0.3">
      <c r="A1591" s="1186" t="s">
        <v>645</v>
      </c>
      <c r="B1591" s="1187"/>
      <c r="C1591" s="1188"/>
      <c r="D1591" s="1188"/>
      <c r="E1591" s="1188"/>
      <c r="F1591" s="1188"/>
      <c r="G1591" s="1189"/>
      <c r="H1591" s="1187"/>
      <c r="I1591" s="1188"/>
      <c r="J1591" s="1189"/>
      <c r="K1591" s="716"/>
    </row>
    <row r="1592" spans="1:11" x14ac:dyDescent="0.25">
      <c r="A1592" s="1190">
        <v>1</v>
      </c>
      <c r="B1592" s="745"/>
      <c r="C1592" s="1117"/>
      <c r="D1592" s="1117"/>
      <c r="E1592" s="1117"/>
      <c r="F1592" s="1117"/>
      <c r="G1592" s="632"/>
      <c r="H1592" s="745"/>
      <c r="I1592" s="1117"/>
      <c r="J1592" s="632"/>
      <c r="K1592" s="1118"/>
    </row>
    <row r="1593" spans="1:11" x14ac:dyDescent="0.25">
      <c r="A1593" s="718">
        <v>2</v>
      </c>
      <c r="B1593" s="668"/>
      <c r="C1593" s="721"/>
      <c r="D1593" s="721"/>
      <c r="E1593" s="721"/>
      <c r="F1593" s="721"/>
      <c r="G1593" s="639"/>
      <c r="H1593" s="668"/>
      <c r="I1593" s="721"/>
      <c r="J1593" s="639"/>
      <c r="K1593" s="1124"/>
    </row>
    <row r="1594" spans="1:11" x14ac:dyDescent="0.25">
      <c r="A1594" s="718">
        <v>3</v>
      </c>
      <c r="B1594" s="668"/>
      <c r="C1594" s="721"/>
      <c r="D1594" s="721"/>
      <c r="E1594" s="721"/>
      <c r="F1594" s="721"/>
      <c r="G1594" s="639"/>
      <c r="H1594" s="668"/>
      <c r="I1594" s="721"/>
      <c r="J1594" s="639"/>
      <c r="K1594" s="1124"/>
    </row>
    <row r="1595" spans="1:11" x14ac:dyDescent="0.25">
      <c r="A1595" s="718">
        <v>4</v>
      </c>
      <c r="B1595" s="668"/>
      <c r="C1595" s="721"/>
      <c r="D1595" s="721"/>
      <c r="E1595" s="721"/>
      <c r="F1595" s="721"/>
      <c r="G1595" s="639"/>
      <c r="H1595" s="668"/>
      <c r="I1595" s="721"/>
      <c r="J1595" s="639"/>
      <c r="K1595" s="1124"/>
    </row>
    <row r="1596" spans="1:11" x14ac:dyDescent="0.25">
      <c r="A1596" s="718">
        <v>5</v>
      </c>
      <c r="B1596" s="668"/>
      <c r="C1596" s="721"/>
      <c r="D1596" s="721"/>
      <c r="E1596" s="721"/>
      <c r="F1596" s="721"/>
      <c r="G1596" s="639"/>
      <c r="H1596" s="668"/>
      <c r="I1596" s="721"/>
      <c r="J1596" s="639"/>
      <c r="K1596" s="1124"/>
    </row>
    <row r="1597" spans="1:11" ht="13.8" thickBot="1" x14ac:dyDescent="0.3">
      <c r="A1597" s="719">
        <v>6</v>
      </c>
      <c r="B1597" s="669"/>
      <c r="C1597" s="1137"/>
      <c r="D1597" s="1137"/>
      <c r="E1597" s="1137"/>
      <c r="F1597" s="1137"/>
      <c r="G1597" s="646"/>
      <c r="H1597" s="669"/>
      <c r="I1597" s="1137"/>
      <c r="J1597" s="646"/>
      <c r="K1597" s="1138"/>
    </row>
    <row r="1598" spans="1:11" x14ac:dyDescent="0.25">
      <c r="A1598" s="1190">
        <v>1</v>
      </c>
      <c r="B1598" s="745"/>
      <c r="C1598" s="1117"/>
      <c r="D1598" s="1117"/>
      <c r="E1598" s="1117"/>
      <c r="F1598" s="1117"/>
      <c r="G1598" s="632"/>
      <c r="H1598" s="745"/>
      <c r="I1598" s="1117"/>
      <c r="J1598" s="632"/>
      <c r="K1598" s="1118"/>
    </row>
    <row r="1599" spans="1:11" x14ac:dyDescent="0.25">
      <c r="A1599" s="718">
        <v>2</v>
      </c>
      <c r="B1599" s="668"/>
      <c r="C1599" s="721"/>
      <c r="D1599" s="721"/>
      <c r="E1599" s="721"/>
      <c r="F1599" s="721"/>
      <c r="G1599" s="639"/>
      <c r="H1599" s="668"/>
      <c r="I1599" s="721"/>
      <c r="J1599" s="639"/>
      <c r="K1599" s="1124"/>
    </row>
    <row r="1600" spans="1:11" ht="13.8" thickBot="1" x14ac:dyDescent="0.3">
      <c r="A1600" s="719">
        <v>3</v>
      </c>
      <c r="B1600" s="669"/>
      <c r="C1600" s="1137"/>
      <c r="D1600" s="1137"/>
      <c r="E1600" s="1137"/>
      <c r="F1600" s="1137"/>
      <c r="G1600" s="646"/>
      <c r="H1600" s="669"/>
      <c r="I1600" s="1137"/>
      <c r="J1600" s="646"/>
      <c r="K1600" s="1138"/>
    </row>
    <row r="1601" spans="1:11" ht="13.8" thickBot="1" x14ac:dyDescent="0.3">
      <c r="A1601" s="1186" t="s">
        <v>646</v>
      </c>
      <c r="B1601" s="1187"/>
      <c r="C1601" s="1188"/>
      <c r="D1601" s="1188"/>
      <c r="E1601" s="1188"/>
      <c r="F1601" s="1188"/>
      <c r="G1601" s="1189"/>
      <c r="H1601" s="1187"/>
      <c r="I1601" s="1188"/>
      <c r="J1601" s="1189"/>
      <c r="K1601" s="716"/>
    </row>
    <row r="1602" spans="1:11" x14ac:dyDescent="0.25">
      <c r="A1602" s="1190">
        <v>1</v>
      </c>
      <c r="B1602" s="745"/>
      <c r="C1602" s="1117"/>
      <c r="D1602" s="1117"/>
      <c r="E1602" s="1117"/>
      <c r="F1602" s="1117"/>
      <c r="G1602" s="632"/>
      <c r="H1602" s="745"/>
      <c r="I1602" s="1117"/>
      <c r="J1602" s="632"/>
      <c r="K1602" s="1118"/>
    </row>
    <row r="1603" spans="1:11" x14ac:dyDescent="0.25">
      <c r="A1603" s="718">
        <v>2</v>
      </c>
      <c r="B1603" s="668"/>
      <c r="C1603" s="721"/>
      <c r="D1603" s="721"/>
      <c r="E1603" s="721"/>
      <c r="F1603" s="721"/>
      <c r="G1603" s="639"/>
      <c r="H1603" s="668"/>
      <c r="I1603" s="721"/>
      <c r="J1603" s="639"/>
      <c r="K1603" s="1124"/>
    </row>
    <row r="1604" spans="1:11" x14ac:dyDescent="0.25">
      <c r="A1604" s="718">
        <v>3</v>
      </c>
      <c r="B1604" s="668"/>
      <c r="C1604" s="721"/>
      <c r="D1604" s="721"/>
      <c r="E1604" s="721"/>
      <c r="F1604" s="721"/>
      <c r="G1604" s="639"/>
      <c r="H1604" s="668"/>
      <c r="I1604" s="721"/>
      <c r="J1604" s="639"/>
      <c r="K1604" s="1124"/>
    </row>
    <row r="1605" spans="1:11" x14ac:dyDescent="0.25">
      <c r="A1605" s="718">
        <v>4</v>
      </c>
      <c r="B1605" s="668"/>
      <c r="C1605" s="721"/>
      <c r="D1605" s="721"/>
      <c r="E1605" s="721"/>
      <c r="F1605" s="721"/>
      <c r="G1605" s="639"/>
      <c r="H1605" s="668"/>
      <c r="I1605" s="721"/>
      <c r="J1605" s="639"/>
      <c r="K1605" s="1124"/>
    </row>
    <row r="1606" spans="1:11" x14ac:dyDescent="0.25">
      <c r="A1606" s="718">
        <v>5</v>
      </c>
      <c r="B1606" s="668"/>
      <c r="C1606" s="721"/>
      <c r="D1606" s="721"/>
      <c r="E1606" s="721"/>
      <c r="F1606" s="721"/>
      <c r="G1606" s="639"/>
      <c r="H1606" s="668"/>
      <c r="I1606" s="721"/>
      <c r="J1606" s="639"/>
      <c r="K1606" s="1124"/>
    </row>
    <row r="1607" spans="1:11" ht="13.8" thickBot="1" x14ac:dyDescent="0.3">
      <c r="A1607" s="719">
        <v>6</v>
      </c>
      <c r="B1607" s="669"/>
      <c r="C1607" s="1137"/>
      <c r="D1607" s="1137"/>
      <c r="E1607" s="1137"/>
      <c r="F1607" s="1137"/>
      <c r="G1607" s="646"/>
      <c r="H1607" s="669"/>
      <c r="I1607" s="1137"/>
      <c r="J1607" s="646"/>
      <c r="K1607" s="1138"/>
    </row>
    <row r="1608" spans="1:11" x14ac:dyDescent="0.25">
      <c r="A1608" s="1190">
        <v>1</v>
      </c>
      <c r="B1608" s="745"/>
      <c r="C1608" s="1117"/>
      <c r="D1608" s="1117"/>
      <c r="E1608" s="1117"/>
      <c r="F1608" s="1117"/>
      <c r="G1608" s="632"/>
      <c r="H1608" s="745"/>
      <c r="I1608" s="1117"/>
      <c r="J1608" s="632"/>
      <c r="K1608" s="1118"/>
    </row>
    <row r="1609" spans="1:11" x14ac:dyDescent="0.25">
      <c r="A1609" s="718">
        <v>2</v>
      </c>
      <c r="B1609" s="668"/>
      <c r="C1609" s="721"/>
      <c r="D1609" s="721"/>
      <c r="E1609" s="721"/>
      <c r="F1609" s="721"/>
      <c r="G1609" s="639"/>
      <c r="H1609" s="668"/>
      <c r="I1609" s="721"/>
      <c r="J1609" s="639"/>
      <c r="K1609" s="1124"/>
    </row>
    <row r="1610" spans="1:11" ht="13.8" thickBot="1" x14ac:dyDescent="0.3">
      <c r="A1610" s="719">
        <v>3</v>
      </c>
      <c r="B1610" s="669"/>
      <c r="C1610" s="1137"/>
      <c r="D1610" s="1137"/>
      <c r="E1610" s="1137"/>
      <c r="F1610" s="1137"/>
      <c r="G1610" s="646"/>
      <c r="H1610" s="669"/>
      <c r="I1610" s="1137"/>
      <c r="J1610" s="646"/>
      <c r="K1610" s="1138"/>
    </row>
    <row r="1611" spans="1:11" ht="13.8" thickBot="1" x14ac:dyDescent="0.3">
      <c r="A1611" s="1186" t="s">
        <v>647</v>
      </c>
      <c r="B1611" s="1187"/>
      <c r="C1611" s="1188"/>
      <c r="D1611" s="1188"/>
      <c r="E1611" s="1188"/>
      <c r="F1611" s="1188"/>
      <c r="G1611" s="1189"/>
      <c r="H1611" s="1187"/>
      <c r="I1611" s="1188"/>
      <c r="J1611" s="1189"/>
      <c r="K1611" s="716"/>
    </row>
    <row r="1612" spans="1:11" x14ac:dyDescent="0.25">
      <c r="A1612" s="1190">
        <v>1</v>
      </c>
      <c r="B1612" s="745"/>
      <c r="C1612" s="1117"/>
      <c r="D1612" s="1117"/>
      <c r="E1612" s="1117"/>
      <c r="F1612" s="1117"/>
      <c r="G1612" s="632"/>
      <c r="H1612" s="745"/>
      <c r="I1612" s="1117"/>
      <c r="J1612" s="632"/>
      <c r="K1612" s="1118"/>
    </row>
    <row r="1613" spans="1:11" x14ac:dyDescent="0.25">
      <c r="A1613" s="718">
        <v>2</v>
      </c>
      <c r="B1613" s="668"/>
      <c r="C1613" s="721"/>
      <c r="D1613" s="721"/>
      <c r="E1613" s="721"/>
      <c r="F1613" s="721"/>
      <c r="G1613" s="639"/>
      <c r="H1613" s="668"/>
      <c r="I1613" s="721"/>
      <c r="J1613" s="639"/>
      <c r="K1613" s="1124"/>
    </row>
    <row r="1614" spans="1:11" x14ac:dyDescent="0.25">
      <c r="A1614" s="718">
        <v>3</v>
      </c>
      <c r="B1614" s="668"/>
      <c r="C1614" s="721"/>
      <c r="D1614" s="721"/>
      <c r="E1614" s="721"/>
      <c r="F1614" s="721"/>
      <c r="G1614" s="639"/>
      <c r="H1614" s="668"/>
      <c r="I1614" s="721"/>
      <c r="J1614" s="639"/>
      <c r="K1614" s="1124"/>
    </row>
    <row r="1615" spans="1:11" x14ac:dyDescent="0.25">
      <c r="A1615" s="718">
        <v>4</v>
      </c>
      <c r="B1615" s="668"/>
      <c r="C1615" s="721"/>
      <c r="D1615" s="721"/>
      <c r="E1615" s="721"/>
      <c r="F1615" s="721"/>
      <c r="G1615" s="639"/>
      <c r="H1615" s="668"/>
      <c r="I1615" s="721"/>
      <c r="J1615" s="639"/>
      <c r="K1615" s="1124"/>
    </row>
    <row r="1616" spans="1:11" x14ac:dyDescent="0.25">
      <c r="A1616" s="718">
        <v>5</v>
      </c>
      <c r="B1616" s="668"/>
      <c r="C1616" s="721"/>
      <c r="D1616" s="721"/>
      <c r="E1616" s="721"/>
      <c r="F1616" s="721"/>
      <c r="G1616" s="639"/>
      <c r="H1616" s="668"/>
      <c r="I1616" s="721"/>
      <c r="J1616" s="639"/>
      <c r="K1616" s="1124"/>
    </row>
    <row r="1617" spans="1:11" ht="13.8" thickBot="1" x14ac:dyDescent="0.3">
      <c r="A1617" s="719">
        <v>6</v>
      </c>
      <c r="B1617" s="669"/>
      <c r="C1617" s="1137"/>
      <c r="D1617" s="1137"/>
      <c r="E1617" s="1137"/>
      <c r="F1617" s="1137"/>
      <c r="G1617" s="646"/>
      <c r="H1617" s="669"/>
      <c r="I1617" s="1137"/>
      <c r="J1617" s="646"/>
      <c r="K1617" s="1138"/>
    </row>
    <row r="1618" spans="1:11" x14ac:dyDescent="0.25">
      <c r="A1618" s="1190">
        <v>1</v>
      </c>
      <c r="B1618" s="745"/>
      <c r="C1618" s="1117"/>
      <c r="D1618" s="1117"/>
      <c r="E1618" s="1117"/>
      <c r="F1618" s="1117"/>
      <c r="G1618" s="632"/>
      <c r="H1618" s="745"/>
      <c r="I1618" s="1117"/>
      <c r="J1618" s="632"/>
      <c r="K1618" s="1118"/>
    </row>
    <row r="1619" spans="1:11" x14ac:dyDescent="0.25">
      <c r="A1619" s="718">
        <v>2</v>
      </c>
      <c r="B1619" s="668"/>
      <c r="C1619" s="721"/>
      <c r="D1619" s="721"/>
      <c r="E1619" s="721"/>
      <c r="F1619" s="721"/>
      <c r="G1619" s="639"/>
      <c r="H1619" s="668"/>
      <c r="I1619" s="721"/>
      <c r="J1619" s="639"/>
      <c r="K1619" s="1124"/>
    </row>
    <row r="1620" spans="1:11" ht="13.8" thickBot="1" x14ac:dyDescent="0.3">
      <c r="A1620" s="719">
        <v>3</v>
      </c>
      <c r="B1620" s="669"/>
      <c r="C1620" s="1137"/>
      <c r="D1620" s="1137"/>
      <c r="E1620" s="1137"/>
      <c r="F1620" s="1137"/>
      <c r="G1620" s="646"/>
      <c r="H1620" s="669"/>
      <c r="I1620" s="1137"/>
      <c r="J1620" s="646"/>
      <c r="K1620" s="1138"/>
    </row>
    <row r="1621" spans="1:11" ht="13.8" thickBot="1" x14ac:dyDescent="0.3">
      <c r="A1621" s="1186" t="s">
        <v>648</v>
      </c>
      <c r="B1621" s="1187"/>
      <c r="C1621" s="1188"/>
      <c r="D1621" s="1188"/>
      <c r="E1621" s="1188"/>
      <c r="F1621" s="1188"/>
      <c r="G1621" s="1189"/>
      <c r="H1621" s="1187"/>
      <c r="I1621" s="1188"/>
      <c r="J1621" s="1189"/>
      <c r="K1621" s="716"/>
    </row>
    <row r="1622" spans="1:11" x14ac:dyDescent="0.25">
      <c r="A1622" s="1190">
        <v>1</v>
      </c>
      <c r="B1622" s="745"/>
      <c r="C1622" s="1117"/>
      <c r="D1622" s="1117"/>
      <c r="E1622" s="1117"/>
      <c r="F1622" s="1117"/>
      <c r="G1622" s="632"/>
      <c r="H1622" s="745"/>
      <c r="I1622" s="1117"/>
      <c r="J1622" s="632"/>
      <c r="K1622" s="1118"/>
    </row>
    <row r="1623" spans="1:11" x14ac:dyDescent="0.25">
      <c r="A1623" s="718">
        <v>2</v>
      </c>
      <c r="B1623" s="668"/>
      <c r="C1623" s="721"/>
      <c r="D1623" s="721"/>
      <c r="E1623" s="721"/>
      <c r="F1623" s="721"/>
      <c r="G1623" s="639"/>
      <c r="H1623" s="668"/>
      <c r="I1623" s="721"/>
      <c r="J1623" s="639"/>
      <c r="K1623" s="1124"/>
    </row>
    <row r="1624" spans="1:11" x14ac:dyDescent="0.25">
      <c r="A1624" s="718">
        <v>3</v>
      </c>
      <c r="B1624" s="668"/>
      <c r="C1624" s="721"/>
      <c r="D1624" s="721"/>
      <c r="E1624" s="721"/>
      <c r="F1624" s="721"/>
      <c r="G1624" s="639"/>
      <c r="H1624" s="668"/>
      <c r="I1624" s="721"/>
      <c r="J1624" s="639"/>
      <c r="K1624" s="1124"/>
    </row>
    <row r="1625" spans="1:11" x14ac:dyDescent="0.25">
      <c r="A1625" s="718">
        <v>4</v>
      </c>
      <c r="B1625" s="668"/>
      <c r="C1625" s="721"/>
      <c r="D1625" s="721"/>
      <c r="E1625" s="721"/>
      <c r="F1625" s="721"/>
      <c r="G1625" s="639"/>
      <c r="H1625" s="668"/>
      <c r="I1625" s="721"/>
      <c r="J1625" s="639"/>
      <c r="K1625" s="1124"/>
    </row>
    <row r="1626" spans="1:11" x14ac:dyDescent="0.25">
      <c r="A1626" s="718">
        <v>5</v>
      </c>
      <c r="B1626" s="668"/>
      <c r="C1626" s="721"/>
      <c r="D1626" s="721"/>
      <c r="E1626" s="721"/>
      <c r="F1626" s="721"/>
      <c r="G1626" s="639"/>
      <c r="H1626" s="668"/>
      <c r="I1626" s="721"/>
      <c r="J1626" s="639"/>
      <c r="K1626" s="1124"/>
    </row>
    <row r="1627" spans="1:11" ht="13.8" thickBot="1" x14ac:dyDescent="0.3">
      <c r="A1627" s="719">
        <v>6</v>
      </c>
      <c r="B1627" s="669"/>
      <c r="C1627" s="1137"/>
      <c r="D1627" s="1137"/>
      <c r="E1627" s="1137"/>
      <c r="F1627" s="1137"/>
      <c r="G1627" s="646"/>
      <c r="H1627" s="669"/>
      <c r="I1627" s="1137"/>
      <c r="J1627" s="646"/>
      <c r="K1627" s="1138"/>
    </row>
    <row r="1628" spans="1:11" x14ac:dyDescent="0.25">
      <c r="A1628" s="1190">
        <v>1</v>
      </c>
      <c r="B1628" s="745"/>
      <c r="C1628" s="1117"/>
      <c r="D1628" s="1117"/>
      <c r="E1628" s="1117"/>
      <c r="F1628" s="1117"/>
      <c r="G1628" s="632"/>
      <c r="H1628" s="745"/>
      <c r="I1628" s="1117"/>
      <c r="J1628" s="632"/>
      <c r="K1628" s="1118"/>
    </row>
    <row r="1629" spans="1:11" x14ac:dyDescent="0.25">
      <c r="A1629" s="718">
        <v>2</v>
      </c>
      <c r="B1629" s="668"/>
      <c r="C1629" s="721"/>
      <c r="D1629" s="721"/>
      <c r="E1629" s="721"/>
      <c r="F1629" s="721"/>
      <c r="G1629" s="639"/>
      <c r="H1629" s="668"/>
      <c r="I1629" s="721"/>
      <c r="J1629" s="639"/>
      <c r="K1629" s="1124"/>
    </row>
    <row r="1630" spans="1:11" ht="13.8" thickBot="1" x14ac:dyDescent="0.3">
      <c r="A1630" s="1191">
        <v>3</v>
      </c>
      <c r="B1630" s="1132"/>
      <c r="C1630" s="1133"/>
      <c r="D1630" s="1133"/>
      <c r="E1630" s="1133"/>
      <c r="F1630" s="1133"/>
      <c r="G1630" s="1134"/>
      <c r="H1630" s="1132"/>
      <c r="I1630" s="1133"/>
      <c r="J1630" s="1134"/>
      <c r="K1630" s="1147"/>
    </row>
    <row r="1631" spans="1:11" ht="13.8" thickBot="1" x14ac:dyDescent="0.3">
      <c r="A1631" s="1186" t="s">
        <v>649</v>
      </c>
      <c r="B1631" s="1187"/>
      <c r="C1631" s="1188"/>
      <c r="D1631" s="1188"/>
      <c r="E1631" s="1188"/>
      <c r="F1631" s="1188"/>
      <c r="G1631" s="1189"/>
      <c r="H1631" s="1187"/>
      <c r="I1631" s="1188"/>
      <c r="J1631" s="1189"/>
      <c r="K1631" s="716"/>
    </row>
    <row r="1632" spans="1:11" x14ac:dyDescent="0.25">
      <c r="A1632" s="1190">
        <v>1</v>
      </c>
      <c r="B1632" s="745"/>
      <c r="C1632" s="1117"/>
      <c r="D1632" s="1117"/>
      <c r="E1632" s="1117"/>
      <c r="F1632" s="1117"/>
      <c r="G1632" s="632"/>
      <c r="H1632" s="745"/>
      <c r="I1632" s="1117"/>
      <c r="J1632" s="632"/>
      <c r="K1632" s="1118"/>
    </row>
    <row r="1633" spans="1:11" x14ac:dyDescent="0.25">
      <c r="A1633" s="718">
        <v>2</v>
      </c>
      <c r="B1633" s="668"/>
      <c r="C1633" s="721"/>
      <c r="D1633" s="721"/>
      <c r="E1633" s="721"/>
      <c r="F1633" s="721"/>
      <c r="G1633" s="639"/>
      <c r="H1633" s="668"/>
      <c r="I1633" s="721"/>
      <c r="J1633" s="639"/>
      <c r="K1633" s="1124"/>
    </row>
    <row r="1634" spans="1:11" x14ac:dyDescent="0.25">
      <c r="A1634" s="718">
        <v>3</v>
      </c>
      <c r="B1634" s="668"/>
      <c r="C1634" s="721"/>
      <c r="D1634" s="721"/>
      <c r="E1634" s="721"/>
      <c r="F1634" s="721"/>
      <c r="G1634" s="639"/>
      <c r="H1634" s="668"/>
      <c r="I1634" s="721"/>
      <c r="J1634" s="639"/>
      <c r="K1634" s="1124"/>
    </row>
    <row r="1635" spans="1:11" x14ac:dyDescent="0.25">
      <c r="A1635" s="718">
        <v>4</v>
      </c>
      <c r="B1635" s="668"/>
      <c r="C1635" s="721"/>
      <c r="D1635" s="721"/>
      <c r="E1635" s="721"/>
      <c r="F1635" s="721"/>
      <c r="G1635" s="639"/>
      <c r="H1635" s="668"/>
      <c r="I1635" s="721"/>
      <c r="J1635" s="639"/>
      <c r="K1635" s="1124"/>
    </row>
    <row r="1636" spans="1:11" x14ac:dyDescent="0.25">
      <c r="A1636" s="718">
        <v>5</v>
      </c>
      <c r="B1636" s="668"/>
      <c r="C1636" s="721"/>
      <c r="D1636" s="721"/>
      <c r="E1636" s="721"/>
      <c r="F1636" s="721"/>
      <c r="G1636" s="639"/>
      <c r="H1636" s="668"/>
      <c r="I1636" s="721"/>
      <c r="J1636" s="639"/>
      <c r="K1636" s="1124"/>
    </row>
    <row r="1637" spans="1:11" ht="13.8" thickBot="1" x14ac:dyDescent="0.3">
      <c r="A1637" s="719">
        <v>6</v>
      </c>
      <c r="B1637" s="669"/>
      <c r="C1637" s="1137"/>
      <c r="D1637" s="1137"/>
      <c r="E1637" s="1137"/>
      <c r="F1637" s="1137"/>
      <c r="G1637" s="646"/>
      <c r="H1637" s="669"/>
      <c r="I1637" s="1137"/>
      <c r="J1637" s="646"/>
      <c r="K1637" s="1138"/>
    </row>
    <row r="1638" spans="1:11" x14ac:dyDescent="0.25">
      <c r="A1638" s="1190">
        <v>1</v>
      </c>
      <c r="B1638" s="745"/>
      <c r="C1638" s="1117"/>
      <c r="D1638" s="1117"/>
      <c r="E1638" s="1117"/>
      <c r="F1638" s="1117"/>
      <c r="G1638" s="632"/>
      <c r="H1638" s="745"/>
      <c r="I1638" s="1117"/>
      <c r="J1638" s="632"/>
      <c r="K1638" s="1118"/>
    </row>
    <row r="1639" spans="1:11" x14ac:dyDescent="0.25">
      <c r="A1639" s="718">
        <v>2</v>
      </c>
      <c r="B1639" s="668"/>
      <c r="C1639" s="721"/>
      <c r="D1639" s="721"/>
      <c r="E1639" s="721"/>
      <c r="F1639" s="721"/>
      <c r="G1639" s="639"/>
      <c r="H1639" s="668"/>
      <c r="I1639" s="721"/>
      <c r="J1639" s="639"/>
      <c r="K1639" s="1124"/>
    </row>
    <row r="1640" spans="1:11" ht="13.8" thickBot="1" x14ac:dyDescent="0.3">
      <c r="A1640" s="719">
        <v>3</v>
      </c>
      <c r="B1640" s="669"/>
      <c r="C1640" s="1137"/>
      <c r="D1640" s="1137"/>
      <c r="E1640" s="1137"/>
      <c r="F1640" s="1137"/>
      <c r="G1640" s="646"/>
      <c r="H1640" s="669"/>
      <c r="I1640" s="1137"/>
      <c r="J1640" s="646"/>
      <c r="K1640" s="1138"/>
    </row>
    <row r="1641" spans="1:11" ht="13.8" thickBot="1" x14ac:dyDescent="0.3">
      <c r="A1641" s="1186" t="s">
        <v>650</v>
      </c>
      <c r="B1641" s="1187"/>
      <c r="C1641" s="1188"/>
      <c r="D1641" s="1188"/>
      <c r="E1641" s="1188"/>
      <c r="F1641" s="1188"/>
      <c r="G1641" s="1189"/>
      <c r="H1641" s="1187"/>
      <c r="I1641" s="1188"/>
      <c r="J1641" s="1189"/>
      <c r="K1641" s="716"/>
    </row>
    <row r="1642" spans="1:11" x14ac:dyDescent="0.25">
      <c r="A1642" s="1190">
        <v>1</v>
      </c>
      <c r="B1642" s="745"/>
      <c r="C1642" s="1117"/>
      <c r="D1642" s="1117"/>
      <c r="E1642" s="1117"/>
      <c r="F1642" s="1117"/>
      <c r="G1642" s="632"/>
      <c r="H1642" s="745"/>
      <c r="I1642" s="1117"/>
      <c r="J1642" s="632"/>
      <c r="K1642" s="1118"/>
    </row>
    <row r="1643" spans="1:11" x14ac:dyDescent="0.25">
      <c r="A1643" s="718">
        <v>2</v>
      </c>
      <c r="B1643" s="668"/>
      <c r="C1643" s="721"/>
      <c r="D1643" s="721"/>
      <c r="E1643" s="721"/>
      <c r="F1643" s="721"/>
      <c r="G1643" s="639"/>
      <c r="H1643" s="668"/>
      <c r="I1643" s="721"/>
      <c r="J1643" s="639"/>
      <c r="K1643" s="1124"/>
    </row>
    <row r="1644" spans="1:11" x14ac:dyDescent="0.25">
      <c r="A1644" s="718">
        <v>3</v>
      </c>
      <c r="B1644" s="668"/>
      <c r="C1644" s="721"/>
      <c r="D1644" s="721"/>
      <c r="E1644" s="721"/>
      <c r="F1644" s="721"/>
      <c r="G1644" s="639"/>
      <c r="H1644" s="668"/>
      <c r="I1644" s="721"/>
      <c r="J1644" s="639"/>
      <c r="K1644" s="1124"/>
    </row>
    <row r="1645" spans="1:11" x14ac:dyDescent="0.25">
      <c r="A1645" s="718">
        <v>4</v>
      </c>
      <c r="B1645" s="668"/>
      <c r="C1645" s="721"/>
      <c r="D1645" s="721"/>
      <c r="E1645" s="721"/>
      <c r="F1645" s="721"/>
      <c r="G1645" s="639"/>
      <c r="H1645" s="668"/>
      <c r="I1645" s="721"/>
      <c r="J1645" s="639"/>
      <c r="K1645" s="1124"/>
    </row>
    <row r="1646" spans="1:11" x14ac:dyDescent="0.25">
      <c r="A1646" s="718">
        <v>5</v>
      </c>
      <c r="B1646" s="668"/>
      <c r="C1646" s="721"/>
      <c r="D1646" s="721"/>
      <c r="E1646" s="721"/>
      <c r="F1646" s="721"/>
      <c r="G1646" s="639"/>
      <c r="H1646" s="668"/>
      <c r="I1646" s="721"/>
      <c r="J1646" s="639"/>
      <c r="K1646" s="1124"/>
    </row>
    <row r="1647" spans="1:11" ht="13.8" thickBot="1" x14ac:dyDescent="0.3">
      <c r="A1647" s="719">
        <v>6</v>
      </c>
      <c r="B1647" s="669"/>
      <c r="C1647" s="1137"/>
      <c r="D1647" s="1137"/>
      <c r="E1647" s="1137"/>
      <c r="F1647" s="1137"/>
      <c r="G1647" s="646"/>
      <c r="H1647" s="669"/>
      <c r="I1647" s="1137"/>
      <c r="J1647" s="646"/>
      <c r="K1647" s="1138"/>
    </row>
    <row r="1648" spans="1:11" x14ac:dyDescent="0.25">
      <c r="A1648" s="1190">
        <v>1</v>
      </c>
      <c r="B1648" s="745"/>
      <c r="C1648" s="1117"/>
      <c r="D1648" s="1117"/>
      <c r="E1648" s="1117"/>
      <c r="F1648" s="1117"/>
      <c r="G1648" s="632"/>
      <c r="H1648" s="745"/>
      <c r="I1648" s="1117"/>
      <c r="J1648" s="632"/>
      <c r="K1648" s="1118"/>
    </row>
    <row r="1649" spans="1:11" x14ac:dyDescent="0.25">
      <c r="A1649" s="718">
        <v>2</v>
      </c>
      <c r="B1649" s="668"/>
      <c r="C1649" s="721"/>
      <c r="D1649" s="721"/>
      <c r="E1649" s="721"/>
      <c r="F1649" s="721"/>
      <c r="G1649" s="639"/>
      <c r="H1649" s="668"/>
      <c r="I1649" s="721"/>
      <c r="J1649" s="639"/>
      <c r="K1649" s="1124"/>
    </row>
    <row r="1650" spans="1:11" ht="13.8" thickBot="1" x14ac:dyDescent="0.3">
      <c r="A1650" s="719">
        <v>3</v>
      </c>
      <c r="B1650" s="669"/>
      <c r="C1650" s="1137"/>
      <c r="D1650" s="1137"/>
      <c r="E1650" s="1137"/>
      <c r="F1650" s="1137"/>
      <c r="G1650" s="646"/>
      <c r="H1650" s="669"/>
      <c r="I1650" s="1137"/>
      <c r="J1650" s="646"/>
      <c r="K1650" s="1138"/>
    </row>
    <row r="1651" spans="1:11" ht="13.8" thickBot="1" x14ac:dyDescent="0.3">
      <c r="A1651" s="1186" t="s">
        <v>651</v>
      </c>
      <c r="B1651" s="1187"/>
      <c r="C1651" s="1188"/>
      <c r="D1651" s="1188"/>
      <c r="E1651" s="1188"/>
      <c r="F1651" s="1188"/>
      <c r="G1651" s="1189"/>
      <c r="H1651" s="1187"/>
      <c r="I1651" s="1188"/>
      <c r="J1651" s="1189"/>
      <c r="K1651" s="716"/>
    </row>
    <row r="1652" spans="1:11" x14ac:dyDescent="0.25">
      <c r="A1652" s="1190">
        <v>1</v>
      </c>
      <c r="B1652" s="745"/>
      <c r="C1652" s="1117"/>
      <c r="D1652" s="1117"/>
      <c r="E1652" s="1117"/>
      <c r="F1652" s="1117"/>
      <c r="G1652" s="632"/>
      <c r="H1652" s="745"/>
      <c r="I1652" s="1117"/>
      <c r="J1652" s="632"/>
      <c r="K1652" s="1118"/>
    </row>
    <row r="1653" spans="1:11" x14ac:dyDescent="0.25">
      <c r="A1653" s="718">
        <v>2</v>
      </c>
      <c r="B1653" s="668"/>
      <c r="C1653" s="721"/>
      <c r="D1653" s="721"/>
      <c r="E1653" s="721"/>
      <c r="F1653" s="721"/>
      <c r="G1653" s="639"/>
      <c r="H1653" s="668"/>
      <c r="I1653" s="721"/>
      <c r="J1653" s="639"/>
      <c r="K1653" s="1124"/>
    </row>
    <row r="1654" spans="1:11" x14ac:dyDescent="0.25">
      <c r="A1654" s="718">
        <v>3</v>
      </c>
      <c r="B1654" s="668"/>
      <c r="C1654" s="721"/>
      <c r="D1654" s="721"/>
      <c r="E1654" s="721"/>
      <c r="F1654" s="721"/>
      <c r="G1654" s="639"/>
      <c r="H1654" s="668"/>
      <c r="I1654" s="721"/>
      <c r="J1654" s="639"/>
      <c r="K1654" s="1124"/>
    </row>
    <row r="1655" spans="1:11" x14ac:dyDescent="0.25">
      <c r="A1655" s="718">
        <v>4</v>
      </c>
      <c r="B1655" s="668"/>
      <c r="C1655" s="721"/>
      <c r="D1655" s="721"/>
      <c r="E1655" s="721"/>
      <c r="F1655" s="721"/>
      <c r="G1655" s="639"/>
      <c r="H1655" s="668"/>
      <c r="I1655" s="721"/>
      <c r="J1655" s="639"/>
      <c r="K1655" s="1124"/>
    </row>
    <row r="1656" spans="1:11" x14ac:dyDescent="0.25">
      <c r="A1656" s="718">
        <v>5</v>
      </c>
      <c r="B1656" s="668"/>
      <c r="C1656" s="721"/>
      <c r="D1656" s="721"/>
      <c r="E1656" s="721"/>
      <c r="F1656" s="721"/>
      <c r="G1656" s="639"/>
      <c r="H1656" s="668"/>
      <c r="I1656" s="721"/>
      <c r="J1656" s="639"/>
      <c r="K1656" s="1124"/>
    </row>
    <row r="1657" spans="1:11" ht="13.8" thickBot="1" x14ac:dyDescent="0.3">
      <c r="A1657" s="719">
        <v>6</v>
      </c>
      <c r="B1657" s="669"/>
      <c r="C1657" s="1137"/>
      <c r="D1657" s="1137"/>
      <c r="E1657" s="1137"/>
      <c r="F1657" s="1137"/>
      <c r="G1657" s="646"/>
      <c r="H1657" s="669"/>
      <c r="I1657" s="1137"/>
      <c r="J1657" s="646"/>
      <c r="K1657" s="1138"/>
    </row>
    <row r="1658" spans="1:11" x14ac:dyDescent="0.25">
      <c r="A1658" s="1190">
        <v>1</v>
      </c>
      <c r="B1658" s="745"/>
      <c r="C1658" s="1117"/>
      <c r="D1658" s="1117"/>
      <c r="E1658" s="1117"/>
      <c r="F1658" s="1117"/>
      <c r="G1658" s="632"/>
      <c r="H1658" s="745"/>
      <c r="I1658" s="1117"/>
      <c r="J1658" s="632"/>
      <c r="K1658" s="1118"/>
    </row>
    <row r="1659" spans="1:11" x14ac:dyDescent="0.25">
      <c r="A1659" s="718">
        <v>2</v>
      </c>
      <c r="B1659" s="668"/>
      <c r="C1659" s="721"/>
      <c r="D1659" s="721"/>
      <c r="E1659" s="721"/>
      <c r="F1659" s="721"/>
      <c r="G1659" s="639"/>
      <c r="H1659" s="668"/>
      <c r="I1659" s="721"/>
      <c r="J1659" s="639"/>
      <c r="K1659" s="1124"/>
    </row>
    <row r="1660" spans="1:11" ht="13.8" thickBot="1" x14ac:dyDescent="0.3">
      <c r="A1660" s="719">
        <v>3</v>
      </c>
      <c r="B1660" s="669"/>
      <c r="C1660" s="1137"/>
      <c r="D1660" s="1137"/>
      <c r="E1660" s="1137"/>
      <c r="F1660" s="1137"/>
      <c r="G1660" s="646"/>
      <c r="H1660" s="669"/>
      <c r="I1660" s="1137"/>
      <c r="J1660" s="646"/>
      <c r="K1660" s="1138"/>
    </row>
    <row r="1661" spans="1:11" ht="13.8" thickBot="1" x14ac:dyDescent="0.3">
      <c r="A1661" s="1186" t="s">
        <v>652</v>
      </c>
      <c r="B1661" s="1187"/>
      <c r="C1661" s="1188"/>
      <c r="D1661" s="1188"/>
      <c r="E1661" s="1188"/>
      <c r="F1661" s="1188"/>
      <c r="G1661" s="1189"/>
      <c r="H1661" s="1187"/>
      <c r="I1661" s="1188"/>
      <c r="J1661" s="1189"/>
      <c r="K1661" s="716"/>
    </row>
    <row r="1662" spans="1:11" x14ac:dyDescent="0.25">
      <c r="A1662" s="1190">
        <v>1</v>
      </c>
      <c r="B1662" s="745"/>
      <c r="C1662" s="1117"/>
      <c r="D1662" s="1117"/>
      <c r="E1662" s="1117"/>
      <c r="F1662" s="1117"/>
      <c r="G1662" s="632"/>
      <c r="H1662" s="745"/>
      <c r="I1662" s="1117"/>
      <c r="J1662" s="632"/>
      <c r="K1662" s="1118"/>
    </row>
    <row r="1663" spans="1:11" x14ac:dyDescent="0.25">
      <c r="A1663" s="718">
        <v>2</v>
      </c>
      <c r="B1663" s="668"/>
      <c r="C1663" s="721"/>
      <c r="D1663" s="721"/>
      <c r="E1663" s="721"/>
      <c r="F1663" s="721"/>
      <c r="G1663" s="639"/>
      <c r="H1663" s="668"/>
      <c r="I1663" s="721"/>
      <c r="J1663" s="639"/>
      <c r="K1663" s="1124"/>
    </row>
    <row r="1664" spans="1:11" x14ac:dyDescent="0.25">
      <c r="A1664" s="718">
        <v>3</v>
      </c>
      <c r="B1664" s="668"/>
      <c r="C1664" s="721"/>
      <c r="D1664" s="721"/>
      <c r="E1664" s="721"/>
      <c r="F1664" s="721"/>
      <c r="G1664" s="639"/>
      <c r="H1664" s="668"/>
      <c r="I1664" s="721"/>
      <c r="J1664" s="639"/>
      <c r="K1664" s="1124"/>
    </row>
    <row r="1665" spans="1:11" x14ac:dyDescent="0.25">
      <c r="A1665" s="718">
        <v>4</v>
      </c>
      <c r="B1665" s="668"/>
      <c r="C1665" s="721"/>
      <c r="D1665" s="721"/>
      <c r="E1665" s="721"/>
      <c r="F1665" s="721"/>
      <c r="G1665" s="639"/>
      <c r="H1665" s="668"/>
      <c r="I1665" s="721"/>
      <c r="J1665" s="639"/>
      <c r="K1665" s="1124"/>
    </row>
    <row r="1666" spans="1:11" x14ac:dyDescent="0.25">
      <c r="A1666" s="718">
        <v>5</v>
      </c>
      <c r="B1666" s="668"/>
      <c r="C1666" s="721"/>
      <c r="D1666" s="721"/>
      <c r="E1666" s="721"/>
      <c r="F1666" s="721"/>
      <c r="G1666" s="639"/>
      <c r="H1666" s="668"/>
      <c r="I1666" s="721"/>
      <c r="J1666" s="639"/>
      <c r="K1666" s="1124"/>
    </row>
    <row r="1667" spans="1:11" ht="13.8" thickBot="1" x14ac:dyDescent="0.3">
      <c r="A1667" s="719">
        <v>6</v>
      </c>
      <c r="B1667" s="669"/>
      <c r="C1667" s="1137"/>
      <c r="D1667" s="1137"/>
      <c r="E1667" s="1137"/>
      <c r="F1667" s="1137"/>
      <c r="G1667" s="646"/>
      <c r="H1667" s="669"/>
      <c r="I1667" s="1137"/>
      <c r="J1667" s="646"/>
      <c r="K1667" s="1138"/>
    </row>
    <row r="1668" spans="1:11" x14ac:dyDescent="0.25">
      <c r="A1668" s="1190">
        <v>1</v>
      </c>
      <c r="B1668" s="745"/>
      <c r="C1668" s="1117"/>
      <c r="D1668" s="1117"/>
      <c r="E1668" s="1117"/>
      <c r="F1668" s="1117"/>
      <c r="G1668" s="632"/>
      <c r="H1668" s="745"/>
      <c r="I1668" s="1117"/>
      <c r="J1668" s="632"/>
      <c r="K1668" s="1118"/>
    </row>
    <row r="1669" spans="1:11" x14ac:dyDescent="0.25">
      <c r="A1669" s="718">
        <v>2</v>
      </c>
      <c r="B1669" s="668"/>
      <c r="C1669" s="721"/>
      <c r="D1669" s="721"/>
      <c r="E1669" s="721"/>
      <c r="F1669" s="721"/>
      <c r="G1669" s="639"/>
      <c r="H1669" s="668"/>
      <c r="I1669" s="721"/>
      <c r="J1669" s="639"/>
      <c r="K1669" s="1124"/>
    </row>
    <row r="1670" spans="1:11" ht="13.8" thickBot="1" x14ac:dyDescent="0.3">
      <c r="A1670" s="1191">
        <v>3</v>
      </c>
      <c r="B1670" s="1132"/>
      <c r="C1670" s="1133"/>
      <c r="D1670" s="1133"/>
      <c r="E1670" s="1133"/>
      <c r="F1670" s="1133"/>
      <c r="G1670" s="1134"/>
      <c r="H1670" s="1132"/>
      <c r="I1670" s="1133"/>
      <c r="J1670" s="1134"/>
      <c r="K1670" s="1147"/>
    </row>
    <row r="1671" spans="1:11" ht="13.8" thickBot="1" x14ac:dyDescent="0.3">
      <c r="A1671" s="1186" t="s">
        <v>653</v>
      </c>
      <c r="B1671" s="1187"/>
      <c r="C1671" s="1188"/>
      <c r="D1671" s="1188"/>
      <c r="E1671" s="1188"/>
      <c r="F1671" s="1188"/>
      <c r="G1671" s="1189"/>
      <c r="H1671" s="1187"/>
      <c r="I1671" s="1188"/>
      <c r="J1671" s="1189"/>
      <c r="K1671" s="716"/>
    </row>
    <row r="1672" spans="1:11" x14ac:dyDescent="0.25">
      <c r="A1672" s="1190">
        <v>1</v>
      </c>
      <c r="B1672" s="745"/>
      <c r="C1672" s="1117"/>
      <c r="D1672" s="1117"/>
      <c r="E1672" s="1117"/>
      <c r="F1672" s="1117"/>
      <c r="G1672" s="632"/>
      <c r="H1672" s="745"/>
      <c r="I1672" s="1117"/>
      <c r="J1672" s="632"/>
      <c r="K1672" s="1118"/>
    </row>
    <row r="1673" spans="1:11" x14ac:dyDescent="0.25">
      <c r="A1673" s="718">
        <v>2</v>
      </c>
      <c r="B1673" s="668"/>
      <c r="C1673" s="721"/>
      <c r="D1673" s="721"/>
      <c r="E1673" s="721"/>
      <c r="F1673" s="721"/>
      <c r="G1673" s="639"/>
      <c r="H1673" s="668"/>
      <c r="I1673" s="721"/>
      <c r="J1673" s="639"/>
      <c r="K1673" s="1124"/>
    </row>
    <row r="1674" spans="1:11" x14ac:dyDescent="0.25">
      <c r="A1674" s="718">
        <v>3</v>
      </c>
      <c r="B1674" s="668"/>
      <c r="C1674" s="721"/>
      <c r="D1674" s="721"/>
      <c r="E1674" s="721"/>
      <c r="F1674" s="721"/>
      <c r="G1674" s="639"/>
      <c r="H1674" s="668"/>
      <c r="I1674" s="721"/>
      <c r="J1674" s="639"/>
      <c r="K1674" s="1124"/>
    </row>
    <row r="1675" spans="1:11" x14ac:dyDescent="0.25">
      <c r="A1675" s="718">
        <v>4</v>
      </c>
      <c r="B1675" s="668"/>
      <c r="C1675" s="721"/>
      <c r="D1675" s="721"/>
      <c r="E1675" s="721"/>
      <c r="F1675" s="721"/>
      <c r="G1675" s="639"/>
      <c r="H1675" s="668"/>
      <c r="I1675" s="721"/>
      <c r="J1675" s="639"/>
      <c r="K1675" s="1124"/>
    </row>
    <row r="1676" spans="1:11" x14ac:dyDescent="0.25">
      <c r="A1676" s="718">
        <v>5</v>
      </c>
      <c r="B1676" s="668"/>
      <c r="C1676" s="721"/>
      <c r="D1676" s="721"/>
      <c r="E1676" s="721"/>
      <c r="F1676" s="721"/>
      <c r="G1676" s="639"/>
      <c r="H1676" s="668"/>
      <c r="I1676" s="721"/>
      <c r="J1676" s="639"/>
      <c r="K1676" s="1124"/>
    </row>
    <row r="1677" spans="1:11" ht="13.8" thickBot="1" x14ac:dyDescent="0.3">
      <c r="A1677" s="719">
        <v>6</v>
      </c>
      <c r="B1677" s="669"/>
      <c r="C1677" s="1137"/>
      <c r="D1677" s="1137"/>
      <c r="E1677" s="1137"/>
      <c r="F1677" s="1137"/>
      <c r="G1677" s="646"/>
      <c r="H1677" s="669"/>
      <c r="I1677" s="1137"/>
      <c r="J1677" s="646"/>
      <c r="K1677" s="1138"/>
    </row>
    <row r="1678" spans="1:11" x14ac:dyDescent="0.25">
      <c r="A1678" s="1190">
        <v>1</v>
      </c>
      <c r="B1678" s="745"/>
      <c r="C1678" s="1117"/>
      <c r="D1678" s="1117"/>
      <c r="E1678" s="1117"/>
      <c r="F1678" s="1117"/>
      <c r="G1678" s="632"/>
      <c r="H1678" s="745"/>
      <c r="I1678" s="1117"/>
      <c r="J1678" s="632"/>
      <c r="K1678" s="1118"/>
    </row>
    <row r="1679" spans="1:11" x14ac:dyDescent="0.25">
      <c r="A1679" s="718">
        <v>2</v>
      </c>
      <c r="B1679" s="668"/>
      <c r="C1679" s="721"/>
      <c r="D1679" s="721"/>
      <c r="E1679" s="721"/>
      <c r="F1679" s="721"/>
      <c r="G1679" s="639"/>
      <c r="H1679" s="668"/>
      <c r="I1679" s="721"/>
      <c r="J1679" s="639"/>
      <c r="K1679" s="1124"/>
    </row>
    <row r="1680" spans="1:11" ht="13.8" thickBot="1" x14ac:dyDescent="0.3">
      <c r="A1680" s="719">
        <v>3</v>
      </c>
      <c r="B1680" s="669"/>
      <c r="C1680" s="1137"/>
      <c r="D1680" s="1137"/>
      <c r="E1680" s="1137"/>
      <c r="F1680" s="1137"/>
      <c r="G1680" s="646"/>
      <c r="H1680" s="669"/>
      <c r="I1680" s="1137"/>
      <c r="J1680" s="646"/>
      <c r="K1680" s="1138"/>
    </row>
    <row r="1681" spans="1:11" ht="13.8" thickBot="1" x14ac:dyDescent="0.3">
      <c r="A1681" s="1186" t="s">
        <v>654</v>
      </c>
      <c r="B1681" s="1187"/>
      <c r="C1681" s="1188"/>
      <c r="D1681" s="1188"/>
      <c r="E1681" s="1188"/>
      <c r="F1681" s="1188"/>
      <c r="G1681" s="1189"/>
      <c r="H1681" s="1187"/>
      <c r="I1681" s="1188"/>
      <c r="J1681" s="1189"/>
      <c r="K1681" s="716"/>
    </row>
    <row r="1682" spans="1:11" x14ac:dyDescent="0.25">
      <c r="A1682" s="1190">
        <v>1</v>
      </c>
      <c r="B1682" s="745"/>
      <c r="C1682" s="1117"/>
      <c r="D1682" s="1117"/>
      <c r="E1682" s="1117"/>
      <c r="F1682" s="1117"/>
      <c r="G1682" s="632"/>
      <c r="H1682" s="745"/>
      <c r="I1682" s="1117"/>
      <c r="J1682" s="632"/>
      <c r="K1682" s="1118"/>
    </row>
    <row r="1683" spans="1:11" x14ac:dyDescent="0.25">
      <c r="A1683" s="718">
        <v>2</v>
      </c>
      <c r="B1683" s="668"/>
      <c r="C1683" s="721"/>
      <c r="D1683" s="721"/>
      <c r="E1683" s="721"/>
      <c r="F1683" s="721"/>
      <c r="G1683" s="639"/>
      <c r="H1683" s="668"/>
      <c r="I1683" s="721"/>
      <c r="J1683" s="639"/>
      <c r="K1683" s="1124"/>
    </row>
    <row r="1684" spans="1:11" x14ac:dyDescent="0.25">
      <c r="A1684" s="718">
        <v>3</v>
      </c>
      <c r="B1684" s="668"/>
      <c r="C1684" s="721"/>
      <c r="D1684" s="721"/>
      <c r="E1684" s="721"/>
      <c r="F1684" s="721"/>
      <c r="G1684" s="639"/>
      <c r="H1684" s="668"/>
      <c r="I1684" s="721"/>
      <c r="J1684" s="639"/>
      <c r="K1684" s="1124"/>
    </row>
    <row r="1685" spans="1:11" x14ac:dyDescent="0.25">
      <c r="A1685" s="718">
        <v>4</v>
      </c>
      <c r="B1685" s="668"/>
      <c r="C1685" s="721"/>
      <c r="D1685" s="721"/>
      <c r="E1685" s="721"/>
      <c r="F1685" s="721"/>
      <c r="G1685" s="639"/>
      <c r="H1685" s="668"/>
      <c r="I1685" s="721"/>
      <c r="J1685" s="639"/>
      <c r="K1685" s="1124"/>
    </row>
    <row r="1686" spans="1:11" x14ac:dyDescent="0.25">
      <c r="A1686" s="718">
        <v>5</v>
      </c>
      <c r="B1686" s="668"/>
      <c r="C1686" s="721"/>
      <c r="D1686" s="721"/>
      <c r="E1686" s="721"/>
      <c r="F1686" s="721"/>
      <c r="G1686" s="639"/>
      <c r="H1686" s="668"/>
      <c r="I1686" s="721"/>
      <c r="J1686" s="639"/>
      <c r="K1686" s="1124"/>
    </row>
    <row r="1687" spans="1:11" ht="13.8" thickBot="1" x14ac:dyDescent="0.3">
      <c r="A1687" s="719">
        <v>6</v>
      </c>
      <c r="B1687" s="669"/>
      <c r="C1687" s="1137"/>
      <c r="D1687" s="1137"/>
      <c r="E1687" s="1137"/>
      <c r="F1687" s="1137"/>
      <c r="G1687" s="646"/>
      <c r="H1687" s="669"/>
      <c r="I1687" s="1137"/>
      <c r="J1687" s="646"/>
      <c r="K1687" s="1138"/>
    </row>
    <row r="1688" spans="1:11" x14ac:dyDescent="0.25">
      <c r="A1688" s="1190">
        <v>1</v>
      </c>
      <c r="B1688" s="745"/>
      <c r="C1688" s="1117"/>
      <c r="D1688" s="1117"/>
      <c r="E1688" s="1117"/>
      <c r="F1688" s="1117"/>
      <c r="G1688" s="632"/>
      <c r="H1688" s="745"/>
      <c r="I1688" s="1117"/>
      <c r="J1688" s="632"/>
      <c r="K1688" s="1118"/>
    </row>
    <row r="1689" spans="1:11" x14ac:dyDescent="0.25">
      <c r="A1689" s="718">
        <v>2</v>
      </c>
      <c r="B1689" s="668"/>
      <c r="C1689" s="721"/>
      <c r="D1689" s="721"/>
      <c r="E1689" s="721"/>
      <c r="F1689" s="721"/>
      <c r="G1689" s="639"/>
      <c r="H1689" s="668"/>
      <c r="I1689" s="721"/>
      <c r="J1689" s="639"/>
      <c r="K1689" s="1124"/>
    </row>
    <row r="1690" spans="1:11" ht="13.8" thickBot="1" x14ac:dyDescent="0.3">
      <c r="A1690" s="719">
        <v>3</v>
      </c>
      <c r="B1690" s="669"/>
      <c r="C1690" s="1137"/>
      <c r="D1690" s="1137"/>
      <c r="E1690" s="1137"/>
      <c r="F1690" s="1137"/>
      <c r="G1690" s="646"/>
      <c r="H1690" s="669"/>
      <c r="I1690" s="1137"/>
      <c r="J1690" s="646"/>
      <c r="K1690" s="1138"/>
    </row>
    <row r="1691" spans="1:11" ht="13.8" thickBot="1" x14ac:dyDescent="0.3">
      <c r="A1691" s="1186" t="s">
        <v>655</v>
      </c>
      <c r="B1691" s="1187"/>
      <c r="C1691" s="1188"/>
      <c r="D1691" s="1188"/>
      <c r="E1691" s="1188"/>
      <c r="F1691" s="1188"/>
      <c r="G1691" s="1189"/>
      <c r="H1691" s="1187"/>
      <c r="I1691" s="1188"/>
      <c r="J1691" s="1189"/>
      <c r="K1691" s="716"/>
    </row>
    <row r="1692" spans="1:11" x14ac:dyDescent="0.25">
      <c r="A1692" s="1190">
        <v>1</v>
      </c>
      <c r="B1692" s="745"/>
      <c r="C1692" s="1117"/>
      <c r="D1692" s="1117"/>
      <c r="E1692" s="1117"/>
      <c r="F1692" s="1117"/>
      <c r="G1692" s="632"/>
      <c r="H1692" s="745"/>
      <c r="I1692" s="1117"/>
      <c r="J1692" s="632"/>
      <c r="K1692" s="1118"/>
    </row>
    <row r="1693" spans="1:11" x14ac:dyDescent="0.25">
      <c r="A1693" s="718">
        <v>2</v>
      </c>
      <c r="B1693" s="668"/>
      <c r="C1693" s="721"/>
      <c r="D1693" s="721"/>
      <c r="E1693" s="721"/>
      <c r="F1693" s="721"/>
      <c r="G1693" s="639"/>
      <c r="H1693" s="668"/>
      <c r="I1693" s="721"/>
      <c r="J1693" s="639"/>
      <c r="K1693" s="1124"/>
    </row>
    <row r="1694" spans="1:11" x14ac:dyDescent="0.25">
      <c r="A1694" s="718">
        <v>3</v>
      </c>
      <c r="B1694" s="668"/>
      <c r="C1694" s="721"/>
      <c r="D1694" s="721"/>
      <c r="E1694" s="721"/>
      <c r="F1694" s="721"/>
      <c r="G1694" s="639"/>
      <c r="H1694" s="668"/>
      <c r="I1694" s="721"/>
      <c r="J1694" s="639"/>
      <c r="K1694" s="1124"/>
    </row>
    <row r="1695" spans="1:11" x14ac:dyDescent="0.25">
      <c r="A1695" s="718">
        <v>4</v>
      </c>
      <c r="B1695" s="668"/>
      <c r="C1695" s="721"/>
      <c r="D1695" s="721"/>
      <c r="E1695" s="721"/>
      <c r="F1695" s="721"/>
      <c r="G1695" s="639"/>
      <c r="H1695" s="668"/>
      <c r="I1695" s="721"/>
      <c r="J1695" s="639"/>
      <c r="K1695" s="1124"/>
    </row>
    <row r="1696" spans="1:11" x14ac:dyDescent="0.25">
      <c r="A1696" s="718">
        <v>5</v>
      </c>
      <c r="B1696" s="668"/>
      <c r="C1696" s="721"/>
      <c r="D1696" s="721"/>
      <c r="E1696" s="721"/>
      <c r="F1696" s="721"/>
      <c r="G1696" s="639"/>
      <c r="H1696" s="668"/>
      <c r="I1696" s="721"/>
      <c r="J1696" s="639"/>
      <c r="K1696" s="1124"/>
    </row>
    <row r="1697" spans="1:11" ht="13.8" thickBot="1" x14ac:dyDescent="0.3">
      <c r="A1697" s="719">
        <v>6</v>
      </c>
      <c r="B1697" s="669"/>
      <c r="C1697" s="1137"/>
      <c r="D1697" s="1137"/>
      <c r="E1697" s="1137"/>
      <c r="F1697" s="1137"/>
      <c r="G1697" s="646"/>
      <c r="H1697" s="669"/>
      <c r="I1697" s="1137"/>
      <c r="J1697" s="646"/>
      <c r="K1697" s="1138"/>
    </row>
    <row r="1698" spans="1:11" x14ac:dyDescent="0.25">
      <c r="A1698" s="1190">
        <v>1</v>
      </c>
      <c r="B1698" s="745"/>
      <c r="C1698" s="1117"/>
      <c r="D1698" s="1117"/>
      <c r="E1698" s="1117"/>
      <c r="F1698" s="1117"/>
      <c r="G1698" s="632"/>
      <c r="H1698" s="745"/>
      <c r="I1698" s="1117"/>
      <c r="J1698" s="632"/>
      <c r="K1698" s="1118"/>
    </row>
    <row r="1699" spans="1:11" x14ac:dyDescent="0.25">
      <c r="A1699" s="718">
        <v>2</v>
      </c>
      <c r="B1699" s="668"/>
      <c r="C1699" s="721"/>
      <c r="D1699" s="721"/>
      <c r="E1699" s="721"/>
      <c r="F1699" s="721"/>
      <c r="G1699" s="639"/>
      <c r="H1699" s="668"/>
      <c r="I1699" s="721"/>
      <c r="J1699" s="639"/>
      <c r="K1699" s="1124"/>
    </row>
    <row r="1700" spans="1:11" ht="13.8" thickBot="1" x14ac:dyDescent="0.3">
      <c r="A1700" s="719">
        <v>3</v>
      </c>
      <c r="B1700" s="669"/>
      <c r="C1700" s="1137"/>
      <c r="D1700" s="1137"/>
      <c r="E1700" s="1137"/>
      <c r="F1700" s="1137"/>
      <c r="G1700" s="646"/>
      <c r="H1700" s="669"/>
      <c r="I1700" s="1137"/>
      <c r="J1700" s="646"/>
      <c r="K1700" s="1138"/>
    </row>
    <row r="1701" spans="1:11" ht="13.8" thickBot="1" x14ac:dyDescent="0.3">
      <c r="A1701" s="1186" t="s">
        <v>656</v>
      </c>
      <c r="B1701" s="1187"/>
      <c r="C1701" s="1188"/>
      <c r="D1701" s="1188"/>
      <c r="E1701" s="1188"/>
      <c r="F1701" s="1188"/>
      <c r="G1701" s="1189"/>
      <c r="H1701" s="1187"/>
      <c r="I1701" s="1188"/>
      <c r="J1701" s="1189"/>
      <c r="K1701" s="716"/>
    </row>
    <row r="1702" spans="1:11" x14ac:dyDescent="0.25">
      <c r="A1702" s="1190">
        <v>1</v>
      </c>
      <c r="B1702" s="745"/>
      <c r="C1702" s="1117"/>
      <c r="D1702" s="1117"/>
      <c r="E1702" s="1117"/>
      <c r="F1702" s="1117"/>
      <c r="G1702" s="632"/>
      <c r="H1702" s="745"/>
      <c r="I1702" s="1117"/>
      <c r="J1702" s="632"/>
      <c r="K1702" s="1118"/>
    </row>
    <row r="1703" spans="1:11" x14ac:dyDescent="0.25">
      <c r="A1703" s="718">
        <v>2</v>
      </c>
      <c r="B1703" s="668"/>
      <c r="C1703" s="721"/>
      <c r="D1703" s="721"/>
      <c r="E1703" s="721"/>
      <c r="F1703" s="721"/>
      <c r="G1703" s="639"/>
      <c r="H1703" s="668"/>
      <c r="I1703" s="721"/>
      <c r="J1703" s="639"/>
      <c r="K1703" s="1124"/>
    </row>
    <row r="1704" spans="1:11" x14ac:dyDescent="0.25">
      <c r="A1704" s="718">
        <v>3</v>
      </c>
      <c r="B1704" s="668"/>
      <c r="C1704" s="721"/>
      <c r="D1704" s="721"/>
      <c r="E1704" s="721"/>
      <c r="F1704" s="721"/>
      <c r="G1704" s="639"/>
      <c r="H1704" s="668"/>
      <c r="I1704" s="721"/>
      <c r="J1704" s="639"/>
      <c r="K1704" s="1124"/>
    </row>
    <row r="1705" spans="1:11" x14ac:dyDescent="0.25">
      <c r="A1705" s="718">
        <v>4</v>
      </c>
      <c r="B1705" s="668"/>
      <c r="C1705" s="721"/>
      <c r="D1705" s="721"/>
      <c r="E1705" s="721"/>
      <c r="F1705" s="721"/>
      <c r="G1705" s="639"/>
      <c r="H1705" s="668"/>
      <c r="I1705" s="721"/>
      <c r="J1705" s="639"/>
      <c r="K1705" s="1124"/>
    </row>
    <row r="1706" spans="1:11" x14ac:dyDescent="0.25">
      <c r="A1706" s="718">
        <v>5</v>
      </c>
      <c r="B1706" s="668"/>
      <c r="C1706" s="721"/>
      <c r="D1706" s="721"/>
      <c r="E1706" s="721"/>
      <c r="F1706" s="721"/>
      <c r="G1706" s="639"/>
      <c r="H1706" s="668"/>
      <c r="I1706" s="721"/>
      <c r="J1706" s="639"/>
      <c r="K1706" s="1124"/>
    </row>
    <row r="1707" spans="1:11" ht="13.8" thickBot="1" x14ac:dyDescent="0.3">
      <c r="A1707" s="719">
        <v>6</v>
      </c>
      <c r="B1707" s="669"/>
      <c r="C1707" s="1137"/>
      <c r="D1707" s="1137"/>
      <c r="E1707" s="1137"/>
      <c r="F1707" s="1137"/>
      <c r="G1707" s="646"/>
      <c r="H1707" s="669"/>
      <c r="I1707" s="1137"/>
      <c r="J1707" s="646"/>
      <c r="K1707" s="1138"/>
    </row>
    <row r="1708" spans="1:11" x14ac:dyDescent="0.25">
      <c r="A1708" s="1190">
        <v>1</v>
      </c>
      <c r="B1708" s="745"/>
      <c r="C1708" s="1117"/>
      <c r="D1708" s="1117"/>
      <c r="E1708" s="1117"/>
      <c r="F1708" s="1117"/>
      <c r="G1708" s="632"/>
      <c r="H1708" s="745"/>
      <c r="I1708" s="1117"/>
      <c r="J1708" s="632"/>
      <c r="K1708" s="1118"/>
    </row>
    <row r="1709" spans="1:11" x14ac:dyDescent="0.25">
      <c r="A1709" s="718">
        <v>2</v>
      </c>
      <c r="B1709" s="668"/>
      <c r="C1709" s="721"/>
      <c r="D1709" s="721"/>
      <c r="E1709" s="721"/>
      <c r="F1709" s="721"/>
      <c r="G1709" s="639"/>
      <c r="H1709" s="668"/>
      <c r="I1709" s="721"/>
      <c r="J1709" s="639"/>
      <c r="K1709" s="1124"/>
    </row>
    <row r="1710" spans="1:11" ht="13.8" thickBot="1" x14ac:dyDescent="0.3">
      <c r="A1710" s="1191">
        <v>3</v>
      </c>
      <c r="B1710" s="1132"/>
      <c r="C1710" s="1133"/>
      <c r="D1710" s="1133"/>
      <c r="E1710" s="1133"/>
      <c r="F1710" s="1133"/>
      <c r="G1710" s="1134"/>
      <c r="H1710" s="1132"/>
      <c r="I1710" s="1133"/>
      <c r="J1710" s="1134"/>
      <c r="K1710" s="1147"/>
    </row>
    <row r="1711" spans="1:11" ht="13.8" thickBot="1" x14ac:dyDescent="0.3">
      <c r="A1711" s="1186" t="s">
        <v>657</v>
      </c>
      <c r="B1711" s="1187"/>
      <c r="C1711" s="1188"/>
      <c r="D1711" s="1188"/>
      <c r="E1711" s="1188"/>
      <c r="F1711" s="1188"/>
      <c r="G1711" s="1189"/>
      <c r="H1711" s="1187"/>
      <c r="I1711" s="1188"/>
      <c r="J1711" s="1189"/>
      <c r="K1711" s="716"/>
    </row>
    <row r="1712" spans="1:11" x14ac:dyDescent="0.25">
      <c r="A1712" s="1190">
        <v>1</v>
      </c>
      <c r="B1712" s="745"/>
      <c r="C1712" s="1117"/>
      <c r="D1712" s="1117"/>
      <c r="E1712" s="1117"/>
      <c r="F1712" s="1117"/>
      <c r="G1712" s="632"/>
      <c r="H1712" s="745"/>
      <c r="I1712" s="1117"/>
      <c r="J1712" s="632"/>
      <c r="K1712" s="1118"/>
    </row>
    <row r="1713" spans="1:11" x14ac:dyDescent="0.25">
      <c r="A1713" s="718">
        <v>2</v>
      </c>
      <c r="B1713" s="668"/>
      <c r="C1713" s="721"/>
      <c r="D1713" s="721"/>
      <c r="E1713" s="721"/>
      <c r="F1713" s="721"/>
      <c r="G1713" s="639"/>
      <c r="H1713" s="668"/>
      <c r="I1713" s="721"/>
      <c r="J1713" s="639"/>
      <c r="K1713" s="1124"/>
    </row>
    <row r="1714" spans="1:11" x14ac:dyDescent="0.25">
      <c r="A1714" s="718">
        <v>3</v>
      </c>
      <c r="B1714" s="668"/>
      <c r="C1714" s="721"/>
      <c r="D1714" s="721"/>
      <c r="E1714" s="721"/>
      <c r="F1714" s="721"/>
      <c r="G1714" s="639"/>
      <c r="H1714" s="668"/>
      <c r="I1714" s="721"/>
      <c r="J1714" s="639"/>
      <c r="K1714" s="1124"/>
    </row>
    <row r="1715" spans="1:11" x14ac:dyDescent="0.25">
      <c r="A1715" s="718">
        <v>4</v>
      </c>
      <c r="B1715" s="668"/>
      <c r="C1715" s="721"/>
      <c r="D1715" s="721"/>
      <c r="E1715" s="721"/>
      <c r="F1715" s="721"/>
      <c r="G1715" s="639"/>
      <c r="H1715" s="668"/>
      <c r="I1715" s="721"/>
      <c r="J1715" s="639"/>
      <c r="K1715" s="1124"/>
    </row>
    <row r="1716" spans="1:11" x14ac:dyDescent="0.25">
      <c r="A1716" s="718">
        <v>5</v>
      </c>
      <c r="B1716" s="668"/>
      <c r="C1716" s="721"/>
      <c r="D1716" s="721"/>
      <c r="E1716" s="721"/>
      <c r="F1716" s="721"/>
      <c r="G1716" s="639"/>
      <c r="H1716" s="668"/>
      <c r="I1716" s="721"/>
      <c r="J1716" s="639"/>
      <c r="K1716" s="1124"/>
    </row>
    <row r="1717" spans="1:11" ht="13.8" thickBot="1" x14ac:dyDescent="0.3">
      <c r="A1717" s="719">
        <v>6</v>
      </c>
      <c r="B1717" s="669"/>
      <c r="C1717" s="1137"/>
      <c r="D1717" s="1137"/>
      <c r="E1717" s="1137"/>
      <c r="F1717" s="1137"/>
      <c r="G1717" s="646"/>
      <c r="H1717" s="669"/>
      <c r="I1717" s="1137"/>
      <c r="J1717" s="646"/>
      <c r="K1717" s="1138"/>
    </row>
    <row r="1718" spans="1:11" x14ac:dyDescent="0.25">
      <c r="A1718" s="1190">
        <v>1</v>
      </c>
      <c r="B1718" s="745"/>
      <c r="C1718" s="1117"/>
      <c r="D1718" s="1117"/>
      <c r="E1718" s="1117"/>
      <c r="F1718" s="1117"/>
      <c r="G1718" s="632"/>
      <c r="H1718" s="745"/>
      <c r="I1718" s="1117"/>
      <c r="J1718" s="632"/>
      <c r="K1718" s="1118"/>
    </row>
    <row r="1719" spans="1:11" x14ac:dyDescent="0.25">
      <c r="A1719" s="718">
        <v>2</v>
      </c>
      <c r="B1719" s="668"/>
      <c r="C1719" s="721"/>
      <c r="D1719" s="721"/>
      <c r="E1719" s="721"/>
      <c r="F1719" s="721"/>
      <c r="G1719" s="639"/>
      <c r="H1719" s="668"/>
      <c r="I1719" s="721"/>
      <c r="J1719" s="639"/>
      <c r="K1719" s="1124"/>
    </row>
    <row r="1720" spans="1:11" ht="13.8" thickBot="1" x14ac:dyDescent="0.3">
      <c r="A1720" s="719">
        <v>3</v>
      </c>
      <c r="B1720" s="669"/>
      <c r="C1720" s="1137"/>
      <c r="D1720" s="1137"/>
      <c r="E1720" s="1137"/>
      <c r="F1720" s="1137"/>
      <c r="G1720" s="646"/>
      <c r="H1720" s="669"/>
      <c r="I1720" s="1137"/>
      <c r="J1720" s="646"/>
      <c r="K1720" s="1138"/>
    </row>
    <row r="1721" spans="1:11" ht="13.8" thickBot="1" x14ac:dyDescent="0.3">
      <c r="A1721" s="1186" t="s">
        <v>658</v>
      </c>
      <c r="B1721" s="1187"/>
      <c r="C1721" s="1188"/>
      <c r="D1721" s="1188"/>
      <c r="E1721" s="1188"/>
      <c r="F1721" s="1188"/>
      <c r="G1721" s="1189"/>
      <c r="H1721" s="1187"/>
      <c r="I1721" s="1188"/>
      <c r="J1721" s="1189"/>
      <c r="K1721" s="716"/>
    </row>
    <row r="1722" spans="1:11" x14ac:dyDescent="0.25">
      <c r="A1722" s="1190">
        <v>1</v>
      </c>
      <c r="B1722" s="745"/>
      <c r="C1722" s="1117"/>
      <c r="D1722" s="1117"/>
      <c r="E1722" s="1117"/>
      <c r="F1722" s="1117"/>
      <c r="G1722" s="632"/>
      <c r="H1722" s="745"/>
      <c r="I1722" s="1117"/>
      <c r="J1722" s="632"/>
      <c r="K1722" s="1118"/>
    </row>
    <row r="1723" spans="1:11" x14ac:dyDescent="0.25">
      <c r="A1723" s="718">
        <v>2</v>
      </c>
      <c r="B1723" s="668"/>
      <c r="C1723" s="721"/>
      <c r="D1723" s="721"/>
      <c r="E1723" s="721"/>
      <c r="F1723" s="721"/>
      <c r="G1723" s="639"/>
      <c r="H1723" s="668"/>
      <c r="I1723" s="721"/>
      <c r="J1723" s="639"/>
      <c r="K1723" s="1124"/>
    </row>
    <row r="1724" spans="1:11" x14ac:dyDescent="0.25">
      <c r="A1724" s="718">
        <v>3</v>
      </c>
      <c r="B1724" s="668"/>
      <c r="C1724" s="721"/>
      <c r="D1724" s="721"/>
      <c r="E1724" s="721"/>
      <c r="F1724" s="721"/>
      <c r="G1724" s="639"/>
      <c r="H1724" s="668"/>
      <c r="I1724" s="721"/>
      <c r="J1724" s="639"/>
      <c r="K1724" s="1124"/>
    </row>
    <row r="1725" spans="1:11" x14ac:dyDescent="0.25">
      <c r="A1725" s="718">
        <v>4</v>
      </c>
      <c r="B1725" s="668"/>
      <c r="C1725" s="721"/>
      <c r="D1725" s="721"/>
      <c r="E1725" s="721"/>
      <c r="F1725" s="721"/>
      <c r="G1725" s="639"/>
      <c r="H1725" s="668"/>
      <c r="I1725" s="721"/>
      <c r="J1725" s="639"/>
      <c r="K1725" s="1124"/>
    </row>
    <row r="1726" spans="1:11" x14ac:dyDescent="0.25">
      <c r="A1726" s="718">
        <v>5</v>
      </c>
      <c r="B1726" s="668"/>
      <c r="C1726" s="721"/>
      <c r="D1726" s="721"/>
      <c r="E1726" s="721"/>
      <c r="F1726" s="721"/>
      <c r="G1726" s="639"/>
      <c r="H1726" s="668"/>
      <c r="I1726" s="721"/>
      <c r="J1726" s="639"/>
      <c r="K1726" s="1124"/>
    </row>
    <row r="1727" spans="1:11" ht="13.8" thickBot="1" x14ac:dyDescent="0.3">
      <c r="A1727" s="719">
        <v>6</v>
      </c>
      <c r="B1727" s="669"/>
      <c r="C1727" s="1137"/>
      <c r="D1727" s="1137"/>
      <c r="E1727" s="1137"/>
      <c r="F1727" s="1137"/>
      <c r="G1727" s="646"/>
      <c r="H1727" s="669"/>
      <c r="I1727" s="1137"/>
      <c r="J1727" s="646"/>
      <c r="K1727" s="1138"/>
    </row>
    <row r="1728" spans="1:11" x14ac:dyDescent="0.25">
      <c r="A1728" s="1190">
        <v>1</v>
      </c>
      <c r="B1728" s="745"/>
      <c r="C1728" s="1117"/>
      <c r="D1728" s="1117"/>
      <c r="E1728" s="1117"/>
      <c r="F1728" s="1117"/>
      <c r="G1728" s="632"/>
      <c r="H1728" s="745"/>
      <c r="I1728" s="1117"/>
      <c r="J1728" s="632"/>
      <c r="K1728" s="1118"/>
    </row>
    <row r="1729" spans="1:11" x14ac:dyDescent="0.25">
      <c r="A1729" s="718">
        <v>2</v>
      </c>
      <c r="B1729" s="668"/>
      <c r="C1729" s="721"/>
      <c r="D1729" s="721"/>
      <c r="E1729" s="721"/>
      <c r="F1729" s="721"/>
      <c r="G1729" s="639"/>
      <c r="H1729" s="668"/>
      <c r="I1729" s="721"/>
      <c r="J1729" s="639"/>
      <c r="K1729" s="1124"/>
    </row>
    <row r="1730" spans="1:11" ht="13.8" thickBot="1" x14ac:dyDescent="0.3">
      <c r="A1730" s="719">
        <v>3</v>
      </c>
      <c r="B1730" s="669"/>
      <c r="C1730" s="1137"/>
      <c r="D1730" s="1137"/>
      <c r="E1730" s="1137"/>
      <c r="F1730" s="1137"/>
      <c r="G1730" s="646"/>
      <c r="H1730" s="669"/>
      <c r="I1730" s="1137"/>
      <c r="J1730" s="646"/>
      <c r="K1730" s="1138"/>
    </row>
    <row r="1731" spans="1:11" ht="13.8" thickBot="1" x14ac:dyDescent="0.3">
      <c r="A1731" s="1186" t="s">
        <v>659</v>
      </c>
      <c r="B1731" s="1187"/>
      <c r="C1731" s="1188"/>
      <c r="D1731" s="1188"/>
      <c r="E1731" s="1188"/>
      <c r="F1731" s="1188"/>
      <c r="G1731" s="1189"/>
      <c r="H1731" s="1187"/>
      <c r="I1731" s="1188"/>
      <c r="J1731" s="1189"/>
      <c r="K1731" s="716"/>
    </row>
    <row r="1732" spans="1:11" x14ac:dyDescent="0.25">
      <c r="A1732" s="1190">
        <v>1</v>
      </c>
      <c r="B1732" s="745"/>
      <c r="C1732" s="1117"/>
      <c r="D1732" s="1117"/>
      <c r="E1732" s="1117"/>
      <c r="F1732" s="1117"/>
      <c r="G1732" s="632"/>
      <c r="H1732" s="745"/>
      <c r="I1732" s="1117"/>
      <c r="J1732" s="632"/>
      <c r="K1732" s="1118"/>
    </row>
    <row r="1733" spans="1:11" x14ac:dyDescent="0.25">
      <c r="A1733" s="718">
        <v>2</v>
      </c>
      <c r="B1733" s="668"/>
      <c r="C1733" s="721"/>
      <c r="D1733" s="721"/>
      <c r="E1733" s="721"/>
      <c r="F1733" s="721"/>
      <c r="G1733" s="639"/>
      <c r="H1733" s="668"/>
      <c r="I1733" s="721"/>
      <c r="J1733" s="639"/>
      <c r="K1733" s="1124"/>
    </row>
    <row r="1734" spans="1:11" x14ac:dyDescent="0.25">
      <c r="A1734" s="718">
        <v>3</v>
      </c>
      <c r="B1734" s="668"/>
      <c r="C1734" s="721"/>
      <c r="D1734" s="721"/>
      <c r="E1734" s="721"/>
      <c r="F1734" s="721"/>
      <c r="G1734" s="639"/>
      <c r="H1734" s="668"/>
      <c r="I1734" s="721"/>
      <c r="J1734" s="639"/>
      <c r="K1734" s="1124"/>
    </row>
    <row r="1735" spans="1:11" x14ac:dyDescent="0.25">
      <c r="A1735" s="718">
        <v>4</v>
      </c>
      <c r="B1735" s="668"/>
      <c r="C1735" s="721"/>
      <c r="D1735" s="721"/>
      <c r="E1735" s="721"/>
      <c r="F1735" s="721"/>
      <c r="G1735" s="639"/>
      <c r="H1735" s="668"/>
      <c r="I1735" s="721"/>
      <c r="J1735" s="639"/>
      <c r="K1735" s="1124"/>
    </row>
    <row r="1736" spans="1:11" x14ac:dyDescent="0.25">
      <c r="A1736" s="718">
        <v>5</v>
      </c>
      <c r="B1736" s="668"/>
      <c r="C1736" s="721"/>
      <c r="D1736" s="721"/>
      <c r="E1736" s="721"/>
      <c r="F1736" s="721"/>
      <c r="G1736" s="639"/>
      <c r="H1736" s="668"/>
      <c r="I1736" s="721"/>
      <c r="J1736" s="639"/>
      <c r="K1736" s="1124"/>
    </row>
    <row r="1737" spans="1:11" ht="13.8" thickBot="1" x14ac:dyDescent="0.3">
      <c r="A1737" s="719">
        <v>6</v>
      </c>
      <c r="B1737" s="669"/>
      <c r="C1737" s="1137"/>
      <c r="D1737" s="1137"/>
      <c r="E1737" s="1137"/>
      <c r="F1737" s="1137"/>
      <c r="G1737" s="646"/>
      <c r="H1737" s="669"/>
      <c r="I1737" s="1137"/>
      <c r="J1737" s="646"/>
      <c r="K1737" s="1138"/>
    </row>
    <row r="1738" spans="1:11" x14ac:dyDescent="0.25">
      <c r="A1738" s="1190">
        <v>1</v>
      </c>
      <c r="B1738" s="745"/>
      <c r="C1738" s="1117"/>
      <c r="D1738" s="1117"/>
      <c r="E1738" s="1117"/>
      <c r="F1738" s="1117"/>
      <c r="G1738" s="632"/>
      <c r="H1738" s="745"/>
      <c r="I1738" s="1117"/>
      <c r="J1738" s="632"/>
      <c r="K1738" s="1118"/>
    </row>
    <row r="1739" spans="1:11" x14ac:dyDescent="0.25">
      <c r="A1739" s="718">
        <v>2</v>
      </c>
      <c r="B1739" s="668"/>
      <c r="C1739" s="721"/>
      <c r="D1739" s="721"/>
      <c r="E1739" s="721"/>
      <c r="F1739" s="721"/>
      <c r="G1739" s="639"/>
      <c r="H1739" s="668"/>
      <c r="I1739" s="721"/>
      <c r="J1739" s="639"/>
      <c r="K1739" s="1124"/>
    </row>
    <row r="1740" spans="1:11" ht="13.8" thickBot="1" x14ac:dyDescent="0.3">
      <c r="A1740" s="719">
        <v>3</v>
      </c>
      <c r="B1740" s="669"/>
      <c r="C1740" s="1137"/>
      <c r="D1740" s="1137"/>
      <c r="E1740" s="1137"/>
      <c r="F1740" s="1137"/>
      <c r="G1740" s="646"/>
      <c r="H1740" s="669"/>
      <c r="I1740" s="1137"/>
      <c r="J1740" s="646"/>
      <c r="K1740" s="1138"/>
    </row>
    <row r="1741" spans="1:11" ht="13.8" thickBot="1" x14ac:dyDescent="0.3">
      <c r="A1741" s="1186" t="s">
        <v>660</v>
      </c>
      <c r="B1741" s="1187"/>
      <c r="C1741" s="1188"/>
      <c r="D1741" s="1188"/>
      <c r="E1741" s="1188"/>
      <c r="F1741" s="1188"/>
      <c r="G1741" s="1189"/>
      <c r="H1741" s="1187"/>
      <c r="I1741" s="1188"/>
      <c r="J1741" s="1189"/>
      <c r="K1741" s="716"/>
    </row>
    <row r="1742" spans="1:11" x14ac:dyDescent="0.25">
      <c r="A1742" s="1190">
        <v>1</v>
      </c>
      <c r="B1742" s="745"/>
      <c r="C1742" s="1117"/>
      <c r="D1742" s="1117"/>
      <c r="E1742" s="1117"/>
      <c r="F1742" s="1117"/>
      <c r="G1742" s="632"/>
      <c r="H1742" s="745"/>
      <c r="I1742" s="1117"/>
      <c r="J1742" s="632"/>
      <c r="K1742" s="1118"/>
    </row>
    <row r="1743" spans="1:11" x14ac:dyDescent="0.25">
      <c r="A1743" s="718">
        <v>2</v>
      </c>
      <c r="B1743" s="668"/>
      <c r="C1743" s="721"/>
      <c r="D1743" s="721"/>
      <c r="E1743" s="721"/>
      <c r="F1743" s="721"/>
      <c r="G1743" s="639"/>
      <c r="H1743" s="668"/>
      <c r="I1743" s="721"/>
      <c r="J1743" s="639"/>
      <c r="K1743" s="1124"/>
    </row>
    <row r="1744" spans="1:11" x14ac:dyDescent="0.25">
      <c r="A1744" s="718">
        <v>3</v>
      </c>
      <c r="B1744" s="668"/>
      <c r="C1744" s="721"/>
      <c r="D1744" s="721"/>
      <c r="E1744" s="721"/>
      <c r="F1744" s="721"/>
      <c r="G1744" s="639"/>
      <c r="H1744" s="668"/>
      <c r="I1744" s="721"/>
      <c r="J1744" s="639"/>
      <c r="K1744" s="1124"/>
    </row>
    <row r="1745" spans="1:11" x14ac:dyDescent="0.25">
      <c r="A1745" s="718">
        <v>4</v>
      </c>
      <c r="B1745" s="668"/>
      <c r="C1745" s="721"/>
      <c r="D1745" s="721"/>
      <c r="E1745" s="721"/>
      <c r="F1745" s="721"/>
      <c r="G1745" s="639"/>
      <c r="H1745" s="668"/>
      <c r="I1745" s="721"/>
      <c r="J1745" s="639"/>
      <c r="K1745" s="1124"/>
    </row>
    <row r="1746" spans="1:11" x14ac:dyDescent="0.25">
      <c r="A1746" s="718">
        <v>5</v>
      </c>
      <c r="B1746" s="668"/>
      <c r="C1746" s="721"/>
      <c r="D1746" s="721"/>
      <c r="E1746" s="721"/>
      <c r="F1746" s="721"/>
      <c r="G1746" s="639"/>
      <c r="H1746" s="668"/>
      <c r="I1746" s="721"/>
      <c r="J1746" s="639"/>
      <c r="K1746" s="1124"/>
    </row>
    <row r="1747" spans="1:11" ht="13.8" thickBot="1" x14ac:dyDescent="0.3">
      <c r="A1747" s="719">
        <v>6</v>
      </c>
      <c r="B1747" s="669"/>
      <c r="C1747" s="1137"/>
      <c r="D1747" s="1137"/>
      <c r="E1747" s="1137"/>
      <c r="F1747" s="1137"/>
      <c r="G1747" s="646"/>
      <c r="H1747" s="669"/>
      <c r="I1747" s="1137"/>
      <c r="J1747" s="646"/>
      <c r="K1747" s="1138"/>
    </row>
    <row r="1748" spans="1:11" x14ac:dyDescent="0.25">
      <c r="A1748" s="1190">
        <v>1</v>
      </c>
      <c r="B1748" s="745"/>
      <c r="C1748" s="1117"/>
      <c r="D1748" s="1117"/>
      <c r="E1748" s="1117"/>
      <c r="F1748" s="1117"/>
      <c r="G1748" s="632"/>
      <c r="H1748" s="745"/>
      <c r="I1748" s="1117"/>
      <c r="J1748" s="632"/>
      <c r="K1748" s="1118"/>
    </row>
    <row r="1749" spans="1:11" x14ac:dyDescent="0.25">
      <c r="A1749" s="718">
        <v>2</v>
      </c>
      <c r="B1749" s="668"/>
      <c r="C1749" s="721"/>
      <c r="D1749" s="721"/>
      <c r="E1749" s="721"/>
      <c r="F1749" s="721"/>
      <c r="G1749" s="639"/>
      <c r="H1749" s="668"/>
      <c r="I1749" s="721"/>
      <c r="J1749" s="639"/>
      <c r="K1749" s="1124"/>
    </row>
    <row r="1750" spans="1:11" ht="13.8" thickBot="1" x14ac:dyDescent="0.3">
      <c r="A1750" s="719">
        <v>3</v>
      </c>
      <c r="B1750" s="669"/>
      <c r="C1750" s="1137"/>
      <c r="D1750" s="1137"/>
      <c r="E1750" s="1137"/>
      <c r="F1750" s="1137"/>
      <c r="G1750" s="646"/>
      <c r="H1750" s="669"/>
      <c r="I1750" s="1137"/>
      <c r="J1750" s="646"/>
      <c r="K1750" s="1138"/>
    </row>
    <row r="1751" spans="1:11" ht="13.8" thickBot="1" x14ac:dyDescent="0.3">
      <c r="A1751" s="1186" t="s">
        <v>661</v>
      </c>
      <c r="B1751" s="1187"/>
      <c r="C1751" s="1188"/>
      <c r="D1751" s="1188"/>
      <c r="E1751" s="1188"/>
      <c r="F1751" s="1188"/>
      <c r="G1751" s="1189"/>
      <c r="H1751" s="1187"/>
      <c r="I1751" s="1188"/>
      <c r="J1751" s="1189"/>
      <c r="K1751" s="716"/>
    </row>
    <row r="1752" spans="1:11" x14ac:dyDescent="0.25">
      <c r="A1752" s="1190">
        <v>1</v>
      </c>
      <c r="B1752" s="745"/>
      <c r="C1752" s="1117"/>
      <c r="D1752" s="1117"/>
      <c r="E1752" s="1117"/>
      <c r="F1752" s="1117"/>
      <c r="G1752" s="632"/>
      <c r="H1752" s="745"/>
      <c r="I1752" s="1117"/>
      <c r="J1752" s="632"/>
      <c r="K1752" s="1118"/>
    </row>
    <row r="1753" spans="1:11" x14ac:dyDescent="0.25">
      <c r="A1753" s="718">
        <v>2</v>
      </c>
      <c r="B1753" s="668"/>
      <c r="C1753" s="721"/>
      <c r="D1753" s="721"/>
      <c r="E1753" s="721"/>
      <c r="F1753" s="721"/>
      <c r="G1753" s="639"/>
      <c r="H1753" s="668"/>
      <c r="I1753" s="721"/>
      <c r="J1753" s="639"/>
      <c r="K1753" s="1124"/>
    </row>
    <row r="1754" spans="1:11" x14ac:dyDescent="0.25">
      <c r="A1754" s="718">
        <v>3</v>
      </c>
      <c r="B1754" s="668"/>
      <c r="C1754" s="721"/>
      <c r="D1754" s="721"/>
      <c r="E1754" s="721"/>
      <c r="F1754" s="721"/>
      <c r="G1754" s="639"/>
      <c r="H1754" s="668"/>
      <c r="I1754" s="721"/>
      <c r="J1754" s="639"/>
      <c r="K1754" s="1124"/>
    </row>
    <row r="1755" spans="1:11" x14ac:dyDescent="0.25">
      <c r="A1755" s="718">
        <v>4</v>
      </c>
      <c r="B1755" s="668"/>
      <c r="C1755" s="721"/>
      <c r="D1755" s="721"/>
      <c r="E1755" s="721"/>
      <c r="F1755" s="721"/>
      <c r="G1755" s="639"/>
      <c r="H1755" s="668"/>
      <c r="I1755" s="721"/>
      <c r="J1755" s="639"/>
      <c r="K1755" s="1124"/>
    </row>
    <row r="1756" spans="1:11" x14ac:dyDescent="0.25">
      <c r="A1756" s="718">
        <v>5</v>
      </c>
      <c r="B1756" s="668"/>
      <c r="C1756" s="721"/>
      <c r="D1756" s="721"/>
      <c r="E1756" s="721"/>
      <c r="F1756" s="721"/>
      <c r="G1756" s="639"/>
      <c r="H1756" s="668"/>
      <c r="I1756" s="721"/>
      <c r="J1756" s="639"/>
      <c r="K1756" s="1124"/>
    </row>
    <row r="1757" spans="1:11" ht="13.8" thickBot="1" x14ac:dyDescent="0.3">
      <c r="A1757" s="719">
        <v>6</v>
      </c>
      <c r="B1757" s="669"/>
      <c r="C1757" s="1137"/>
      <c r="D1757" s="1137"/>
      <c r="E1757" s="1137"/>
      <c r="F1757" s="1137"/>
      <c r="G1757" s="646"/>
      <c r="H1757" s="669"/>
      <c r="I1757" s="1137"/>
      <c r="J1757" s="646"/>
      <c r="K1757" s="1138"/>
    </row>
    <row r="1758" spans="1:11" x14ac:dyDescent="0.25">
      <c r="A1758" s="1190">
        <v>1</v>
      </c>
      <c r="B1758" s="745"/>
      <c r="C1758" s="1117"/>
      <c r="D1758" s="1117"/>
      <c r="E1758" s="1117"/>
      <c r="F1758" s="1117"/>
      <c r="G1758" s="632"/>
      <c r="H1758" s="745"/>
      <c r="I1758" s="1117"/>
      <c r="J1758" s="632"/>
      <c r="K1758" s="1118"/>
    </row>
    <row r="1759" spans="1:11" x14ac:dyDescent="0.25">
      <c r="A1759" s="718">
        <v>2</v>
      </c>
      <c r="B1759" s="668"/>
      <c r="C1759" s="721"/>
      <c r="D1759" s="721"/>
      <c r="E1759" s="721"/>
      <c r="F1759" s="721"/>
      <c r="G1759" s="639"/>
      <c r="H1759" s="668"/>
      <c r="I1759" s="721"/>
      <c r="J1759" s="639"/>
      <c r="K1759" s="1124"/>
    </row>
    <row r="1760" spans="1:11" ht="13.8" thickBot="1" x14ac:dyDescent="0.3">
      <c r="A1760" s="719">
        <v>3</v>
      </c>
      <c r="B1760" s="669"/>
      <c r="C1760" s="1137"/>
      <c r="D1760" s="1137"/>
      <c r="E1760" s="1137"/>
      <c r="F1760" s="1137"/>
      <c r="G1760" s="646"/>
      <c r="H1760" s="669"/>
      <c r="I1760" s="1137"/>
      <c r="J1760" s="646"/>
      <c r="K1760" s="1138"/>
    </row>
    <row r="1761" spans="1:11" ht="13.8" thickBot="1" x14ac:dyDescent="0.3">
      <c r="A1761" s="1186" t="s">
        <v>662</v>
      </c>
      <c r="B1761" s="1187"/>
      <c r="C1761" s="1188"/>
      <c r="D1761" s="1188"/>
      <c r="E1761" s="1188"/>
      <c r="F1761" s="1188"/>
      <c r="G1761" s="1189"/>
      <c r="H1761" s="1187"/>
      <c r="I1761" s="1188"/>
      <c r="J1761" s="1189"/>
      <c r="K1761" s="716"/>
    </row>
    <row r="1762" spans="1:11" x14ac:dyDescent="0.25">
      <c r="A1762" s="1190">
        <v>1</v>
      </c>
      <c r="B1762" s="745"/>
      <c r="C1762" s="1117"/>
      <c r="D1762" s="1117"/>
      <c r="E1762" s="1117"/>
      <c r="F1762" s="1117"/>
      <c r="G1762" s="632"/>
      <c r="H1762" s="745"/>
      <c r="I1762" s="1117"/>
      <c r="J1762" s="632"/>
      <c r="K1762" s="1118"/>
    </row>
    <row r="1763" spans="1:11" x14ac:dyDescent="0.25">
      <c r="A1763" s="718">
        <v>2</v>
      </c>
      <c r="B1763" s="668"/>
      <c r="C1763" s="721"/>
      <c r="D1763" s="721"/>
      <c r="E1763" s="721"/>
      <c r="F1763" s="721"/>
      <c r="G1763" s="639"/>
      <c r="H1763" s="668"/>
      <c r="I1763" s="721"/>
      <c r="J1763" s="639"/>
      <c r="K1763" s="1124"/>
    </row>
    <row r="1764" spans="1:11" x14ac:dyDescent="0.25">
      <c r="A1764" s="718">
        <v>3</v>
      </c>
      <c r="B1764" s="668"/>
      <c r="C1764" s="721"/>
      <c r="D1764" s="721"/>
      <c r="E1764" s="721"/>
      <c r="F1764" s="721"/>
      <c r="G1764" s="639"/>
      <c r="H1764" s="668"/>
      <c r="I1764" s="721"/>
      <c r="J1764" s="639"/>
      <c r="K1764" s="1124"/>
    </row>
    <row r="1765" spans="1:11" x14ac:dyDescent="0.25">
      <c r="A1765" s="718">
        <v>4</v>
      </c>
      <c r="B1765" s="668"/>
      <c r="C1765" s="721"/>
      <c r="D1765" s="721"/>
      <c r="E1765" s="721"/>
      <c r="F1765" s="721"/>
      <c r="G1765" s="639"/>
      <c r="H1765" s="668"/>
      <c r="I1765" s="721"/>
      <c r="J1765" s="639"/>
      <c r="K1765" s="1124"/>
    </row>
    <row r="1766" spans="1:11" x14ac:dyDescent="0.25">
      <c r="A1766" s="718">
        <v>5</v>
      </c>
      <c r="B1766" s="668"/>
      <c r="C1766" s="721"/>
      <c r="D1766" s="721"/>
      <c r="E1766" s="721"/>
      <c r="F1766" s="721"/>
      <c r="G1766" s="639"/>
      <c r="H1766" s="668"/>
      <c r="I1766" s="721"/>
      <c r="J1766" s="639"/>
      <c r="K1766" s="1124"/>
    </row>
    <row r="1767" spans="1:11" ht="13.8" thickBot="1" x14ac:dyDescent="0.3">
      <c r="A1767" s="719">
        <v>6</v>
      </c>
      <c r="B1767" s="669"/>
      <c r="C1767" s="1137"/>
      <c r="D1767" s="1137"/>
      <c r="E1767" s="1137"/>
      <c r="F1767" s="1137"/>
      <c r="G1767" s="646"/>
      <c r="H1767" s="669"/>
      <c r="I1767" s="1137"/>
      <c r="J1767" s="646"/>
      <c r="K1767" s="1138"/>
    </row>
    <row r="1768" spans="1:11" x14ac:dyDescent="0.25">
      <c r="A1768" s="1190">
        <v>1</v>
      </c>
      <c r="B1768" s="745"/>
      <c r="C1768" s="1117"/>
      <c r="D1768" s="1117"/>
      <c r="E1768" s="1117"/>
      <c r="F1768" s="1117"/>
      <c r="G1768" s="632"/>
      <c r="H1768" s="745"/>
      <c r="I1768" s="1117"/>
      <c r="J1768" s="632"/>
      <c r="K1768" s="1118"/>
    </row>
    <row r="1769" spans="1:11" x14ac:dyDescent="0.25">
      <c r="A1769" s="718">
        <v>2</v>
      </c>
      <c r="B1769" s="668"/>
      <c r="C1769" s="721"/>
      <c r="D1769" s="721"/>
      <c r="E1769" s="721"/>
      <c r="F1769" s="721"/>
      <c r="G1769" s="639"/>
      <c r="H1769" s="668"/>
      <c r="I1769" s="721"/>
      <c r="J1769" s="639"/>
      <c r="K1769" s="1124"/>
    </row>
    <row r="1770" spans="1:11" ht="13.8" thickBot="1" x14ac:dyDescent="0.3">
      <c r="A1770" s="1191">
        <v>3</v>
      </c>
      <c r="B1770" s="1132"/>
      <c r="C1770" s="1133"/>
      <c r="D1770" s="1133"/>
      <c r="E1770" s="1133"/>
      <c r="F1770" s="1133"/>
      <c r="G1770" s="1134"/>
      <c r="H1770" s="1132"/>
      <c r="I1770" s="1133"/>
      <c r="J1770" s="1134"/>
      <c r="K1770" s="1147"/>
    </row>
    <row r="1771" spans="1:11" ht="13.8" thickBot="1" x14ac:dyDescent="0.3">
      <c r="A1771" s="1186" t="s">
        <v>663</v>
      </c>
      <c r="B1771" s="1187"/>
      <c r="C1771" s="1188"/>
      <c r="D1771" s="1188"/>
      <c r="E1771" s="1188"/>
      <c r="F1771" s="1188"/>
      <c r="G1771" s="1189"/>
      <c r="H1771" s="1187"/>
      <c r="I1771" s="1188"/>
      <c r="J1771" s="1189"/>
      <c r="K1771" s="716"/>
    </row>
    <row r="1772" spans="1:11" x14ac:dyDescent="0.25">
      <c r="A1772" s="1190">
        <v>1</v>
      </c>
      <c r="B1772" s="745"/>
      <c r="C1772" s="1117"/>
      <c r="D1772" s="1117"/>
      <c r="E1772" s="1117"/>
      <c r="F1772" s="1117"/>
      <c r="G1772" s="632"/>
      <c r="H1772" s="745"/>
      <c r="I1772" s="1117"/>
      <c r="J1772" s="632"/>
      <c r="K1772" s="1118"/>
    </row>
    <row r="1773" spans="1:11" x14ac:dyDescent="0.25">
      <c r="A1773" s="718">
        <v>2</v>
      </c>
      <c r="B1773" s="668"/>
      <c r="C1773" s="721"/>
      <c r="D1773" s="721"/>
      <c r="E1773" s="721"/>
      <c r="F1773" s="721"/>
      <c r="G1773" s="639"/>
      <c r="H1773" s="668"/>
      <c r="I1773" s="721"/>
      <c r="J1773" s="639"/>
      <c r="K1773" s="1124"/>
    </row>
    <row r="1774" spans="1:11" x14ac:dyDescent="0.25">
      <c r="A1774" s="718">
        <v>3</v>
      </c>
      <c r="B1774" s="668"/>
      <c r="C1774" s="721"/>
      <c r="D1774" s="721"/>
      <c r="E1774" s="721"/>
      <c r="F1774" s="721"/>
      <c r="G1774" s="639"/>
      <c r="H1774" s="668"/>
      <c r="I1774" s="721"/>
      <c r="J1774" s="639"/>
      <c r="K1774" s="1124"/>
    </row>
    <row r="1775" spans="1:11" x14ac:dyDescent="0.25">
      <c r="A1775" s="718">
        <v>4</v>
      </c>
      <c r="B1775" s="668"/>
      <c r="C1775" s="721"/>
      <c r="D1775" s="721"/>
      <c r="E1775" s="721"/>
      <c r="F1775" s="721"/>
      <c r="G1775" s="639"/>
      <c r="H1775" s="668"/>
      <c r="I1775" s="721"/>
      <c r="J1775" s="639"/>
      <c r="K1775" s="1124"/>
    </row>
    <row r="1776" spans="1:11" x14ac:dyDescent="0.25">
      <c r="A1776" s="718">
        <v>5</v>
      </c>
      <c r="B1776" s="668"/>
      <c r="C1776" s="721"/>
      <c r="D1776" s="721"/>
      <c r="E1776" s="721"/>
      <c r="F1776" s="721"/>
      <c r="G1776" s="639"/>
      <c r="H1776" s="668"/>
      <c r="I1776" s="721"/>
      <c r="J1776" s="639"/>
      <c r="K1776" s="1124"/>
    </row>
    <row r="1777" spans="1:11" ht="13.8" thickBot="1" x14ac:dyDescent="0.3">
      <c r="A1777" s="719">
        <v>6</v>
      </c>
      <c r="B1777" s="669"/>
      <c r="C1777" s="1137"/>
      <c r="D1777" s="1137"/>
      <c r="E1777" s="1137"/>
      <c r="F1777" s="1137"/>
      <c r="G1777" s="646"/>
      <c r="H1777" s="669"/>
      <c r="I1777" s="1137"/>
      <c r="J1777" s="646"/>
      <c r="K1777" s="1138"/>
    </row>
    <row r="1778" spans="1:11" x14ac:dyDescent="0.25">
      <c r="A1778" s="1190">
        <v>1</v>
      </c>
      <c r="B1778" s="745"/>
      <c r="C1778" s="1117"/>
      <c r="D1778" s="1117"/>
      <c r="E1778" s="1117"/>
      <c r="F1778" s="1117"/>
      <c r="G1778" s="632"/>
      <c r="H1778" s="745"/>
      <c r="I1778" s="1117"/>
      <c r="J1778" s="632"/>
      <c r="K1778" s="1118"/>
    </row>
    <row r="1779" spans="1:11" x14ac:dyDescent="0.25">
      <c r="A1779" s="718">
        <v>2</v>
      </c>
      <c r="B1779" s="668"/>
      <c r="C1779" s="721"/>
      <c r="D1779" s="721"/>
      <c r="E1779" s="721"/>
      <c r="F1779" s="721"/>
      <c r="G1779" s="639"/>
      <c r="H1779" s="668"/>
      <c r="I1779" s="721"/>
      <c r="J1779" s="639"/>
      <c r="K1779" s="1124"/>
    </row>
    <row r="1780" spans="1:11" ht="13.8" thickBot="1" x14ac:dyDescent="0.3">
      <c r="A1780" s="719">
        <v>3</v>
      </c>
      <c r="B1780" s="669"/>
      <c r="C1780" s="1137"/>
      <c r="D1780" s="1137"/>
      <c r="E1780" s="1137"/>
      <c r="F1780" s="1137"/>
      <c r="G1780" s="646"/>
      <c r="H1780" s="669"/>
      <c r="I1780" s="1137"/>
      <c r="J1780" s="646"/>
      <c r="K1780" s="1138"/>
    </row>
    <row r="1781" spans="1:11" ht="13.8" thickBot="1" x14ac:dyDescent="0.3">
      <c r="A1781" s="1186" t="s">
        <v>664</v>
      </c>
      <c r="B1781" s="1187"/>
      <c r="C1781" s="1188"/>
      <c r="D1781" s="1188"/>
      <c r="E1781" s="1188"/>
      <c r="F1781" s="1188"/>
      <c r="G1781" s="1189"/>
      <c r="H1781" s="1187"/>
      <c r="I1781" s="1188"/>
      <c r="J1781" s="1189"/>
      <c r="K1781" s="716"/>
    </row>
    <row r="1782" spans="1:11" x14ac:dyDescent="0.25">
      <c r="A1782" s="1190">
        <v>1</v>
      </c>
      <c r="B1782" s="745"/>
      <c r="C1782" s="1117"/>
      <c r="D1782" s="1117"/>
      <c r="E1782" s="1117"/>
      <c r="F1782" s="1117"/>
      <c r="G1782" s="632"/>
      <c r="H1782" s="745"/>
      <c r="I1782" s="1117"/>
      <c r="J1782" s="632"/>
      <c r="K1782" s="1118"/>
    </row>
    <row r="1783" spans="1:11" x14ac:dyDescent="0.25">
      <c r="A1783" s="718">
        <v>2</v>
      </c>
      <c r="B1783" s="668"/>
      <c r="C1783" s="721"/>
      <c r="D1783" s="721"/>
      <c r="E1783" s="721"/>
      <c r="F1783" s="721"/>
      <c r="G1783" s="639"/>
      <c r="H1783" s="668"/>
      <c r="I1783" s="721"/>
      <c r="J1783" s="639"/>
      <c r="K1783" s="1124"/>
    </row>
    <row r="1784" spans="1:11" x14ac:dyDescent="0.25">
      <c r="A1784" s="718">
        <v>3</v>
      </c>
      <c r="B1784" s="668"/>
      <c r="C1784" s="721"/>
      <c r="D1784" s="721"/>
      <c r="E1784" s="721"/>
      <c r="F1784" s="721"/>
      <c r="G1784" s="639"/>
      <c r="H1784" s="668"/>
      <c r="I1784" s="721"/>
      <c r="J1784" s="639"/>
      <c r="K1784" s="1124"/>
    </row>
    <row r="1785" spans="1:11" x14ac:dyDescent="0.25">
      <c r="A1785" s="718">
        <v>4</v>
      </c>
      <c r="B1785" s="668"/>
      <c r="C1785" s="721"/>
      <c r="D1785" s="721"/>
      <c r="E1785" s="721"/>
      <c r="F1785" s="721"/>
      <c r="G1785" s="639"/>
      <c r="H1785" s="668"/>
      <c r="I1785" s="721"/>
      <c r="J1785" s="639"/>
      <c r="K1785" s="1124"/>
    </row>
    <row r="1786" spans="1:11" x14ac:dyDescent="0.25">
      <c r="A1786" s="718">
        <v>5</v>
      </c>
      <c r="B1786" s="668"/>
      <c r="C1786" s="721"/>
      <c r="D1786" s="721"/>
      <c r="E1786" s="721"/>
      <c r="F1786" s="721"/>
      <c r="G1786" s="639"/>
      <c r="H1786" s="668"/>
      <c r="I1786" s="721"/>
      <c r="J1786" s="639"/>
      <c r="K1786" s="1124"/>
    </row>
    <row r="1787" spans="1:11" ht="13.8" thickBot="1" x14ac:dyDescent="0.3">
      <c r="A1787" s="719">
        <v>6</v>
      </c>
      <c r="B1787" s="669"/>
      <c r="C1787" s="1137"/>
      <c r="D1787" s="1137"/>
      <c r="E1787" s="1137"/>
      <c r="F1787" s="1137"/>
      <c r="G1787" s="646"/>
      <c r="H1787" s="669"/>
      <c r="I1787" s="1137"/>
      <c r="J1787" s="646"/>
      <c r="K1787" s="1138"/>
    </row>
    <row r="1788" spans="1:11" x14ac:dyDescent="0.25">
      <c r="A1788" s="1190">
        <v>1</v>
      </c>
      <c r="B1788" s="745"/>
      <c r="C1788" s="1117"/>
      <c r="D1788" s="1117"/>
      <c r="E1788" s="1117"/>
      <c r="F1788" s="1117"/>
      <c r="G1788" s="632"/>
      <c r="H1788" s="745"/>
      <c r="I1788" s="1117"/>
      <c r="J1788" s="632"/>
      <c r="K1788" s="1118"/>
    </row>
    <row r="1789" spans="1:11" x14ac:dyDescent="0.25">
      <c r="A1789" s="718">
        <v>2</v>
      </c>
      <c r="B1789" s="668"/>
      <c r="C1789" s="721"/>
      <c r="D1789" s="721"/>
      <c r="E1789" s="721"/>
      <c r="F1789" s="721"/>
      <c r="G1789" s="639"/>
      <c r="H1789" s="668"/>
      <c r="I1789" s="721"/>
      <c r="J1789" s="639"/>
      <c r="K1789" s="1124"/>
    </row>
    <row r="1790" spans="1:11" ht="13.8" thickBot="1" x14ac:dyDescent="0.3">
      <c r="A1790" s="719">
        <v>3</v>
      </c>
      <c r="B1790" s="669"/>
      <c r="C1790" s="1137"/>
      <c r="D1790" s="1137"/>
      <c r="E1790" s="1137"/>
      <c r="F1790" s="1137"/>
      <c r="G1790" s="646"/>
      <c r="H1790" s="669"/>
      <c r="I1790" s="1137"/>
      <c r="J1790" s="646"/>
      <c r="K1790" s="1138"/>
    </row>
    <row r="1791" spans="1:11" ht="13.8" thickBot="1" x14ac:dyDescent="0.3">
      <c r="A1791" s="1186" t="s">
        <v>665</v>
      </c>
      <c r="B1791" s="1187"/>
      <c r="C1791" s="1188"/>
      <c r="D1791" s="1188"/>
      <c r="E1791" s="1188"/>
      <c r="F1791" s="1188"/>
      <c r="G1791" s="1189"/>
      <c r="H1791" s="1187"/>
      <c r="I1791" s="1188"/>
      <c r="J1791" s="1189"/>
      <c r="K1791" s="716"/>
    </row>
    <row r="1792" spans="1:11" x14ac:dyDescent="0.25">
      <c r="A1792" s="1190">
        <v>1</v>
      </c>
      <c r="B1792" s="745"/>
      <c r="C1792" s="1117"/>
      <c r="D1792" s="1117"/>
      <c r="E1792" s="1117"/>
      <c r="F1792" s="1117"/>
      <c r="G1792" s="632"/>
      <c r="H1792" s="745"/>
      <c r="I1792" s="1117"/>
      <c r="J1792" s="632"/>
      <c r="K1792" s="1118"/>
    </row>
    <row r="1793" spans="1:11" x14ac:dyDescent="0.25">
      <c r="A1793" s="718">
        <v>2</v>
      </c>
      <c r="B1793" s="668"/>
      <c r="C1793" s="721"/>
      <c r="D1793" s="721"/>
      <c r="E1793" s="721"/>
      <c r="F1793" s="721"/>
      <c r="G1793" s="639"/>
      <c r="H1793" s="668"/>
      <c r="I1793" s="721"/>
      <c r="J1793" s="639"/>
      <c r="K1793" s="1124"/>
    </row>
    <row r="1794" spans="1:11" x14ac:dyDescent="0.25">
      <c r="A1794" s="718">
        <v>3</v>
      </c>
      <c r="B1794" s="668"/>
      <c r="C1794" s="721"/>
      <c r="D1794" s="721"/>
      <c r="E1794" s="721"/>
      <c r="F1794" s="721"/>
      <c r="G1794" s="639"/>
      <c r="H1794" s="668"/>
      <c r="I1794" s="721"/>
      <c r="J1794" s="639"/>
      <c r="K1794" s="1124"/>
    </row>
    <row r="1795" spans="1:11" x14ac:dyDescent="0.25">
      <c r="A1795" s="718">
        <v>4</v>
      </c>
      <c r="B1795" s="668"/>
      <c r="C1795" s="721"/>
      <c r="D1795" s="721"/>
      <c r="E1795" s="721"/>
      <c r="F1795" s="721"/>
      <c r="G1795" s="639"/>
      <c r="H1795" s="668"/>
      <c r="I1795" s="721"/>
      <c r="J1795" s="639"/>
      <c r="K1795" s="1124"/>
    </row>
    <row r="1796" spans="1:11" x14ac:dyDescent="0.25">
      <c r="A1796" s="718">
        <v>5</v>
      </c>
      <c r="B1796" s="668"/>
      <c r="C1796" s="721"/>
      <c r="D1796" s="721"/>
      <c r="E1796" s="721"/>
      <c r="F1796" s="721"/>
      <c r="G1796" s="639"/>
      <c r="H1796" s="668"/>
      <c r="I1796" s="721"/>
      <c r="J1796" s="639"/>
      <c r="K1796" s="1124"/>
    </row>
    <row r="1797" spans="1:11" ht="13.8" thickBot="1" x14ac:dyDescent="0.3">
      <c r="A1797" s="719">
        <v>6</v>
      </c>
      <c r="B1797" s="669"/>
      <c r="C1797" s="1137"/>
      <c r="D1797" s="1137"/>
      <c r="E1797" s="1137"/>
      <c r="F1797" s="1137"/>
      <c r="G1797" s="646"/>
      <c r="H1797" s="669"/>
      <c r="I1797" s="1137"/>
      <c r="J1797" s="646"/>
      <c r="K1797" s="1138"/>
    </row>
    <row r="1798" spans="1:11" x14ac:dyDescent="0.25">
      <c r="A1798" s="1190">
        <v>1</v>
      </c>
      <c r="B1798" s="745"/>
      <c r="C1798" s="1117"/>
      <c r="D1798" s="1117"/>
      <c r="E1798" s="1117"/>
      <c r="F1798" s="1117"/>
      <c r="G1798" s="632"/>
      <c r="H1798" s="745"/>
      <c r="I1798" s="1117"/>
      <c r="J1798" s="632"/>
      <c r="K1798" s="1118"/>
    </row>
    <row r="1799" spans="1:11" x14ac:dyDescent="0.25">
      <c r="A1799" s="718">
        <v>2</v>
      </c>
      <c r="B1799" s="668"/>
      <c r="C1799" s="721"/>
      <c r="D1799" s="721"/>
      <c r="E1799" s="721"/>
      <c r="F1799" s="721"/>
      <c r="G1799" s="639"/>
      <c r="H1799" s="668"/>
      <c r="I1799" s="721"/>
      <c r="J1799" s="639"/>
      <c r="K1799" s="1124"/>
    </row>
    <row r="1800" spans="1:11" ht="13.8" thickBot="1" x14ac:dyDescent="0.3">
      <c r="A1800" s="719">
        <v>3</v>
      </c>
      <c r="B1800" s="669"/>
      <c r="C1800" s="1137"/>
      <c r="D1800" s="1137"/>
      <c r="E1800" s="1137"/>
      <c r="F1800" s="1137"/>
      <c r="G1800" s="646"/>
      <c r="H1800" s="669"/>
      <c r="I1800" s="1137"/>
      <c r="J1800" s="646"/>
      <c r="K1800" s="1138"/>
    </row>
    <row r="1801" spans="1:11" ht="13.8" thickBot="1" x14ac:dyDescent="0.3">
      <c r="A1801" s="1186" t="s">
        <v>666</v>
      </c>
      <c r="B1801" s="1187"/>
      <c r="C1801" s="1188"/>
      <c r="D1801" s="1188"/>
      <c r="E1801" s="1188"/>
      <c r="F1801" s="1188"/>
      <c r="G1801" s="1189"/>
      <c r="H1801" s="1187"/>
      <c r="I1801" s="1188"/>
      <c r="J1801" s="1189"/>
      <c r="K1801" s="716"/>
    </row>
    <row r="1802" spans="1:11" x14ac:dyDescent="0.25">
      <c r="A1802" s="1190">
        <v>1</v>
      </c>
      <c r="B1802" s="745"/>
      <c r="C1802" s="1117"/>
      <c r="D1802" s="1117"/>
      <c r="E1802" s="1117"/>
      <c r="F1802" s="1117"/>
      <c r="G1802" s="632"/>
      <c r="H1802" s="745"/>
      <c r="I1802" s="1117"/>
      <c r="J1802" s="632"/>
      <c r="K1802" s="1118"/>
    </row>
    <row r="1803" spans="1:11" x14ac:dyDescent="0.25">
      <c r="A1803" s="718">
        <v>2</v>
      </c>
      <c r="B1803" s="668"/>
      <c r="C1803" s="721"/>
      <c r="D1803" s="721"/>
      <c r="E1803" s="721"/>
      <c r="F1803" s="721"/>
      <c r="G1803" s="639"/>
      <c r="H1803" s="668"/>
      <c r="I1803" s="721"/>
      <c r="J1803" s="639"/>
      <c r="K1803" s="1124"/>
    </row>
    <row r="1804" spans="1:11" x14ac:dyDescent="0.25">
      <c r="A1804" s="718">
        <v>3</v>
      </c>
      <c r="B1804" s="668"/>
      <c r="C1804" s="721"/>
      <c r="D1804" s="721"/>
      <c r="E1804" s="721"/>
      <c r="F1804" s="721"/>
      <c r="G1804" s="639"/>
      <c r="H1804" s="668"/>
      <c r="I1804" s="721"/>
      <c r="J1804" s="639"/>
      <c r="K1804" s="1124"/>
    </row>
    <row r="1805" spans="1:11" x14ac:dyDescent="0.25">
      <c r="A1805" s="718">
        <v>4</v>
      </c>
      <c r="B1805" s="668"/>
      <c r="C1805" s="721"/>
      <c r="D1805" s="721"/>
      <c r="E1805" s="721"/>
      <c r="F1805" s="721"/>
      <c r="G1805" s="639"/>
      <c r="H1805" s="668"/>
      <c r="I1805" s="721"/>
      <c r="J1805" s="639"/>
      <c r="K1805" s="1124"/>
    </row>
    <row r="1806" spans="1:11" x14ac:dyDescent="0.25">
      <c r="A1806" s="718">
        <v>5</v>
      </c>
      <c r="B1806" s="668"/>
      <c r="C1806" s="721"/>
      <c r="D1806" s="721"/>
      <c r="E1806" s="721"/>
      <c r="F1806" s="721"/>
      <c r="G1806" s="639"/>
      <c r="H1806" s="668"/>
      <c r="I1806" s="721"/>
      <c r="J1806" s="639"/>
      <c r="K1806" s="1124"/>
    </row>
    <row r="1807" spans="1:11" ht="13.8" thickBot="1" x14ac:dyDescent="0.3">
      <c r="A1807" s="719">
        <v>6</v>
      </c>
      <c r="B1807" s="669"/>
      <c r="C1807" s="1137"/>
      <c r="D1807" s="1137"/>
      <c r="E1807" s="1137"/>
      <c r="F1807" s="1137"/>
      <c r="G1807" s="646"/>
      <c r="H1807" s="669"/>
      <c r="I1807" s="1137"/>
      <c r="J1807" s="646"/>
      <c r="K1807" s="1138"/>
    </row>
    <row r="1808" spans="1:11" x14ac:dyDescent="0.25">
      <c r="A1808" s="1190">
        <v>1</v>
      </c>
      <c r="B1808" s="745"/>
      <c r="C1808" s="1117"/>
      <c r="D1808" s="1117"/>
      <c r="E1808" s="1117"/>
      <c r="F1808" s="1117"/>
      <c r="G1808" s="632"/>
      <c r="H1808" s="745"/>
      <c r="I1808" s="1117"/>
      <c r="J1808" s="632"/>
      <c r="K1808" s="1118"/>
    </row>
    <row r="1809" spans="1:11" x14ac:dyDescent="0.25">
      <c r="A1809" s="718">
        <v>2</v>
      </c>
      <c r="B1809" s="668"/>
      <c r="C1809" s="721"/>
      <c r="D1809" s="721"/>
      <c r="E1809" s="721"/>
      <c r="F1809" s="721"/>
      <c r="G1809" s="639"/>
      <c r="H1809" s="668"/>
      <c r="I1809" s="721"/>
      <c r="J1809" s="639"/>
      <c r="K1809" s="1124"/>
    </row>
    <row r="1810" spans="1:11" ht="13.8" thickBot="1" x14ac:dyDescent="0.3">
      <c r="A1810" s="1191">
        <v>3</v>
      </c>
      <c r="B1810" s="1132"/>
      <c r="C1810" s="1133"/>
      <c r="D1810" s="1133"/>
      <c r="E1810" s="1133"/>
      <c r="F1810" s="1133"/>
      <c r="G1810" s="1134"/>
      <c r="H1810" s="1132"/>
      <c r="I1810" s="1133"/>
      <c r="J1810" s="1134"/>
      <c r="K1810" s="1147"/>
    </row>
    <row r="1811" spans="1:11" ht="13.8" thickBot="1" x14ac:dyDescent="0.3">
      <c r="A1811" s="1186" t="s">
        <v>667</v>
      </c>
      <c r="B1811" s="1187"/>
      <c r="C1811" s="1188"/>
      <c r="D1811" s="1188"/>
      <c r="E1811" s="1188"/>
      <c r="F1811" s="1188"/>
      <c r="G1811" s="1189"/>
      <c r="H1811" s="1187"/>
      <c r="I1811" s="1188"/>
      <c r="J1811" s="1189"/>
      <c r="K1811" s="716"/>
    </row>
    <row r="1812" spans="1:11" x14ac:dyDescent="0.25">
      <c r="A1812" s="1190">
        <v>1</v>
      </c>
      <c r="B1812" s="745"/>
      <c r="C1812" s="1117"/>
      <c r="D1812" s="1117"/>
      <c r="E1812" s="1117"/>
      <c r="F1812" s="1117"/>
      <c r="G1812" s="632"/>
      <c r="H1812" s="745"/>
      <c r="I1812" s="1117"/>
      <c r="J1812" s="632"/>
      <c r="K1812" s="1118"/>
    </row>
    <row r="1813" spans="1:11" x14ac:dyDescent="0.25">
      <c r="A1813" s="718">
        <v>2</v>
      </c>
      <c r="B1813" s="668"/>
      <c r="C1813" s="721"/>
      <c r="D1813" s="721"/>
      <c r="E1813" s="721"/>
      <c r="F1813" s="721"/>
      <c r="G1813" s="639"/>
      <c r="H1813" s="668"/>
      <c r="I1813" s="721"/>
      <c r="J1813" s="639"/>
      <c r="K1813" s="1124"/>
    </row>
    <row r="1814" spans="1:11" x14ac:dyDescent="0.25">
      <c r="A1814" s="718">
        <v>3</v>
      </c>
      <c r="B1814" s="668"/>
      <c r="C1814" s="721"/>
      <c r="D1814" s="721"/>
      <c r="E1814" s="721"/>
      <c r="F1814" s="721"/>
      <c r="G1814" s="639"/>
      <c r="H1814" s="668"/>
      <c r="I1814" s="721"/>
      <c r="J1814" s="639"/>
      <c r="K1814" s="1124"/>
    </row>
    <row r="1815" spans="1:11" x14ac:dyDescent="0.25">
      <c r="A1815" s="718">
        <v>4</v>
      </c>
      <c r="B1815" s="668"/>
      <c r="C1815" s="721"/>
      <c r="D1815" s="721"/>
      <c r="E1815" s="721"/>
      <c r="F1815" s="721"/>
      <c r="G1815" s="639"/>
      <c r="H1815" s="668"/>
      <c r="I1815" s="721"/>
      <c r="J1815" s="639"/>
      <c r="K1815" s="1124"/>
    </row>
    <row r="1816" spans="1:11" x14ac:dyDescent="0.25">
      <c r="A1816" s="718">
        <v>5</v>
      </c>
      <c r="B1816" s="668"/>
      <c r="C1816" s="721"/>
      <c r="D1816" s="721"/>
      <c r="E1816" s="721"/>
      <c r="F1816" s="721"/>
      <c r="G1816" s="639"/>
      <c r="H1816" s="668"/>
      <c r="I1816" s="721"/>
      <c r="J1816" s="639"/>
      <c r="K1816" s="1124"/>
    </row>
    <row r="1817" spans="1:11" ht="13.8" thickBot="1" x14ac:dyDescent="0.3">
      <c r="A1817" s="719">
        <v>6</v>
      </c>
      <c r="B1817" s="669"/>
      <c r="C1817" s="1137"/>
      <c r="D1817" s="1137"/>
      <c r="E1817" s="1137"/>
      <c r="F1817" s="1137"/>
      <c r="G1817" s="646"/>
      <c r="H1817" s="669"/>
      <c r="I1817" s="1137"/>
      <c r="J1817" s="646"/>
      <c r="K1817" s="1138"/>
    </row>
    <row r="1818" spans="1:11" x14ac:dyDescent="0.25">
      <c r="A1818" s="1190">
        <v>1</v>
      </c>
      <c r="B1818" s="745"/>
      <c r="C1818" s="1117"/>
      <c r="D1818" s="1117"/>
      <c r="E1818" s="1117"/>
      <c r="F1818" s="1117"/>
      <c r="G1818" s="632"/>
      <c r="H1818" s="745"/>
      <c r="I1818" s="1117"/>
      <c r="J1818" s="632"/>
      <c r="K1818" s="1118"/>
    </row>
    <row r="1819" spans="1:11" x14ac:dyDescent="0.25">
      <c r="A1819" s="718">
        <v>2</v>
      </c>
      <c r="B1819" s="668"/>
      <c r="C1819" s="721"/>
      <c r="D1819" s="721"/>
      <c r="E1819" s="721"/>
      <c r="F1819" s="721"/>
      <c r="G1819" s="639"/>
      <c r="H1819" s="668"/>
      <c r="I1819" s="721"/>
      <c r="J1819" s="639"/>
      <c r="K1819" s="1124"/>
    </row>
    <row r="1820" spans="1:11" ht="13.8" thickBot="1" x14ac:dyDescent="0.3">
      <c r="A1820" s="719">
        <v>3</v>
      </c>
      <c r="B1820" s="669"/>
      <c r="C1820" s="1137"/>
      <c r="D1820" s="1137"/>
      <c r="E1820" s="1137"/>
      <c r="F1820" s="1137"/>
      <c r="G1820" s="646"/>
      <c r="H1820" s="669"/>
      <c r="I1820" s="1137"/>
      <c r="J1820" s="646"/>
      <c r="K1820" s="1138"/>
    </row>
    <row r="1821" spans="1:11" ht="13.8" thickBot="1" x14ac:dyDescent="0.3">
      <c r="A1821" s="1186" t="s">
        <v>668</v>
      </c>
      <c r="B1821" s="1187"/>
      <c r="C1821" s="1188"/>
      <c r="D1821" s="1188"/>
      <c r="E1821" s="1188"/>
      <c r="F1821" s="1188"/>
      <c r="G1821" s="1189"/>
      <c r="H1821" s="1187"/>
      <c r="I1821" s="1188"/>
      <c r="J1821" s="1189"/>
      <c r="K1821" s="716"/>
    </row>
    <row r="1822" spans="1:11" x14ac:dyDescent="0.25">
      <c r="A1822" s="1190">
        <v>1</v>
      </c>
      <c r="B1822" s="745"/>
      <c r="C1822" s="1117"/>
      <c r="D1822" s="1117"/>
      <c r="E1822" s="1117"/>
      <c r="F1822" s="1117"/>
      <c r="G1822" s="632"/>
      <c r="H1822" s="745"/>
      <c r="I1822" s="1117"/>
      <c r="J1822" s="632"/>
      <c r="K1822" s="1118"/>
    </row>
    <row r="1823" spans="1:11" x14ac:dyDescent="0.25">
      <c r="A1823" s="718">
        <v>2</v>
      </c>
      <c r="B1823" s="668"/>
      <c r="C1823" s="721"/>
      <c r="D1823" s="721"/>
      <c r="E1823" s="721"/>
      <c r="F1823" s="721"/>
      <c r="G1823" s="639"/>
      <c r="H1823" s="668"/>
      <c r="I1823" s="721"/>
      <c r="J1823" s="639"/>
      <c r="K1823" s="1124"/>
    </row>
    <row r="1824" spans="1:11" x14ac:dyDescent="0.25">
      <c r="A1824" s="718">
        <v>3</v>
      </c>
      <c r="B1824" s="668"/>
      <c r="C1824" s="721"/>
      <c r="D1824" s="721"/>
      <c r="E1824" s="721"/>
      <c r="F1824" s="721"/>
      <c r="G1824" s="639"/>
      <c r="H1824" s="668"/>
      <c r="I1824" s="721"/>
      <c r="J1824" s="639"/>
      <c r="K1824" s="1124"/>
    </row>
    <row r="1825" spans="1:11" x14ac:dyDescent="0.25">
      <c r="A1825" s="718">
        <v>4</v>
      </c>
      <c r="B1825" s="668"/>
      <c r="C1825" s="721"/>
      <c r="D1825" s="721"/>
      <c r="E1825" s="721"/>
      <c r="F1825" s="721"/>
      <c r="G1825" s="639"/>
      <c r="H1825" s="668"/>
      <c r="I1825" s="721"/>
      <c r="J1825" s="639"/>
      <c r="K1825" s="1124"/>
    </row>
    <row r="1826" spans="1:11" x14ac:dyDescent="0.25">
      <c r="A1826" s="718">
        <v>5</v>
      </c>
      <c r="B1826" s="668"/>
      <c r="C1826" s="721"/>
      <c r="D1826" s="721"/>
      <c r="E1826" s="721"/>
      <c r="F1826" s="721"/>
      <c r="G1826" s="639"/>
      <c r="H1826" s="668"/>
      <c r="I1826" s="721"/>
      <c r="J1826" s="639"/>
      <c r="K1826" s="1124"/>
    </row>
    <row r="1827" spans="1:11" ht="13.8" thickBot="1" x14ac:dyDescent="0.3">
      <c r="A1827" s="719">
        <v>6</v>
      </c>
      <c r="B1827" s="669"/>
      <c r="C1827" s="1137"/>
      <c r="D1827" s="1137"/>
      <c r="E1827" s="1137"/>
      <c r="F1827" s="1137"/>
      <c r="G1827" s="646"/>
      <c r="H1827" s="669"/>
      <c r="I1827" s="1137"/>
      <c r="J1827" s="646"/>
      <c r="K1827" s="1138"/>
    </row>
    <row r="1828" spans="1:11" x14ac:dyDescent="0.25">
      <c r="A1828" s="1190">
        <v>1</v>
      </c>
      <c r="B1828" s="745"/>
      <c r="C1828" s="1117"/>
      <c r="D1828" s="1117"/>
      <c r="E1828" s="1117"/>
      <c r="F1828" s="1117"/>
      <c r="G1828" s="632"/>
      <c r="H1828" s="745"/>
      <c r="I1828" s="1117"/>
      <c r="J1828" s="632"/>
      <c r="K1828" s="1118"/>
    </row>
    <row r="1829" spans="1:11" x14ac:dyDescent="0.25">
      <c r="A1829" s="718">
        <v>2</v>
      </c>
      <c r="B1829" s="668"/>
      <c r="C1829" s="721"/>
      <c r="D1829" s="721"/>
      <c r="E1829" s="721"/>
      <c r="F1829" s="721"/>
      <c r="G1829" s="639"/>
      <c r="H1829" s="668"/>
      <c r="I1829" s="721"/>
      <c r="J1829" s="639"/>
      <c r="K1829" s="1124"/>
    </row>
    <row r="1830" spans="1:11" ht="13.8" thickBot="1" x14ac:dyDescent="0.3">
      <c r="A1830" s="719">
        <v>3</v>
      </c>
      <c r="B1830" s="669"/>
      <c r="C1830" s="1137"/>
      <c r="D1830" s="1137"/>
      <c r="E1830" s="1137"/>
      <c r="F1830" s="1137"/>
      <c r="G1830" s="646"/>
      <c r="H1830" s="669"/>
      <c r="I1830" s="1137"/>
      <c r="J1830" s="646"/>
      <c r="K1830" s="1138"/>
    </row>
    <row r="1831" spans="1:11" ht="13.8" thickBot="1" x14ac:dyDescent="0.3">
      <c r="A1831" s="1186" t="s">
        <v>669</v>
      </c>
      <c r="B1831" s="1187"/>
      <c r="C1831" s="1188"/>
      <c r="D1831" s="1188"/>
      <c r="E1831" s="1188"/>
      <c r="F1831" s="1188"/>
      <c r="G1831" s="1189"/>
      <c r="H1831" s="1187"/>
      <c r="I1831" s="1188"/>
      <c r="J1831" s="1189"/>
      <c r="K1831" s="716"/>
    </row>
    <row r="1832" spans="1:11" x14ac:dyDescent="0.25">
      <c r="A1832" s="1190">
        <v>1</v>
      </c>
      <c r="B1832" s="745"/>
      <c r="C1832" s="1117"/>
      <c r="D1832" s="1117"/>
      <c r="E1832" s="1117"/>
      <c r="F1832" s="1117"/>
      <c r="G1832" s="632"/>
      <c r="H1832" s="745"/>
      <c r="I1832" s="1117"/>
      <c r="J1832" s="632"/>
      <c r="K1832" s="1118"/>
    </row>
    <row r="1833" spans="1:11" x14ac:dyDescent="0.25">
      <c r="A1833" s="718">
        <v>2</v>
      </c>
      <c r="B1833" s="668"/>
      <c r="C1833" s="721"/>
      <c r="D1833" s="721"/>
      <c r="E1833" s="721"/>
      <c r="F1833" s="721"/>
      <c r="G1833" s="639"/>
      <c r="H1833" s="668"/>
      <c r="I1833" s="721"/>
      <c r="J1833" s="639"/>
      <c r="K1833" s="1124"/>
    </row>
    <row r="1834" spans="1:11" x14ac:dyDescent="0.25">
      <c r="A1834" s="718">
        <v>3</v>
      </c>
      <c r="B1834" s="668"/>
      <c r="C1834" s="721"/>
      <c r="D1834" s="721"/>
      <c r="E1834" s="721"/>
      <c r="F1834" s="721"/>
      <c r="G1834" s="639"/>
      <c r="H1834" s="668"/>
      <c r="I1834" s="721"/>
      <c r="J1834" s="639"/>
      <c r="K1834" s="1124"/>
    </row>
    <row r="1835" spans="1:11" x14ac:dyDescent="0.25">
      <c r="A1835" s="718">
        <v>4</v>
      </c>
      <c r="B1835" s="668"/>
      <c r="C1835" s="721"/>
      <c r="D1835" s="721"/>
      <c r="E1835" s="721"/>
      <c r="F1835" s="721"/>
      <c r="G1835" s="639"/>
      <c r="H1835" s="668"/>
      <c r="I1835" s="721"/>
      <c r="J1835" s="639"/>
      <c r="K1835" s="1124"/>
    </row>
    <row r="1836" spans="1:11" x14ac:dyDescent="0.25">
      <c r="A1836" s="718">
        <v>5</v>
      </c>
      <c r="B1836" s="668"/>
      <c r="C1836" s="721"/>
      <c r="D1836" s="721"/>
      <c r="E1836" s="721"/>
      <c r="F1836" s="721"/>
      <c r="G1836" s="639"/>
      <c r="H1836" s="668"/>
      <c r="I1836" s="721"/>
      <c r="J1836" s="639"/>
      <c r="K1836" s="1124"/>
    </row>
    <row r="1837" spans="1:11" ht="13.8" thickBot="1" x14ac:dyDescent="0.3">
      <c r="A1837" s="719">
        <v>6</v>
      </c>
      <c r="B1837" s="669"/>
      <c r="C1837" s="1137"/>
      <c r="D1837" s="1137"/>
      <c r="E1837" s="1137"/>
      <c r="F1837" s="1137"/>
      <c r="G1837" s="646"/>
      <c r="H1837" s="669"/>
      <c r="I1837" s="1137"/>
      <c r="J1837" s="646"/>
      <c r="K1837" s="1138"/>
    </row>
    <row r="1838" spans="1:11" x14ac:dyDescent="0.25">
      <c r="A1838" s="1190">
        <v>1</v>
      </c>
      <c r="B1838" s="745"/>
      <c r="C1838" s="1117"/>
      <c r="D1838" s="1117"/>
      <c r="E1838" s="1117"/>
      <c r="F1838" s="1117"/>
      <c r="G1838" s="632"/>
      <c r="H1838" s="745"/>
      <c r="I1838" s="1117"/>
      <c r="J1838" s="632"/>
      <c r="K1838" s="1118"/>
    </row>
    <row r="1839" spans="1:11" x14ac:dyDescent="0.25">
      <c r="A1839" s="718">
        <v>2</v>
      </c>
      <c r="B1839" s="668"/>
      <c r="C1839" s="721"/>
      <c r="D1839" s="721"/>
      <c r="E1839" s="721"/>
      <c r="F1839" s="721"/>
      <c r="G1839" s="639"/>
      <c r="H1839" s="668"/>
      <c r="I1839" s="721"/>
      <c r="J1839" s="639"/>
      <c r="K1839" s="1124"/>
    </row>
    <row r="1840" spans="1:11" ht="13.8" thickBot="1" x14ac:dyDescent="0.3">
      <c r="A1840" s="719">
        <v>3</v>
      </c>
      <c r="B1840" s="669"/>
      <c r="C1840" s="1137"/>
      <c r="D1840" s="1137"/>
      <c r="E1840" s="1137"/>
      <c r="F1840" s="1137"/>
      <c r="G1840" s="646"/>
      <c r="H1840" s="669"/>
      <c r="I1840" s="1137"/>
      <c r="J1840" s="646"/>
      <c r="K1840" s="1138"/>
    </row>
    <row r="1841" spans="1:11" ht="13.8" thickBot="1" x14ac:dyDescent="0.3">
      <c r="A1841" s="1186" t="s">
        <v>670</v>
      </c>
      <c r="B1841" s="1187"/>
      <c r="C1841" s="1188"/>
      <c r="D1841" s="1188"/>
      <c r="E1841" s="1188"/>
      <c r="F1841" s="1188"/>
      <c r="G1841" s="1189"/>
      <c r="H1841" s="1187"/>
      <c r="I1841" s="1188"/>
      <c r="J1841" s="1189"/>
      <c r="K1841" s="716"/>
    </row>
    <row r="1842" spans="1:11" x14ac:dyDescent="0.25">
      <c r="A1842" s="1190">
        <v>1</v>
      </c>
      <c r="B1842" s="745"/>
      <c r="C1842" s="1117"/>
      <c r="D1842" s="1117"/>
      <c r="E1842" s="1117"/>
      <c r="F1842" s="1117"/>
      <c r="G1842" s="632"/>
      <c r="H1842" s="745"/>
      <c r="I1842" s="1117"/>
      <c r="J1842" s="632"/>
      <c r="K1842" s="1118"/>
    </row>
    <row r="1843" spans="1:11" x14ac:dyDescent="0.25">
      <c r="A1843" s="718">
        <v>2</v>
      </c>
      <c r="B1843" s="668"/>
      <c r="C1843" s="721"/>
      <c r="D1843" s="721"/>
      <c r="E1843" s="721"/>
      <c r="F1843" s="721"/>
      <c r="G1843" s="639"/>
      <c r="H1843" s="668"/>
      <c r="I1843" s="721"/>
      <c r="J1843" s="639"/>
      <c r="K1843" s="1124"/>
    </row>
    <row r="1844" spans="1:11" x14ac:dyDescent="0.25">
      <c r="A1844" s="718">
        <v>3</v>
      </c>
      <c r="B1844" s="668"/>
      <c r="C1844" s="721"/>
      <c r="D1844" s="721"/>
      <c r="E1844" s="721"/>
      <c r="F1844" s="721"/>
      <c r="G1844" s="639"/>
      <c r="H1844" s="668"/>
      <c r="I1844" s="721"/>
      <c r="J1844" s="639"/>
      <c r="K1844" s="1124"/>
    </row>
    <row r="1845" spans="1:11" x14ac:dyDescent="0.25">
      <c r="A1845" s="718">
        <v>4</v>
      </c>
      <c r="B1845" s="668"/>
      <c r="C1845" s="721"/>
      <c r="D1845" s="721"/>
      <c r="E1845" s="721"/>
      <c r="F1845" s="721"/>
      <c r="G1845" s="639"/>
      <c r="H1845" s="668"/>
      <c r="I1845" s="721"/>
      <c r="J1845" s="639"/>
      <c r="K1845" s="1124"/>
    </row>
    <row r="1846" spans="1:11" x14ac:dyDescent="0.25">
      <c r="A1846" s="718">
        <v>5</v>
      </c>
      <c r="B1846" s="668"/>
      <c r="C1846" s="721"/>
      <c r="D1846" s="721"/>
      <c r="E1846" s="721"/>
      <c r="F1846" s="721"/>
      <c r="G1846" s="639"/>
      <c r="H1846" s="668"/>
      <c r="I1846" s="721"/>
      <c r="J1846" s="639"/>
      <c r="K1846" s="1124"/>
    </row>
    <row r="1847" spans="1:11" ht="13.8" thickBot="1" x14ac:dyDescent="0.3">
      <c r="A1847" s="719">
        <v>6</v>
      </c>
      <c r="B1847" s="669"/>
      <c r="C1847" s="1137"/>
      <c r="D1847" s="1137"/>
      <c r="E1847" s="1137"/>
      <c r="F1847" s="1137"/>
      <c r="G1847" s="646"/>
      <c r="H1847" s="669"/>
      <c r="I1847" s="1137"/>
      <c r="J1847" s="646"/>
      <c r="K1847" s="1138"/>
    </row>
    <row r="1848" spans="1:11" x14ac:dyDescent="0.25">
      <c r="A1848" s="1190">
        <v>1</v>
      </c>
      <c r="B1848" s="745"/>
      <c r="C1848" s="1117"/>
      <c r="D1848" s="1117"/>
      <c r="E1848" s="1117"/>
      <c r="F1848" s="1117"/>
      <c r="G1848" s="632"/>
      <c r="H1848" s="745"/>
      <c r="I1848" s="1117"/>
      <c r="J1848" s="632"/>
      <c r="K1848" s="1118"/>
    </row>
    <row r="1849" spans="1:11" x14ac:dyDescent="0.25">
      <c r="A1849" s="718">
        <v>2</v>
      </c>
      <c r="B1849" s="668"/>
      <c r="C1849" s="721"/>
      <c r="D1849" s="721"/>
      <c r="E1849" s="721"/>
      <c r="F1849" s="721"/>
      <c r="G1849" s="639"/>
      <c r="H1849" s="668"/>
      <c r="I1849" s="721"/>
      <c r="J1849" s="639"/>
      <c r="K1849" s="1124"/>
    </row>
    <row r="1850" spans="1:11" ht="13.8" thickBot="1" x14ac:dyDescent="0.3">
      <c r="A1850" s="719">
        <v>3</v>
      </c>
      <c r="B1850" s="669"/>
      <c r="C1850" s="1137"/>
      <c r="D1850" s="1137"/>
      <c r="E1850" s="1137"/>
      <c r="F1850" s="1137"/>
      <c r="G1850" s="646"/>
      <c r="H1850" s="669"/>
      <c r="I1850" s="1137"/>
      <c r="J1850" s="646"/>
      <c r="K1850" s="1138"/>
    </row>
    <row r="1851" spans="1:11" ht="13.8" thickBot="1" x14ac:dyDescent="0.3">
      <c r="A1851" s="1186" t="s">
        <v>671</v>
      </c>
      <c r="B1851" s="1187"/>
      <c r="C1851" s="1188"/>
      <c r="D1851" s="1188"/>
      <c r="E1851" s="1188"/>
      <c r="F1851" s="1188"/>
      <c r="G1851" s="1189"/>
      <c r="H1851" s="1187"/>
      <c r="I1851" s="1188"/>
      <c r="J1851" s="1189"/>
      <c r="K1851" s="716"/>
    </row>
    <row r="1852" spans="1:11" x14ac:dyDescent="0.25">
      <c r="A1852" s="1190">
        <v>1</v>
      </c>
      <c r="B1852" s="745"/>
      <c r="C1852" s="1117"/>
      <c r="D1852" s="1117"/>
      <c r="E1852" s="1117"/>
      <c r="F1852" s="1117"/>
      <c r="G1852" s="632"/>
      <c r="H1852" s="745"/>
      <c r="I1852" s="1117"/>
      <c r="J1852" s="632"/>
      <c r="K1852" s="1118"/>
    </row>
    <row r="1853" spans="1:11" x14ac:dyDescent="0.25">
      <c r="A1853" s="718">
        <v>2</v>
      </c>
      <c r="B1853" s="668"/>
      <c r="C1853" s="721"/>
      <c r="D1853" s="721"/>
      <c r="E1853" s="721"/>
      <c r="F1853" s="721"/>
      <c r="G1853" s="639"/>
      <c r="H1853" s="668"/>
      <c r="I1853" s="721"/>
      <c r="J1853" s="639"/>
      <c r="K1853" s="1124"/>
    </row>
    <row r="1854" spans="1:11" x14ac:dyDescent="0.25">
      <c r="A1854" s="718">
        <v>3</v>
      </c>
      <c r="B1854" s="668"/>
      <c r="C1854" s="721"/>
      <c r="D1854" s="721"/>
      <c r="E1854" s="721"/>
      <c r="F1854" s="721"/>
      <c r="G1854" s="639"/>
      <c r="H1854" s="668"/>
      <c r="I1854" s="721"/>
      <c r="J1854" s="639"/>
      <c r="K1854" s="1124"/>
    </row>
    <row r="1855" spans="1:11" x14ac:dyDescent="0.25">
      <c r="A1855" s="718">
        <v>4</v>
      </c>
      <c r="B1855" s="668"/>
      <c r="C1855" s="721"/>
      <c r="D1855" s="721"/>
      <c r="E1855" s="721"/>
      <c r="F1855" s="721"/>
      <c r="G1855" s="639"/>
      <c r="H1855" s="668"/>
      <c r="I1855" s="721"/>
      <c r="J1855" s="639"/>
      <c r="K1855" s="1124"/>
    </row>
    <row r="1856" spans="1:11" x14ac:dyDescent="0.25">
      <c r="A1856" s="718">
        <v>5</v>
      </c>
      <c r="B1856" s="668"/>
      <c r="C1856" s="721"/>
      <c r="D1856" s="721"/>
      <c r="E1856" s="721"/>
      <c r="F1856" s="721"/>
      <c r="G1856" s="639"/>
      <c r="H1856" s="668"/>
      <c r="I1856" s="721"/>
      <c r="J1856" s="639"/>
      <c r="K1856" s="1124"/>
    </row>
    <row r="1857" spans="1:11" ht="13.8" thickBot="1" x14ac:dyDescent="0.3">
      <c r="A1857" s="719">
        <v>6</v>
      </c>
      <c r="B1857" s="669"/>
      <c r="C1857" s="1137"/>
      <c r="D1857" s="1137"/>
      <c r="E1857" s="1137"/>
      <c r="F1857" s="1137"/>
      <c r="G1857" s="646"/>
      <c r="H1857" s="669"/>
      <c r="I1857" s="1137"/>
      <c r="J1857" s="646"/>
      <c r="K1857" s="1138"/>
    </row>
    <row r="1858" spans="1:11" x14ac:dyDescent="0.25">
      <c r="A1858" s="1190">
        <v>1</v>
      </c>
      <c r="B1858" s="745"/>
      <c r="C1858" s="1117"/>
      <c r="D1858" s="1117"/>
      <c r="E1858" s="1117"/>
      <c r="F1858" s="1117"/>
      <c r="G1858" s="632"/>
      <c r="H1858" s="745"/>
      <c r="I1858" s="1117"/>
      <c r="J1858" s="632"/>
      <c r="K1858" s="1118"/>
    </row>
    <row r="1859" spans="1:11" x14ac:dyDescent="0.25">
      <c r="A1859" s="718">
        <v>2</v>
      </c>
      <c r="B1859" s="668"/>
      <c r="C1859" s="721"/>
      <c r="D1859" s="721"/>
      <c r="E1859" s="721"/>
      <c r="F1859" s="721"/>
      <c r="G1859" s="639"/>
      <c r="H1859" s="668"/>
      <c r="I1859" s="721"/>
      <c r="J1859" s="639"/>
      <c r="K1859" s="1124"/>
    </row>
    <row r="1860" spans="1:11" ht="13.8" thickBot="1" x14ac:dyDescent="0.3">
      <c r="A1860" s="1191">
        <v>3</v>
      </c>
      <c r="B1860" s="1132"/>
      <c r="C1860" s="1133"/>
      <c r="D1860" s="1133"/>
      <c r="E1860" s="1133"/>
      <c r="F1860" s="1133"/>
      <c r="G1860" s="1134"/>
      <c r="H1860" s="1132"/>
      <c r="I1860" s="1133"/>
      <c r="J1860" s="1134"/>
      <c r="K1860" s="1147"/>
    </row>
    <row r="1861" spans="1:11" ht="13.8" thickBot="1" x14ac:dyDescent="0.3">
      <c r="A1861" s="1186" t="s">
        <v>672</v>
      </c>
      <c r="B1861" s="1187"/>
      <c r="C1861" s="1188"/>
      <c r="D1861" s="1188"/>
      <c r="E1861" s="1188"/>
      <c r="F1861" s="1188"/>
      <c r="G1861" s="1189"/>
      <c r="H1861" s="1187"/>
      <c r="I1861" s="1188"/>
      <c r="J1861" s="1189"/>
      <c r="K1861" s="716"/>
    </row>
    <row r="1862" spans="1:11" x14ac:dyDescent="0.25">
      <c r="A1862" s="1190">
        <v>1</v>
      </c>
      <c r="B1862" s="745"/>
      <c r="C1862" s="1117"/>
      <c r="D1862" s="1117"/>
      <c r="E1862" s="1117"/>
      <c r="F1862" s="1117"/>
      <c r="G1862" s="632"/>
      <c r="H1862" s="745"/>
      <c r="I1862" s="1117"/>
      <c r="J1862" s="632"/>
      <c r="K1862" s="1118"/>
    </row>
    <row r="1863" spans="1:11" x14ac:dyDescent="0.25">
      <c r="A1863" s="718">
        <v>2</v>
      </c>
      <c r="B1863" s="668"/>
      <c r="C1863" s="721"/>
      <c r="D1863" s="721"/>
      <c r="E1863" s="721"/>
      <c r="F1863" s="721"/>
      <c r="G1863" s="639"/>
      <c r="H1863" s="668"/>
      <c r="I1863" s="721"/>
      <c r="J1863" s="639"/>
      <c r="K1863" s="1124"/>
    </row>
    <row r="1864" spans="1:11" x14ac:dyDescent="0.25">
      <c r="A1864" s="718">
        <v>3</v>
      </c>
      <c r="B1864" s="668"/>
      <c r="C1864" s="721"/>
      <c r="D1864" s="721"/>
      <c r="E1864" s="721"/>
      <c r="F1864" s="721"/>
      <c r="G1864" s="639"/>
      <c r="H1864" s="668"/>
      <c r="I1864" s="721"/>
      <c r="J1864" s="639"/>
      <c r="K1864" s="1124"/>
    </row>
    <row r="1865" spans="1:11" x14ac:dyDescent="0.25">
      <c r="A1865" s="718">
        <v>4</v>
      </c>
      <c r="B1865" s="668"/>
      <c r="C1865" s="721"/>
      <c r="D1865" s="721"/>
      <c r="E1865" s="721"/>
      <c r="F1865" s="721"/>
      <c r="G1865" s="639"/>
      <c r="H1865" s="668"/>
      <c r="I1865" s="721"/>
      <c r="J1865" s="639"/>
      <c r="K1865" s="1124"/>
    </row>
    <row r="1866" spans="1:11" x14ac:dyDescent="0.25">
      <c r="A1866" s="718">
        <v>5</v>
      </c>
      <c r="B1866" s="668"/>
      <c r="C1866" s="721"/>
      <c r="D1866" s="721"/>
      <c r="E1866" s="721"/>
      <c r="F1866" s="721"/>
      <c r="G1866" s="639"/>
      <c r="H1866" s="668"/>
      <c r="I1866" s="721"/>
      <c r="J1866" s="639"/>
      <c r="K1866" s="1124"/>
    </row>
    <row r="1867" spans="1:11" ht="13.8" thickBot="1" x14ac:dyDescent="0.3">
      <c r="A1867" s="719">
        <v>6</v>
      </c>
      <c r="B1867" s="669"/>
      <c r="C1867" s="1137"/>
      <c r="D1867" s="1137"/>
      <c r="E1867" s="1137"/>
      <c r="F1867" s="1137"/>
      <c r="G1867" s="646"/>
      <c r="H1867" s="669"/>
      <c r="I1867" s="1137"/>
      <c r="J1867" s="646"/>
      <c r="K1867" s="1138"/>
    </row>
    <row r="1868" spans="1:11" x14ac:dyDescent="0.25">
      <c r="A1868" s="1190">
        <v>1</v>
      </c>
      <c r="B1868" s="745"/>
      <c r="C1868" s="1117"/>
      <c r="D1868" s="1117"/>
      <c r="E1868" s="1117"/>
      <c r="F1868" s="1117"/>
      <c r="G1868" s="632"/>
      <c r="H1868" s="745"/>
      <c r="I1868" s="1117"/>
      <c r="J1868" s="632"/>
      <c r="K1868" s="1118"/>
    </row>
    <row r="1869" spans="1:11" x14ac:dyDescent="0.25">
      <c r="A1869" s="718">
        <v>2</v>
      </c>
      <c r="B1869" s="668"/>
      <c r="C1869" s="721"/>
      <c r="D1869" s="721"/>
      <c r="E1869" s="721"/>
      <c r="F1869" s="721"/>
      <c r="G1869" s="639"/>
      <c r="H1869" s="668"/>
      <c r="I1869" s="721"/>
      <c r="J1869" s="639"/>
      <c r="K1869" s="1124"/>
    </row>
    <row r="1870" spans="1:11" ht="13.8" thickBot="1" x14ac:dyDescent="0.3">
      <c r="A1870" s="719">
        <v>3</v>
      </c>
      <c r="B1870" s="669"/>
      <c r="C1870" s="1137"/>
      <c r="D1870" s="1137"/>
      <c r="E1870" s="1137"/>
      <c r="F1870" s="1137"/>
      <c r="G1870" s="646"/>
      <c r="H1870" s="669"/>
      <c r="I1870" s="1137"/>
      <c r="J1870" s="646"/>
      <c r="K1870" s="1138"/>
    </row>
    <row r="1871" spans="1:11" ht="13.8" thickBot="1" x14ac:dyDescent="0.3">
      <c r="A1871" s="1186" t="s">
        <v>673</v>
      </c>
      <c r="B1871" s="1187"/>
      <c r="C1871" s="1188"/>
      <c r="D1871" s="1188"/>
      <c r="E1871" s="1188"/>
      <c r="F1871" s="1188"/>
      <c r="G1871" s="1189"/>
      <c r="H1871" s="1187"/>
      <c r="I1871" s="1188"/>
      <c r="J1871" s="1189"/>
      <c r="K1871" s="716"/>
    </row>
    <row r="1872" spans="1:11" x14ac:dyDescent="0.25">
      <c r="A1872" s="1190">
        <v>1</v>
      </c>
      <c r="B1872" s="745"/>
      <c r="C1872" s="1117"/>
      <c r="D1872" s="1117"/>
      <c r="E1872" s="1117"/>
      <c r="F1872" s="1117"/>
      <c r="G1872" s="632"/>
      <c r="H1872" s="745"/>
      <c r="I1872" s="1117"/>
      <c r="J1872" s="632"/>
      <c r="K1872" s="1118"/>
    </row>
    <row r="1873" spans="1:11" x14ac:dyDescent="0.25">
      <c r="A1873" s="718">
        <v>2</v>
      </c>
      <c r="B1873" s="668"/>
      <c r="C1873" s="721"/>
      <c r="D1873" s="721"/>
      <c r="E1873" s="721"/>
      <c r="F1873" s="721"/>
      <c r="G1873" s="639"/>
      <c r="H1873" s="668"/>
      <c r="I1873" s="721"/>
      <c r="J1873" s="639"/>
      <c r="K1873" s="1124"/>
    </row>
    <row r="1874" spans="1:11" x14ac:dyDescent="0.25">
      <c r="A1874" s="718">
        <v>3</v>
      </c>
      <c r="B1874" s="668"/>
      <c r="C1874" s="721"/>
      <c r="D1874" s="721"/>
      <c r="E1874" s="721"/>
      <c r="F1874" s="721"/>
      <c r="G1874" s="639"/>
      <c r="H1874" s="668"/>
      <c r="I1874" s="721"/>
      <c r="J1874" s="639"/>
      <c r="K1874" s="1124"/>
    </row>
    <row r="1875" spans="1:11" x14ac:dyDescent="0.25">
      <c r="A1875" s="718">
        <v>4</v>
      </c>
      <c r="B1875" s="668"/>
      <c r="C1875" s="721"/>
      <c r="D1875" s="721"/>
      <c r="E1875" s="721"/>
      <c r="F1875" s="721"/>
      <c r="G1875" s="639"/>
      <c r="H1875" s="668"/>
      <c r="I1875" s="721"/>
      <c r="J1875" s="639"/>
      <c r="K1875" s="1124"/>
    </row>
    <row r="1876" spans="1:11" x14ac:dyDescent="0.25">
      <c r="A1876" s="718">
        <v>5</v>
      </c>
      <c r="B1876" s="668"/>
      <c r="C1876" s="721"/>
      <c r="D1876" s="721"/>
      <c r="E1876" s="721"/>
      <c r="F1876" s="721"/>
      <c r="G1876" s="639"/>
      <c r="H1876" s="668"/>
      <c r="I1876" s="721"/>
      <c r="J1876" s="639"/>
      <c r="K1876" s="1124"/>
    </row>
    <row r="1877" spans="1:11" ht="13.8" thickBot="1" x14ac:dyDescent="0.3">
      <c r="A1877" s="719">
        <v>6</v>
      </c>
      <c r="B1877" s="669"/>
      <c r="C1877" s="1137"/>
      <c r="D1877" s="1137"/>
      <c r="E1877" s="1137"/>
      <c r="F1877" s="1137"/>
      <c r="G1877" s="646"/>
      <c r="H1877" s="669"/>
      <c r="I1877" s="1137"/>
      <c r="J1877" s="646"/>
      <c r="K1877" s="1138"/>
    </row>
    <row r="1878" spans="1:11" x14ac:dyDescent="0.25">
      <c r="A1878" s="1190">
        <v>1</v>
      </c>
      <c r="B1878" s="745"/>
      <c r="C1878" s="1117"/>
      <c r="D1878" s="1117"/>
      <c r="E1878" s="1117"/>
      <c r="F1878" s="1117"/>
      <c r="G1878" s="632"/>
      <c r="H1878" s="745"/>
      <c r="I1878" s="1117"/>
      <c r="J1878" s="632"/>
      <c r="K1878" s="1118"/>
    </row>
    <row r="1879" spans="1:11" x14ac:dyDescent="0.25">
      <c r="A1879" s="718">
        <v>2</v>
      </c>
      <c r="B1879" s="668"/>
      <c r="C1879" s="721"/>
      <c r="D1879" s="721"/>
      <c r="E1879" s="721"/>
      <c r="F1879" s="721"/>
      <c r="G1879" s="639"/>
      <c r="H1879" s="668"/>
      <c r="I1879" s="721"/>
      <c r="J1879" s="639"/>
      <c r="K1879" s="1124"/>
    </row>
    <row r="1880" spans="1:11" ht="13.8" thickBot="1" x14ac:dyDescent="0.3">
      <c r="A1880" s="719">
        <v>3</v>
      </c>
      <c r="B1880" s="669"/>
      <c r="C1880" s="1137"/>
      <c r="D1880" s="1137"/>
      <c r="E1880" s="1137"/>
      <c r="F1880" s="1137"/>
      <c r="G1880" s="646"/>
      <c r="H1880" s="669"/>
      <c r="I1880" s="1137"/>
      <c r="J1880" s="646"/>
      <c r="K1880" s="1138"/>
    </row>
    <row r="1881" spans="1:11" ht="13.8" thickBot="1" x14ac:dyDescent="0.3">
      <c r="A1881" s="1186" t="s">
        <v>674</v>
      </c>
      <c r="B1881" s="1187"/>
      <c r="C1881" s="1188"/>
      <c r="D1881" s="1188"/>
      <c r="E1881" s="1188"/>
      <c r="F1881" s="1188"/>
      <c r="G1881" s="1189"/>
      <c r="H1881" s="1187"/>
      <c r="I1881" s="1188"/>
      <c r="J1881" s="1189"/>
      <c r="K1881" s="716"/>
    </row>
    <row r="1882" spans="1:11" x14ac:dyDescent="0.25">
      <c r="A1882" s="1190">
        <v>1</v>
      </c>
      <c r="B1882" s="745"/>
      <c r="C1882" s="1117"/>
      <c r="D1882" s="1117"/>
      <c r="E1882" s="1117"/>
      <c r="F1882" s="1117"/>
      <c r="G1882" s="632"/>
      <c r="H1882" s="745"/>
      <c r="I1882" s="1117"/>
      <c r="J1882" s="632"/>
      <c r="K1882" s="1118"/>
    </row>
    <row r="1883" spans="1:11" x14ac:dyDescent="0.25">
      <c r="A1883" s="718">
        <v>2</v>
      </c>
      <c r="B1883" s="668"/>
      <c r="C1883" s="721"/>
      <c r="D1883" s="721"/>
      <c r="E1883" s="721"/>
      <c r="F1883" s="721"/>
      <c r="G1883" s="639"/>
      <c r="H1883" s="668"/>
      <c r="I1883" s="721"/>
      <c r="J1883" s="639"/>
      <c r="K1883" s="1124"/>
    </row>
    <row r="1884" spans="1:11" x14ac:dyDescent="0.25">
      <c r="A1884" s="718">
        <v>3</v>
      </c>
      <c r="B1884" s="668"/>
      <c r="C1884" s="721"/>
      <c r="D1884" s="721"/>
      <c r="E1884" s="721"/>
      <c r="F1884" s="721"/>
      <c r="G1884" s="639"/>
      <c r="H1884" s="668"/>
      <c r="I1884" s="721"/>
      <c r="J1884" s="639"/>
      <c r="K1884" s="1124"/>
    </row>
    <row r="1885" spans="1:11" x14ac:dyDescent="0.25">
      <c r="A1885" s="718">
        <v>4</v>
      </c>
      <c r="B1885" s="668"/>
      <c r="C1885" s="721"/>
      <c r="D1885" s="721"/>
      <c r="E1885" s="721"/>
      <c r="F1885" s="721"/>
      <c r="G1885" s="639"/>
      <c r="H1885" s="668"/>
      <c r="I1885" s="721"/>
      <c r="J1885" s="639"/>
      <c r="K1885" s="1124"/>
    </row>
    <row r="1886" spans="1:11" x14ac:dyDescent="0.25">
      <c r="A1886" s="718">
        <v>5</v>
      </c>
      <c r="B1886" s="668"/>
      <c r="C1886" s="721"/>
      <c r="D1886" s="721"/>
      <c r="E1886" s="721"/>
      <c r="F1886" s="721"/>
      <c r="G1886" s="639"/>
      <c r="H1886" s="668"/>
      <c r="I1886" s="721"/>
      <c r="J1886" s="639"/>
      <c r="K1886" s="1124"/>
    </row>
    <row r="1887" spans="1:11" ht="13.8" thickBot="1" x14ac:dyDescent="0.3">
      <c r="A1887" s="719">
        <v>6</v>
      </c>
      <c r="B1887" s="669"/>
      <c r="C1887" s="1137"/>
      <c r="D1887" s="1137"/>
      <c r="E1887" s="1137"/>
      <c r="F1887" s="1137"/>
      <c r="G1887" s="646"/>
      <c r="H1887" s="669"/>
      <c r="I1887" s="1137"/>
      <c r="J1887" s="646"/>
      <c r="K1887" s="1138"/>
    </row>
    <row r="1888" spans="1:11" x14ac:dyDescent="0.25">
      <c r="A1888" s="1190">
        <v>1</v>
      </c>
      <c r="B1888" s="745"/>
      <c r="C1888" s="1117"/>
      <c r="D1888" s="1117"/>
      <c r="E1888" s="1117"/>
      <c r="F1888" s="1117"/>
      <c r="G1888" s="632"/>
      <c r="H1888" s="745"/>
      <c r="I1888" s="1117"/>
      <c r="J1888" s="632"/>
      <c r="K1888" s="1118"/>
    </row>
    <row r="1889" spans="1:11" x14ac:dyDescent="0.25">
      <c r="A1889" s="718">
        <v>2</v>
      </c>
      <c r="B1889" s="668"/>
      <c r="C1889" s="721"/>
      <c r="D1889" s="721"/>
      <c r="E1889" s="721"/>
      <c r="F1889" s="721"/>
      <c r="G1889" s="639"/>
      <c r="H1889" s="668"/>
      <c r="I1889" s="721"/>
      <c r="J1889" s="639"/>
      <c r="K1889" s="1124"/>
    </row>
    <row r="1890" spans="1:11" ht="13.8" thickBot="1" x14ac:dyDescent="0.3">
      <c r="A1890" s="719">
        <v>3</v>
      </c>
      <c r="B1890" s="669"/>
      <c r="C1890" s="1137"/>
      <c r="D1890" s="1137"/>
      <c r="E1890" s="1137"/>
      <c r="F1890" s="1137"/>
      <c r="G1890" s="646"/>
      <c r="H1890" s="669"/>
      <c r="I1890" s="1137"/>
      <c r="J1890" s="646"/>
      <c r="K1890" s="1138"/>
    </row>
    <row r="1891" spans="1:11" ht="13.8" thickBot="1" x14ac:dyDescent="0.3">
      <c r="A1891" s="1186" t="s">
        <v>675</v>
      </c>
      <c r="B1891" s="1187"/>
      <c r="C1891" s="1188"/>
      <c r="D1891" s="1188"/>
      <c r="E1891" s="1188"/>
      <c r="F1891" s="1188"/>
      <c r="G1891" s="1189"/>
      <c r="H1891" s="1187"/>
      <c r="I1891" s="1188"/>
      <c r="J1891" s="1189"/>
      <c r="K1891" s="716"/>
    </row>
    <row r="1892" spans="1:11" x14ac:dyDescent="0.25">
      <c r="A1892" s="1190">
        <v>1</v>
      </c>
      <c r="B1892" s="745"/>
      <c r="C1892" s="1117"/>
      <c r="D1892" s="1117"/>
      <c r="E1892" s="1117"/>
      <c r="F1892" s="1117"/>
      <c r="G1892" s="632"/>
      <c r="H1892" s="745"/>
      <c r="I1892" s="1117"/>
      <c r="J1892" s="632"/>
      <c r="K1892" s="1118"/>
    </row>
    <row r="1893" spans="1:11" x14ac:dyDescent="0.25">
      <c r="A1893" s="718">
        <v>2</v>
      </c>
      <c r="B1893" s="668"/>
      <c r="C1893" s="721"/>
      <c r="D1893" s="721"/>
      <c r="E1893" s="721"/>
      <c r="F1893" s="721"/>
      <c r="G1893" s="639"/>
      <c r="H1893" s="668"/>
      <c r="I1893" s="721"/>
      <c r="J1893" s="639"/>
      <c r="K1893" s="1124"/>
    </row>
    <row r="1894" spans="1:11" x14ac:dyDescent="0.25">
      <c r="A1894" s="718">
        <v>3</v>
      </c>
      <c r="B1894" s="668"/>
      <c r="C1894" s="721"/>
      <c r="D1894" s="721"/>
      <c r="E1894" s="721"/>
      <c r="F1894" s="721"/>
      <c r="G1894" s="639"/>
      <c r="H1894" s="668"/>
      <c r="I1894" s="721"/>
      <c r="J1894" s="639"/>
      <c r="K1894" s="1124"/>
    </row>
    <row r="1895" spans="1:11" x14ac:dyDescent="0.25">
      <c r="A1895" s="718">
        <v>4</v>
      </c>
      <c r="B1895" s="668"/>
      <c r="C1895" s="721"/>
      <c r="D1895" s="721"/>
      <c r="E1895" s="721"/>
      <c r="F1895" s="721"/>
      <c r="G1895" s="639"/>
      <c r="H1895" s="668"/>
      <c r="I1895" s="721"/>
      <c r="J1895" s="639"/>
      <c r="K1895" s="1124"/>
    </row>
    <row r="1896" spans="1:11" x14ac:dyDescent="0.25">
      <c r="A1896" s="718">
        <v>5</v>
      </c>
      <c r="B1896" s="668"/>
      <c r="C1896" s="721"/>
      <c r="D1896" s="721"/>
      <c r="E1896" s="721"/>
      <c r="F1896" s="721"/>
      <c r="G1896" s="639"/>
      <c r="H1896" s="668"/>
      <c r="I1896" s="721"/>
      <c r="J1896" s="639"/>
      <c r="K1896" s="1124"/>
    </row>
    <row r="1897" spans="1:11" ht="13.8" thickBot="1" x14ac:dyDescent="0.3">
      <c r="A1897" s="719">
        <v>6</v>
      </c>
      <c r="B1897" s="669"/>
      <c r="C1897" s="1137"/>
      <c r="D1897" s="1137"/>
      <c r="E1897" s="1137"/>
      <c r="F1897" s="1137"/>
      <c r="G1897" s="646"/>
      <c r="H1897" s="669"/>
      <c r="I1897" s="1137"/>
      <c r="J1897" s="646"/>
      <c r="K1897" s="1138"/>
    </row>
    <row r="1898" spans="1:11" x14ac:dyDescent="0.25">
      <c r="A1898" s="1190">
        <v>1</v>
      </c>
      <c r="B1898" s="745"/>
      <c r="C1898" s="1117"/>
      <c r="D1898" s="1117"/>
      <c r="E1898" s="1117"/>
      <c r="F1898" s="1117"/>
      <c r="G1898" s="632"/>
      <c r="H1898" s="745"/>
      <c r="I1898" s="1117"/>
      <c r="J1898" s="632"/>
      <c r="K1898" s="1118"/>
    </row>
    <row r="1899" spans="1:11" x14ac:dyDescent="0.25">
      <c r="A1899" s="718">
        <v>2</v>
      </c>
      <c r="B1899" s="668"/>
      <c r="C1899" s="721"/>
      <c r="D1899" s="721"/>
      <c r="E1899" s="721"/>
      <c r="F1899" s="721"/>
      <c r="G1899" s="639"/>
      <c r="H1899" s="668"/>
      <c r="I1899" s="721"/>
      <c r="J1899" s="639"/>
      <c r="K1899" s="1124"/>
    </row>
    <row r="1900" spans="1:11" ht="13.8" thickBot="1" x14ac:dyDescent="0.3">
      <c r="A1900" s="1191">
        <v>3</v>
      </c>
      <c r="B1900" s="1132"/>
      <c r="C1900" s="1133"/>
      <c r="D1900" s="1133"/>
      <c r="E1900" s="1133"/>
      <c r="F1900" s="1133"/>
      <c r="G1900" s="1134"/>
      <c r="H1900" s="1132"/>
      <c r="I1900" s="1133"/>
      <c r="J1900" s="1134"/>
      <c r="K1900" s="1147"/>
    </row>
    <row r="1901" spans="1:11" ht="13.8" thickBot="1" x14ac:dyDescent="0.3">
      <c r="A1901" s="1186" t="s">
        <v>676</v>
      </c>
      <c r="B1901" s="1187"/>
      <c r="C1901" s="1188"/>
      <c r="D1901" s="1188"/>
      <c r="E1901" s="1188"/>
      <c r="F1901" s="1188"/>
      <c r="G1901" s="1189"/>
      <c r="H1901" s="1187"/>
      <c r="I1901" s="1188"/>
      <c r="J1901" s="1189"/>
      <c r="K1901" s="716"/>
    </row>
    <row r="1902" spans="1:11" x14ac:dyDescent="0.25">
      <c r="A1902" s="1190">
        <v>1</v>
      </c>
      <c r="B1902" s="745"/>
      <c r="C1902" s="1117"/>
      <c r="D1902" s="1117"/>
      <c r="E1902" s="1117"/>
      <c r="F1902" s="1117"/>
      <c r="G1902" s="632"/>
      <c r="H1902" s="745"/>
      <c r="I1902" s="1117"/>
      <c r="J1902" s="632"/>
      <c r="K1902" s="1118"/>
    </row>
    <row r="1903" spans="1:11" x14ac:dyDescent="0.25">
      <c r="A1903" s="718">
        <v>2</v>
      </c>
      <c r="B1903" s="668"/>
      <c r="C1903" s="721"/>
      <c r="D1903" s="721"/>
      <c r="E1903" s="721"/>
      <c r="F1903" s="721"/>
      <c r="G1903" s="639"/>
      <c r="H1903" s="668"/>
      <c r="I1903" s="721"/>
      <c r="J1903" s="639"/>
      <c r="K1903" s="1124"/>
    </row>
    <row r="1904" spans="1:11" x14ac:dyDescent="0.25">
      <c r="A1904" s="718">
        <v>3</v>
      </c>
      <c r="B1904" s="668"/>
      <c r="C1904" s="721"/>
      <c r="D1904" s="721"/>
      <c r="E1904" s="721"/>
      <c r="F1904" s="721"/>
      <c r="G1904" s="639"/>
      <c r="H1904" s="668"/>
      <c r="I1904" s="721"/>
      <c r="J1904" s="639"/>
      <c r="K1904" s="1124"/>
    </row>
    <row r="1905" spans="1:11" x14ac:dyDescent="0.25">
      <c r="A1905" s="718">
        <v>4</v>
      </c>
      <c r="B1905" s="668"/>
      <c r="C1905" s="721"/>
      <c r="D1905" s="721"/>
      <c r="E1905" s="721"/>
      <c r="F1905" s="721"/>
      <c r="G1905" s="639"/>
      <c r="H1905" s="668"/>
      <c r="I1905" s="721"/>
      <c r="J1905" s="639"/>
      <c r="K1905" s="1124"/>
    </row>
    <row r="1906" spans="1:11" x14ac:dyDescent="0.25">
      <c r="A1906" s="718">
        <v>5</v>
      </c>
      <c r="B1906" s="668"/>
      <c r="C1906" s="721"/>
      <c r="D1906" s="721"/>
      <c r="E1906" s="721"/>
      <c r="F1906" s="721"/>
      <c r="G1906" s="639"/>
      <c r="H1906" s="668"/>
      <c r="I1906" s="721"/>
      <c r="J1906" s="639"/>
      <c r="K1906" s="1124"/>
    </row>
    <row r="1907" spans="1:11" ht="13.8" thickBot="1" x14ac:dyDescent="0.3">
      <c r="A1907" s="719">
        <v>6</v>
      </c>
      <c r="B1907" s="669"/>
      <c r="C1907" s="1137"/>
      <c r="D1907" s="1137"/>
      <c r="E1907" s="1137"/>
      <c r="F1907" s="1137"/>
      <c r="G1907" s="646"/>
      <c r="H1907" s="669"/>
      <c r="I1907" s="1137"/>
      <c r="J1907" s="646"/>
      <c r="K1907" s="1138"/>
    </row>
    <row r="1908" spans="1:11" x14ac:dyDescent="0.25">
      <c r="A1908" s="1190">
        <v>1</v>
      </c>
      <c r="B1908" s="745"/>
      <c r="C1908" s="1117"/>
      <c r="D1908" s="1117"/>
      <c r="E1908" s="1117"/>
      <c r="F1908" s="1117"/>
      <c r="G1908" s="632"/>
      <c r="H1908" s="745"/>
      <c r="I1908" s="1117"/>
      <c r="J1908" s="632"/>
      <c r="K1908" s="1118"/>
    </row>
    <row r="1909" spans="1:11" x14ac:dyDescent="0.25">
      <c r="A1909" s="718">
        <v>2</v>
      </c>
      <c r="B1909" s="668"/>
      <c r="C1909" s="721"/>
      <c r="D1909" s="721"/>
      <c r="E1909" s="721"/>
      <c r="F1909" s="721"/>
      <c r="G1909" s="639"/>
      <c r="H1909" s="668"/>
      <c r="I1909" s="721"/>
      <c r="J1909" s="639"/>
      <c r="K1909" s="1124"/>
    </row>
    <row r="1910" spans="1:11" ht="13.8" thickBot="1" x14ac:dyDescent="0.3">
      <c r="A1910" s="719">
        <v>3</v>
      </c>
      <c r="B1910" s="669"/>
      <c r="C1910" s="1137"/>
      <c r="D1910" s="1137"/>
      <c r="E1910" s="1137"/>
      <c r="F1910" s="1137"/>
      <c r="G1910" s="646"/>
      <c r="H1910" s="669"/>
      <c r="I1910" s="1137"/>
      <c r="J1910" s="646"/>
      <c r="K1910" s="1138"/>
    </row>
    <row r="1911" spans="1:11" ht="13.8" thickBot="1" x14ac:dyDescent="0.3">
      <c r="A1911" s="1186" t="s">
        <v>677</v>
      </c>
      <c r="B1911" s="1187"/>
      <c r="C1911" s="1188"/>
      <c r="D1911" s="1188"/>
      <c r="E1911" s="1188"/>
      <c r="F1911" s="1188"/>
      <c r="G1911" s="1189"/>
      <c r="H1911" s="1187"/>
      <c r="I1911" s="1188"/>
      <c r="J1911" s="1189"/>
      <c r="K1911" s="716"/>
    </row>
    <row r="1912" spans="1:11" x14ac:dyDescent="0.25">
      <c r="A1912" s="1190">
        <v>1</v>
      </c>
      <c r="B1912" s="745"/>
      <c r="C1912" s="1117"/>
      <c r="D1912" s="1117"/>
      <c r="E1912" s="1117"/>
      <c r="F1912" s="1117"/>
      <c r="G1912" s="632"/>
      <c r="H1912" s="745"/>
      <c r="I1912" s="1117"/>
      <c r="J1912" s="632"/>
      <c r="K1912" s="1118"/>
    </row>
    <row r="1913" spans="1:11" x14ac:dyDescent="0.25">
      <c r="A1913" s="718">
        <v>2</v>
      </c>
      <c r="B1913" s="668"/>
      <c r="C1913" s="721"/>
      <c r="D1913" s="721"/>
      <c r="E1913" s="721"/>
      <c r="F1913" s="721"/>
      <c r="G1913" s="639"/>
      <c r="H1913" s="668"/>
      <c r="I1913" s="721"/>
      <c r="J1913" s="639"/>
      <c r="K1913" s="1124"/>
    </row>
    <row r="1914" spans="1:11" x14ac:dyDescent="0.25">
      <c r="A1914" s="718">
        <v>3</v>
      </c>
      <c r="B1914" s="668"/>
      <c r="C1914" s="721"/>
      <c r="D1914" s="721"/>
      <c r="E1914" s="721"/>
      <c r="F1914" s="721"/>
      <c r="G1914" s="639"/>
      <c r="H1914" s="668"/>
      <c r="I1914" s="721"/>
      <c r="J1914" s="639"/>
      <c r="K1914" s="1124"/>
    </row>
    <row r="1915" spans="1:11" x14ac:dyDescent="0.25">
      <c r="A1915" s="718">
        <v>4</v>
      </c>
      <c r="B1915" s="668"/>
      <c r="C1915" s="721"/>
      <c r="D1915" s="721"/>
      <c r="E1915" s="721"/>
      <c r="F1915" s="721"/>
      <c r="G1915" s="639"/>
      <c r="H1915" s="668"/>
      <c r="I1915" s="721"/>
      <c r="J1915" s="639"/>
      <c r="K1915" s="1124"/>
    </row>
    <row r="1916" spans="1:11" x14ac:dyDescent="0.25">
      <c r="A1916" s="718">
        <v>5</v>
      </c>
      <c r="B1916" s="668"/>
      <c r="C1916" s="721"/>
      <c r="D1916" s="721"/>
      <c r="E1916" s="721"/>
      <c r="F1916" s="721"/>
      <c r="G1916" s="639"/>
      <c r="H1916" s="668"/>
      <c r="I1916" s="721"/>
      <c r="J1916" s="639"/>
      <c r="K1916" s="1124"/>
    </row>
    <row r="1917" spans="1:11" ht="13.8" thickBot="1" x14ac:dyDescent="0.3">
      <c r="A1917" s="719">
        <v>6</v>
      </c>
      <c r="B1917" s="669"/>
      <c r="C1917" s="1137"/>
      <c r="D1917" s="1137"/>
      <c r="E1917" s="1137"/>
      <c r="F1917" s="1137"/>
      <c r="G1917" s="646"/>
      <c r="H1917" s="669"/>
      <c r="I1917" s="1137"/>
      <c r="J1917" s="646"/>
      <c r="K1917" s="1138"/>
    </row>
    <row r="1918" spans="1:11" x14ac:dyDescent="0.25">
      <c r="A1918" s="1190">
        <v>1</v>
      </c>
      <c r="B1918" s="745"/>
      <c r="C1918" s="1117"/>
      <c r="D1918" s="1117"/>
      <c r="E1918" s="1117"/>
      <c r="F1918" s="1117"/>
      <c r="G1918" s="632"/>
      <c r="H1918" s="745"/>
      <c r="I1918" s="1117"/>
      <c r="J1918" s="632"/>
      <c r="K1918" s="1118"/>
    </row>
    <row r="1919" spans="1:11" x14ac:dyDescent="0.25">
      <c r="A1919" s="718">
        <v>2</v>
      </c>
      <c r="B1919" s="668"/>
      <c r="C1919" s="721"/>
      <c r="D1919" s="721"/>
      <c r="E1919" s="721"/>
      <c r="F1919" s="721"/>
      <c r="G1919" s="639"/>
      <c r="H1919" s="668"/>
      <c r="I1919" s="721"/>
      <c r="J1919" s="639"/>
      <c r="K1919" s="1124"/>
    </row>
    <row r="1920" spans="1:11" ht="13.8" thickBot="1" x14ac:dyDescent="0.3">
      <c r="A1920" s="719">
        <v>3</v>
      </c>
      <c r="B1920" s="669"/>
      <c r="C1920" s="1137"/>
      <c r="D1920" s="1137"/>
      <c r="E1920" s="1137"/>
      <c r="F1920" s="1137"/>
      <c r="G1920" s="646"/>
      <c r="H1920" s="669"/>
      <c r="I1920" s="1137"/>
      <c r="J1920" s="646"/>
      <c r="K1920" s="1138"/>
    </row>
    <row r="1921" spans="1:11" ht="13.8" thickBot="1" x14ac:dyDescent="0.3">
      <c r="A1921" s="1186" t="s">
        <v>678</v>
      </c>
      <c r="B1921" s="1187"/>
      <c r="C1921" s="1188"/>
      <c r="D1921" s="1188"/>
      <c r="E1921" s="1188"/>
      <c r="F1921" s="1188"/>
      <c r="G1921" s="1189"/>
      <c r="H1921" s="1187"/>
      <c r="I1921" s="1188"/>
      <c r="J1921" s="1189"/>
      <c r="K1921" s="716"/>
    </row>
    <row r="1922" spans="1:11" x14ac:dyDescent="0.25">
      <c r="A1922" s="1190">
        <v>1</v>
      </c>
      <c r="B1922" s="745"/>
      <c r="C1922" s="1117"/>
      <c r="D1922" s="1117"/>
      <c r="E1922" s="1117"/>
      <c r="F1922" s="1117"/>
      <c r="G1922" s="632"/>
      <c r="H1922" s="745"/>
      <c r="I1922" s="1117"/>
      <c r="J1922" s="632"/>
      <c r="K1922" s="1118"/>
    </row>
    <row r="1923" spans="1:11" x14ac:dyDescent="0.25">
      <c r="A1923" s="718">
        <v>2</v>
      </c>
      <c r="B1923" s="668"/>
      <c r="C1923" s="721"/>
      <c r="D1923" s="721"/>
      <c r="E1923" s="721"/>
      <c r="F1923" s="721"/>
      <c r="G1923" s="639"/>
      <c r="H1923" s="668"/>
      <c r="I1923" s="721"/>
      <c r="J1923" s="639"/>
      <c r="K1923" s="1124"/>
    </row>
    <row r="1924" spans="1:11" x14ac:dyDescent="0.25">
      <c r="A1924" s="718">
        <v>3</v>
      </c>
      <c r="B1924" s="668"/>
      <c r="C1924" s="721"/>
      <c r="D1924" s="721"/>
      <c r="E1924" s="721"/>
      <c r="F1924" s="721"/>
      <c r="G1924" s="639"/>
      <c r="H1924" s="668"/>
      <c r="I1924" s="721"/>
      <c r="J1924" s="639"/>
      <c r="K1924" s="1124"/>
    </row>
    <row r="1925" spans="1:11" x14ac:dyDescent="0.25">
      <c r="A1925" s="718">
        <v>4</v>
      </c>
      <c r="B1925" s="668"/>
      <c r="C1925" s="721"/>
      <c r="D1925" s="721"/>
      <c r="E1925" s="721"/>
      <c r="F1925" s="721"/>
      <c r="G1925" s="639"/>
      <c r="H1925" s="668"/>
      <c r="I1925" s="721"/>
      <c r="J1925" s="639"/>
      <c r="K1925" s="1124"/>
    </row>
    <row r="1926" spans="1:11" x14ac:dyDescent="0.25">
      <c r="A1926" s="718">
        <v>5</v>
      </c>
      <c r="B1926" s="668"/>
      <c r="C1926" s="721"/>
      <c r="D1926" s="721"/>
      <c r="E1926" s="721"/>
      <c r="F1926" s="721"/>
      <c r="G1926" s="639"/>
      <c r="H1926" s="668"/>
      <c r="I1926" s="721"/>
      <c r="J1926" s="639"/>
      <c r="K1926" s="1124"/>
    </row>
    <row r="1927" spans="1:11" ht="13.8" thickBot="1" x14ac:dyDescent="0.3">
      <c r="A1927" s="719">
        <v>6</v>
      </c>
      <c r="B1927" s="669"/>
      <c r="C1927" s="1137"/>
      <c r="D1927" s="1137"/>
      <c r="E1927" s="1137"/>
      <c r="F1927" s="1137"/>
      <c r="G1927" s="646"/>
      <c r="H1927" s="669"/>
      <c r="I1927" s="1137"/>
      <c r="J1927" s="646"/>
      <c r="K1927" s="1138"/>
    </row>
    <row r="1928" spans="1:11" x14ac:dyDescent="0.25">
      <c r="A1928" s="1190">
        <v>1</v>
      </c>
      <c r="B1928" s="745"/>
      <c r="C1928" s="1117"/>
      <c r="D1928" s="1117"/>
      <c r="E1928" s="1117"/>
      <c r="F1928" s="1117"/>
      <c r="G1928" s="632"/>
      <c r="H1928" s="745"/>
      <c r="I1928" s="1117"/>
      <c r="J1928" s="632"/>
      <c r="K1928" s="1118"/>
    </row>
    <row r="1929" spans="1:11" x14ac:dyDescent="0.25">
      <c r="A1929" s="718">
        <v>2</v>
      </c>
      <c r="B1929" s="668"/>
      <c r="C1929" s="721"/>
      <c r="D1929" s="721"/>
      <c r="E1929" s="721"/>
      <c r="F1929" s="721"/>
      <c r="G1929" s="639"/>
      <c r="H1929" s="668"/>
      <c r="I1929" s="721"/>
      <c r="J1929" s="639"/>
      <c r="K1929" s="1124"/>
    </row>
    <row r="1930" spans="1:11" ht="13.8" thickBot="1" x14ac:dyDescent="0.3">
      <c r="A1930" s="719">
        <v>3</v>
      </c>
      <c r="B1930" s="669"/>
      <c r="C1930" s="1137"/>
      <c r="D1930" s="1137"/>
      <c r="E1930" s="1137"/>
      <c r="F1930" s="1137"/>
      <c r="G1930" s="646"/>
      <c r="H1930" s="669"/>
      <c r="I1930" s="1137"/>
      <c r="J1930" s="646"/>
      <c r="K1930" s="1138"/>
    </row>
    <row r="1931" spans="1:11" ht="13.8" thickBot="1" x14ac:dyDescent="0.3">
      <c r="A1931" s="1186" t="s">
        <v>679</v>
      </c>
      <c r="B1931" s="1187"/>
      <c r="C1931" s="1188"/>
      <c r="D1931" s="1188"/>
      <c r="E1931" s="1188"/>
      <c r="F1931" s="1188"/>
      <c r="G1931" s="1189"/>
      <c r="H1931" s="1187"/>
      <c r="I1931" s="1188"/>
      <c r="J1931" s="1189"/>
      <c r="K1931" s="716"/>
    </row>
    <row r="1932" spans="1:11" x14ac:dyDescent="0.25">
      <c r="A1932" s="1190">
        <v>1</v>
      </c>
      <c r="B1932" s="745"/>
      <c r="C1932" s="1117"/>
      <c r="D1932" s="1117"/>
      <c r="E1932" s="1117"/>
      <c r="F1932" s="1117"/>
      <c r="G1932" s="632"/>
      <c r="H1932" s="745"/>
      <c r="I1932" s="1117"/>
      <c r="J1932" s="632"/>
      <c r="K1932" s="1118"/>
    </row>
    <row r="1933" spans="1:11" x14ac:dyDescent="0.25">
      <c r="A1933" s="718">
        <v>2</v>
      </c>
      <c r="B1933" s="668"/>
      <c r="C1933" s="721"/>
      <c r="D1933" s="721"/>
      <c r="E1933" s="721"/>
      <c r="F1933" s="721"/>
      <c r="G1933" s="639"/>
      <c r="H1933" s="668"/>
      <c r="I1933" s="721"/>
      <c r="J1933" s="639"/>
      <c r="K1933" s="1124"/>
    </row>
    <row r="1934" spans="1:11" x14ac:dyDescent="0.25">
      <c r="A1934" s="718">
        <v>3</v>
      </c>
      <c r="B1934" s="668"/>
      <c r="C1934" s="721"/>
      <c r="D1934" s="721"/>
      <c r="E1934" s="721"/>
      <c r="F1934" s="721"/>
      <c r="G1934" s="639"/>
      <c r="H1934" s="668"/>
      <c r="I1934" s="721"/>
      <c r="J1934" s="639"/>
      <c r="K1934" s="1124"/>
    </row>
    <row r="1935" spans="1:11" x14ac:dyDescent="0.25">
      <c r="A1935" s="718">
        <v>4</v>
      </c>
      <c r="B1935" s="668"/>
      <c r="C1935" s="721"/>
      <c r="D1935" s="721"/>
      <c r="E1935" s="721"/>
      <c r="F1935" s="721"/>
      <c r="G1935" s="639"/>
      <c r="H1935" s="668"/>
      <c r="I1935" s="721"/>
      <c r="J1935" s="639"/>
      <c r="K1935" s="1124"/>
    </row>
    <row r="1936" spans="1:11" x14ac:dyDescent="0.25">
      <c r="A1936" s="718">
        <v>5</v>
      </c>
      <c r="B1936" s="668"/>
      <c r="C1936" s="721"/>
      <c r="D1936" s="721"/>
      <c r="E1936" s="721"/>
      <c r="F1936" s="721"/>
      <c r="G1936" s="639"/>
      <c r="H1936" s="668"/>
      <c r="I1936" s="721"/>
      <c r="J1936" s="639"/>
      <c r="K1936" s="1124"/>
    </row>
    <row r="1937" spans="1:11" ht="13.8" thickBot="1" x14ac:dyDescent="0.3">
      <c r="A1937" s="719">
        <v>6</v>
      </c>
      <c r="B1937" s="669"/>
      <c r="C1937" s="1137"/>
      <c r="D1937" s="1137"/>
      <c r="E1937" s="1137"/>
      <c r="F1937" s="1137"/>
      <c r="G1937" s="646"/>
      <c r="H1937" s="669"/>
      <c r="I1937" s="1137"/>
      <c r="J1937" s="646"/>
      <c r="K1937" s="1138"/>
    </row>
    <row r="1938" spans="1:11" x14ac:dyDescent="0.25">
      <c r="A1938" s="1190">
        <v>1</v>
      </c>
      <c r="B1938" s="745"/>
      <c r="C1938" s="1117"/>
      <c r="D1938" s="1117"/>
      <c r="E1938" s="1117"/>
      <c r="F1938" s="1117"/>
      <c r="G1938" s="632"/>
      <c r="H1938" s="745"/>
      <c r="I1938" s="1117"/>
      <c r="J1938" s="632"/>
      <c r="K1938" s="1118"/>
    </row>
    <row r="1939" spans="1:11" x14ac:dyDescent="0.25">
      <c r="A1939" s="718">
        <v>2</v>
      </c>
      <c r="B1939" s="668"/>
      <c r="C1939" s="721"/>
      <c r="D1939" s="721"/>
      <c r="E1939" s="721"/>
      <c r="F1939" s="721"/>
      <c r="G1939" s="639"/>
      <c r="H1939" s="668"/>
      <c r="I1939" s="721"/>
      <c r="J1939" s="639"/>
      <c r="K1939" s="1124"/>
    </row>
    <row r="1940" spans="1:11" ht="13.8" thickBot="1" x14ac:dyDescent="0.3">
      <c r="A1940" s="1191">
        <v>3</v>
      </c>
      <c r="B1940" s="1132"/>
      <c r="C1940" s="1133"/>
      <c r="D1940" s="1133"/>
      <c r="E1940" s="1133"/>
      <c r="F1940" s="1133"/>
      <c r="G1940" s="1134"/>
      <c r="H1940" s="1132"/>
      <c r="I1940" s="1133"/>
      <c r="J1940" s="1134"/>
      <c r="K1940" s="1147"/>
    </row>
    <row r="1941" spans="1:11" ht="13.8" thickBot="1" x14ac:dyDescent="0.3">
      <c r="A1941" s="1186" t="s">
        <v>680</v>
      </c>
      <c r="B1941" s="1187"/>
      <c r="C1941" s="1188"/>
      <c r="D1941" s="1188"/>
      <c r="E1941" s="1188"/>
      <c r="F1941" s="1188"/>
      <c r="G1941" s="1189"/>
      <c r="H1941" s="1187"/>
      <c r="I1941" s="1188"/>
      <c r="J1941" s="1189"/>
      <c r="K1941" s="716"/>
    </row>
    <row r="1942" spans="1:11" x14ac:dyDescent="0.25">
      <c r="A1942" s="1190">
        <v>1</v>
      </c>
      <c r="B1942" s="745"/>
      <c r="C1942" s="1117"/>
      <c r="D1942" s="1117"/>
      <c r="E1942" s="1117"/>
      <c r="F1942" s="1117"/>
      <c r="G1942" s="632"/>
      <c r="H1942" s="745"/>
      <c r="I1942" s="1117"/>
      <c r="J1942" s="632"/>
      <c r="K1942" s="1118"/>
    </row>
    <row r="1943" spans="1:11" x14ac:dyDescent="0.25">
      <c r="A1943" s="718">
        <v>2</v>
      </c>
      <c r="B1943" s="668"/>
      <c r="C1943" s="721"/>
      <c r="D1943" s="721"/>
      <c r="E1943" s="721"/>
      <c r="F1943" s="721"/>
      <c r="G1943" s="639"/>
      <c r="H1943" s="668"/>
      <c r="I1943" s="721"/>
      <c r="J1943" s="639"/>
      <c r="K1943" s="1124"/>
    </row>
    <row r="1944" spans="1:11" x14ac:dyDescent="0.25">
      <c r="A1944" s="718">
        <v>3</v>
      </c>
      <c r="B1944" s="668"/>
      <c r="C1944" s="721"/>
      <c r="D1944" s="721"/>
      <c r="E1944" s="721"/>
      <c r="F1944" s="721"/>
      <c r="G1944" s="639"/>
      <c r="H1944" s="668"/>
      <c r="I1944" s="721"/>
      <c r="J1944" s="639"/>
      <c r="K1944" s="1124"/>
    </row>
    <row r="1945" spans="1:11" x14ac:dyDescent="0.25">
      <c r="A1945" s="718">
        <v>4</v>
      </c>
      <c r="B1945" s="668"/>
      <c r="C1945" s="721"/>
      <c r="D1945" s="721"/>
      <c r="E1945" s="721"/>
      <c r="F1945" s="721"/>
      <c r="G1945" s="639"/>
      <c r="H1945" s="668"/>
      <c r="I1945" s="721"/>
      <c r="J1945" s="639"/>
      <c r="K1945" s="1124"/>
    </row>
    <row r="1946" spans="1:11" x14ac:dyDescent="0.25">
      <c r="A1946" s="718">
        <v>5</v>
      </c>
      <c r="B1946" s="668"/>
      <c r="C1946" s="721"/>
      <c r="D1946" s="721"/>
      <c r="E1946" s="721"/>
      <c r="F1946" s="721"/>
      <c r="G1946" s="639"/>
      <c r="H1946" s="668"/>
      <c r="I1946" s="721"/>
      <c r="J1946" s="639"/>
      <c r="K1946" s="1124"/>
    </row>
    <row r="1947" spans="1:11" ht="13.8" thickBot="1" x14ac:dyDescent="0.3">
      <c r="A1947" s="719">
        <v>6</v>
      </c>
      <c r="B1947" s="669"/>
      <c r="C1947" s="1137"/>
      <c r="D1947" s="1137"/>
      <c r="E1947" s="1137"/>
      <c r="F1947" s="1137"/>
      <c r="G1947" s="646"/>
      <c r="H1947" s="669"/>
      <c r="I1947" s="1137"/>
      <c r="J1947" s="646"/>
      <c r="K1947" s="1138"/>
    </row>
    <row r="1948" spans="1:11" x14ac:dyDescent="0.25">
      <c r="A1948" s="1190">
        <v>1</v>
      </c>
      <c r="B1948" s="745"/>
      <c r="C1948" s="1117"/>
      <c r="D1948" s="1117"/>
      <c r="E1948" s="1117"/>
      <c r="F1948" s="1117"/>
      <c r="G1948" s="632"/>
      <c r="H1948" s="745"/>
      <c r="I1948" s="1117"/>
      <c r="J1948" s="632"/>
      <c r="K1948" s="1118"/>
    </row>
    <row r="1949" spans="1:11" x14ac:dyDescent="0.25">
      <c r="A1949" s="718">
        <v>2</v>
      </c>
      <c r="B1949" s="668"/>
      <c r="C1949" s="721"/>
      <c r="D1949" s="721"/>
      <c r="E1949" s="721"/>
      <c r="F1949" s="721"/>
      <c r="G1949" s="639"/>
      <c r="H1949" s="668"/>
      <c r="I1949" s="721"/>
      <c r="J1949" s="639"/>
      <c r="K1949" s="1124"/>
    </row>
    <row r="1950" spans="1:11" ht="13.8" thickBot="1" x14ac:dyDescent="0.3">
      <c r="A1950" s="719">
        <v>3</v>
      </c>
      <c r="B1950" s="669"/>
      <c r="C1950" s="1137"/>
      <c r="D1950" s="1137"/>
      <c r="E1950" s="1137"/>
      <c r="F1950" s="1137"/>
      <c r="G1950" s="646"/>
      <c r="H1950" s="669"/>
      <c r="I1950" s="1137"/>
      <c r="J1950" s="646"/>
      <c r="K1950" s="1138"/>
    </row>
    <row r="1951" spans="1:11" ht="13.8" thickBot="1" x14ac:dyDescent="0.3">
      <c r="A1951" s="1186" t="s">
        <v>681</v>
      </c>
      <c r="B1951" s="1187"/>
      <c r="C1951" s="1188"/>
      <c r="D1951" s="1188"/>
      <c r="E1951" s="1188"/>
      <c r="F1951" s="1188"/>
      <c r="G1951" s="1189"/>
      <c r="H1951" s="1187"/>
      <c r="I1951" s="1188"/>
      <c r="J1951" s="1189"/>
      <c r="K1951" s="716"/>
    </row>
    <row r="1952" spans="1:11" x14ac:dyDescent="0.25">
      <c r="A1952" s="1190">
        <v>1</v>
      </c>
      <c r="B1952" s="745"/>
      <c r="C1952" s="1117"/>
      <c r="D1952" s="1117"/>
      <c r="E1952" s="1117"/>
      <c r="F1952" s="1117"/>
      <c r="G1952" s="632"/>
      <c r="H1952" s="745"/>
      <c r="I1952" s="1117"/>
      <c r="J1952" s="632"/>
      <c r="K1952" s="1118"/>
    </row>
    <row r="1953" spans="1:11" x14ac:dyDescent="0.25">
      <c r="A1953" s="718">
        <v>2</v>
      </c>
      <c r="B1953" s="668"/>
      <c r="C1953" s="721"/>
      <c r="D1953" s="721"/>
      <c r="E1953" s="721"/>
      <c r="F1953" s="721"/>
      <c r="G1953" s="639"/>
      <c r="H1953" s="668"/>
      <c r="I1953" s="721"/>
      <c r="J1953" s="639"/>
      <c r="K1953" s="1124"/>
    </row>
    <row r="1954" spans="1:11" x14ac:dyDescent="0.25">
      <c r="A1954" s="718">
        <v>3</v>
      </c>
      <c r="B1954" s="668"/>
      <c r="C1954" s="721"/>
      <c r="D1954" s="721"/>
      <c r="E1954" s="721"/>
      <c r="F1954" s="721"/>
      <c r="G1954" s="639"/>
      <c r="H1954" s="668"/>
      <c r="I1954" s="721"/>
      <c r="J1954" s="639"/>
      <c r="K1954" s="1124"/>
    </row>
    <row r="1955" spans="1:11" x14ac:dyDescent="0.25">
      <c r="A1955" s="718">
        <v>4</v>
      </c>
      <c r="B1955" s="668"/>
      <c r="C1955" s="721"/>
      <c r="D1955" s="721"/>
      <c r="E1955" s="721"/>
      <c r="F1955" s="721"/>
      <c r="G1955" s="639"/>
      <c r="H1955" s="668"/>
      <c r="I1955" s="721"/>
      <c r="J1955" s="639"/>
      <c r="K1955" s="1124"/>
    </row>
    <row r="1956" spans="1:11" x14ac:dyDescent="0.25">
      <c r="A1956" s="718">
        <v>5</v>
      </c>
      <c r="B1956" s="668"/>
      <c r="C1956" s="721"/>
      <c r="D1956" s="721"/>
      <c r="E1956" s="721"/>
      <c r="F1956" s="721"/>
      <c r="G1956" s="639"/>
      <c r="H1956" s="668"/>
      <c r="I1956" s="721"/>
      <c r="J1956" s="639"/>
      <c r="K1956" s="1124"/>
    </row>
    <row r="1957" spans="1:11" ht="13.8" thickBot="1" x14ac:dyDescent="0.3">
      <c r="A1957" s="719">
        <v>6</v>
      </c>
      <c r="B1957" s="669"/>
      <c r="C1957" s="1137"/>
      <c r="D1957" s="1137"/>
      <c r="E1957" s="1137"/>
      <c r="F1957" s="1137"/>
      <c r="G1957" s="646"/>
      <c r="H1957" s="669"/>
      <c r="I1957" s="1137"/>
      <c r="J1957" s="646"/>
      <c r="K1957" s="1138"/>
    </row>
    <row r="1958" spans="1:11" x14ac:dyDescent="0.25">
      <c r="A1958" s="1190">
        <v>1</v>
      </c>
      <c r="B1958" s="745"/>
      <c r="C1958" s="1117"/>
      <c r="D1958" s="1117"/>
      <c r="E1958" s="1117"/>
      <c r="F1958" s="1117"/>
      <c r="G1958" s="632"/>
      <c r="H1958" s="745"/>
      <c r="I1958" s="1117"/>
      <c r="J1958" s="632"/>
      <c r="K1958" s="1118"/>
    </row>
    <row r="1959" spans="1:11" x14ac:dyDescent="0.25">
      <c r="A1959" s="718">
        <v>2</v>
      </c>
      <c r="B1959" s="668"/>
      <c r="C1959" s="721"/>
      <c r="D1959" s="721"/>
      <c r="E1959" s="721"/>
      <c r="F1959" s="721"/>
      <c r="G1959" s="639"/>
      <c r="H1959" s="668"/>
      <c r="I1959" s="721"/>
      <c r="J1959" s="639"/>
      <c r="K1959" s="1124"/>
    </row>
    <row r="1960" spans="1:11" ht="13.8" thickBot="1" x14ac:dyDescent="0.3">
      <c r="A1960" s="719">
        <v>3</v>
      </c>
      <c r="B1960" s="669"/>
      <c r="C1960" s="1137"/>
      <c r="D1960" s="1137"/>
      <c r="E1960" s="1137"/>
      <c r="F1960" s="1137"/>
      <c r="G1960" s="646"/>
      <c r="H1960" s="669"/>
      <c r="I1960" s="1137"/>
      <c r="J1960" s="646"/>
      <c r="K1960" s="1138"/>
    </row>
    <row r="1961" spans="1:11" ht="13.8" thickBot="1" x14ac:dyDescent="0.3">
      <c r="A1961" s="1186" t="s">
        <v>682</v>
      </c>
      <c r="B1961" s="1187"/>
      <c r="C1961" s="1188"/>
      <c r="D1961" s="1188"/>
      <c r="E1961" s="1188"/>
      <c r="F1961" s="1188"/>
      <c r="G1961" s="1189"/>
      <c r="H1961" s="1187"/>
      <c r="I1961" s="1188"/>
      <c r="J1961" s="1189"/>
      <c r="K1961" s="716"/>
    </row>
    <row r="1962" spans="1:11" x14ac:dyDescent="0.25">
      <c r="A1962" s="1190">
        <v>1</v>
      </c>
      <c r="B1962" s="745"/>
      <c r="C1962" s="1117"/>
      <c r="D1962" s="1117"/>
      <c r="E1962" s="1117"/>
      <c r="F1962" s="1117"/>
      <c r="G1962" s="632"/>
      <c r="H1962" s="745"/>
      <c r="I1962" s="1117"/>
      <c r="J1962" s="632"/>
      <c r="K1962" s="1118"/>
    </row>
    <row r="1963" spans="1:11" x14ac:dyDescent="0.25">
      <c r="A1963" s="718">
        <v>2</v>
      </c>
      <c r="B1963" s="668"/>
      <c r="C1963" s="721"/>
      <c r="D1963" s="721"/>
      <c r="E1963" s="721"/>
      <c r="F1963" s="721"/>
      <c r="G1963" s="639"/>
      <c r="H1963" s="668"/>
      <c r="I1963" s="721"/>
      <c r="J1963" s="639"/>
      <c r="K1963" s="1124"/>
    </row>
    <row r="1964" spans="1:11" x14ac:dyDescent="0.25">
      <c r="A1964" s="718">
        <v>3</v>
      </c>
      <c r="B1964" s="668"/>
      <c r="C1964" s="721"/>
      <c r="D1964" s="721"/>
      <c r="E1964" s="721"/>
      <c r="F1964" s="721"/>
      <c r="G1964" s="639"/>
      <c r="H1964" s="668"/>
      <c r="I1964" s="721"/>
      <c r="J1964" s="639"/>
      <c r="K1964" s="1124"/>
    </row>
    <row r="1965" spans="1:11" x14ac:dyDescent="0.25">
      <c r="A1965" s="718">
        <v>4</v>
      </c>
      <c r="B1965" s="668"/>
      <c r="C1965" s="721"/>
      <c r="D1965" s="721"/>
      <c r="E1965" s="721"/>
      <c r="F1965" s="721"/>
      <c r="G1965" s="639"/>
      <c r="H1965" s="668"/>
      <c r="I1965" s="721"/>
      <c r="J1965" s="639"/>
      <c r="K1965" s="1124"/>
    </row>
    <row r="1966" spans="1:11" x14ac:dyDescent="0.25">
      <c r="A1966" s="718">
        <v>5</v>
      </c>
      <c r="B1966" s="668"/>
      <c r="C1966" s="721"/>
      <c r="D1966" s="721"/>
      <c r="E1966" s="721"/>
      <c r="F1966" s="721"/>
      <c r="G1966" s="639"/>
      <c r="H1966" s="668"/>
      <c r="I1966" s="721"/>
      <c r="J1966" s="639"/>
      <c r="K1966" s="1124"/>
    </row>
    <row r="1967" spans="1:11" ht="13.8" thickBot="1" x14ac:dyDescent="0.3">
      <c r="A1967" s="719">
        <v>6</v>
      </c>
      <c r="B1967" s="669"/>
      <c r="C1967" s="1137"/>
      <c r="D1967" s="1137"/>
      <c r="E1967" s="1137"/>
      <c r="F1967" s="1137"/>
      <c r="G1967" s="646"/>
      <c r="H1967" s="669"/>
      <c r="I1967" s="1137"/>
      <c r="J1967" s="646"/>
      <c r="K1967" s="1138"/>
    </row>
    <row r="1968" spans="1:11" x14ac:dyDescent="0.25">
      <c r="A1968" s="1190">
        <v>1</v>
      </c>
      <c r="B1968" s="745"/>
      <c r="C1968" s="1117"/>
      <c r="D1968" s="1117"/>
      <c r="E1968" s="1117"/>
      <c r="F1968" s="1117"/>
      <c r="G1968" s="632"/>
      <c r="H1968" s="745"/>
      <c r="I1968" s="1117"/>
      <c r="J1968" s="632"/>
      <c r="K1968" s="1118"/>
    </row>
    <row r="1969" spans="1:11" x14ac:dyDescent="0.25">
      <c r="A1969" s="718">
        <v>2</v>
      </c>
      <c r="B1969" s="668"/>
      <c r="C1969" s="721"/>
      <c r="D1969" s="721"/>
      <c r="E1969" s="721"/>
      <c r="F1969" s="721"/>
      <c r="G1969" s="639"/>
      <c r="H1969" s="668"/>
      <c r="I1969" s="721"/>
      <c r="J1969" s="639"/>
      <c r="K1969" s="1124"/>
    </row>
    <row r="1970" spans="1:11" ht="13.8" thickBot="1" x14ac:dyDescent="0.3">
      <c r="A1970" s="719">
        <v>3</v>
      </c>
      <c r="B1970" s="669"/>
      <c r="C1970" s="1137"/>
      <c r="D1970" s="1137"/>
      <c r="E1970" s="1137"/>
      <c r="F1970" s="1137"/>
      <c r="G1970" s="646"/>
      <c r="H1970" s="669"/>
      <c r="I1970" s="1137"/>
      <c r="J1970" s="646"/>
      <c r="K1970" s="1138"/>
    </row>
    <row r="1971" spans="1:11" ht="13.8" thickBot="1" x14ac:dyDescent="0.3">
      <c r="A1971" s="1186" t="s">
        <v>683</v>
      </c>
      <c r="B1971" s="1187"/>
      <c r="C1971" s="1188"/>
      <c r="D1971" s="1188"/>
      <c r="E1971" s="1188"/>
      <c r="F1971" s="1188"/>
      <c r="G1971" s="1189"/>
      <c r="H1971" s="1187"/>
      <c r="I1971" s="1188"/>
      <c r="J1971" s="1189"/>
      <c r="K1971" s="716"/>
    </row>
    <row r="1972" spans="1:11" x14ac:dyDescent="0.25">
      <c r="A1972" s="1190">
        <v>1</v>
      </c>
      <c r="B1972" s="745"/>
      <c r="C1972" s="1117"/>
      <c r="D1972" s="1117"/>
      <c r="E1972" s="1117"/>
      <c r="F1972" s="1117"/>
      <c r="G1972" s="632"/>
      <c r="H1972" s="745"/>
      <c r="I1972" s="1117"/>
      <c r="J1972" s="632"/>
      <c r="K1972" s="1118"/>
    </row>
    <row r="1973" spans="1:11" x14ac:dyDescent="0.25">
      <c r="A1973" s="718">
        <v>2</v>
      </c>
      <c r="B1973" s="668"/>
      <c r="C1973" s="721"/>
      <c r="D1973" s="721"/>
      <c r="E1973" s="721"/>
      <c r="F1973" s="721"/>
      <c r="G1973" s="639"/>
      <c r="H1973" s="668"/>
      <c r="I1973" s="721"/>
      <c r="J1973" s="639"/>
      <c r="K1973" s="1124"/>
    </row>
    <row r="1974" spans="1:11" x14ac:dyDescent="0.25">
      <c r="A1974" s="718">
        <v>3</v>
      </c>
      <c r="B1974" s="668"/>
      <c r="C1974" s="721"/>
      <c r="D1974" s="721"/>
      <c r="E1974" s="721"/>
      <c r="F1974" s="721"/>
      <c r="G1974" s="639"/>
      <c r="H1974" s="668"/>
      <c r="I1974" s="721"/>
      <c r="J1974" s="639"/>
      <c r="K1974" s="1124"/>
    </row>
    <row r="1975" spans="1:11" x14ac:dyDescent="0.25">
      <c r="A1975" s="718">
        <v>4</v>
      </c>
      <c r="B1975" s="668"/>
      <c r="C1975" s="721"/>
      <c r="D1975" s="721"/>
      <c r="E1975" s="721"/>
      <c r="F1975" s="721"/>
      <c r="G1975" s="639"/>
      <c r="H1975" s="668"/>
      <c r="I1975" s="721"/>
      <c r="J1975" s="639"/>
      <c r="K1975" s="1124"/>
    </row>
    <row r="1976" spans="1:11" x14ac:dyDescent="0.25">
      <c r="A1976" s="718">
        <v>5</v>
      </c>
      <c r="B1976" s="668"/>
      <c r="C1976" s="721"/>
      <c r="D1976" s="721"/>
      <c r="E1976" s="721"/>
      <c r="F1976" s="721"/>
      <c r="G1976" s="639"/>
      <c r="H1976" s="668"/>
      <c r="I1976" s="721"/>
      <c r="J1976" s="639"/>
      <c r="K1976" s="1124"/>
    </row>
    <row r="1977" spans="1:11" ht="13.8" thickBot="1" x14ac:dyDescent="0.3">
      <c r="A1977" s="719">
        <v>6</v>
      </c>
      <c r="B1977" s="669"/>
      <c r="C1977" s="1137"/>
      <c r="D1977" s="1137"/>
      <c r="E1977" s="1137"/>
      <c r="F1977" s="1137"/>
      <c r="G1977" s="646"/>
      <c r="H1977" s="669"/>
      <c r="I1977" s="1137"/>
      <c r="J1977" s="646"/>
      <c r="K1977" s="1138"/>
    </row>
    <row r="1978" spans="1:11" x14ac:dyDescent="0.25">
      <c r="A1978" s="1190">
        <v>1</v>
      </c>
      <c r="B1978" s="745"/>
      <c r="C1978" s="1117"/>
      <c r="D1978" s="1117"/>
      <c r="E1978" s="1117"/>
      <c r="F1978" s="1117"/>
      <c r="G1978" s="632"/>
      <c r="H1978" s="745"/>
      <c r="I1978" s="1117"/>
      <c r="J1978" s="632"/>
      <c r="K1978" s="1118"/>
    </row>
    <row r="1979" spans="1:11" x14ac:dyDescent="0.25">
      <c r="A1979" s="718">
        <v>2</v>
      </c>
      <c r="B1979" s="668"/>
      <c r="C1979" s="721"/>
      <c r="D1979" s="721"/>
      <c r="E1979" s="721"/>
      <c r="F1979" s="721"/>
      <c r="G1979" s="639"/>
      <c r="H1979" s="668"/>
      <c r="I1979" s="721"/>
      <c r="J1979" s="639"/>
      <c r="K1979" s="1124"/>
    </row>
    <row r="1980" spans="1:11" ht="13.8" thickBot="1" x14ac:dyDescent="0.3">
      <c r="A1980" s="719">
        <v>3</v>
      </c>
      <c r="B1980" s="669"/>
      <c r="C1980" s="1137"/>
      <c r="D1980" s="1137"/>
      <c r="E1980" s="1137"/>
      <c r="F1980" s="1137"/>
      <c r="G1980" s="646"/>
      <c r="H1980" s="669"/>
      <c r="I1980" s="1137"/>
      <c r="J1980" s="646"/>
      <c r="K1980" s="1138"/>
    </row>
    <row r="1981" spans="1:11" ht="13.8" thickBot="1" x14ac:dyDescent="0.3">
      <c r="A1981" s="1186" t="s">
        <v>684</v>
      </c>
      <c r="B1981" s="1187"/>
      <c r="C1981" s="1188"/>
      <c r="D1981" s="1188"/>
      <c r="E1981" s="1188"/>
      <c r="F1981" s="1188"/>
      <c r="G1981" s="1189"/>
      <c r="H1981" s="1187"/>
      <c r="I1981" s="1188"/>
      <c r="J1981" s="1189"/>
      <c r="K1981" s="716"/>
    </row>
    <row r="1982" spans="1:11" x14ac:dyDescent="0.25">
      <c r="A1982" s="1190">
        <v>1</v>
      </c>
      <c r="B1982" s="745"/>
      <c r="C1982" s="1117"/>
      <c r="D1982" s="1117"/>
      <c r="E1982" s="1117"/>
      <c r="F1982" s="1117"/>
      <c r="G1982" s="632"/>
      <c r="H1982" s="745"/>
      <c r="I1982" s="1117"/>
      <c r="J1982" s="632"/>
      <c r="K1982" s="1118"/>
    </row>
    <row r="1983" spans="1:11" x14ac:dyDescent="0.25">
      <c r="A1983" s="718">
        <v>2</v>
      </c>
      <c r="B1983" s="668"/>
      <c r="C1983" s="721"/>
      <c r="D1983" s="721"/>
      <c r="E1983" s="721"/>
      <c r="F1983" s="721"/>
      <c r="G1983" s="639"/>
      <c r="H1983" s="668"/>
      <c r="I1983" s="721"/>
      <c r="J1983" s="639"/>
      <c r="K1983" s="1124"/>
    </row>
    <row r="1984" spans="1:11" x14ac:dyDescent="0.25">
      <c r="A1984" s="718">
        <v>3</v>
      </c>
      <c r="B1984" s="668"/>
      <c r="C1984" s="721"/>
      <c r="D1984" s="721"/>
      <c r="E1984" s="721"/>
      <c r="F1984" s="721"/>
      <c r="G1984" s="639"/>
      <c r="H1984" s="668"/>
      <c r="I1984" s="721"/>
      <c r="J1984" s="639"/>
      <c r="K1984" s="1124"/>
    </row>
    <row r="1985" spans="1:11" x14ac:dyDescent="0.25">
      <c r="A1985" s="718">
        <v>4</v>
      </c>
      <c r="B1985" s="668"/>
      <c r="C1985" s="721"/>
      <c r="D1985" s="721"/>
      <c r="E1985" s="721"/>
      <c r="F1985" s="721"/>
      <c r="G1985" s="639"/>
      <c r="H1985" s="668"/>
      <c r="I1985" s="721"/>
      <c r="J1985" s="639"/>
      <c r="K1985" s="1124"/>
    </row>
    <row r="1986" spans="1:11" x14ac:dyDescent="0.25">
      <c r="A1986" s="718">
        <v>5</v>
      </c>
      <c r="B1986" s="668"/>
      <c r="C1986" s="721"/>
      <c r="D1986" s="721"/>
      <c r="E1986" s="721"/>
      <c r="F1986" s="721"/>
      <c r="G1986" s="639"/>
      <c r="H1986" s="668"/>
      <c r="I1986" s="721"/>
      <c r="J1986" s="639"/>
      <c r="K1986" s="1124"/>
    </row>
    <row r="1987" spans="1:11" ht="13.8" thickBot="1" x14ac:dyDescent="0.3">
      <c r="A1987" s="719">
        <v>6</v>
      </c>
      <c r="B1987" s="669"/>
      <c r="C1987" s="1137"/>
      <c r="D1987" s="1137"/>
      <c r="E1987" s="1137"/>
      <c r="F1987" s="1137"/>
      <c r="G1987" s="646"/>
      <c r="H1987" s="669"/>
      <c r="I1987" s="1137"/>
      <c r="J1987" s="646"/>
      <c r="K1987" s="1138"/>
    </row>
    <row r="1988" spans="1:11" x14ac:dyDescent="0.25">
      <c r="A1988" s="1190">
        <v>1</v>
      </c>
      <c r="B1988" s="745"/>
      <c r="C1988" s="1117"/>
      <c r="D1988" s="1117"/>
      <c r="E1988" s="1117"/>
      <c r="F1988" s="1117"/>
      <c r="G1988" s="632"/>
      <c r="H1988" s="745"/>
      <c r="I1988" s="1117"/>
      <c r="J1988" s="632"/>
      <c r="K1988" s="1118"/>
    </row>
    <row r="1989" spans="1:11" x14ac:dyDescent="0.25">
      <c r="A1989" s="718">
        <v>2</v>
      </c>
      <c r="B1989" s="668"/>
      <c r="C1989" s="721"/>
      <c r="D1989" s="721"/>
      <c r="E1989" s="721"/>
      <c r="F1989" s="721"/>
      <c r="G1989" s="639"/>
      <c r="H1989" s="668"/>
      <c r="I1989" s="721"/>
      <c r="J1989" s="639"/>
      <c r="K1989" s="1124"/>
    </row>
    <row r="1990" spans="1:11" ht="13.8" thickBot="1" x14ac:dyDescent="0.3">
      <c r="A1990" s="719">
        <v>3</v>
      </c>
      <c r="B1990" s="669"/>
      <c r="C1990" s="1137"/>
      <c r="D1990" s="1137"/>
      <c r="E1990" s="1137"/>
      <c r="F1990" s="1137"/>
      <c r="G1990" s="646"/>
      <c r="H1990" s="669"/>
      <c r="I1990" s="1137"/>
      <c r="J1990" s="646"/>
      <c r="K1990" s="1138"/>
    </row>
    <row r="1991" spans="1:11" ht="13.8" thickBot="1" x14ac:dyDescent="0.3">
      <c r="A1991" s="1186" t="s">
        <v>685</v>
      </c>
      <c r="B1991" s="1187"/>
      <c r="C1991" s="1188"/>
      <c r="D1991" s="1188"/>
      <c r="E1991" s="1188"/>
      <c r="F1991" s="1188"/>
      <c r="G1991" s="1189"/>
      <c r="H1991" s="1187"/>
      <c r="I1991" s="1188"/>
      <c r="J1991" s="1189"/>
      <c r="K1991" s="716"/>
    </row>
    <row r="1992" spans="1:11" x14ac:dyDescent="0.25">
      <c r="A1992" s="1190">
        <v>1</v>
      </c>
      <c r="B1992" s="745"/>
      <c r="C1992" s="1117"/>
      <c r="D1992" s="1117"/>
      <c r="E1992" s="1117"/>
      <c r="F1992" s="1117"/>
      <c r="G1992" s="632"/>
      <c r="H1992" s="745"/>
      <c r="I1992" s="1117"/>
      <c r="J1992" s="632"/>
      <c r="K1992" s="1118"/>
    </row>
    <row r="1993" spans="1:11" x14ac:dyDescent="0.25">
      <c r="A1993" s="718">
        <v>2</v>
      </c>
      <c r="B1993" s="668"/>
      <c r="C1993" s="721"/>
      <c r="D1993" s="721"/>
      <c r="E1993" s="721"/>
      <c r="F1993" s="721"/>
      <c r="G1993" s="639"/>
      <c r="H1993" s="668"/>
      <c r="I1993" s="721"/>
      <c r="J1993" s="639"/>
      <c r="K1993" s="1124"/>
    </row>
    <row r="1994" spans="1:11" x14ac:dyDescent="0.25">
      <c r="A1994" s="718">
        <v>3</v>
      </c>
      <c r="B1994" s="668"/>
      <c r="C1994" s="721"/>
      <c r="D1994" s="721"/>
      <c r="E1994" s="721"/>
      <c r="F1994" s="721"/>
      <c r="G1994" s="639"/>
      <c r="H1994" s="668"/>
      <c r="I1994" s="721"/>
      <c r="J1994" s="639"/>
      <c r="K1994" s="1124"/>
    </row>
    <row r="1995" spans="1:11" x14ac:dyDescent="0.25">
      <c r="A1995" s="718">
        <v>4</v>
      </c>
      <c r="B1995" s="668"/>
      <c r="C1995" s="721"/>
      <c r="D1995" s="721"/>
      <c r="E1995" s="721"/>
      <c r="F1995" s="721"/>
      <c r="G1995" s="639"/>
      <c r="H1995" s="668"/>
      <c r="I1995" s="721"/>
      <c r="J1995" s="639"/>
      <c r="K1995" s="1124"/>
    </row>
    <row r="1996" spans="1:11" x14ac:dyDescent="0.25">
      <c r="A1996" s="718">
        <v>5</v>
      </c>
      <c r="B1996" s="668"/>
      <c r="C1996" s="721"/>
      <c r="D1996" s="721"/>
      <c r="E1996" s="721"/>
      <c r="F1996" s="721"/>
      <c r="G1996" s="639"/>
      <c r="H1996" s="668"/>
      <c r="I1996" s="721"/>
      <c r="J1996" s="639"/>
      <c r="K1996" s="1124"/>
    </row>
    <row r="1997" spans="1:11" ht="13.8" thickBot="1" x14ac:dyDescent="0.3">
      <c r="A1997" s="719">
        <v>6</v>
      </c>
      <c r="B1997" s="669"/>
      <c r="C1997" s="1137"/>
      <c r="D1997" s="1137"/>
      <c r="E1997" s="1137"/>
      <c r="F1997" s="1137"/>
      <c r="G1997" s="646"/>
      <c r="H1997" s="669"/>
      <c r="I1997" s="1137"/>
      <c r="J1997" s="646"/>
      <c r="K1997" s="1138"/>
    </row>
    <row r="1998" spans="1:11" x14ac:dyDescent="0.25">
      <c r="A1998" s="1190">
        <v>1</v>
      </c>
      <c r="B1998" s="745"/>
      <c r="C1998" s="1117"/>
      <c r="D1998" s="1117"/>
      <c r="E1998" s="1117"/>
      <c r="F1998" s="1117"/>
      <c r="G1998" s="632"/>
      <c r="H1998" s="745"/>
      <c r="I1998" s="1117"/>
      <c r="J1998" s="632"/>
      <c r="K1998" s="1118"/>
    </row>
    <row r="1999" spans="1:11" x14ac:dyDescent="0.25">
      <c r="A1999" s="718">
        <v>2</v>
      </c>
      <c r="B1999" s="668"/>
      <c r="C1999" s="721"/>
      <c r="D1999" s="721"/>
      <c r="E1999" s="721"/>
      <c r="F1999" s="721"/>
      <c r="G1999" s="639"/>
      <c r="H1999" s="668"/>
      <c r="I1999" s="721"/>
      <c r="J1999" s="639"/>
      <c r="K1999" s="1124"/>
    </row>
    <row r="2000" spans="1:11" ht="13.8" thickBot="1" x14ac:dyDescent="0.3">
      <c r="A2000" s="719">
        <v>3</v>
      </c>
      <c r="B2000" s="669"/>
      <c r="C2000" s="1137"/>
      <c r="D2000" s="1137"/>
      <c r="E2000" s="1137"/>
      <c r="F2000" s="1137"/>
      <c r="G2000" s="646"/>
      <c r="H2000" s="669"/>
      <c r="I2000" s="1137"/>
      <c r="J2000" s="646"/>
      <c r="K2000" s="1138"/>
    </row>
    <row r="2001" spans="1:11" ht="13.8" thickBot="1" x14ac:dyDescent="0.3">
      <c r="A2001" s="1186" t="s">
        <v>686</v>
      </c>
      <c r="B2001" s="1187"/>
      <c r="C2001" s="1188"/>
      <c r="D2001" s="1188"/>
      <c r="E2001" s="1188"/>
      <c r="F2001" s="1188"/>
      <c r="G2001" s="1189"/>
      <c r="H2001" s="1187"/>
      <c r="I2001" s="1188"/>
      <c r="J2001" s="1189"/>
      <c r="K2001" s="716"/>
    </row>
    <row r="2002" spans="1:11" x14ac:dyDescent="0.25">
      <c r="A2002" s="1190">
        <v>1</v>
      </c>
      <c r="B2002" s="745"/>
      <c r="C2002" s="1117"/>
      <c r="D2002" s="1117"/>
      <c r="E2002" s="1117"/>
      <c r="F2002" s="1117"/>
      <c r="G2002" s="632"/>
      <c r="H2002" s="745"/>
      <c r="I2002" s="1117"/>
      <c r="J2002" s="632"/>
      <c r="K2002" s="1118"/>
    </row>
    <row r="2003" spans="1:11" x14ac:dyDescent="0.25">
      <c r="A2003" s="718">
        <v>2</v>
      </c>
      <c r="B2003" s="668"/>
      <c r="C2003" s="721"/>
      <c r="D2003" s="721"/>
      <c r="E2003" s="721"/>
      <c r="F2003" s="721"/>
      <c r="G2003" s="639"/>
      <c r="H2003" s="668"/>
      <c r="I2003" s="721"/>
      <c r="J2003" s="639"/>
      <c r="K2003" s="1124"/>
    </row>
    <row r="2004" spans="1:11" x14ac:dyDescent="0.25">
      <c r="A2004" s="718">
        <v>3</v>
      </c>
      <c r="B2004" s="668"/>
      <c r="C2004" s="721"/>
      <c r="D2004" s="721"/>
      <c r="E2004" s="721"/>
      <c r="F2004" s="721"/>
      <c r="G2004" s="639"/>
      <c r="H2004" s="668"/>
      <c r="I2004" s="721"/>
      <c r="J2004" s="639"/>
      <c r="K2004" s="1124"/>
    </row>
    <row r="2005" spans="1:11" x14ac:dyDescent="0.25">
      <c r="A2005" s="718">
        <v>4</v>
      </c>
      <c r="B2005" s="668"/>
      <c r="C2005" s="721"/>
      <c r="D2005" s="721"/>
      <c r="E2005" s="721"/>
      <c r="F2005" s="721"/>
      <c r="G2005" s="639"/>
      <c r="H2005" s="668"/>
      <c r="I2005" s="721"/>
      <c r="J2005" s="639"/>
      <c r="K2005" s="1124"/>
    </row>
    <row r="2006" spans="1:11" x14ac:dyDescent="0.25">
      <c r="A2006" s="718">
        <v>5</v>
      </c>
      <c r="B2006" s="668"/>
      <c r="C2006" s="721"/>
      <c r="D2006" s="721"/>
      <c r="E2006" s="721"/>
      <c r="F2006" s="721"/>
      <c r="G2006" s="639"/>
      <c r="H2006" s="668"/>
      <c r="I2006" s="721"/>
      <c r="J2006" s="639"/>
      <c r="K2006" s="1124"/>
    </row>
    <row r="2007" spans="1:11" ht="13.8" thickBot="1" x14ac:dyDescent="0.3">
      <c r="A2007" s="719">
        <v>6</v>
      </c>
      <c r="B2007" s="669"/>
      <c r="C2007" s="1137"/>
      <c r="D2007" s="1137"/>
      <c r="E2007" s="1137"/>
      <c r="F2007" s="1137"/>
      <c r="G2007" s="646"/>
      <c r="H2007" s="669"/>
      <c r="I2007" s="1137"/>
      <c r="J2007" s="646"/>
      <c r="K2007" s="1138"/>
    </row>
    <row r="2008" spans="1:11" x14ac:dyDescent="0.25">
      <c r="A2008" s="1190">
        <v>1</v>
      </c>
      <c r="B2008" s="745"/>
      <c r="C2008" s="1117"/>
      <c r="D2008" s="1117"/>
      <c r="E2008" s="1117"/>
      <c r="F2008" s="1117"/>
      <c r="G2008" s="632"/>
      <c r="H2008" s="745"/>
      <c r="I2008" s="1117"/>
      <c r="J2008" s="632"/>
      <c r="K2008" s="1118"/>
    </row>
    <row r="2009" spans="1:11" x14ac:dyDescent="0.25">
      <c r="A2009" s="718">
        <v>2</v>
      </c>
      <c r="B2009" s="668"/>
      <c r="C2009" s="721"/>
      <c r="D2009" s="721"/>
      <c r="E2009" s="721"/>
      <c r="F2009" s="721"/>
      <c r="G2009" s="639"/>
      <c r="H2009" s="668"/>
      <c r="I2009" s="721"/>
      <c r="J2009" s="639"/>
      <c r="K2009" s="1124"/>
    </row>
    <row r="2010" spans="1:11" ht="13.8" thickBot="1" x14ac:dyDescent="0.3">
      <c r="A2010" s="1191">
        <v>3</v>
      </c>
      <c r="B2010" s="1132"/>
      <c r="C2010" s="1133"/>
      <c r="D2010" s="1133"/>
      <c r="E2010" s="1133"/>
      <c r="F2010" s="1133"/>
      <c r="G2010" s="1134"/>
      <c r="H2010" s="1132"/>
      <c r="I2010" s="1133"/>
      <c r="J2010" s="1134"/>
      <c r="K2010" s="1147"/>
    </row>
    <row r="2011" spans="1:11" ht="13.8" thickBot="1" x14ac:dyDescent="0.3">
      <c r="A2011" s="1186" t="s">
        <v>687</v>
      </c>
      <c r="B2011" s="1187"/>
      <c r="C2011" s="1188"/>
      <c r="D2011" s="1188"/>
      <c r="E2011" s="1188"/>
      <c r="F2011" s="1188"/>
      <c r="G2011" s="1189"/>
      <c r="H2011" s="1187"/>
      <c r="I2011" s="1188"/>
      <c r="J2011" s="1189"/>
      <c r="K2011" s="716"/>
    </row>
    <row r="2012" spans="1:11" x14ac:dyDescent="0.25">
      <c r="A2012" s="1190">
        <v>1</v>
      </c>
      <c r="B2012" s="745"/>
      <c r="C2012" s="1117"/>
      <c r="D2012" s="1117"/>
      <c r="E2012" s="1117"/>
      <c r="F2012" s="1117"/>
      <c r="G2012" s="632"/>
      <c r="H2012" s="745"/>
      <c r="I2012" s="1117"/>
      <c r="J2012" s="632"/>
      <c r="K2012" s="1118"/>
    </row>
    <row r="2013" spans="1:11" x14ac:dyDescent="0.25">
      <c r="A2013" s="718">
        <v>2</v>
      </c>
      <c r="B2013" s="668"/>
      <c r="C2013" s="721"/>
      <c r="D2013" s="721"/>
      <c r="E2013" s="721"/>
      <c r="F2013" s="721"/>
      <c r="G2013" s="639"/>
      <c r="H2013" s="668"/>
      <c r="I2013" s="721"/>
      <c r="J2013" s="639"/>
      <c r="K2013" s="1124"/>
    </row>
    <row r="2014" spans="1:11" x14ac:dyDescent="0.25">
      <c r="A2014" s="718">
        <v>3</v>
      </c>
      <c r="B2014" s="668"/>
      <c r="C2014" s="721"/>
      <c r="D2014" s="721"/>
      <c r="E2014" s="721"/>
      <c r="F2014" s="721"/>
      <c r="G2014" s="639"/>
      <c r="H2014" s="668"/>
      <c r="I2014" s="721"/>
      <c r="J2014" s="639"/>
      <c r="K2014" s="1124"/>
    </row>
    <row r="2015" spans="1:11" x14ac:dyDescent="0.25">
      <c r="A2015" s="718">
        <v>4</v>
      </c>
      <c r="B2015" s="668"/>
      <c r="C2015" s="721"/>
      <c r="D2015" s="721"/>
      <c r="E2015" s="721"/>
      <c r="F2015" s="721"/>
      <c r="G2015" s="639"/>
      <c r="H2015" s="668"/>
      <c r="I2015" s="721"/>
      <c r="J2015" s="639"/>
      <c r="K2015" s="1124"/>
    </row>
    <row r="2016" spans="1:11" x14ac:dyDescent="0.25">
      <c r="A2016" s="718">
        <v>5</v>
      </c>
      <c r="B2016" s="668"/>
      <c r="C2016" s="721"/>
      <c r="D2016" s="721"/>
      <c r="E2016" s="721"/>
      <c r="F2016" s="721"/>
      <c r="G2016" s="639"/>
      <c r="H2016" s="668"/>
      <c r="I2016" s="721"/>
      <c r="J2016" s="639"/>
      <c r="K2016" s="1124"/>
    </row>
    <row r="2017" spans="1:11" ht="13.8" thickBot="1" x14ac:dyDescent="0.3">
      <c r="A2017" s="719">
        <v>6</v>
      </c>
      <c r="B2017" s="669"/>
      <c r="C2017" s="1137"/>
      <c r="D2017" s="1137"/>
      <c r="E2017" s="1137"/>
      <c r="F2017" s="1137"/>
      <c r="G2017" s="646"/>
      <c r="H2017" s="669"/>
      <c r="I2017" s="1137"/>
      <c r="J2017" s="646"/>
      <c r="K2017" s="1138"/>
    </row>
    <row r="2018" spans="1:11" x14ac:dyDescent="0.25">
      <c r="A2018" s="1190">
        <v>1</v>
      </c>
      <c r="B2018" s="745"/>
      <c r="C2018" s="1117"/>
      <c r="D2018" s="1117"/>
      <c r="E2018" s="1117"/>
      <c r="F2018" s="1117"/>
      <c r="G2018" s="632"/>
      <c r="H2018" s="745"/>
      <c r="I2018" s="1117"/>
      <c r="J2018" s="632"/>
      <c r="K2018" s="1118"/>
    </row>
    <row r="2019" spans="1:11" x14ac:dyDescent="0.25">
      <c r="A2019" s="718">
        <v>2</v>
      </c>
      <c r="B2019" s="668"/>
      <c r="C2019" s="721"/>
      <c r="D2019" s="721"/>
      <c r="E2019" s="721"/>
      <c r="F2019" s="721"/>
      <c r="G2019" s="639"/>
      <c r="H2019" s="668"/>
      <c r="I2019" s="721"/>
      <c r="J2019" s="639"/>
      <c r="K2019" s="1124"/>
    </row>
    <row r="2020" spans="1:11" ht="13.8" thickBot="1" x14ac:dyDescent="0.3">
      <c r="A2020" s="719">
        <v>3</v>
      </c>
      <c r="B2020" s="669"/>
      <c r="C2020" s="1137"/>
      <c r="D2020" s="1137"/>
      <c r="E2020" s="1137"/>
      <c r="F2020" s="1137"/>
      <c r="G2020" s="646"/>
      <c r="H2020" s="669"/>
      <c r="I2020" s="1137"/>
      <c r="J2020" s="646"/>
      <c r="K2020" s="1138"/>
    </row>
    <row r="2021" spans="1:11" ht="13.8" thickBot="1" x14ac:dyDescent="0.3">
      <c r="A2021" s="1186" t="s">
        <v>688</v>
      </c>
      <c r="B2021" s="1187"/>
      <c r="C2021" s="1188"/>
      <c r="D2021" s="1188"/>
      <c r="E2021" s="1188"/>
      <c r="F2021" s="1188"/>
      <c r="G2021" s="1189"/>
      <c r="H2021" s="1187"/>
      <c r="I2021" s="1188"/>
      <c r="J2021" s="1189"/>
      <c r="K2021" s="716"/>
    </row>
    <row r="2022" spans="1:11" x14ac:dyDescent="0.25">
      <c r="A2022" s="1190">
        <v>1</v>
      </c>
      <c r="B2022" s="745"/>
      <c r="C2022" s="1117"/>
      <c r="D2022" s="1117"/>
      <c r="E2022" s="1117"/>
      <c r="F2022" s="1117"/>
      <c r="G2022" s="632"/>
      <c r="H2022" s="745"/>
      <c r="I2022" s="1117"/>
      <c r="J2022" s="632"/>
      <c r="K2022" s="1118"/>
    </row>
    <row r="2023" spans="1:11" x14ac:dyDescent="0.25">
      <c r="A2023" s="718">
        <v>2</v>
      </c>
      <c r="B2023" s="668"/>
      <c r="C2023" s="721"/>
      <c r="D2023" s="721"/>
      <c r="E2023" s="721"/>
      <c r="F2023" s="721"/>
      <c r="G2023" s="639"/>
      <c r="H2023" s="668"/>
      <c r="I2023" s="721"/>
      <c r="J2023" s="639"/>
      <c r="K2023" s="1124"/>
    </row>
    <row r="2024" spans="1:11" x14ac:dyDescent="0.25">
      <c r="A2024" s="718">
        <v>3</v>
      </c>
      <c r="B2024" s="668"/>
      <c r="C2024" s="721"/>
      <c r="D2024" s="721"/>
      <c r="E2024" s="721"/>
      <c r="F2024" s="721"/>
      <c r="G2024" s="639"/>
      <c r="H2024" s="668"/>
      <c r="I2024" s="721"/>
      <c r="J2024" s="639"/>
      <c r="K2024" s="1124"/>
    </row>
    <row r="2025" spans="1:11" x14ac:dyDescent="0.25">
      <c r="A2025" s="718">
        <v>4</v>
      </c>
      <c r="B2025" s="668"/>
      <c r="C2025" s="721"/>
      <c r="D2025" s="721"/>
      <c r="E2025" s="721"/>
      <c r="F2025" s="721"/>
      <c r="G2025" s="639"/>
      <c r="H2025" s="668"/>
      <c r="I2025" s="721"/>
      <c r="J2025" s="639"/>
      <c r="K2025" s="1124"/>
    </row>
    <row r="2026" spans="1:11" x14ac:dyDescent="0.25">
      <c r="A2026" s="718">
        <v>5</v>
      </c>
      <c r="B2026" s="668"/>
      <c r="C2026" s="721"/>
      <c r="D2026" s="721"/>
      <c r="E2026" s="721"/>
      <c r="F2026" s="721"/>
      <c r="G2026" s="639"/>
      <c r="H2026" s="668"/>
      <c r="I2026" s="721"/>
      <c r="J2026" s="639"/>
      <c r="K2026" s="1124"/>
    </row>
    <row r="2027" spans="1:11" ht="13.8" thickBot="1" x14ac:dyDescent="0.3">
      <c r="A2027" s="719">
        <v>6</v>
      </c>
      <c r="B2027" s="669"/>
      <c r="C2027" s="1137"/>
      <c r="D2027" s="1137"/>
      <c r="E2027" s="1137"/>
      <c r="F2027" s="1137"/>
      <c r="G2027" s="646"/>
      <c r="H2027" s="669"/>
      <c r="I2027" s="1137"/>
      <c r="J2027" s="646"/>
      <c r="K2027" s="1138"/>
    </row>
    <row r="2028" spans="1:11" x14ac:dyDescent="0.25">
      <c r="A2028" s="1190">
        <v>1</v>
      </c>
      <c r="B2028" s="745"/>
      <c r="C2028" s="1117"/>
      <c r="D2028" s="1117"/>
      <c r="E2028" s="1117"/>
      <c r="F2028" s="1117"/>
      <c r="G2028" s="632"/>
      <c r="H2028" s="745"/>
      <c r="I2028" s="1117"/>
      <c r="J2028" s="632"/>
      <c r="K2028" s="1118"/>
    </row>
    <row r="2029" spans="1:11" x14ac:dyDescent="0.25">
      <c r="A2029" s="718">
        <v>2</v>
      </c>
      <c r="B2029" s="668"/>
      <c r="C2029" s="721"/>
      <c r="D2029" s="721"/>
      <c r="E2029" s="721"/>
      <c r="F2029" s="721"/>
      <c r="G2029" s="639"/>
      <c r="H2029" s="668"/>
      <c r="I2029" s="721"/>
      <c r="J2029" s="639"/>
      <c r="K2029" s="1124"/>
    </row>
    <row r="2030" spans="1:11" ht="13.8" thickBot="1" x14ac:dyDescent="0.3">
      <c r="A2030" s="719">
        <v>3</v>
      </c>
      <c r="B2030" s="669"/>
      <c r="C2030" s="1137"/>
      <c r="D2030" s="1137"/>
      <c r="E2030" s="1137"/>
      <c r="F2030" s="1137"/>
      <c r="G2030" s="646"/>
      <c r="H2030" s="669"/>
      <c r="I2030" s="1137"/>
      <c r="J2030" s="646"/>
      <c r="K2030" s="1138"/>
    </row>
    <row r="2031" spans="1:11" ht="13.8" thickBot="1" x14ac:dyDescent="0.3">
      <c r="A2031" s="1186" t="s">
        <v>689</v>
      </c>
      <c r="B2031" s="1187"/>
      <c r="C2031" s="1188"/>
      <c r="D2031" s="1188"/>
      <c r="E2031" s="1188"/>
      <c r="F2031" s="1188"/>
      <c r="G2031" s="1189"/>
      <c r="H2031" s="1187"/>
      <c r="I2031" s="1188"/>
      <c r="J2031" s="1189"/>
      <c r="K2031" s="716"/>
    </row>
    <row r="2032" spans="1:11" x14ac:dyDescent="0.25">
      <c r="A2032" s="1190">
        <v>1</v>
      </c>
      <c r="B2032" s="745"/>
      <c r="C2032" s="1117"/>
      <c r="D2032" s="1117"/>
      <c r="E2032" s="1117"/>
      <c r="F2032" s="1117"/>
      <c r="G2032" s="632"/>
      <c r="H2032" s="745"/>
      <c r="I2032" s="1117"/>
      <c r="J2032" s="632"/>
      <c r="K2032" s="1118"/>
    </row>
    <row r="2033" spans="1:11" x14ac:dyDescent="0.25">
      <c r="A2033" s="718">
        <v>2</v>
      </c>
      <c r="B2033" s="668"/>
      <c r="C2033" s="721"/>
      <c r="D2033" s="721"/>
      <c r="E2033" s="721"/>
      <c r="F2033" s="721"/>
      <c r="G2033" s="639"/>
      <c r="H2033" s="668"/>
      <c r="I2033" s="721"/>
      <c r="J2033" s="639"/>
      <c r="K2033" s="1124"/>
    </row>
    <row r="2034" spans="1:11" x14ac:dyDescent="0.25">
      <c r="A2034" s="718">
        <v>3</v>
      </c>
      <c r="B2034" s="668"/>
      <c r="C2034" s="721"/>
      <c r="D2034" s="721"/>
      <c r="E2034" s="721"/>
      <c r="F2034" s="721"/>
      <c r="G2034" s="639"/>
      <c r="H2034" s="668"/>
      <c r="I2034" s="721"/>
      <c r="J2034" s="639"/>
      <c r="K2034" s="1124"/>
    </row>
    <row r="2035" spans="1:11" x14ac:dyDescent="0.25">
      <c r="A2035" s="718">
        <v>4</v>
      </c>
      <c r="B2035" s="668"/>
      <c r="C2035" s="721"/>
      <c r="D2035" s="721"/>
      <c r="E2035" s="721"/>
      <c r="F2035" s="721"/>
      <c r="G2035" s="639"/>
      <c r="H2035" s="668"/>
      <c r="I2035" s="721"/>
      <c r="J2035" s="639"/>
      <c r="K2035" s="1124"/>
    </row>
    <row r="2036" spans="1:11" x14ac:dyDescent="0.25">
      <c r="A2036" s="718">
        <v>5</v>
      </c>
      <c r="B2036" s="668"/>
      <c r="C2036" s="721"/>
      <c r="D2036" s="721"/>
      <c r="E2036" s="721"/>
      <c r="F2036" s="721"/>
      <c r="G2036" s="639"/>
      <c r="H2036" s="668"/>
      <c r="I2036" s="721"/>
      <c r="J2036" s="639"/>
      <c r="K2036" s="1124"/>
    </row>
    <row r="2037" spans="1:11" ht="13.8" thickBot="1" x14ac:dyDescent="0.3">
      <c r="A2037" s="719">
        <v>6</v>
      </c>
      <c r="B2037" s="669"/>
      <c r="C2037" s="1137"/>
      <c r="D2037" s="1137"/>
      <c r="E2037" s="1137"/>
      <c r="F2037" s="1137"/>
      <c r="G2037" s="646"/>
      <c r="H2037" s="669"/>
      <c r="I2037" s="1137"/>
      <c r="J2037" s="646"/>
      <c r="K2037" s="1138"/>
    </row>
    <row r="2038" spans="1:11" x14ac:dyDescent="0.25">
      <c r="A2038" s="1190">
        <v>1</v>
      </c>
      <c r="B2038" s="745"/>
      <c r="C2038" s="1117"/>
      <c r="D2038" s="1117"/>
      <c r="E2038" s="1117"/>
      <c r="F2038" s="1117"/>
      <c r="G2038" s="632"/>
      <c r="H2038" s="745"/>
      <c r="I2038" s="1117"/>
      <c r="J2038" s="632"/>
      <c r="K2038" s="1118"/>
    </row>
    <row r="2039" spans="1:11" x14ac:dyDescent="0.25">
      <c r="A2039" s="718">
        <v>2</v>
      </c>
      <c r="B2039" s="668"/>
      <c r="C2039" s="721"/>
      <c r="D2039" s="721"/>
      <c r="E2039" s="721"/>
      <c r="F2039" s="721"/>
      <c r="G2039" s="639"/>
      <c r="H2039" s="668"/>
      <c r="I2039" s="721"/>
      <c r="J2039" s="639"/>
      <c r="K2039" s="1124"/>
    </row>
    <row r="2040" spans="1:11" ht="13.8" thickBot="1" x14ac:dyDescent="0.3">
      <c r="A2040" s="719">
        <v>3</v>
      </c>
      <c r="B2040" s="669"/>
      <c r="C2040" s="1137"/>
      <c r="D2040" s="1137"/>
      <c r="E2040" s="1137"/>
      <c r="F2040" s="1137"/>
      <c r="G2040" s="646"/>
      <c r="H2040" s="669"/>
      <c r="I2040" s="1137"/>
      <c r="J2040" s="646"/>
      <c r="K2040" s="1138"/>
    </row>
    <row r="2041" spans="1:11" ht="13.8" thickBot="1" x14ac:dyDescent="0.3">
      <c r="A2041" s="1186" t="s">
        <v>690</v>
      </c>
      <c r="B2041" s="1187"/>
      <c r="C2041" s="1188"/>
      <c r="D2041" s="1188"/>
      <c r="E2041" s="1188"/>
      <c r="F2041" s="1188"/>
      <c r="G2041" s="1189"/>
      <c r="H2041" s="1187"/>
      <c r="I2041" s="1188"/>
      <c r="J2041" s="1189"/>
      <c r="K2041" s="716"/>
    </row>
    <row r="2042" spans="1:11" x14ac:dyDescent="0.25">
      <c r="A2042" s="1190">
        <v>1</v>
      </c>
      <c r="B2042" s="745"/>
      <c r="C2042" s="1117"/>
      <c r="D2042" s="1117"/>
      <c r="E2042" s="1117"/>
      <c r="F2042" s="1117"/>
      <c r="G2042" s="632"/>
      <c r="H2042" s="745"/>
      <c r="I2042" s="1117"/>
      <c r="J2042" s="632"/>
      <c r="K2042" s="1118"/>
    </row>
    <row r="2043" spans="1:11" x14ac:dyDescent="0.25">
      <c r="A2043" s="718">
        <v>2</v>
      </c>
      <c r="B2043" s="668"/>
      <c r="C2043" s="721"/>
      <c r="D2043" s="721"/>
      <c r="E2043" s="721"/>
      <c r="F2043" s="721"/>
      <c r="G2043" s="639"/>
      <c r="H2043" s="668"/>
      <c r="I2043" s="721"/>
      <c r="J2043" s="639"/>
      <c r="K2043" s="1124"/>
    </row>
    <row r="2044" spans="1:11" x14ac:dyDescent="0.25">
      <c r="A2044" s="718">
        <v>3</v>
      </c>
      <c r="B2044" s="668"/>
      <c r="C2044" s="721"/>
      <c r="D2044" s="721"/>
      <c r="E2044" s="721"/>
      <c r="F2044" s="721"/>
      <c r="G2044" s="639"/>
      <c r="H2044" s="668"/>
      <c r="I2044" s="721"/>
      <c r="J2044" s="639"/>
      <c r="K2044" s="1124"/>
    </row>
    <row r="2045" spans="1:11" x14ac:dyDescent="0.25">
      <c r="A2045" s="718">
        <v>4</v>
      </c>
      <c r="B2045" s="668"/>
      <c r="C2045" s="721"/>
      <c r="D2045" s="721"/>
      <c r="E2045" s="721"/>
      <c r="F2045" s="721"/>
      <c r="G2045" s="639"/>
      <c r="H2045" s="668"/>
      <c r="I2045" s="721"/>
      <c r="J2045" s="639"/>
      <c r="K2045" s="1124"/>
    </row>
    <row r="2046" spans="1:11" x14ac:dyDescent="0.25">
      <c r="A2046" s="718">
        <v>5</v>
      </c>
      <c r="B2046" s="668"/>
      <c r="C2046" s="721"/>
      <c r="D2046" s="721"/>
      <c r="E2046" s="721"/>
      <c r="F2046" s="721"/>
      <c r="G2046" s="639"/>
      <c r="H2046" s="668"/>
      <c r="I2046" s="721"/>
      <c r="J2046" s="639"/>
      <c r="K2046" s="1124"/>
    </row>
    <row r="2047" spans="1:11" ht="13.8" thickBot="1" x14ac:dyDescent="0.3">
      <c r="A2047" s="719">
        <v>6</v>
      </c>
      <c r="B2047" s="669"/>
      <c r="C2047" s="1137"/>
      <c r="D2047" s="1137"/>
      <c r="E2047" s="1137"/>
      <c r="F2047" s="1137"/>
      <c r="G2047" s="646"/>
      <c r="H2047" s="669"/>
      <c r="I2047" s="1137"/>
      <c r="J2047" s="646"/>
      <c r="K2047" s="1138"/>
    </row>
    <row r="2048" spans="1:11" x14ac:dyDescent="0.25">
      <c r="A2048" s="1190">
        <v>1</v>
      </c>
      <c r="B2048" s="745"/>
      <c r="C2048" s="1117"/>
      <c r="D2048" s="1117"/>
      <c r="E2048" s="1117"/>
      <c r="F2048" s="1117"/>
      <c r="G2048" s="632"/>
      <c r="H2048" s="745"/>
      <c r="I2048" s="1117"/>
      <c r="J2048" s="632"/>
      <c r="K2048" s="1118"/>
    </row>
    <row r="2049" spans="1:11" x14ac:dyDescent="0.25">
      <c r="A2049" s="718">
        <v>2</v>
      </c>
      <c r="B2049" s="668"/>
      <c r="C2049" s="721"/>
      <c r="D2049" s="721"/>
      <c r="E2049" s="721"/>
      <c r="F2049" s="721"/>
      <c r="G2049" s="639"/>
      <c r="H2049" s="668"/>
      <c r="I2049" s="721"/>
      <c r="J2049" s="639"/>
      <c r="K2049" s="1124"/>
    </row>
    <row r="2050" spans="1:11" ht="13.8" thickBot="1" x14ac:dyDescent="0.3">
      <c r="A2050" s="719">
        <v>3</v>
      </c>
      <c r="B2050" s="669"/>
      <c r="C2050" s="1137"/>
      <c r="D2050" s="1137"/>
      <c r="E2050" s="1137"/>
      <c r="F2050" s="1137"/>
      <c r="G2050" s="646"/>
      <c r="H2050" s="669"/>
      <c r="I2050" s="1137"/>
      <c r="J2050" s="646"/>
      <c r="K2050" s="1138"/>
    </row>
    <row r="2051" spans="1:11" ht="13.8" thickBot="1" x14ac:dyDescent="0.3">
      <c r="A2051" s="1186" t="s">
        <v>691</v>
      </c>
      <c r="B2051" s="1187"/>
      <c r="C2051" s="1188"/>
      <c r="D2051" s="1188"/>
      <c r="E2051" s="1188"/>
      <c r="F2051" s="1188"/>
      <c r="G2051" s="1189"/>
      <c r="H2051" s="1187"/>
      <c r="I2051" s="1188"/>
      <c r="J2051" s="1189"/>
      <c r="K2051" s="716"/>
    </row>
    <row r="2052" spans="1:11" x14ac:dyDescent="0.25">
      <c r="A2052" s="1190">
        <v>1</v>
      </c>
      <c r="B2052" s="745"/>
      <c r="C2052" s="1117"/>
      <c r="D2052" s="1117"/>
      <c r="E2052" s="1117"/>
      <c r="F2052" s="1117"/>
      <c r="G2052" s="632"/>
      <c r="H2052" s="745"/>
      <c r="I2052" s="1117"/>
      <c r="J2052" s="632"/>
      <c r="K2052" s="1118"/>
    </row>
    <row r="2053" spans="1:11" x14ac:dyDescent="0.25">
      <c r="A2053" s="718">
        <v>2</v>
      </c>
      <c r="B2053" s="668"/>
      <c r="C2053" s="721"/>
      <c r="D2053" s="721"/>
      <c r="E2053" s="721"/>
      <c r="F2053" s="721"/>
      <c r="G2053" s="639"/>
      <c r="H2053" s="668"/>
      <c r="I2053" s="721"/>
      <c r="J2053" s="639"/>
      <c r="K2053" s="1124"/>
    </row>
    <row r="2054" spans="1:11" x14ac:dyDescent="0.25">
      <c r="A2054" s="718">
        <v>3</v>
      </c>
      <c r="B2054" s="668"/>
      <c r="C2054" s="721"/>
      <c r="D2054" s="721"/>
      <c r="E2054" s="721"/>
      <c r="F2054" s="721"/>
      <c r="G2054" s="639"/>
      <c r="H2054" s="668"/>
      <c r="I2054" s="721"/>
      <c r="J2054" s="639"/>
      <c r="K2054" s="1124"/>
    </row>
    <row r="2055" spans="1:11" x14ac:dyDescent="0.25">
      <c r="A2055" s="718">
        <v>4</v>
      </c>
      <c r="B2055" s="668"/>
      <c r="C2055" s="721"/>
      <c r="D2055" s="721"/>
      <c r="E2055" s="721"/>
      <c r="F2055" s="721"/>
      <c r="G2055" s="639"/>
      <c r="H2055" s="668"/>
      <c r="I2055" s="721"/>
      <c r="J2055" s="639"/>
      <c r="K2055" s="1124"/>
    </row>
    <row r="2056" spans="1:11" x14ac:dyDescent="0.25">
      <c r="A2056" s="718">
        <v>5</v>
      </c>
      <c r="B2056" s="668"/>
      <c r="C2056" s="721"/>
      <c r="D2056" s="721"/>
      <c r="E2056" s="721"/>
      <c r="F2056" s="721"/>
      <c r="G2056" s="639"/>
      <c r="H2056" s="668"/>
      <c r="I2056" s="721"/>
      <c r="J2056" s="639"/>
      <c r="K2056" s="1124"/>
    </row>
    <row r="2057" spans="1:11" ht="13.8" thickBot="1" x14ac:dyDescent="0.3">
      <c r="A2057" s="719">
        <v>6</v>
      </c>
      <c r="B2057" s="669"/>
      <c r="C2057" s="1137"/>
      <c r="D2057" s="1137"/>
      <c r="E2057" s="1137"/>
      <c r="F2057" s="1137"/>
      <c r="G2057" s="646"/>
      <c r="H2057" s="669"/>
      <c r="I2057" s="1137"/>
      <c r="J2057" s="646"/>
      <c r="K2057" s="1138"/>
    </row>
    <row r="2058" spans="1:11" x14ac:dyDescent="0.25">
      <c r="A2058" s="1190">
        <v>1</v>
      </c>
      <c r="B2058" s="745"/>
      <c r="C2058" s="1117"/>
      <c r="D2058" s="1117"/>
      <c r="E2058" s="1117"/>
      <c r="F2058" s="1117"/>
      <c r="G2058" s="632"/>
      <c r="H2058" s="745"/>
      <c r="I2058" s="1117"/>
      <c r="J2058" s="632"/>
      <c r="K2058" s="1118"/>
    </row>
    <row r="2059" spans="1:11" x14ac:dyDescent="0.25">
      <c r="A2059" s="718">
        <v>2</v>
      </c>
      <c r="B2059" s="668"/>
      <c r="C2059" s="721"/>
      <c r="D2059" s="721"/>
      <c r="E2059" s="721"/>
      <c r="F2059" s="721"/>
      <c r="G2059" s="639"/>
      <c r="H2059" s="668"/>
      <c r="I2059" s="721"/>
      <c r="J2059" s="639"/>
      <c r="K2059" s="1124"/>
    </row>
    <row r="2060" spans="1:11" ht="13.8" thickBot="1" x14ac:dyDescent="0.3">
      <c r="A2060" s="719">
        <v>3</v>
      </c>
      <c r="B2060" s="669"/>
      <c r="C2060" s="1137"/>
      <c r="D2060" s="1137"/>
      <c r="E2060" s="1137"/>
      <c r="F2060" s="1137"/>
      <c r="G2060" s="646"/>
      <c r="H2060" s="669"/>
      <c r="I2060" s="1137"/>
      <c r="J2060" s="646"/>
      <c r="K2060" s="1138"/>
    </row>
    <row r="2061" spans="1:11" ht="13.8" thickBot="1" x14ac:dyDescent="0.3">
      <c r="A2061" s="1186" t="s">
        <v>692</v>
      </c>
      <c r="B2061" s="1187"/>
      <c r="C2061" s="1188"/>
      <c r="D2061" s="1188"/>
      <c r="E2061" s="1188"/>
      <c r="F2061" s="1188"/>
      <c r="G2061" s="1189"/>
      <c r="H2061" s="1187"/>
      <c r="I2061" s="1188"/>
      <c r="J2061" s="1189"/>
      <c r="K2061" s="716"/>
    </row>
    <row r="2062" spans="1:11" x14ac:dyDescent="0.25">
      <c r="A2062" s="1190">
        <v>1</v>
      </c>
      <c r="B2062" s="745"/>
      <c r="C2062" s="1117"/>
      <c r="D2062" s="1117"/>
      <c r="E2062" s="1117"/>
      <c r="F2062" s="1117"/>
      <c r="G2062" s="632"/>
      <c r="H2062" s="745"/>
      <c r="I2062" s="1117"/>
      <c r="J2062" s="632"/>
      <c r="K2062" s="1118"/>
    </row>
    <row r="2063" spans="1:11" x14ac:dyDescent="0.25">
      <c r="A2063" s="718">
        <v>2</v>
      </c>
      <c r="B2063" s="668"/>
      <c r="C2063" s="721"/>
      <c r="D2063" s="721"/>
      <c r="E2063" s="721"/>
      <c r="F2063" s="721"/>
      <c r="G2063" s="639"/>
      <c r="H2063" s="668"/>
      <c r="I2063" s="721"/>
      <c r="J2063" s="639"/>
      <c r="K2063" s="1124"/>
    </row>
    <row r="2064" spans="1:11" x14ac:dyDescent="0.25">
      <c r="A2064" s="718">
        <v>3</v>
      </c>
      <c r="B2064" s="668"/>
      <c r="C2064" s="721"/>
      <c r="D2064" s="721"/>
      <c r="E2064" s="721"/>
      <c r="F2064" s="721"/>
      <c r="G2064" s="639"/>
      <c r="H2064" s="668"/>
      <c r="I2064" s="721"/>
      <c r="J2064" s="639"/>
      <c r="K2064" s="1124"/>
    </row>
    <row r="2065" spans="1:11" x14ac:dyDescent="0.25">
      <c r="A2065" s="718">
        <v>4</v>
      </c>
      <c r="B2065" s="668"/>
      <c r="C2065" s="721"/>
      <c r="D2065" s="721"/>
      <c r="E2065" s="721"/>
      <c r="F2065" s="721"/>
      <c r="G2065" s="639"/>
      <c r="H2065" s="668"/>
      <c r="I2065" s="721"/>
      <c r="J2065" s="639"/>
      <c r="K2065" s="1124"/>
    </row>
    <row r="2066" spans="1:11" x14ac:dyDescent="0.25">
      <c r="A2066" s="718">
        <v>5</v>
      </c>
      <c r="B2066" s="668"/>
      <c r="C2066" s="721"/>
      <c r="D2066" s="721"/>
      <c r="E2066" s="721"/>
      <c r="F2066" s="721"/>
      <c r="G2066" s="639"/>
      <c r="H2066" s="668"/>
      <c r="I2066" s="721"/>
      <c r="J2066" s="639"/>
      <c r="K2066" s="1124"/>
    </row>
    <row r="2067" spans="1:11" ht="13.8" thickBot="1" x14ac:dyDescent="0.3">
      <c r="A2067" s="719">
        <v>6</v>
      </c>
      <c r="B2067" s="669"/>
      <c r="C2067" s="1137"/>
      <c r="D2067" s="1137"/>
      <c r="E2067" s="1137"/>
      <c r="F2067" s="1137"/>
      <c r="G2067" s="646"/>
      <c r="H2067" s="669"/>
      <c r="I2067" s="1137"/>
      <c r="J2067" s="646"/>
      <c r="K2067" s="1138"/>
    </row>
    <row r="2068" spans="1:11" x14ac:dyDescent="0.25">
      <c r="A2068" s="1190">
        <v>1</v>
      </c>
      <c r="B2068" s="745"/>
      <c r="C2068" s="1117"/>
      <c r="D2068" s="1117"/>
      <c r="E2068" s="1117"/>
      <c r="F2068" s="1117"/>
      <c r="G2068" s="632"/>
      <c r="H2068" s="745"/>
      <c r="I2068" s="1117"/>
      <c r="J2068" s="632"/>
      <c r="K2068" s="1118"/>
    </row>
    <row r="2069" spans="1:11" x14ac:dyDescent="0.25">
      <c r="A2069" s="718">
        <v>2</v>
      </c>
      <c r="B2069" s="668"/>
      <c r="C2069" s="721"/>
      <c r="D2069" s="721"/>
      <c r="E2069" s="721"/>
      <c r="F2069" s="721"/>
      <c r="G2069" s="639"/>
      <c r="H2069" s="668"/>
      <c r="I2069" s="721"/>
      <c r="J2069" s="639"/>
      <c r="K2069" s="1124"/>
    </row>
    <row r="2070" spans="1:11" ht="13.8" thickBot="1" x14ac:dyDescent="0.3">
      <c r="A2070" s="719">
        <v>3</v>
      </c>
      <c r="B2070" s="669"/>
      <c r="C2070" s="1137"/>
      <c r="D2070" s="1137"/>
      <c r="E2070" s="1137"/>
      <c r="F2070" s="1137"/>
      <c r="G2070" s="646"/>
      <c r="H2070" s="669"/>
      <c r="I2070" s="1137"/>
      <c r="J2070" s="646"/>
      <c r="K2070" s="1138"/>
    </row>
    <row r="2071" spans="1:11" ht="13.8" thickBot="1" x14ac:dyDescent="0.3">
      <c r="A2071" s="1186" t="s">
        <v>693</v>
      </c>
      <c r="B2071" s="1187"/>
      <c r="C2071" s="1188"/>
      <c r="D2071" s="1188"/>
      <c r="E2071" s="1188"/>
      <c r="F2071" s="1188"/>
      <c r="G2071" s="1189"/>
      <c r="H2071" s="1187"/>
      <c r="I2071" s="1188"/>
      <c r="J2071" s="1189"/>
      <c r="K2071" s="716"/>
    </row>
    <row r="2072" spans="1:11" x14ac:dyDescent="0.25">
      <c r="A2072" s="1190">
        <v>1</v>
      </c>
      <c r="B2072" s="745"/>
      <c r="C2072" s="1117"/>
      <c r="D2072" s="1117"/>
      <c r="E2072" s="1117"/>
      <c r="F2072" s="1117"/>
      <c r="G2072" s="632"/>
      <c r="H2072" s="745"/>
      <c r="I2072" s="1117"/>
      <c r="J2072" s="632"/>
      <c r="K2072" s="1118"/>
    </row>
    <row r="2073" spans="1:11" x14ac:dyDescent="0.25">
      <c r="A2073" s="718">
        <v>2</v>
      </c>
      <c r="B2073" s="668"/>
      <c r="C2073" s="721"/>
      <c r="D2073" s="721"/>
      <c r="E2073" s="721"/>
      <c r="F2073" s="721"/>
      <c r="G2073" s="639"/>
      <c r="H2073" s="668"/>
      <c r="I2073" s="721"/>
      <c r="J2073" s="639"/>
      <c r="K2073" s="1124"/>
    </row>
    <row r="2074" spans="1:11" x14ac:dyDescent="0.25">
      <c r="A2074" s="718">
        <v>3</v>
      </c>
      <c r="B2074" s="668"/>
      <c r="C2074" s="721"/>
      <c r="D2074" s="721"/>
      <c r="E2074" s="721"/>
      <c r="F2074" s="721"/>
      <c r="G2074" s="639"/>
      <c r="H2074" s="668"/>
      <c r="I2074" s="721"/>
      <c r="J2074" s="639"/>
      <c r="K2074" s="1124"/>
    </row>
    <row r="2075" spans="1:11" x14ac:dyDescent="0.25">
      <c r="A2075" s="718">
        <v>4</v>
      </c>
      <c r="B2075" s="668"/>
      <c r="C2075" s="721"/>
      <c r="D2075" s="721"/>
      <c r="E2075" s="721"/>
      <c r="F2075" s="721"/>
      <c r="G2075" s="639"/>
      <c r="H2075" s="668"/>
      <c r="I2075" s="721"/>
      <c r="J2075" s="639"/>
      <c r="K2075" s="1124"/>
    </row>
    <row r="2076" spans="1:11" x14ac:dyDescent="0.25">
      <c r="A2076" s="718">
        <v>5</v>
      </c>
      <c r="B2076" s="668"/>
      <c r="C2076" s="721"/>
      <c r="D2076" s="721"/>
      <c r="E2076" s="721"/>
      <c r="F2076" s="721"/>
      <c r="G2076" s="639"/>
      <c r="H2076" s="668"/>
      <c r="I2076" s="721"/>
      <c r="J2076" s="639"/>
      <c r="K2076" s="1124"/>
    </row>
    <row r="2077" spans="1:11" ht="13.8" thickBot="1" x14ac:dyDescent="0.3">
      <c r="A2077" s="719">
        <v>6</v>
      </c>
      <c r="B2077" s="669"/>
      <c r="C2077" s="1137"/>
      <c r="D2077" s="1137"/>
      <c r="E2077" s="1137"/>
      <c r="F2077" s="1137"/>
      <c r="G2077" s="646"/>
      <c r="H2077" s="669"/>
      <c r="I2077" s="1137"/>
      <c r="J2077" s="646"/>
      <c r="K2077" s="1138"/>
    </row>
    <row r="2078" spans="1:11" x14ac:dyDescent="0.25">
      <c r="A2078" s="1190">
        <v>1</v>
      </c>
      <c r="B2078" s="745"/>
      <c r="C2078" s="1117"/>
      <c r="D2078" s="1117"/>
      <c r="E2078" s="1117"/>
      <c r="F2078" s="1117"/>
      <c r="G2078" s="632"/>
      <c r="H2078" s="745"/>
      <c r="I2078" s="1117"/>
      <c r="J2078" s="632"/>
      <c r="K2078" s="1118"/>
    </row>
    <row r="2079" spans="1:11" x14ac:dyDescent="0.25">
      <c r="A2079" s="718">
        <v>2</v>
      </c>
      <c r="B2079" s="668"/>
      <c r="C2079" s="721"/>
      <c r="D2079" s="721"/>
      <c r="E2079" s="721"/>
      <c r="F2079" s="721"/>
      <c r="G2079" s="639"/>
      <c r="H2079" s="668"/>
      <c r="I2079" s="721"/>
      <c r="J2079" s="639"/>
      <c r="K2079" s="1124"/>
    </row>
    <row r="2080" spans="1:11" ht="13.8" thickBot="1" x14ac:dyDescent="0.3">
      <c r="A2080" s="719">
        <v>3</v>
      </c>
      <c r="B2080" s="669"/>
      <c r="C2080" s="1137"/>
      <c r="D2080" s="1137"/>
      <c r="E2080" s="1137"/>
      <c r="F2080" s="1137"/>
      <c r="G2080" s="646"/>
      <c r="H2080" s="669"/>
      <c r="I2080" s="1137"/>
      <c r="J2080" s="646"/>
      <c r="K2080" s="1138"/>
    </row>
    <row r="2081" spans="1:11" ht="13.8" thickBot="1" x14ac:dyDescent="0.3">
      <c r="A2081" s="1186" t="s">
        <v>694</v>
      </c>
      <c r="B2081" s="1187"/>
      <c r="C2081" s="1188"/>
      <c r="D2081" s="1188"/>
      <c r="E2081" s="1188"/>
      <c r="F2081" s="1188"/>
      <c r="G2081" s="1189"/>
      <c r="H2081" s="1187"/>
      <c r="I2081" s="1188"/>
      <c r="J2081" s="1189"/>
      <c r="K2081" s="716"/>
    </row>
    <row r="2082" spans="1:11" x14ac:dyDescent="0.25">
      <c r="A2082" s="1190">
        <v>1</v>
      </c>
      <c r="B2082" s="745"/>
      <c r="C2082" s="1117"/>
      <c r="D2082" s="1117"/>
      <c r="E2082" s="1117"/>
      <c r="F2082" s="1117"/>
      <c r="G2082" s="632"/>
      <c r="H2082" s="745"/>
      <c r="I2082" s="1117"/>
      <c r="J2082" s="632"/>
      <c r="K2082" s="1118"/>
    </row>
    <row r="2083" spans="1:11" x14ac:dyDescent="0.25">
      <c r="A2083" s="718">
        <v>2</v>
      </c>
      <c r="B2083" s="668"/>
      <c r="C2083" s="721"/>
      <c r="D2083" s="721"/>
      <c r="E2083" s="721"/>
      <c r="F2083" s="721"/>
      <c r="G2083" s="639"/>
      <c r="H2083" s="668"/>
      <c r="I2083" s="721"/>
      <c r="J2083" s="639"/>
      <c r="K2083" s="1124"/>
    </row>
    <row r="2084" spans="1:11" x14ac:dyDescent="0.25">
      <c r="A2084" s="718">
        <v>3</v>
      </c>
      <c r="B2084" s="668"/>
      <c r="C2084" s="721"/>
      <c r="D2084" s="721"/>
      <c r="E2084" s="721"/>
      <c r="F2084" s="721"/>
      <c r="G2084" s="639"/>
      <c r="H2084" s="668"/>
      <c r="I2084" s="721"/>
      <c r="J2084" s="639"/>
      <c r="K2084" s="1124"/>
    </row>
    <row r="2085" spans="1:11" x14ac:dyDescent="0.25">
      <c r="A2085" s="718">
        <v>4</v>
      </c>
      <c r="B2085" s="668"/>
      <c r="C2085" s="721"/>
      <c r="D2085" s="721"/>
      <c r="E2085" s="721"/>
      <c r="F2085" s="721"/>
      <c r="G2085" s="639"/>
      <c r="H2085" s="668"/>
      <c r="I2085" s="721"/>
      <c r="J2085" s="639"/>
      <c r="K2085" s="1124"/>
    </row>
    <row r="2086" spans="1:11" x14ac:dyDescent="0.25">
      <c r="A2086" s="718">
        <v>5</v>
      </c>
      <c r="B2086" s="668"/>
      <c r="C2086" s="721"/>
      <c r="D2086" s="721"/>
      <c r="E2086" s="721"/>
      <c r="F2086" s="721"/>
      <c r="G2086" s="639"/>
      <c r="H2086" s="668"/>
      <c r="I2086" s="721"/>
      <c r="J2086" s="639"/>
      <c r="K2086" s="1124"/>
    </row>
    <row r="2087" spans="1:11" ht="13.8" thickBot="1" x14ac:dyDescent="0.3">
      <c r="A2087" s="719">
        <v>6</v>
      </c>
      <c r="B2087" s="669"/>
      <c r="C2087" s="1137"/>
      <c r="D2087" s="1137"/>
      <c r="E2087" s="1137"/>
      <c r="F2087" s="1137"/>
      <c r="G2087" s="646"/>
      <c r="H2087" s="669"/>
      <c r="I2087" s="1137"/>
      <c r="J2087" s="646"/>
      <c r="K2087" s="1138"/>
    </row>
    <row r="2088" spans="1:11" x14ac:dyDescent="0.25">
      <c r="A2088" s="1190">
        <v>1</v>
      </c>
      <c r="B2088" s="745"/>
      <c r="C2088" s="1117"/>
      <c r="D2088" s="1117"/>
      <c r="E2088" s="1117"/>
      <c r="F2088" s="1117"/>
      <c r="G2088" s="632"/>
      <c r="H2088" s="745"/>
      <c r="I2088" s="1117"/>
      <c r="J2088" s="632"/>
      <c r="K2088" s="1118"/>
    </row>
    <row r="2089" spans="1:11" x14ac:dyDescent="0.25">
      <c r="A2089" s="718">
        <v>2</v>
      </c>
      <c r="B2089" s="668"/>
      <c r="C2089" s="721"/>
      <c r="D2089" s="721"/>
      <c r="E2089" s="721"/>
      <c r="F2089" s="721"/>
      <c r="G2089" s="639"/>
      <c r="H2089" s="668"/>
      <c r="I2089" s="721"/>
      <c r="J2089" s="639"/>
      <c r="K2089" s="1124"/>
    </row>
    <row r="2090" spans="1:11" ht="13.8" thickBot="1" x14ac:dyDescent="0.3">
      <c r="A2090" s="719">
        <v>3</v>
      </c>
      <c r="B2090" s="669"/>
      <c r="C2090" s="1137"/>
      <c r="D2090" s="1137"/>
      <c r="E2090" s="1137"/>
      <c r="F2090" s="1137"/>
      <c r="G2090" s="646"/>
      <c r="H2090" s="669"/>
      <c r="I2090" s="1137"/>
      <c r="J2090" s="646"/>
      <c r="K2090" s="1138"/>
    </row>
    <row r="2091" spans="1:11" ht="13.8" thickBot="1" x14ac:dyDescent="0.3">
      <c r="A2091" s="1186" t="s">
        <v>695</v>
      </c>
      <c r="B2091" s="1187"/>
      <c r="C2091" s="1188"/>
      <c r="D2091" s="1188"/>
      <c r="E2091" s="1188"/>
      <c r="F2091" s="1188"/>
      <c r="G2091" s="1189"/>
      <c r="H2091" s="1187"/>
      <c r="I2091" s="1188"/>
      <c r="J2091" s="1189"/>
      <c r="K2091" s="716"/>
    </row>
    <row r="2092" spans="1:11" x14ac:dyDescent="0.25">
      <c r="A2092" s="1190">
        <v>1</v>
      </c>
      <c r="B2092" s="745"/>
      <c r="C2092" s="1117"/>
      <c r="D2092" s="1117"/>
      <c r="E2092" s="1117"/>
      <c r="F2092" s="1117"/>
      <c r="G2092" s="632"/>
      <c r="H2092" s="745"/>
      <c r="I2092" s="1117"/>
      <c r="J2092" s="632"/>
      <c r="K2092" s="1118"/>
    </row>
    <row r="2093" spans="1:11" x14ac:dyDescent="0.25">
      <c r="A2093" s="718">
        <v>2</v>
      </c>
      <c r="B2093" s="668"/>
      <c r="C2093" s="721"/>
      <c r="D2093" s="721"/>
      <c r="E2093" s="721"/>
      <c r="F2093" s="721"/>
      <c r="G2093" s="639"/>
      <c r="H2093" s="668"/>
      <c r="I2093" s="721"/>
      <c r="J2093" s="639"/>
      <c r="K2093" s="1124"/>
    </row>
    <row r="2094" spans="1:11" x14ac:dyDescent="0.25">
      <c r="A2094" s="718">
        <v>3</v>
      </c>
      <c r="B2094" s="668"/>
      <c r="C2094" s="721"/>
      <c r="D2094" s="721"/>
      <c r="E2094" s="721"/>
      <c r="F2094" s="721"/>
      <c r="G2094" s="639"/>
      <c r="H2094" s="668"/>
      <c r="I2094" s="721"/>
      <c r="J2094" s="639"/>
      <c r="K2094" s="1124"/>
    </row>
    <row r="2095" spans="1:11" x14ac:dyDescent="0.25">
      <c r="A2095" s="718">
        <v>4</v>
      </c>
      <c r="B2095" s="668"/>
      <c r="C2095" s="721"/>
      <c r="D2095" s="721"/>
      <c r="E2095" s="721"/>
      <c r="F2095" s="721"/>
      <c r="G2095" s="639"/>
      <c r="H2095" s="668"/>
      <c r="I2095" s="721"/>
      <c r="J2095" s="639"/>
      <c r="K2095" s="1124"/>
    </row>
    <row r="2096" spans="1:11" x14ac:dyDescent="0.25">
      <c r="A2096" s="718">
        <v>5</v>
      </c>
      <c r="B2096" s="668"/>
      <c r="C2096" s="721"/>
      <c r="D2096" s="721"/>
      <c r="E2096" s="721"/>
      <c r="F2096" s="721"/>
      <c r="G2096" s="639"/>
      <c r="H2096" s="668"/>
      <c r="I2096" s="721"/>
      <c r="J2096" s="639"/>
      <c r="K2096" s="1124"/>
    </row>
    <row r="2097" spans="1:11" ht="13.8" thickBot="1" x14ac:dyDescent="0.3">
      <c r="A2097" s="719">
        <v>6</v>
      </c>
      <c r="B2097" s="669"/>
      <c r="C2097" s="1137"/>
      <c r="D2097" s="1137"/>
      <c r="E2097" s="1137"/>
      <c r="F2097" s="1137"/>
      <c r="G2097" s="646"/>
      <c r="H2097" s="669"/>
      <c r="I2097" s="1137"/>
      <c r="J2097" s="646"/>
      <c r="K2097" s="1138"/>
    </row>
    <row r="2098" spans="1:11" x14ac:dyDescent="0.25">
      <c r="A2098" s="1190">
        <v>1</v>
      </c>
      <c r="B2098" s="745"/>
      <c r="C2098" s="1117"/>
      <c r="D2098" s="1117"/>
      <c r="E2098" s="1117"/>
      <c r="F2098" s="1117"/>
      <c r="G2098" s="632"/>
      <c r="H2098" s="745"/>
      <c r="I2098" s="1117"/>
      <c r="J2098" s="632"/>
      <c r="K2098" s="1118"/>
    </row>
    <row r="2099" spans="1:11" x14ac:dyDescent="0.25">
      <c r="A2099" s="718">
        <v>2</v>
      </c>
      <c r="B2099" s="668"/>
      <c r="C2099" s="721"/>
      <c r="D2099" s="721"/>
      <c r="E2099" s="721"/>
      <c r="F2099" s="721"/>
      <c r="G2099" s="639"/>
      <c r="H2099" s="668"/>
      <c r="I2099" s="721"/>
      <c r="J2099" s="639"/>
      <c r="K2099" s="1124"/>
    </row>
    <row r="2100" spans="1:11" ht="13.8" thickBot="1" x14ac:dyDescent="0.3">
      <c r="A2100" s="1191">
        <v>3</v>
      </c>
      <c r="B2100" s="1132"/>
      <c r="C2100" s="1133"/>
      <c r="D2100" s="1133"/>
      <c r="E2100" s="1133"/>
      <c r="F2100" s="1133"/>
      <c r="G2100" s="1134"/>
      <c r="H2100" s="1132"/>
      <c r="I2100" s="1133"/>
      <c r="J2100" s="1134"/>
      <c r="K2100" s="1147"/>
    </row>
    <row r="2101" spans="1:11" ht="13.8" thickBot="1" x14ac:dyDescent="0.3">
      <c r="A2101" s="1186" t="s">
        <v>696</v>
      </c>
      <c r="B2101" s="1187"/>
      <c r="C2101" s="1188"/>
      <c r="D2101" s="1188"/>
      <c r="E2101" s="1188"/>
      <c r="F2101" s="1188"/>
      <c r="G2101" s="1189"/>
      <c r="H2101" s="1187"/>
      <c r="I2101" s="1188"/>
      <c r="J2101" s="1189"/>
      <c r="K2101" s="716"/>
    </row>
    <row r="2102" spans="1:11" x14ac:dyDescent="0.25">
      <c r="A2102" s="1190">
        <v>1</v>
      </c>
      <c r="B2102" s="745"/>
      <c r="C2102" s="1117"/>
      <c r="D2102" s="1117"/>
      <c r="E2102" s="1117"/>
      <c r="F2102" s="1117"/>
      <c r="G2102" s="632"/>
      <c r="H2102" s="745"/>
      <c r="I2102" s="1117"/>
      <c r="J2102" s="632"/>
      <c r="K2102" s="1118"/>
    </row>
    <row r="2103" spans="1:11" x14ac:dyDescent="0.25">
      <c r="A2103" s="718">
        <v>2</v>
      </c>
      <c r="B2103" s="668"/>
      <c r="C2103" s="721"/>
      <c r="D2103" s="721"/>
      <c r="E2103" s="721"/>
      <c r="F2103" s="721"/>
      <c r="G2103" s="639"/>
      <c r="H2103" s="668"/>
      <c r="I2103" s="721"/>
      <c r="J2103" s="639"/>
      <c r="K2103" s="1124"/>
    </row>
    <row r="2104" spans="1:11" x14ac:dyDescent="0.25">
      <c r="A2104" s="718">
        <v>3</v>
      </c>
      <c r="B2104" s="668"/>
      <c r="C2104" s="721"/>
      <c r="D2104" s="721"/>
      <c r="E2104" s="721"/>
      <c r="F2104" s="721"/>
      <c r="G2104" s="639"/>
      <c r="H2104" s="668"/>
      <c r="I2104" s="721"/>
      <c r="J2104" s="639"/>
      <c r="K2104" s="1124"/>
    </row>
    <row r="2105" spans="1:11" x14ac:dyDescent="0.25">
      <c r="A2105" s="718">
        <v>4</v>
      </c>
      <c r="B2105" s="668"/>
      <c r="C2105" s="721"/>
      <c r="D2105" s="721"/>
      <c r="E2105" s="721"/>
      <c r="F2105" s="721"/>
      <c r="G2105" s="639"/>
      <c r="H2105" s="668"/>
      <c r="I2105" s="721"/>
      <c r="J2105" s="639"/>
      <c r="K2105" s="1124"/>
    </row>
    <row r="2106" spans="1:11" x14ac:dyDescent="0.25">
      <c r="A2106" s="718">
        <v>5</v>
      </c>
      <c r="B2106" s="668"/>
      <c r="C2106" s="721"/>
      <c r="D2106" s="721"/>
      <c r="E2106" s="721"/>
      <c r="F2106" s="721"/>
      <c r="G2106" s="639"/>
      <c r="H2106" s="668"/>
      <c r="I2106" s="721"/>
      <c r="J2106" s="639"/>
      <c r="K2106" s="1124"/>
    </row>
    <row r="2107" spans="1:11" ht="13.8" thickBot="1" x14ac:dyDescent="0.3">
      <c r="A2107" s="719">
        <v>6</v>
      </c>
      <c r="B2107" s="669"/>
      <c r="C2107" s="1137"/>
      <c r="D2107" s="1137"/>
      <c r="E2107" s="1137"/>
      <c r="F2107" s="1137"/>
      <c r="G2107" s="646"/>
      <c r="H2107" s="669"/>
      <c r="I2107" s="1137"/>
      <c r="J2107" s="646"/>
      <c r="K2107" s="1138"/>
    </row>
    <row r="2108" spans="1:11" x14ac:dyDescent="0.25">
      <c r="A2108" s="1190">
        <v>1</v>
      </c>
      <c r="B2108" s="745"/>
      <c r="C2108" s="1117"/>
      <c r="D2108" s="1117"/>
      <c r="E2108" s="1117"/>
      <c r="F2108" s="1117"/>
      <c r="G2108" s="632"/>
      <c r="H2108" s="745"/>
      <c r="I2108" s="1117"/>
      <c r="J2108" s="632"/>
      <c r="K2108" s="1118"/>
    </row>
    <row r="2109" spans="1:11" x14ac:dyDescent="0.25">
      <c r="A2109" s="718">
        <v>2</v>
      </c>
      <c r="B2109" s="668"/>
      <c r="C2109" s="721"/>
      <c r="D2109" s="721"/>
      <c r="E2109" s="721"/>
      <c r="F2109" s="721"/>
      <c r="G2109" s="639"/>
      <c r="H2109" s="668"/>
      <c r="I2109" s="721"/>
      <c r="J2109" s="639"/>
      <c r="K2109" s="1124"/>
    </row>
    <row r="2110" spans="1:11" ht="13.8" thickBot="1" x14ac:dyDescent="0.3">
      <c r="A2110" s="719">
        <v>3</v>
      </c>
      <c r="B2110" s="669"/>
      <c r="C2110" s="1137"/>
      <c r="D2110" s="1137"/>
      <c r="E2110" s="1137"/>
      <c r="F2110" s="1137"/>
      <c r="G2110" s="646"/>
      <c r="H2110" s="669"/>
      <c r="I2110" s="1137"/>
      <c r="J2110" s="646"/>
      <c r="K2110" s="1138"/>
    </row>
    <row r="2111" spans="1:11" ht="13.8" thickBot="1" x14ac:dyDescent="0.3">
      <c r="A2111" s="1186" t="s">
        <v>697</v>
      </c>
      <c r="B2111" s="1187"/>
      <c r="C2111" s="1188"/>
      <c r="D2111" s="1188"/>
      <c r="E2111" s="1188"/>
      <c r="F2111" s="1188"/>
      <c r="G2111" s="1189"/>
      <c r="H2111" s="1187"/>
      <c r="I2111" s="1188"/>
      <c r="J2111" s="1189"/>
      <c r="K2111" s="716"/>
    </row>
    <row r="2112" spans="1:11" x14ac:dyDescent="0.25">
      <c r="A2112" s="1190">
        <v>1</v>
      </c>
      <c r="B2112" s="745"/>
      <c r="C2112" s="1117"/>
      <c r="D2112" s="1117"/>
      <c r="E2112" s="1117"/>
      <c r="F2112" s="1117"/>
      <c r="G2112" s="632"/>
      <c r="H2112" s="745"/>
      <c r="I2112" s="1117"/>
      <c r="J2112" s="632"/>
      <c r="K2112" s="1118"/>
    </row>
    <row r="2113" spans="1:11" x14ac:dyDescent="0.25">
      <c r="A2113" s="718">
        <v>2</v>
      </c>
      <c r="B2113" s="668"/>
      <c r="C2113" s="721"/>
      <c r="D2113" s="721"/>
      <c r="E2113" s="721"/>
      <c r="F2113" s="721"/>
      <c r="G2113" s="639"/>
      <c r="H2113" s="668"/>
      <c r="I2113" s="721"/>
      <c r="J2113" s="639"/>
      <c r="K2113" s="1124"/>
    </row>
    <row r="2114" spans="1:11" x14ac:dyDescent="0.25">
      <c r="A2114" s="718">
        <v>3</v>
      </c>
      <c r="B2114" s="668"/>
      <c r="C2114" s="721"/>
      <c r="D2114" s="721"/>
      <c r="E2114" s="721"/>
      <c r="F2114" s="721"/>
      <c r="G2114" s="639"/>
      <c r="H2114" s="668"/>
      <c r="I2114" s="721"/>
      <c r="J2114" s="639"/>
      <c r="K2114" s="1124"/>
    </row>
    <row r="2115" spans="1:11" x14ac:dyDescent="0.25">
      <c r="A2115" s="718">
        <v>4</v>
      </c>
      <c r="B2115" s="668"/>
      <c r="C2115" s="721"/>
      <c r="D2115" s="721"/>
      <c r="E2115" s="721"/>
      <c r="F2115" s="721"/>
      <c r="G2115" s="639"/>
      <c r="H2115" s="668"/>
      <c r="I2115" s="721"/>
      <c r="J2115" s="639"/>
      <c r="K2115" s="1124"/>
    </row>
    <row r="2116" spans="1:11" x14ac:dyDescent="0.25">
      <c r="A2116" s="718">
        <v>5</v>
      </c>
      <c r="B2116" s="668"/>
      <c r="C2116" s="721"/>
      <c r="D2116" s="721"/>
      <c r="E2116" s="721"/>
      <c r="F2116" s="721"/>
      <c r="G2116" s="639"/>
      <c r="H2116" s="668"/>
      <c r="I2116" s="721"/>
      <c r="J2116" s="639"/>
      <c r="K2116" s="1124"/>
    </row>
    <row r="2117" spans="1:11" ht="13.8" thickBot="1" x14ac:dyDescent="0.3">
      <c r="A2117" s="719">
        <v>6</v>
      </c>
      <c r="B2117" s="669"/>
      <c r="C2117" s="1137"/>
      <c r="D2117" s="1137"/>
      <c r="E2117" s="1137"/>
      <c r="F2117" s="1137"/>
      <c r="G2117" s="646"/>
      <c r="H2117" s="669"/>
      <c r="I2117" s="1137"/>
      <c r="J2117" s="646"/>
      <c r="K2117" s="1138"/>
    </row>
    <row r="2118" spans="1:11" x14ac:dyDescent="0.25">
      <c r="A2118" s="1190">
        <v>1</v>
      </c>
      <c r="B2118" s="745"/>
      <c r="C2118" s="1117"/>
      <c r="D2118" s="1117"/>
      <c r="E2118" s="1117"/>
      <c r="F2118" s="1117"/>
      <c r="G2118" s="632"/>
      <c r="H2118" s="745"/>
      <c r="I2118" s="1117"/>
      <c r="J2118" s="632"/>
      <c r="K2118" s="1118"/>
    </row>
    <row r="2119" spans="1:11" x14ac:dyDescent="0.25">
      <c r="A2119" s="718">
        <v>2</v>
      </c>
      <c r="B2119" s="668"/>
      <c r="C2119" s="721"/>
      <c r="D2119" s="721"/>
      <c r="E2119" s="721"/>
      <c r="F2119" s="721"/>
      <c r="G2119" s="639"/>
      <c r="H2119" s="668"/>
      <c r="I2119" s="721"/>
      <c r="J2119" s="639"/>
      <c r="K2119" s="1124"/>
    </row>
    <row r="2120" spans="1:11" ht="13.8" thickBot="1" x14ac:dyDescent="0.3">
      <c r="A2120" s="719">
        <v>3</v>
      </c>
      <c r="B2120" s="669"/>
      <c r="C2120" s="1137"/>
      <c r="D2120" s="1137"/>
      <c r="E2120" s="1137"/>
      <c r="F2120" s="1137"/>
      <c r="G2120" s="646"/>
      <c r="H2120" s="669"/>
      <c r="I2120" s="1137"/>
      <c r="J2120" s="646"/>
      <c r="K2120" s="1138"/>
    </row>
    <row r="2121" spans="1:11" ht="13.8" thickBot="1" x14ac:dyDescent="0.3">
      <c r="A2121" s="1186" t="s">
        <v>698</v>
      </c>
      <c r="B2121" s="1187"/>
      <c r="C2121" s="1188"/>
      <c r="D2121" s="1188"/>
      <c r="E2121" s="1188"/>
      <c r="F2121" s="1188"/>
      <c r="G2121" s="1189"/>
      <c r="H2121" s="1187"/>
      <c r="I2121" s="1188"/>
      <c r="J2121" s="1189"/>
      <c r="K2121" s="716"/>
    </row>
    <row r="2122" spans="1:11" x14ac:dyDescent="0.25">
      <c r="A2122" s="1190">
        <v>1</v>
      </c>
      <c r="B2122" s="745"/>
      <c r="C2122" s="1117"/>
      <c r="D2122" s="1117"/>
      <c r="E2122" s="1117"/>
      <c r="F2122" s="1117"/>
      <c r="G2122" s="632"/>
      <c r="H2122" s="745"/>
      <c r="I2122" s="1117"/>
      <c r="J2122" s="632"/>
      <c r="K2122" s="1118"/>
    </row>
    <row r="2123" spans="1:11" x14ac:dyDescent="0.25">
      <c r="A2123" s="718">
        <v>2</v>
      </c>
      <c r="B2123" s="668"/>
      <c r="C2123" s="721"/>
      <c r="D2123" s="721"/>
      <c r="E2123" s="721"/>
      <c r="F2123" s="721"/>
      <c r="G2123" s="639"/>
      <c r="H2123" s="668"/>
      <c r="I2123" s="721"/>
      <c r="J2123" s="639"/>
      <c r="K2123" s="1124"/>
    </row>
    <row r="2124" spans="1:11" x14ac:dyDescent="0.25">
      <c r="A2124" s="718">
        <v>3</v>
      </c>
      <c r="B2124" s="668"/>
      <c r="C2124" s="721"/>
      <c r="D2124" s="721"/>
      <c r="E2124" s="721"/>
      <c r="F2124" s="721"/>
      <c r="G2124" s="639"/>
      <c r="H2124" s="668"/>
      <c r="I2124" s="721"/>
      <c r="J2124" s="639"/>
      <c r="K2124" s="1124"/>
    </row>
    <row r="2125" spans="1:11" x14ac:dyDescent="0.25">
      <c r="A2125" s="718">
        <v>4</v>
      </c>
      <c r="B2125" s="668"/>
      <c r="C2125" s="721"/>
      <c r="D2125" s="721"/>
      <c r="E2125" s="721"/>
      <c r="F2125" s="721"/>
      <c r="G2125" s="639"/>
      <c r="H2125" s="668"/>
      <c r="I2125" s="721"/>
      <c r="J2125" s="639"/>
      <c r="K2125" s="1124"/>
    </row>
    <row r="2126" spans="1:11" x14ac:dyDescent="0.25">
      <c r="A2126" s="718">
        <v>5</v>
      </c>
      <c r="B2126" s="668"/>
      <c r="C2126" s="721"/>
      <c r="D2126" s="721"/>
      <c r="E2126" s="721"/>
      <c r="F2126" s="721"/>
      <c r="G2126" s="639"/>
      <c r="H2126" s="668"/>
      <c r="I2126" s="721"/>
      <c r="J2126" s="639"/>
      <c r="K2126" s="1124"/>
    </row>
    <row r="2127" spans="1:11" ht="13.8" thickBot="1" x14ac:dyDescent="0.3">
      <c r="A2127" s="719">
        <v>6</v>
      </c>
      <c r="B2127" s="669"/>
      <c r="C2127" s="1137"/>
      <c r="D2127" s="1137"/>
      <c r="E2127" s="1137"/>
      <c r="F2127" s="1137"/>
      <c r="G2127" s="646"/>
      <c r="H2127" s="669"/>
      <c r="I2127" s="1137"/>
      <c r="J2127" s="646"/>
      <c r="K2127" s="1138"/>
    </row>
    <row r="2128" spans="1:11" x14ac:dyDescent="0.25">
      <c r="A2128" s="1190">
        <v>1</v>
      </c>
      <c r="B2128" s="745"/>
      <c r="C2128" s="1117"/>
      <c r="D2128" s="1117"/>
      <c r="E2128" s="1117"/>
      <c r="F2128" s="1117"/>
      <c r="G2128" s="632"/>
      <c r="H2128" s="745"/>
      <c r="I2128" s="1117"/>
      <c r="J2128" s="632"/>
      <c r="K2128" s="1118"/>
    </row>
    <row r="2129" spans="1:11" x14ac:dyDescent="0.25">
      <c r="A2129" s="718">
        <v>2</v>
      </c>
      <c r="B2129" s="668"/>
      <c r="C2129" s="721"/>
      <c r="D2129" s="721"/>
      <c r="E2129" s="721"/>
      <c r="F2129" s="721"/>
      <c r="G2129" s="639"/>
      <c r="H2129" s="668"/>
      <c r="I2129" s="721"/>
      <c r="J2129" s="639"/>
      <c r="K2129" s="1124"/>
    </row>
    <row r="2130" spans="1:11" ht="13.8" thickBot="1" x14ac:dyDescent="0.3">
      <c r="A2130" s="719">
        <v>3</v>
      </c>
      <c r="B2130" s="669"/>
      <c r="C2130" s="1137"/>
      <c r="D2130" s="1137"/>
      <c r="E2130" s="1137"/>
      <c r="F2130" s="1137"/>
      <c r="G2130" s="646"/>
      <c r="H2130" s="669"/>
      <c r="I2130" s="1137"/>
      <c r="J2130" s="646"/>
      <c r="K2130" s="1138"/>
    </row>
    <row r="2131" spans="1:11" ht="13.8" thickBot="1" x14ac:dyDescent="0.3">
      <c r="A2131" s="1186" t="s">
        <v>699</v>
      </c>
      <c r="B2131" s="1187"/>
      <c r="C2131" s="1188"/>
      <c r="D2131" s="1188"/>
      <c r="E2131" s="1188"/>
      <c r="F2131" s="1188"/>
      <c r="G2131" s="1189"/>
      <c r="H2131" s="1187"/>
      <c r="I2131" s="1188"/>
      <c r="J2131" s="1189"/>
      <c r="K2131" s="716"/>
    </row>
    <row r="2132" spans="1:11" x14ac:dyDescent="0.25">
      <c r="A2132" s="1190">
        <v>1</v>
      </c>
      <c r="B2132" s="745"/>
      <c r="C2132" s="1117"/>
      <c r="D2132" s="1117"/>
      <c r="E2132" s="1117"/>
      <c r="F2132" s="1117"/>
      <c r="G2132" s="632"/>
      <c r="H2132" s="745"/>
      <c r="I2132" s="1117"/>
      <c r="J2132" s="632"/>
      <c r="K2132" s="1118"/>
    </row>
    <row r="2133" spans="1:11" x14ac:dyDescent="0.25">
      <c r="A2133" s="718">
        <v>2</v>
      </c>
      <c r="B2133" s="668"/>
      <c r="C2133" s="721"/>
      <c r="D2133" s="721"/>
      <c r="E2133" s="721"/>
      <c r="F2133" s="721"/>
      <c r="G2133" s="639"/>
      <c r="H2133" s="668"/>
      <c r="I2133" s="721"/>
      <c r="J2133" s="639"/>
      <c r="K2133" s="1124"/>
    </row>
    <row r="2134" spans="1:11" x14ac:dyDescent="0.25">
      <c r="A2134" s="718">
        <v>3</v>
      </c>
      <c r="B2134" s="668"/>
      <c r="C2134" s="721"/>
      <c r="D2134" s="721"/>
      <c r="E2134" s="721"/>
      <c r="F2134" s="721"/>
      <c r="G2134" s="639"/>
      <c r="H2134" s="668"/>
      <c r="I2134" s="721"/>
      <c r="J2134" s="639"/>
      <c r="K2134" s="1124"/>
    </row>
    <row r="2135" spans="1:11" x14ac:dyDescent="0.25">
      <c r="A2135" s="718">
        <v>4</v>
      </c>
      <c r="B2135" s="668"/>
      <c r="C2135" s="721"/>
      <c r="D2135" s="721"/>
      <c r="E2135" s="721"/>
      <c r="F2135" s="721"/>
      <c r="G2135" s="639"/>
      <c r="H2135" s="668"/>
      <c r="I2135" s="721"/>
      <c r="J2135" s="639"/>
      <c r="K2135" s="1124"/>
    </row>
    <row r="2136" spans="1:11" x14ac:dyDescent="0.25">
      <c r="A2136" s="718">
        <v>5</v>
      </c>
      <c r="B2136" s="668"/>
      <c r="C2136" s="721"/>
      <c r="D2136" s="721"/>
      <c r="E2136" s="721"/>
      <c r="F2136" s="721"/>
      <c r="G2136" s="639"/>
      <c r="H2136" s="668"/>
      <c r="I2136" s="721"/>
      <c r="J2136" s="639"/>
      <c r="K2136" s="1124"/>
    </row>
    <row r="2137" spans="1:11" ht="13.8" thickBot="1" x14ac:dyDescent="0.3">
      <c r="A2137" s="719">
        <v>6</v>
      </c>
      <c r="B2137" s="669"/>
      <c r="C2137" s="1137"/>
      <c r="D2137" s="1137"/>
      <c r="E2137" s="1137"/>
      <c r="F2137" s="1137"/>
      <c r="G2137" s="646"/>
      <c r="H2137" s="669"/>
      <c r="I2137" s="1137"/>
      <c r="J2137" s="646"/>
      <c r="K2137" s="1138"/>
    </row>
    <row r="2138" spans="1:11" x14ac:dyDescent="0.25">
      <c r="A2138" s="1190">
        <v>1</v>
      </c>
      <c r="B2138" s="745"/>
      <c r="C2138" s="1117"/>
      <c r="D2138" s="1117"/>
      <c r="E2138" s="1117"/>
      <c r="F2138" s="1117"/>
      <c r="G2138" s="632"/>
      <c r="H2138" s="745"/>
      <c r="I2138" s="1117"/>
      <c r="J2138" s="632"/>
      <c r="K2138" s="1118"/>
    </row>
    <row r="2139" spans="1:11" x14ac:dyDescent="0.25">
      <c r="A2139" s="718">
        <v>2</v>
      </c>
      <c r="B2139" s="668"/>
      <c r="C2139" s="721"/>
      <c r="D2139" s="721"/>
      <c r="E2139" s="721"/>
      <c r="F2139" s="721"/>
      <c r="G2139" s="639"/>
      <c r="H2139" s="668"/>
      <c r="I2139" s="721"/>
      <c r="J2139" s="639"/>
      <c r="K2139" s="1124"/>
    </row>
    <row r="2140" spans="1:11" ht="13.8" thickBot="1" x14ac:dyDescent="0.3">
      <c r="A2140" s="719">
        <v>3</v>
      </c>
      <c r="B2140" s="669"/>
      <c r="C2140" s="1137"/>
      <c r="D2140" s="1137"/>
      <c r="E2140" s="1137"/>
      <c r="F2140" s="1137"/>
      <c r="G2140" s="646"/>
      <c r="H2140" s="669"/>
      <c r="I2140" s="1137"/>
      <c r="J2140" s="646"/>
      <c r="K2140" s="1138"/>
    </row>
    <row r="2141" spans="1:11" ht="13.8" thickBot="1" x14ac:dyDescent="0.3">
      <c r="A2141" s="1186" t="s">
        <v>700</v>
      </c>
      <c r="B2141" s="1187"/>
      <c r="C2141" s="1188"/>
      <c r="D2141" s="1188"/>
      <c r="E2141" s="1188"/>
      <c r="F2141" s="1188"/>
      <c r="G2141" s="1189"/>
      <c r="H2141" s="1187"/>
      <c r="I2141" s="1188"/>
      <c r="J2141" s="1189"/>
      <c r="K2141" s="716"/>
    </row>
    <row r="2142" spans="1:11" x14ac:dyDescent="0.25">
      <c r="A2142" s="1190">
        <v>1</v>
      </c>
      <c r="B2142" s="745"/>
      <c r="C2142" s="1117"/>
      <c r="D2142" s="1117"/>
      <c r="E2142" s="1117"/>
      <c r="F2142" s="1117"/>
      <c r="G2142" s="632"/>
      <c r="H2142" s="745"/>
      <c r="I2142" s="1117"/>
      <c r="J2142" s="632"/>
      <c r="K2142" s="1118"/>
    </row>
    <row r="2143" spans="1:11" x14ac:dyDescent="0.25">
      <c r="A2143" s="718">
        <v>2</v>
      </c>
      <c r="B2143" s="668"/>
      <c r="C2143" s="721"/>
      <c r="D2143" s="721"/>
      <c r="E2143" s="721"/>
      <c r="F2143" s="721"/>
      <c r="G2143" s="639"/>
      <c r="H2143" s="668"/>
      <c r="I2143" s="721"/>
      <c r="J2143" s="639"/>
      <c r="K2143" s="1124"/>
    </row>
    <row r="2144" spans="1:11" x14ac:dyDescent="0.25">
      <c r="A2144" s="718">
        <v>3</v>
      </c>
      <c r="B2144" s="668"/>
      <c r="C2144" s="721"/>
      <c r="D2144" s="721"/>
      <c r="E2144" s="721"/>
      <c r="F2144" s="721"/>
      <c r="G2144" s="639"/>
      <c r="H2144" s="668"/>
      <c r="I2144" s="721"/>
      <c r="J2144" s="639"/>
      <c r="K2144" s="1124"/>
    </row>
    <row r="2145" spans="1:11" x14ac:dyDescent="0.25">
      <c r="A2145" s="718">
        <v>4</v>
      </c>
      <c r="B2145" s="668"/>
      <c r="C2145" s="721"/>
      <c r="D2145" s="721"/>
      <c r="E2145" s="721"/>
      <c r="F2145" s="721"/>
      <c r="G2145" s="639"/>
      <c r="H2145" s="668"/>
      <c r="I2145" s="721"/>
      <c r="J2145" s="639"/>
      <c r="K2145" s="1124"/>
    </row>
    <row r="2146" spans="1:11" x14ac:dyDescent="0.25">
      <c r="A2146" s="718">
        <v>5</v>
      </c>
      <c r="B2146" s="668"/>
      <c r="C2146" s="721"/>
      <c r="D2146" s="721"/>
      <c r="E2146" s="721"/>
      <c r="F2146" s="721"/>
      <c r="G2146" s="639"/>
      <c r="H2146" s="668"/>
      <c r="I2146" s="721"/>
      <c r="J2146" s="639"/>
      <c r="K2146" s="1124"/>
    </row>
    <row r="2147" spans="1:11" ht="13.8" thickBot="1" x14ac:dyDescent="0.3">
      <c r="A2147" s="719">
        <v>6</v>
      </c>
      <c r="B2147" s="669"/>
      <c r="C2147" s="1137"/>
      <c r="D2147" s="1137"/>
      <c r="E2147" s="1137"/>
      <c r="F2147" s="1137"/>
      <c r="G2147" s="646"/>
      <c r="H2147" s="669"/>
      <c r="I2147" s="1137"/>
      <c r="J2147" s="646"/>
      <c r="K2147" s="1138"/>
    </row>
    <row r="2148" spans="1:11" x14ac:dyDescent="0.25">
      <c r="A2148" s="1190">
        <v>1</v>
      </c>
      <c r="B2148" s="745"/>
      <c r="C2148" s="1117"/>
      <c r="D2148" s="1117"/>
      <c r="E2148" s="1117"/>
      <c r="F2148" s="1117"/>
      <c r="G2148" s="632"/>
      <c r="H2148" s="745"/>
      <c r="I2148" s="1117"/>
      <c r="J2148" s="632"/>
      <c r="K2148" s="1118"/>
    </row>
    <row r="2149" spans="1:11" x14ac:dyDescent="0.25">
      <c r="A2149" s="718">
        <v>2</v>
      </c>
      <c r="B2149" s="668"/>
      <c r="C2149" s="721"/>
      <c r="D2149" s="721"/>
      <c r="E2149" s="721"/>
      <c r="F2149" s="721"/>
      <c r="G2149" s="639"/>
      <c r="H2149" s="668"/>
      <c r="I2149" s="721"/>
      <c r="J2149" s="639"/>
      <c r="K2149" s="1124"/>
    </row>
    <row r="2150" spans="1:11" ht="13.8" thickBot="1" x14ac:dyDescent="0.3">
      <c r="A2150" s="719">
        <v>3</v>
      </c>
      <c r="B2150" s="669"/>
      <c r="C2150" s="1137"/>
      <c r="D2150" s="1137"/>
      <c r="E2150" s="1137"/>
      <c r="F2150" s="1137"/>
      <c r="G2150" s="646"/>
      <c r="H2150" s="669"/>
      <c r="I2150" s="1137"/>
      <c r="J2150" s="646"/>
      <c r="K2150" s="1138"/>
    </row>
    <row r="2151" spans="1:11" ht="13.8" thickBot="1" x14ac:dyDescent="0.3">
      <c r="A2151" s="1186" t="s">
        <v>701</v>
      </c>
      <c r="B2151" s="1187"/>
      <c r="C2151" s="1188"/>
      <c r="D2151" s="1188"/>
      <c r="E2151" s="1188"/>
      <c r="F2151" s="1188"/>
      <c r="G2151" s="1189"/>
      <c r="H2151" s="1187"/>
      <c r="I2151" s="1188"/>
      <c r="J2151" s="1189"/>
      <c r="K2151" s="716"/>
    </row>
    <row r="2152" spans="1:11" x14ac:dyDescent="0.25">
      <c r="A2152" s="1190">
        <v>1</v>
      </c>
      <c r="B2152" s="745"/>
      <c r="C2152" s="1117"/>
      <c r="D2152" s="1117"/>
      <c r="E2152" s="1117"/>
      <c r="F2152" s="1117"/>
      <c r="G2152" s="632"/>
      <c r="H2152" s="745"/>
      <c r="I2152" s="1117"/>
      <c r="J2152" s="632"/>
      <c r="K2152" s="1118"/>
    </row>
    <row r="2153" spans="1:11" x14ac:dyDescent="0.25">
      <c r="A2153" s="718">
        <v>2</v>
      </c>
      <c r="B2153" s="668"/>
      <c r="C2153" s="721"/>
      <c r="D2153" s="721"/>
      <c r="E2153" s="721"/>
      <c r="F2153" s="721"/>
      <c r="G2153" s="639"/>
      <c r="H2153" s="668"/>
      <c r="I2153" s="721"/>
      <c r="J2153" s="639"/>
      <c r="K2153" s="1124"/>
    </row>
    <row r="2154" spans="1:11" x14ac:dyDescent="0.25">
      <c r="A2154" s="718">
        <v>3</v>
      </c>
      <c r="B2154" s="668"/>
      <c r="C2154" s="721"/>
      <c r="D2154" s="721"/>
      <c r="E2154" s="721"/>
      <c r="F2154" s="721"/>
      <c r="G2154" s="639"/>
      <c r="H2154" s="668"/>
      <c r="I2154" s="721"/>
      <c r="J2154" s="639"/>
      <c r="K2154" s="1124"/>
    </row>
    <row r="2155" spans="1:11" x14ac:dyDescent="0.25">
      <c r="A2155" s="718">
        <v>4</v>
      </c>
      <c r="B2155" s="668"/>
      <c r="C2155" s="721"/>
      <c r="D2155" s="721"/>
      <c r="E2155" s="721"/>
      <c r="F2155" s="721"/>
      <c r="G2155" s="639"/>
      <c r="H2155" s="668"/>
      <c r="I2155" s="721"/>
      <c r="J2155" s="639"/>
      <c r="K2155" s="1124"/>
    </row>
    <row r="2156" spans="1:11" x14ac:dyDescent="0.25">
      <c r="A2156" s="718">
        <v>5</v>
      </c>
      <c r="B2156" s="668"/>
      <c r="C2156" s="721"/>
      <c r="D2156" s="721"/>
      <c r="E2156" s="721"/>
      <c r="F2156" s="721"/>
      <c r="G2156" s="639"/>
      <c r="H2156" s="668"/>
      <c r="I2156" s="721"/>
      <c r="J2156" s="639"/>
      <c r="K2156" s="1124"/>
    </row>
    <row r="2157" spans="1:11" ht="13.8" thickBot="1" x14ac:dyDescent="0.3">
      <c r="A2157" s="719">
        <v>6</v>
      </c>
      <c r="B2157" s="669"/>
      <c r="C2157" s="1137"/>
      <c r="D2157" s="1137"/>
      <c r="E2157" s="1137"/>
      <c r="F2157" s="1137"/>
      <c r="G2157" s="646"/>
      <c r="H2157" s="669"/>
      <c r="I2157" s="1137"/>
      <c r="J2157" s="646"/>
      <c r="K2157" s="1138"/>
    </row>
    <row r="2158" spans="1:11" x14ac:dyDescent="0.25">
      <c r="A2158" s="1190">
        <v>1</v>
      </c>
      <c r="B2158" s="745"/>
      <c r="C2158" s="1117"/>
      <c r="D2158" s="1117"/>
      <c r="E2158" s="1117"/>
      <c r="F2158" s="1117"/>
      <c r="G2158" s="632"/>
      <c r="H2158" s="745"/>
      <c r="I2158" s="1117"/>
      <c r="J2158" s="632"/>
      <c r="K2158" s="1118"/>
    </row>
    <row r="2159" spans="1:11" x14ac:dyDescent="0.25">
      <c r="A2159" s="718">
        <v>2</v>
      </c>
      <c r="B2159" s="668"/>
      <c r="C2159" s="721"/>
      <c r="D2159" s="721"/>
      <c r="E2159" s="721"/>
      <c r="F2159" s="721"/>
      <c r="G2159" s="639"/>
      <c r="H2159" s="668"/>
      <c r="I2159" s="721"/>
      <c r="J2159" s="639"/>
      <c r="K2159" s="1124"/>
    </row>
    <row r="2160" spans="1:11" ht="13.8" thickBot="1" x14ac:dyDescent="0.3">
      <c r="A2160" s="719">
        <v>3</v>
      </c>
      <c r="B2160" s="669"/>
      <c r="C2160" s="1137"/>
      <c r="D2160" s="1137"/>
      <c r="E2160" s="1137"/>
      <c r="F2160" s="1137"/>
      <c r="G2160" s="646"/>
      <c r="H2160" s="669"/>
      <c r="I2160" s="1137"/>
      <c r="J2160" s="646"/>
      <c r="K2160" s="1138"/>
    </row>
    <row r="2161" spans="1:11" ht="13.8" thickBot="1" x14ac:dyDescent="0.3">
      <c r="A2161" s="1186" t="s">
        <v>702</v>
      </c>
      <c r="B2161" s="1187"/>
      <c r="C2161" s="1188"/>
      <c r="D2161" s="1188"/>
      <c r="E2161" s="1188"/>
      <c r="F2161" s="1188"/>
      <c r="G2161" s="1189"/>
      <c r="H2161" s="1187"/>
      <c r="I2161" s="1188"/>
      <c r="J2161" s="1189"/>
      <c r="K2161" s="716"/>
    </row>
    <row r="2162" spans="1:11" x14ac:dyDescent="0.25">
      <c r="A2162" s="1190">
        <v>1</v>
      </c>
      <c r="B2162" s="745"/>
      <c r="C2162" s="1117"/>
      <c r="D2162" s="1117"/>
      <c r="E2162" s="1117"/>
      <c r="F2162" s="1117"/>
      <c r="G2162" s="632"/>
      <c r="H2162" s="745"/>
      <c r="I2162" s="1117"/>
      <c r="J2162" s="632"/>
      <c r="K2162" s="1118"/>
    </row>
    <row r="2163" spans="1:11" x14ac:dyDescent="0.25">
      <c r="A2163" s="718">
        <v>2</v>
      </c>
      <c r="B2163" s="668"/>
      <c r="C2163" s="721"/>
      <c r="D2163" s="721"/>
      <c r="E2163" s="721"/>
      <c r="F2163" s="721"/>
      <c r="G2163" s="639"/>
      <c r="H2163" s="668"/>
      <c r="I2163" s="721"/>
      <c r="J2163" s="639"/>
      <c r="K2163" s="1124"/>
    </row>
    <row r="2164" spans="1:11" x14ac:dyDescent="0.25">
      <c r="A2164" s="718">
        <v>3</v>
      </c>
      <c r="B2164" s="668"/>
      <c r="C2164" s="721"/>
      <c r="D2164" s="721"/>
      <c r="E2164" s="721"/>
      <c r="F2164" s="721"/>
      <c r="G2164" s="639"/>
      <c r="H2164" s="668"/>
      <c r="I2164" s="721"/>
      <c r="J2164" s="639"/>
      <c r="K2164" s="1124"/>
    </row>
    <row r="2165" spans="1:11" x14ac:dyDescent="0.25">
      <c r="A2165" s="718">
        <v>4</v>
      </c>
      <c r="B2165" s="668"/>
      <c r="C2165" s="721"/>
      <c r="D2165" s="721"/>
      <c r="E2165" s="721"/>
      <c r="F2165" s="721"/>
      <c r="G2165" s="639"/>
      <c r="H2165" s="668"/>
      <c r="I2165" s="721"/>
      <c r="J2165" s="639"/>
      <c r="K2165" s="1124"/>
    </row>
    <row r="2166" spans="1:11" x14ac:dyDescent="0.25">
      <c r="A2166" s="718">
        <v>5</v>
      </c>
      <c r="B2166" s="668"/>
      <c r="C2166" s="721"/>
      <c r="D2166" s="721"/>
      <c r="E2166" s="721"/>
      <c r="F2166" s="721"/>
      <c r="G2166" s="639"/>
      <c r="H2166" s="668"/>
      <c r="I2166" s="721"/>
      <c r="J2166" s="639"/>
      <c r="K2166" s="1124"/>
    </row>
    <row r="2167" spans="1:11" ht="13.8" thickBot="1" x14ac:dyDescent="0.3">
      <c r="A2167" s="719">
        <v>6</v>
      </c>
      <c r="B2167" s="669"/>
      <c r="C2167" s="1137"/>
      <c r="D2167" s="1137"/>
      <c r="E2167" s="1137"/>
      <c r="F2167" s="1137"/>
      <c r="G2167" s="646"/>
      <c r="H2167" s="669"/>
      <c r="I2167" s="1137"/>
      <c r="J2167" s="646"/>
      <c r="K2167" s="1138"/>
    </row>
    <row r="2168" spans="1:11" x14ac:dyDescent="0.25">
      <c r="A2168" s="1190">
        <v>1</v>
      </c>
      <c r="B2168" s="745"/>
      <c r="C2168" s="1117"/>
      <c r="D2168" s="1117"/>
      <c r="E2168" s="1117"/>
      <c r="F2168" s="1117"/>
      <c r="G2168" s="632"/>
      <c r="H2168" s="745"/>
      <c r="I2168" s="1117"/>
      <c r="J2168" s="632"/>
      <c r="K2168" s="1118"/>
    </row>
    <row r="2169" spans="1:11" x14ac:dyDescent="0.25">
      <c r="A2169" s="718">
        <v>2</v>
      </c>
      <c r="B2169" s="668"/>
      <c r="C2169" s="721"/>
      <c r="D2169" s="721"/>
      <c r="E2169" s="721"/>
      <c r="F2169" s="721"/>
      <c r="G2169" s="639"/>
      <c r="H2169" s="668"/>
      <c r="I2169" s="721"/>
      <c r="J2169" s="639"/>
      <c r="K2169" s="1124"/>
    </row>
    <row r="2170" spans="1:11" ht="13.8" thickBot="1" x14ac:dyDescent="0.3">
      <c r="A2170" s="1191">
        <v>3</v>
      </c>
      <c r="B2170" s="1132"/>
      <c r="C2170" s="1133"/>
      <c r="D2170" s="1133"/>
      <c r="E2170" s="1133"/>
      <c r="F2170" s="1133"/>
      <c r="G2170" s="1134"/>
      <c r="H2170" s="1132"/>
      <c r="I2170" s="1133"/>
      <c r="J2170" s="1134"/>
      <c r="K2170" s="1147"/>
    </row>
    <row r="2171" spans="1:11" ht="13.8" thickBot="1" x14ac:dyDescent="0.3">
      <c r="A2171" s="1186" t="s">
        <v>703</v>
      </c>
      <c r="B2171" s="1187"/>
      <c r="C2171" s="1188"/>
      <c r="D2171" s="1188"/>
      <c r="E2171" s="1188"/>
      <c r="F2171" s="1188"/>
      <c r="G2171" s="1189"/>
      <c r="H2171" s="1187"/>
      <c r="I2171" s="1188"/>
      <c r="J2171" s="1189"/>
      <c r="K2171" s="716"/>
    </row>
    <row r="2172" spans="1:11" x14ac:dyDescent="0.25">
      <c r="A2172" s="1190">
        <v>1</v>
      </c>
      <c r="B2172" s="745"/>
      <c r="C2172" s="1117"/>
      <c r="D2172" s="1117"/>
      <c r="E2172" s="1117"/>
      <c r="F2172" s="1117"/>
      <c r="G2172" s="632"/>
      <c r="H2172" s="745"/>
      <c r="I2172" s="1117"/>
      <c r="J2172" s="632"/>
      <c r="K2172" s="1118"/>
    </row>
    <row r="2173" spans="1:11" x14ac:dyDescent="0.25">
      <c r="A2173" s="718">
        <v>2</v>
      </c>
      <c r="B2173" s="668"/>
      <c r="C2173" s="721"/>
      <c r="D2173" s="721"/>
      <c r="E2173" s="721"/>
      <c r="F2173" s="721"/>
      <c r="G2173" s="639"/>
      <c r="H2173" s="668"/>
      <c r="I2173" s="721"/>
      <c r="J2173" s="639"/>
      <c r="K2173" s="1124"/>
    </row>
    <row r="2174" spans="1:11" x14ac:dyDescent="0.25">
      <c r="A2174" s="718">
        <v>3</v>
      </c>
      <c r="B2174" s="668"/>
      <c r="C2174" s="721"/>
      <c r="D2174" s="721"/>
      <c r="E2174" s="721"/>
      <c r="F2174" s="721"/>
      <c r="G2174" s="639"/>
      <c r="H2174" s="668"/>
      <c r="I2174" s="721"/>
      <c r="J2174" s="639"/>
      <c r="K2174" s="1124"/>
    </row>
    <row r="2175" spans="1:11" x14ac:dyDescent="0.25">
      <c r="A2175" s="718">
        <v>4</v>
      </c>
      <c r="B2175" s="668"/>
      <c r="C2175" s="721"/>
      <c r="D2175" s="721"/>
      <c r="E2175" s="721"/>
      <c r="F2175" s="721"/>
      <c r="G2175" s="639"/>
      <c r="H2175" s="668"/>
      <c r="I2175" s="721"/>
      <c r="J2175" s="639"/>
      <c r="K2175" s="1124"/>
    </row>
    <row r="2176" spans="1:11" x14ac:dyDescent="0.25">
      <c r="A2176" s="718">
        <v>5</v>
      </c>
      <c r="B2176" s="668"/>
      <c r="C2176" s="721"/>
      <c r="D2176" s="721"/>
      <c r="E2176" s="721"/>
      <c r="F2176" s="721"/>
      <c r="G2176" s="639"/>
      <c r="H2176" s="668"/>
      <c r="I2176" s="721"/>
      <c r="J2176" s="639"/>
      <c r="K2176" s="1124"/>
    </row>
    <row r="2177" spans="1:11" ht="13.8" thickBot="1" x14ac:dyDescent="0.3">
      <c r="A2177" s="719">
        <v>6</v>
      </c>
      <c r="B2177" s="669"/>
      <c r="C2177" s="1137"/>
      <c r="D2177" s="1137"/>
      <c r="E2177" s="1137"/>
      <c r="F2177" s="1137"/>
      <c r="G2177" s="646"/>
      <c r="H2177" s="669"/>
      <c r="I2177" s="1137"/>
      <c r="J2177" s="646"/>
      <c r="K2177" s="1138"/>
    </row>
    <row r="2178" spans="1:11" x14ac:dyDescent="0.25">
      <c r="A2178" s="1190">
        <v>1</v>
      </c>
      <c r="B2178" s="745"/>
      <c r="C2178" s="1117"/>
      <c r="D2178" s="1117"/>
      <c r="E2178" s="1117"/>
      <c r="F2178" s="1117"/>
      <c r="G2178" s="632"/>
      <c r="H2178" s="745"/>
      <c r="I2178" s="1117"/>
      <c r="J2178" s="632"/>
      <c r="K2178" s="1118"/>
    </row>
    <row r="2179" spans="1:11" x14ac:dyDescent="0.25">
      <c r="A2179" s="718">
        <v>2</v>
      </c>
      <c r="B2179" s="668"/>
      <c r="C2179" s="721"/>
      <c r="D2179" s="721"/>
      <c r="E2179" s="721"/>
      <c r="F2179" s="721"/>
      <c r="G2179" s="639"/>
      <c r="H2179" s="668"/>
      <c r="I2179" s="721"/>
      <c r="J2179" s="639"/>
      <c r="K2179" s="1124"/>
    </row>
    <row r="2180" spans="1:11" ht="13.8" thickBot="1" x14ac:dyDescent="0.3">
      <c r="A2180" s="719">
        <v>3</v>
      </c>
      <c r="B2180" s="669"/>
      <c r="C2180" s="1137"/>
      <c r="D2180" s="1137"/>
      <c r="E2180" s="1137"/>
      <c r="F2180" s="1137"/>
      <c r="G2180" s="646"/>
      <c r="H2180" s="669"/>
      <c r="I2180" s="1137"/>
      <c r="J2180" s="646"/>
      <c r="K2180" s="1138"/>
    </row>
    <row r="2181" spans="1:11" ht="13.8" thickBot="1" x14ac:dyDescent="0.3">
      <c r="A2181" s="1186" t="s">
        <v>704</v>
      </c>
      <c r="B2181" s="1187"/>
      <c r="C2181" s="1188"/>
      <c r="D2181" s="1188"/>
      <c r="E2181" s="1188"/>
      <c r="F2181" s="1188"/>
      <c r="G2181" s="1189"/>
      <c r="H2181" s="1187"/>
      <c r="I2181" s="1188"/>
      <c r="J2181" s="1189"/>
      <c r="K2181" s="716"/>
    </row>
    <row r="2182" spans="1:11" x14ac:dyDescent="0.25">
      <c r="A2182" s="1190">
        <v>1</v>
      </c>
      <c r="B2182" s="745"/>
      <c r="C2182" s="1117"/>
      <c r="D2182" s="1117"/>
      <c r="E2182" s="1117"/>
      <c r="F2182" s="1117"/>
      <c r="G2182" s="632"/>
      <c r="H2182" s="745"/>
      <c r="I2182" s="1117"/>
      <c r="J2182" s="632"/>
      <c r="K2182" s="1118"/>
    </row>
    <row r="2183" spans="1:11" x14ac:dyDescent="0.25">
      <c r="A2183" s="718">
        <v>2</v>
      </c>
      <c r="B2183" s="668"/>
      <c r="C2183" s="721"/>
      <c r="D2183" s="721"/>
      <c r="E2183" s="721"/>
      <c r="F2183" s="721"/>
      <c r="G2183" s="639"/>
      <c r="H2183" s="668"/>
      <c r="I2183" s="721"/>
      <c r="J2183" s="639"/>
      <c r="K2183" s="1124"/>
    </row>
    <row r="2184" spans="1:11" x14ac:dyDescent="0.25">
      <c r="A2184" s="718">
        <v>3</v>
      </c>
      <c r="B2184" s="668"/>
      <c r="C2184" s="721"/>
      <c r="D2184" s="721"/>
      <c r="E2184" s="721"/>
      <c r="F2184" s="721"/>
      <c r="G2184" s="639"/>
      <c r="H2184" s="668"/>
      <c r="I2184" s="721"/>
      <c r="J2184" s="639"/>
      <c r="K2184" s="1124"/>
    </row>
    <row r="2185" spans="1:11" x14ac:dyDescent="0.25">
      <c r="A2185" s="718">
        <v>4</v>
      </c>
      <c r="B2185" s="668"/>
      <c r="C2185" s="721"/>
      <c r="D2185" s="721"/>
      <c r="E2185" s="721"/>
      <c r="F2185" s="721"/>
      <c r="G2185" s="639"/>
      <c r="H2185" s="668"/>
      <c r="I2185" s="721"/>
      <c r="J2185" s="639"/>
      <c r="K2185" s="1124"/>
    </row>
    <row r="2186" spans="1:11" x14ac:dyDescent="0.25">
      <c r="A2186" s="718">
        <v>5</v>
      </c>
      <c r="B2186" s="668"/>
      <c r="C2186" s="721"/>
      <c r="D2186" s="721"/>
      <c r="E2186" s="721"/>
      <c r="F2186" s="721"/>
      <c r="G2186" s="639"/>
      <c r="H2186" s="668"/>
      <c r="I2186" s="721"/>
      <c r="J2186" s="639"/>
      <c r="K2186" s="1124"/>
    </row>
    <row r="2187" spans="1:11" ht="13.8" thickBot="1" x14ac:dyDescent="0.3">
      <c r="A2187" s="719">
        <v>6</v>
      </c>
      <c r="B2187" s="669"/>
      <c r="C2187" s="1137"/>
      <c r="D2187" s="1137"/>
      <c r="E2187" s="1137"/>
      <c r="F2187" s="1137"/>
      <c r="G2187" s="646"/>
      <c r="H2187" s="669"/>
      <c r="I2187" s="1137"/>
      <c r="J2187" s="646"/>
      <c r="K2187" s="1138"/>
    </row>
    <row r="2188" spans="1:11" x14ac:dyDescent="0.25">
      <c r="A2188" s="1190">
        <v>1</v>
      </c>
      <c r="B2188" s="745"/>
      <c r="C2188" s="1117"/>
      <c r="D2188" s="1117"/>
      <c r="E2188" s="1117"/>
      <c r="F2188" s="1117"/>
      <c r="G2188" s="632"/>
      <c r="H2188" s="745"/>
      <c r="I2188" s="1117"/>
      <c r="J2188" s="632"/>
      <c r="K2188" s="1118"/>
    </row>
    <row r="2189" spans="1:11" x14ac:dyDescent="0.25">
      <c r="A2189" s="718">
        <v>2</v>
      </c>
      <c r="B2189" s="668"/>
      <c r="C2189" s="721"/>
      <c r="D2189" s="721"/>
      <c r="E2189" s="721"/>
      <c r="F2189" s="721"/>
      <c r="G2189" s="639"/>
      <c r="H2189" s="668"/>
      <c r="I2189" s="721"/>
      <c r="J2189" s="639"/>
      <c r="K2189" s="1124"/>
    </row>
    <row r="2190" spans="1:11" ht="13.8" thickBot="1" x14ac:dyDescent="0.3">
      <c r="A2190" s="719">
        <v>3</v>
      </c>
      <c r="B2190" s="669"/>
      <c r="C2190" s="1137"/>
      <c r="D2190" s="1137"/>
      <c r="E2190" s="1137"/>
      <c r="F2190" s="1137"/>
      <c r="G2190" s="646"/>
      <c r="H2190" s="669"/>
      <c r="I2190" s="1137"/>
      <c r="J2190" s="646"/>
      <c r="K2190" s="1138"/>
    </row>
    <row r="2191" spans="1:11" ht="13.8" thickBot="1" x14ac:dyDescent="0.3">
      <c r="A2191" s="1186" t="s">
        <v>705</v>
      </c>
      <c r="B2191" s="1187"/>
      <c r="C2191" s="1188"/>
      <c r="D2191" s="1188"/>
      <c r="E2191" s="1188"/>
      <c r="F2191" s="1188"/>
      <c r="G2191" s="1189"/>
      <c r="H2191" s="1187"/>
      <c r="I2191" s="1188"/>
      <c r="J2191" s="1189"/>
      <c r="K2191" s="716"/>
    </row>
    <row r="2192" spans="1:11" x14ac:dyDescent="0.25">
      <c r="A2192" s="1190">
        <v>1</v>
      </c>
      <c r="B2192" s="745"/>
      <c r="C2192" s="1117"/>
      <c r="D2192" s="1117"/>
      <c r="E2192" s="1117"/>
      <c r="F2192" s="1117"/>
      <c r="G2192" s="632"/>
      <c r="H2192" s="745"/>
      <c r="I2192" s="1117"/>
      <c r="J2192" s="632"/>
      <c r="K2192" s="1118"/>
    </row>
    <row r="2193" spans="1:11" x14ac:dyDescent="0.25">
      <c r="A2193" s="718">
        <v>2</v>
      </c>
      <c r="B2193" s="668"/>
      <c r="C2193" s="721"/>
      <c r="D2193" s="721"/>
      <c r="E2193" s="721"/>
      <c r="F2193" s="721"/>
      <c r="G2193" s="639"/>
      <c r="H2193" s="668"/>
      <c r="I2193" s="721"/>
      <c r="J2193" s="639"/>
      <c r="K2193" s="1124"/>
    </row>
    <row r="2194" spans="1:11" x14ac:dyDescent="0.25">
      <c r="A2194" s="718">
        <v>3</v>
      </c>
      <c r="B2194" s="668"/>
      <c r="C2194" s="721"/>
      <c r="D2194" s="721"/>
      <c r="E2194" s="721"/>
      <c r="F2194" s="721"/>
      <c r="G2194" s="639"/>
      <c r="H2194" s="668"/>
      <c r="I2194" s="721"/>
      <c r="J2194" s="639"/>
      <c r="K2194" s="1124"/>
    </row>
    <row r="2195" spans="1:11" x14ac:dyDescent="0.25">
      <c r="A2195" s="718">
        <v>4</v>
      </c>
      <c r="B2195" s="668"/>
      <c r="C2195" s="721"/>
      <c r="D2195" s="721"/>
      <c r="E2195" s="721"/>
      <c r="F2195" s="721"/>
      <c r="G2195" s="639"/>
      <c r="H2195" s="668"/>
      <c r="I2195" s="721"/>
      <c r="J2195" s="639"/>
      <c r="K2195" s="1124"/>
    </row>
    <row r="2196" spans="1:11" x14ac:dyDescent="0.25">
      <c r="A2196" s="718">
        <v>5</v>
      </c>
      <c r="B2196" s="668"/>
      <c r="C2196" s="721"/>
      <c r="D2196" s="721"/>
      <c r="E2196" s="721"/>
      <c r="F2196" s="721"/>
      <c r="G2196" s="639"/>
      <c r="H2196" s="668"/>
      <c r="I2196" s="721"/>
      <c r="J2196" s="639"/>
      <c r="K2196" s="1124"/>
    </row>
    <row r="2197" spans="1:11" ht="13.8" thickBot="1" x14ac:dyDescent="0.3">
      <c r="A2197" s="719">
        <v>6</v>
      </c>
      <c r="B2197" s="669"/>
      <c r="C2197" s="1137"/>
      <c r="D2197" s="1137"/>
      <c r="E2197" s="1137"/>
      <c r="F2197" s="1137"/>
      <c r="G2197" s="646"/>
      <c r="H2197" s="669"/>
      <c r="I2197" s="1137"/>
      <c r="J2197" s="646"/>
      <c r="K2197" s="1138"/>
    </row>
    <row r="2198" spans="1:11" x14ac:dyDescent="0.25">
      <c r="A2198" s="1190">
        <v>1</v>
      </c>
      <c r="B2198" s="745"/>
      <c r="C2198" s="1117"/>
      <c r="D2198" s="1117"/>
      <c r="E2198" s="1117"/>
      <c r="F2198" s="1117"/>
      <c r="G2198" s="632"/>
      <c r="H2198" s="745"/>
      <c r="I2198" s="1117"/>
      <c r="J2198" s="632"/>
      <c r="K2198" s="1118"/>
    </row>
    <row r="2199" spans="1:11" x14ac:dyDescent="0.25">
      <c r="A2199" s="718">
        <v>2</v>
      </c>
      <c r="B2199" s="668"/>
      <c r="C2199" s="721"/>
      <c r="D2199" s="721"/>
      <c r="E2199" s="721"/>
      <c r="F2199" s="721"/>
      <c r="G2199" s="639"/>
      <c r="H2199" s="668"/>
      <c r="I2199" s="721"/>
      <c r="J2199" s="639"/>
      <c r="K2199" s="1124"/>
    </row>
    <row r="2200" spans="1:11" ht="13.8" thickBot="1" x14ac:dyDescent="0.3">
      <c r="A2200" s="719">
        <v>3</v>
      </c>
      <c r="B2200" s="669"/>
      <c r="C2200" s="1137"/>
      <c r="D2200" s="1137"/>
      <c r="E2200" s="1137"/>
      <c r="F2200" s="1137"/>
      <c r="G2200" s="646"/>
      <c r="H2200" s="669"/>
      <c r="I2200" s="1137"/>
      <c r="J2200" s="646"/>
      <c r="K2200" s="1138"/>
    </row>
    <row r="2201" spans="1:11" ht="13.8" thickBot="1" x14ac:dyDescent="0.3">
      <c r="A2201" s="1186" t="s">
        <v>706</v>
      </c>
      <c r="B2201" s="1187"/>
      <c r="C2201" s="1188"/>
      <c r="D2201" s="1188"/>
      <c r="E2201" s="1188"/>
      <c r="F2201" s="1188"/>
      <c r="G2201" s="1189"/>
      <c r="H2201" s="1187"/>
      <c r="I2201" s="1188"/>
      <c r="J2201" s="1189"/>
      <c r="K2201" s="716"/>
    </row>
    <row r="2202" spans="1:11" x14ac:dyDescent="0.25">
      <c r="A2202" s="1190">
        <v>1</v>
      </c>
      <c r="B2202" s="745"/>
      <c r="C2202" s="1117"/>
      <c r="D2202" s="1117"/>
      <c r="E2202" s="1117"/>
      <c r="F2202" s="1117"/>
      <c r="G2202" s="632"/>
      <c r="H2202" s="745"/>
      <c r="I2202" s="1117"/>
      <c r="J2202" s="632"/>
      <c r="K2202" s="1118"/>
    </row>
    <row r="2203" spans="1:11" x14ac:dyDescent="0.25">
      <c r="A2203" s="718">
        <v>2</v>
      </c>
      <c r="B2203" s="668"/>
      <c r="C2203" s="721"/>
      <c r="D2203" s="721"/>
      <c r="E2203" s="721"/>
      <c r="F2203" s="721"/>
      <c r="G2203" s="639"/>
      <c r="H2203" s="668"/>
      <c r="I2203" s="721"/>
      <c r="J2203" s="639"/>
      <c r="K2203" s="1124"/>
    </row>
    <row r="2204" spans="1:11" x14ac:dyDescent="0.25">
      <c r="A2204" s="718">
        <v>3</v>
      </c>
      <c r="B2204" s="668"/>
      <c r="C2204" s="721"/>
      <c r="D2204" s="721"/>
      <c r="E2204" s="721"/>
      <c r="F2204" s="721"/>
      <c r="G2204" s="639"/>
      <c r="H2204" s="668"/>
      <c r="I2204" s="721"/>
      <c r="J2204" s="639"/>
      <c r="K2204" s="1124"/>
    </row>
    <row r="2205" spans="1:11" x14ac:dyDescent="0.25">
      <c r="A2205" s="718">
        <v>4</v>
      </c>
      <c r="B2205" s="668"/>
      <c r="C2205" s="721"/>
      <c r="D2205" s="721"/>
      <c r="E2205" s="721"/>
      <c r="F2205" s="721"/>
      <c r="G2205" s="639"/>
      <c r="H2205" s="668"/>
      <c r="I2205" s="721"/>
      <c r="J2205" s="639"/>
      <c r="K2205" s="1124"/>
    </row>
    <row r="2206" spans="1:11" x14ac:dyDescent="0.25">
      <c r="A2206" s="718">
        <v>5</v>
      </c>
      <c r="B2206" s="668"/>
      <c r="C2206" s="721"/>
      <c r="D2206" s="721"/>
      <c r="E2206" s="721"/>
      <c r="F2206" s="721"/>
      <c r="G2206" s="639"/>
      <c r="H2206" s="668"/>
      <c r="I2206" s="721"/>
      <c r="J2206" s="639"/>
      <c r="K2206" s="1124"/>
    </row>
    <row r="2207" spans="1:11" ht="13.8" thickBot="1" x14ac:dyDescent="0.3">
      <c r="A2207" s="719">
        <v>6</v>
      </c>
      <c r="B2207" s="669"/>
      <c r="C2207" s="1137"/>
      <c r="D2207" s="1137"/>
      <c r="E2207" s="1137"/>
      <c r="F2207" s="1137"/>
      <c r="G2207" s="646"/>
      <c r="H2207" s="669"/>
      <c r="I2207" s="1137"/>
      <c r="J2207" s="646"/>
      <c r="K2207" s="1138"/>
    </row>
    <row r="2208" spans="1:11" x14ac:dyDescent="0.25">
      <c r="A2208" s="1190">
        <v>1</v>
      </c>
      <c r="B2208" s="745"/>
      <c r="C2208" s="1117"/>
      <c r="D2208" s="1117"/>
      <c r="E2208" s="1117"/>
      <c r="F2208" s="1117"/>
      <c r="G2208" s="632"/>
      <c r="H2208" s="745"/>
      <c r="I2208" s="1117"/>
      <c r="J2208" s="632"/>
      <c r="K2208" s="1118"/>
    </row>
    <row r="2209" spans="1:11" x14ac:dyDescent="0.25">
      <c r="A2209" s="718">
        <v>2</v>
      </c>
      <c r="B2209" s="668"/>
      <c r="C2209" s="721"/>
      <c r="D2209" s="721"/>
      <c r="E2209" s="721"/>
      <c r="F2209" s="721"/>
      <c r="G2209" s="639"/>
      <c r="H2209" s="668"/>
      <c r="I2209" s="721"/>
      <c r="J2209" s="639"/>
      <c r="K2209" s="1124"/>
    </row>
    <row r="2210" spans="1:11" ht="13.8" thickBot="1" x14ac:dyDescent="0.3">
      <c r="A2210" s="1191">
        <v>3</v>
      </c>
      <c r="B2210" s="1132"/>
      <c r="C2210" s="1133"/>
      <c r="D2210" s="1133"/>
      <c r="E2210" s="1133"/>
      <c r="F2210" s="1133"/>
      <c r="G2210" s="1134"/>
      <c r="H2210" s="1132"/>
      <c r="I2210" s="1133"/>
      <c r="J2210" s="1134"/>
      <c r="K2210" s="1147"/>
    </row>
    <row r="2211" spans="1:11" ht="13.8" thickBot="1" x14ac:dyDescent="0.3">
      <c r="A2211" s="1186" t="s">
        <v>707</v>
      </c>
      <c r="B2211" s="1187"/>
      <c r="C2211" s="1188"/>
      <c r="D2211" s="1188"/>
      <c r="E2211" s="1188"/>
      <c r="F2211" s="1188"/>
      <c r="G2211" s="1189"/>
      <c r="H2211" s="1187"/>
      <c r="I2211" s="1188"/>
      <c r="J2211" s="1189"/>
      <c r="K2211" s="716"/>
    </row>
    <row r="2212" spans="1:11" x14ac:dyDescent="0.25">
      <c r="A2212" s="1190">
        <v>1</v>
      </c>
      <c r="B2212" s="745"/>
      <c r="C2212" s="1117"/>
      <c r="D2212" s="1117"/>
      <c r="E2212" s="1117"/>
      <c r="F2212" s="1117"/>
      <c r="G2212" s="632"/>
      <c r="H2212" s="745"/>
      <c r="I2212" s="1117"/>
      <c r="J2212" s="632"/>
      <c r="K2212" s="1118"/>
    </row>
    <row r="2213" spans="1:11" x14ac:dyDescent="0.25">
      <c r="A2213" s="718">
        <v>2</v>
      </c>
      <c r="B2213" s="668"/>
      <c r="C2213" s="721"/>
      <c r="D2213" s="721"/>
      <c r="E2213" s="721"/>
      <c r="F2213" s="721"/>
      <c r="G2213" s="639"/>
      <c r="H2213" s="668"/>
      <c r="I2213" s="721"/>
      <c r="J2213" s="639"/>
      <c r="K2213" s="1124"/>
    </row>
    <row r="2214" spans="1:11" x14ac:dyDescent="0.25">
      <c r="A2214" s="718">
        <v>3</v>
      </c>
      <c r="B2214" s="668"/>
      <c r="C2214" s="721"/>
      <c r="D2214" s="721"/>
      <c r="E2214" s="721"/>
      <c r="F2214" s="721"/>
      <c r="G2214" s="639"/>
      <c r="H2214" s="668"/>
      <c r="I2214" s="721"/>
      <c r="J2214" s="639"/>
      <c r="K2214" s="1124"/>
    </row>
    <row r="2215" spans="1:11" x14ac:dyDescent="0.25">
      <c r="A2215" s="718">
        <v>4</v>
      </c>
      <c r="B2215" s="668"/>
      <c r="C2215" s="721"/>
      <c r="D2215" s="721"/>
      <c r="E2215" s="721"/>
      <c r="F2215" s="721"/>
      <c r="G2215" s="639"/>
      <c r="H2215" s="668"/>
      <c r="I2215" s="721"/>
      <c r="J2215" s="639"/>
      <c r="K2215" s="1124"/>
    </row>
    <row r="2216" spans="1:11" x14ac:dyDescent="0.25">
      <c r="A2216" s="718">
        <v>5</v>
      </c>
      <c r="B2216" s="668"/>
      <c r="C2216" s="721"/>
      <c r="D2216" s="721"/>
      <c r="E2216" s="721"/>
      <c r="F2216" s="721"/>
      <c r="G2216" s="639"/>
      <c r="H2216" s="668"/>
      <c r="I2216" s="721"/>
      <c r="J2216" s="639"/>
      <c r="K2216" s="1124"/>
    </row>
    <row r="2217" spans="1:11" ht="13.8" thickBot="1" x14ac:dyDescent="0.3">
      <c r="A2217" s="719">
        <v>6</v>
      </c>
      <c r="B2217" s="669"/>
      <c r="C2217" s="1137"/>
      <c r="D2217" s="1137"/>
      <c r="E2217" s="1137"/>
      <c r="F2217" s="1137"/>
      <c r="G2217" s="646"/>
      <c r="H2217" s="669"/>
      <c r="I2217" s="1137"/>
      <c r="J2217" s="646"/>
      <c r="K2217" s="1138"/>
    </row>
    <row r="2218" spans="1:11" x14ac:dyDescent="0.25">
      <c r="A2218" s="1190">
        <v>1</v>
      </c>
      <c r="B2218" s="745"/>
      <c r="C2218" s="1117"/>
      <c r="D2218" s="1117"/>
      <c r="E2218" s="1117"/>
      <c r="F2218" s="1117"/>
      <c r="G2218" s="632"/>
      <c r="H2218" s="745"/>
      <c r="I2218" s="1117"/>
      <c r="J2218" s="632"/>
      <c r="K2218" s="1118"/>
    </row>
    <row r="2219" spans="1:11" x14ac:dyDescent="0.25">
      <c r="A2219" s="718">
        <v>2</v>
      </c>
      <c r="B2219" s="668"/>
      <c r="C2219" s="721"/>
      <c r="D2219" s="721"/>
      <c r="E2219" s="721"/>
      <c r="F2219" s="721"/>
      <c r="G2219" s="639"/>
      <c r="H2219" s="668"/>
      <c r="I2219" s="721"/>
      <c r="J2219" s="639"/>
      <c r="K2219" s="1124"/>
    </row>
    <row r="2220" spans="1:11" ht="13.8" thickBot="1" x14ac:dyDescent="0.3">
      <c r="A2220" s="719">
        <v>3</v>
      </c>
      <c r="B2220" s="669"/>
      <c r="C2220" s="1137"/>
      <c r="D2220" s="1137"/>
      <c r="E2220" s="1137"/>
      <c r="F2220" s="1137"/>
      <c r="G2220" s="646"/>
      <c r="H2220" s="669"/>
      <c r="I2220" s="1137"/>
      <c r="J2220" s="646"/>
      <c r="K2220" s="1138"/>
    </row>
    <row r="2221" spans="1:11" ht="13.8" thickBot="1" x14ac:dyDescent="0.3">
      <c r="A2221" s="1186" t="s">
        <v>708</v>
      </c>
      <c r="B2221" s="1187"/>
      <c r="C2221" s="1188"/>
      <c r="D2221" s="1188"/>
      <c r="E2221" s="1188"/>
      <c r="F2221" s="1188"/>
      <c r="G2221" s="1189"/>
      <c r="H2221" s="1187"/>
      <c r="I2221" s="1188"/>
      <c r="J2221" s="1189"/>
      <c r="K2221" s="716"/>
    </row>
    <row r="2222" spans="1:11" x14ac:dyDescent="0.25">
      <c r="A2222" s="1190">
        <v>1</v>
      </c>
      <c r="B2222" s="745"/>
      <c r="C2222" s="1117"/>
      <c r="D2222" s="1117"/>
      <c r="E2222" s="1117"/>
      <c r="F2222" s="1117"/>
      <c r="G2222" s="632"/>
      <c r="H2222" s="745"/>
      <c r="I2222" s="1117"/>
      <c r="J2222" s="632"/>
      <c r="K2222" s="1118"/>
    </row>
    <row r="2223" spans="1:11" x14ac:dyDescent="0.25">
      <c r="A2223" s="718">
        <v>2</v>
      </c>
      <c r="B2223" s="668"/>
      <c r="C2223" s="721"/>
      <c r="D2223" s="721"/>
      <c r="E2223" s="721"/>
      <c r="F2223" s="721"/>
      <c r="G2223" s="639"/>
      <c r="H2223" s="668"/>
      <c r="I2223" s="721"/>
      <c r="J2223" s="639"/>
      <c r="K2223" s="1124"/>
    </row>
    <row r="2224" spans="1:11" x14ac:dyDescent="0.25">
      <c r="A2224" s="718">
        <v>3</v>
      </c>
      <c r="B2224" s="668"/>
      <c r="C2224" s="721"/>
      <c r="D2224" s="721"/>
      <c r="E2224" s="721"/>
      <c r="F2224" s="721"/>
      <c r="G2224" s="639"/>
      <c r="H2224" s="668"/>
      <c r="I2224" s="721"/>
      <c r="J2224" s="639"/>
      <c r="K2224" s="1124"/>
    </row>
    <row r="2225" spans="1:11" x14ac:dyDescent="0.25">
      <c r="A2225" s="718">
        <v>4</v>
      </c>
      <c r="B2225" s="668"/>
      <c r="C2225" s="721"/>
      <c r="D2225" s="721"/>
      <c r="E2225" s="721"/>
      <c r="F2225" s="721"/>
      <c r="G2225" s="639"/>
      <c r="H2225" s="668"/>
      <c r="I2225" s="721"/>
      <c r="J2225" s="639"/>
      <c r="K2225" s="1124"/>
    </row>
    <row r="2226" spans="1:11" x14ac:dyDescent="0.25">
      <c r="A2226" s="718">
        <v>5</v>
      </c>
      <c r="B2226" s="668"/>
      <c r="C2226" s="721"/>
      <c r="D2226" s="721"/>
      <c r="E2226" s="721"/>
      <c r="F2226" s="721"/>
      <c r="G2226" s="639"/>
      <c r="H2226" s="668"/>
      <c r="I2226" s="721"/>
      <c r="J2226" s="639"/>
      <c r="K2226" s="1124"/>
    </row>
    <row r="2227" spans="1:11" ht="13.8" thickBot="1" x14ac:dyDescent="0.3">
      <c r="A2227" s="719">
        <v>6</v>
      </c>
      <c r="B2227" s="669"/>
      <c r="C2227" s="1137"/>
      <c r="D2227" s="1137"/>
      <c r="E2227" s="1137"/>
      <c r="F2227" s="1137"/>
      <c r="G2227" s="646"/>
      <c r="H2227" s="669"/>
      <c r="I2227" s="1137"/>
      <c r="J2227" s="646"/>
      <c r="K2227" s="1138"/>
    </row>
    <row r="2228" spans="1:11" x14ac:dyDescent="0.25">
      <c r="A2228" s="1190">
        <v>1</v>
      </c>
      <c r="B2228" s="745"/>
      <c r="C2228" s="1117"/>
      <c r="D2228" s="1117"/>
      <c r="E2228" s="1117"/>
      <c r="F2228" s="1117"/>
      <c r="G2228" s="632"/>
      <c r="H2228" s="745"/>
      <c r="I2228" s="1117"/>
      <c r="J2228" s="632"/>
      <c r="K2228" s="1118"/>
    </row>
    <row r="2229" spans="1:11" x14ac:dyDescent="0.25">
      <c r="A2229" s="718">
        <v>2</v>
      </c>
      <c r="B2229" s="668"/>
      <c r="C2229" s="721"/>
      <c r="D2229" s="721"/>
      <c r="E2229" s="721"/>
      <c r="F2229" s="721"/>
      <c r="G2229" s="639"/>
      <c r="H2229" s="668"/>
      <c r="I2229" s="721"/>
      <c r="J2229" s="639"/>
      <c r="K2229" s="1124"/>
    </row>
    <row r="2230" spans="1:11" ht="13.8" thickBot="1" x14ac:dyDescent="0.3">
      <c r="A2230" s="719">
        <v>3</v>
      </c>
      <c r="B2230" s="669"/>
      <c r="C2230" s="1137"/>
      <c r="D2230" s="1137"/>
      <c r="E2230" s="1137"/>
      <c r="F2230" s="1137"/>
      <c r="G2230" s="646"/>
      <c r="H2230" s="669"/>
      <c r="I2230" s="1137"/>
      <c r="J2230" s="646"/>
      <c r="K2230" s="1138"/>
    </row>
    <row r="2231" spans="1:11" ht="13.8" thickBot="1" x14ac:dyDescent="0.3">
      <c r="A2231" s="1186" t="s">
        <v>709</v>
      </c>
      <c r="B2231" s="1187"/>
      <c r="C2231" s="1188"/>
      <c r="D2231" s="1188"/>
      <c r="E2231" s="1188"/>
      <c r="F2231" s="1188"/>
      <c r="G2231" s="1189"/>
      <c r="H2231" s="1187"/>
      <c r="I2231" s="1188"/>
      <c r="J2231" s="1189"/>
      <c r="K2231" s="716"/>
    </row>
    <row r="2232" spans="1:11" x14ac:dyDescent="0.25">
      <c r="A2232" s="1190">
        <v>1</v>
      </c>
      <c r="B2232" s="745"/>
      <c r="C2232" s="1117"/>
      <c r="D2232" s="1117"/>
      <c r="E2232" s="1117"/>
      <c r="F2232" s="1117"/>
      <c r="G2232" s="632"/>
      <c r="H2232" s="745"/>
      <c r="I2232" s="1117"/>
      <c r="J2232" s="632"/>
      <c r="K2232" s="1118"/>
    </row>
    <row r="2233" spans="1:11" x14ac:dyDescent="0.25">
      <c r="A2233" s="718">
        <v>2</v>
      </c>
      <c r="B2233" s="668"/>
      <c r="C2233" s="721"/>
      <c r="D2233" s="721"/>
      <c r="E2233" s="721"/>
      <c r="F2233" s="721"/>
      <c r="G2233" s="639"/>
      <c r="H2233" s="668"/>
      <c r="I2233" s="721"/>
      <c r="J2233" s="639"/>
      <c r="K2233" s="1124"/>
    </row>
    <row r="2234" spans="1:11" x14ac:dyDescent="0.25">
      <c r="A2234" s="718">
        <v>3</v>
      </c>
      <c r="B2234" s="668"/>
      <c r="C2234" s="721"/>
      <c r="D2234" s="721"/>
      <c r="E2234" s="721"/>
      <c r="F2234" s="721"/>
      <c r="G2234" s="639"/>
      <c r="H2234" s="668"/>
      <c r="I2234" s="721"/>
      <c r="J2234" s="639"/>
      <c r="K2234" s="1124"/>
    </row>
    <row r="2235" spans="1:11" x14ac:dyDescent="0.25">
      <c r="A2235" s="718">
        <v>4</v>
      </c>
      <c r="B2235" s="668"/>
      <c r="C2235" s="721"/>
      <c r="D2235" s="721"/>
      <c r="E2235" s="721"/>
      <c r="F2235" s="721"/>
      <c r="G2235" s="639"/>
      <c r="H2235" s="668"/>
      <c r="I2235" s="721"/>
      <c r="J2235" s="639"/>
      <c r="K2235" s="1124"/>
    </row>
    <row r="2236" spans="1:11" x14ac:dyDescent="0.25">
      <c r="A2236" s="718">
        <v>5</v>
      </c>
      <c r="B2236" s="668"/>
      <c r="C2236" s="721"/>
      <c r="D2236" s="721"/>
      <c r="E2236" s="721"/>
      <c r="F2236" s="721"/>
      <c r="G2236" s="639"/>
      <c r="H2236" s="668"/>
      <c r="I2236" s="721"/>
      <c r="J2236" s="639"/>
      <c r="K2236" s="1124"/>
    </row>
    <row r="2237" spans="1:11" ht="13.8" thickBot="1" x14ac:dyDescent="0.3">
      <c r="A2237" s="719">
        <v>6</v>
      </c>
      <c r="B2237" s="669"/>
      <c r="C2237" s="1137"/>
      <c r="D2237" s="1137"/>
      <c r="E2237" s="1137"/>
      <c r="F2237" s="1137"/>
      <c r="G2237" s="646"/>
      <c r="H2237" s="669"/>
      <c r="I2237" s="1137"/>
      <c r="J2237" s="646"/>
      <c r="K2237" s="1138"/>
    </row>
    <row r="2238" spans="1:11" x14ac:dyDescent="0.25">
      <c r="A2238" s="1190">
        <v>1</v>
      </c>
      <c r="B2238" s="745"/>
      <c r="C2238" s="1117"/>
      <c r="D2238" s="1117"/>
      <c r="E2238" s="1117"/>
      <c r="F2238" s="1117"/>
      <c r="G2238" s="632"/>
      <c r="H2238" s="745"/>
      <c r="I2238" s="1117"/>
      <c r="J2238" s="632"/>
      <c r="K2238" s="1118"/>
    </row>
    <row r="2239" spans="1:11" x14ac:dyDescent="0.25">
      <c r="A2239" s="718">
        <v>2</v>
      </c>
      <c r="B2239" s="668"/>
      <c r="C2239" s="721"/>
      <c r="D2239" s="721"/>
      <c r="E2239" s="721"/>
      <c r="F2239" s="721"/>
      <c r="G2239" s="639"/>
      <c r="H2239" s="668"/>
      <c r="I2239" s="721"/>
      <c r="J2239" s="639"/>
      <c r="K2239" s="1124"/>
    </row>
    <row r="2240" spans="1:11" ht="13.8" thickBot="1" x14ac:dyDescent="0.3">
      <c r="A2240" s="719">
        <v>3</v>
      </c>
      <c r="B2240" s="669"/>
      <c r="C2240" s="1137"/>
      <c r="D2240" s="1137"/>
      <c r="E2240" s="1137"/>
      <c r="F2240" s="1137"/>
      <c r="G2240" s="646"/>
      <c r="H2240" s="669"/>
      <c r="I2240" s="1137"/>
      <c r="J2240" s="646"/>
      <c r="K2240" s="1138"/>
    </row>
    <row r="2241" spans="1:11" ht="13.8" thickBot="1" x14ac:dyDescent="0.3">
      <c r="A2241" s="1186" t="s">
        <v>710</v>
      </c>
      <c r="B2241" s="1187"/>
      <c r="C2241" s="1188"/>
      <c r="D2241" s="1188"/>
      <c r="E2241" s="1188"/>
      <c r="F2241" s="1188"/>
      <c r="G2241" s="1189"/>
      <c r="H2241" s="1187"/>
      <c r="I2241" s="1188"/>
      <c r="J2241" s="1189"/>
      <c r="K2241" s="716"/>
    </row>
    <row r="2242" spans="1:11" x14ac:dyDescent="0.25">
      <c r="A2242" s="1190">
        <v>1</v>
      </c>
      <c r="B2242" s="745"/>
      <c r="C2242" s="1117"/>
      <c r="D2242" s="1117"/>
      <c r="E2242" s="1117"/>
      <c r="F2242" s="1117"/>
      <c r="G2242" s="632"/>
      <c r="H2242" s="745"/>
      <c r="I2242" s="1117"/>
      <c r="J2242" s="632"/>
      <c r="K2242" s="1118"/>
    </row>
    <row r="2243" spans="1:11" x14ac:dyDescent="0.25">
      <c r="A2243" s="718">
        <v>2</v>
      </c>
      <c r="B2243" s="668"/>
      <c r="C2243" s="721"/>
      <c r="D2243" s="721"/>
      <c r="E2243" s="721"/>
      <c r="F2243" s="721"/>
      <c r="G2243" s="639"/>
      <c r="H2243" s="668"/>
      <c r="I2243" s="721"/>
      <c r="J2243" s="639"/>
      <c r="K2243" s="1124"/>
    </row>
    <row r="2244" spans="1:11" x14ac:dyDescent="0.25">
      <c r="A2244" s="718">
        <v>3</v>
      </c>
      <c r="B2244" s="668"/>
      <c r="C2244" s="721"/>
      <c r="D2244" s="721"/>
      <c r="E2244" s="721"/>
      <c r="F2244" s="721"/>
      <c r="G2244" s="639"/>
      <c r="H2244" s="668"/>
      <c r="I2244" s="721"/>
      <c r="J2244" s="639"/>
      <c r="K2244" s="1124"/>
    </row>
    <row r="2245" spans="1:11" x14ac:dyDescent="0.25">
      <c r="A2245" s="718">
        <v>4</v>
      </c>
      <c r="B2245" s="668"/>
      <c r="C2245" s="721"/>
      <c r="D2245" s="721"/>
      <c r="E2245" s="721"/>
      <c r="F2245" s="721"/>
      <c r="G2245" s="639"/>
      <c r="H2245" s="668"/>
      <c r="I2245" s="721"/>
      <c r="J2245" s="639"/>
      <c r="K2245" s="1124"/>
    </row>
    <row r="2246" spans="1:11" x14ac:dyDescent="0.25">
      <c r="A2246" s="718">
        <v>5</v>
      </c>
      <c r="B2246" s="668"/>
      <c r="C2246" s="721"/>
      <c r="D2246" s="721"/>
      <c r="E2246" s="721"/>
      <c r="F2246" s="721"/>
      <c r="G2246" s="639"/>
      <c r="H2246" s="668"/>
      <c r="I2246" s="721"/>
      <c r="J2246" s="639"/>
      <c r="K2246" s="1124"/>
    </row>
    <row r="2247" spans="1:11" ht="13.8" thickBot="1" x14ac:dyDescent="0.3">
      <c r="A2247" s="719">
        <v>6</v>
      </c>
      <c r="B2247" s="669"/>
      <c r="C2247" s="1137"/>
      <c r="D2247" s="1137"/>
      <c r="E2247" s="1137"/>
      <c r="F2247" s="1137"/>
      <c r="G2247" s="646"/>
      <c r="H2247" s="669"/>
      <c r="I2247" s="1137"/>
      <c r="J2247" s="646"/>
      <c r="K2247" s="1138"/>
    </row>
    <row r="2248" spans="1:11" x14ac:dyDescent="0.25">
      <c r="A2248" s="1190">
        <v>1</v>
      </c>
      <c r="B2248" s="745"/>
      <c r="C2248" s="1117"/>
      <c r="D2248" s="1117"/>
      <c r="E2248" s="1117"/>
      <c r="F2248" s="1117"/>
      <c r="G2248" s="632"/>
      <c r="H2248" s="745"/>
      <c r="I2248" s="1117"/>
      <c r="J2248" s="632"/>
      <c r="K2248" s="1118"/>
    </row>
    <row r="2249" spans="1:11" x14ac:dyDescent="0.25">
      <c r="A2249" s="718">
        <v>2</v>
      </c>
      <c r="B2249" s="668"/>
      <c r="C2249" s="721"/>
      <c r="D2249" s="721"/>
      <c r="E2249" s="721"/>
      <c r="F2249" s="721"/>
      <c r="G2249" s="639"/>
      <c r="H2249" s="668"/>
      <c r="I2249" s="721"/>
      <c r="J2249" s="639"/>
      <c r="K2249" s="1124"/>
    </row>
    <row r="2250" spans="1:11" ht="13.8" thickBot="1" x14ac:dyDescent="0.3">
      <c r="A2250" s="1191">
        <v>3</v>
      </c>
      <c r="B2250" s="1132"/>
      <c r="C2250" s="1133"/>
      <c r="D2250" s="1133"/>
      <c r="E2250" s="1133"/>
      <c r="F2250" s="1133"/>
      <c r="G2250" s="1134"/>
      <c r="H2250" s="1132"/>
      <c r="I2250" s="1133"/>
      <c r="J2250" s="1134"/>
      <c r="K2250" s="1147"/>
    </row>
    <row r="2251" spans="1:11" ht="13.8" thickBot="1" x14ac:dyDescent="0.3">
      <c r="A2251" s="1186" t="s">
        <v>711</v>
      </c>
      <c r="B2251" s="1187"/>
      <c r="C2251" s="1188"/>
      <c r="D2251" s="1188"/>
      <c r="E2251" s="1188"/>
      <c r="F2251" s="1188"/>
      <c r="G2251" s="1189"/>
      <c r="H2251" s="1187"/>
      <c r="I2251" s="1188"/>
      <c r="J2251" s="1189"/>
      <c r="K2251" s="716"/>
    </row>
    <row r="2252" spans="1:11" x14ac:dyDescent="0.25">
      <c r="A2252" s="1190">
        <v>1</v>
      </c>
      <c r="B2252" s="745"/>
      <c r="C2252" s="1117"/>
      <c r="D2252" s="1117"/>
      <c r="E2252" s="1117"/>
      <c r="F2252" s="1117"/>
      <c r="G2252" s="632"/>
      <c r="H2252" s="745"/>
      <c r="I2252" s="1117"/>
      <c r="J2252" s="632"/>
      <c r="K2252" s="1118"/>
    </row>
    <row r="2253" spans="1:11" x14ac:dyDescent="0.25">
      <c r="A2253" s="718">
        <v>2</v>
      </c>
      <c r="B2253" s="668"/>
      <c r="C2253" s="721"/>
      <c r="D2253" s="721"/>
      <c r="E2253" s="721"/>
      <c r="F2253" s="721"/>
      <c r="G2253" s="639"/>
      <c r="H2253" s="668"/>
      <c r="I2253" s="721"/>
      <c r="J2253" s="639"/>
      <c r="K2253" s="1124"/>
    </row>
    <row r="2254" spans="1:11" x14ac:dyDescent="0.25">
      <c r="A2254" s="718">
        <v>3</v>
      </c>
      <c r="B2254" s="668"/>
      <c r="C2254" s="721"/>
      <c r="D2254" s="721"/>
      <c r="E2254" s="721"/>
      <c r="F2254" s="721"/>
      <c r="G2254" s="639"/>
      <c r="H2254" s="668"/>
      <c r="I2254" s="721"/>
      <c r="J2254" s="639"/>
      <c r="K2254" s="1124"/>
    </row>
    <row r="2255" spans="1:11" x14ac:dyDescent="0.25">
      <c r="A2255" s="718">
        <v>4</v>
      </c>
      <c r="B2255" s="668"/>
      <c r="C2255" s="721"/>
      <c r="D2255" s="721"/>
      <c r="E2255" s="721"/>
      <c r="F2255" s="721"/>
      <c r="G2255" s="639"/>
      <c r="H2255" s="668"/>
      <c r="I2255" s="721"/>
      <c r="J2255" s="639"/>
      <c r="K2255" s="1124"/>
    </row>
    <row r="2256" spans="1:11" x14ac:dyDescent="0.25">
      <c r="A2256" s="718">
        <v>5</v>
      </c>
      <c r="B2256" s="668"/>
      <c r="C2256" s="721"/>
      <c r="D2256" s="721"/>
      <c r="E2256" s="721"/>
      <c r="F2256" s="721"/>
      <c r="G2256" s="639"/>
      <c r="H2256" s="668"/>
      <c r="I2256" s="721"/>
      <c r="J2256" s="639"/>
      <c r="K2256" s="1124"/>
    </row>
    <row r="2257" spans="1:11" ht="13.8" thickBot="1" x14ac:dyDescent="0.3">
      <c r="A2257" s="719">
        <v>6</v>
      </c>
      <c r="B2257" s="669"/>
      <c r="C2257" s="1137"/>
      <c r="D2257" s="1137"/>
      <c r="E2257" s="1137"/>
      <c r="F2257" s="1137"/>
      <c r="G2257" s="646"/>
      <c r="H2257" s="669"/>
      <c r="I2257" s="1137"/>
      <c r="J2257" s="646"/>
      <c r="K2257" s="1138"/>
    </row>
    <row r="2258" spans="1:11" x14ac:dyDescent="0.25">
      <c r="A2258" s="1190">
        <v>1</v>
      </c>
      <c r="B2258" s="745"/>
      <c r="C2258" s="1117"/>
      <c r="D2258" s="1117"/>
      <c r="E2258" s="1117"/>
      <c r="F2258" s="1117"/>
      <c r="G2258" s="632"/>
      <c r="H2258" s="745"/>
      <c r="I2258" s="1117"/>
      <c r="J2258" s="632"/>
      <c r="K2258" s="1118"/>
    </row>
    <row r="2259" spans="1:11" x14ac:dyDescent="0.25">
      <c r="A2259" s="718">
        <v>2</v>
      </c>
      <c r="B2259" s="668"/>
      <c r="C2259" s="721"/>
      <c r="D2259" s="721"/>
      <c r="E2259" s="721"/>
      <c r="F2259" s="721"/>
      <c r="G2259" s="639"/>
      <c r="H2259" s="668"/>
      <c r="I2259" s="721"/>
      <c r="J2259" s="639"/>
      <c r="K2259" s="1124"/>
    </row>
    <row r="2260" spans="1:11" ht="13.8" thickBot="1" x14ac:dyDescent="0.3">
      <c r="A2260" s="719">
        <v>3</v>
      </c>
      <c r="B2260" s="669"/>
      <c r="C2260" s="1137"/>
      <c r="D2260" s="1137"/>
      <c r="E2260" s="1137"/>
      <c r="F2260" s="1137"/>
      <c r="G2260" s="646"/>
      <c r="H2260" s="669"/>
      <c r="I2260" s="1137"/>
      <c r="J2260" s="646"/>
      <c r="K2260" s="1138"/>
    </row>
    <row r="2261" spans="1:11" ht="13.8" thickBot="1" x14ac:dyDescent="0.3">
      <c r="A2261" s="1186" t="s">
        <v>712</v>
      </c>
      <c r="B2261" s="1187"/>
      <c r="C2261" s="1188"/>
      <c r="D2261" s="1188"/>
      <c r="E2261" s="1188"/>
      <c r="F2261" s="1188"/>
      <c r="G2261" s="1189"/>
      <c r="H2261" s="1187"/>
      <c r="I2261" s="1188"/>
      <c r="J2261" s="1189"/>
      <c r="K2261" s="716"/>
    </row>
    <row r="2262" spans="1:11" x14ac:dyDescent="0.25">
      <c r="A2262" s="1190">
        <v>1</v>
      </c>
      <c r="B2262" s="745"/>
      <c r="C2262" s="1117"/>
      <c r="D2262" s="1117"/>
      <c r="E2262" s="1117"/>
      <c r="F2262" s="1117"/>
      <c r="G2262" s="632"/>
      <c r="H2262" s="745"/>
      <c r="I2262" s="1117"/>
      <c r="J2262" s="632"/>
      <c r="K2262" s="1118"/>
    </row>
    <row r="2263" spans="1:11" x14ac:dyDescent="0.25">
      <c r="A2263" s="718">
        <v>2</v>
      </c>
      <c r="B2263" s="668"/>
      <c r="C2263" s="721"/>
      <c r="D2263" s="721"/>
      <c r="E2263" s="721"/>
      <c r="F2263" s="721"/>
      <c r="G2263" s="639"/>
      <c r="H2263" s="668"/>
      <c r="I2263" s="721"/>
      <c r="J2263" s="639"/>
      <c r="K2263" s="1124"/>
    </row>
    <row r="2264" spans="1:11" x14ac:dyDescent="0.25">
      <c r="A2264" s="718">
        <v>3</v>
      </c>
      <c r="B2264" s="668"/>
      <c r="C2264" s="721"/>
      <c r="D2264" s="721"/>
      <c r="E2264" s="721"/>
      <c r="F2264" s="721"/>
      <c r="G2264" s="639"/>
      <c r="H2264" s="668"/>
      <c r="I2264" s="721"/>
      <c r="J2264" s="639"/>
      <c r="K2264" s="1124"/>
    </row>
    <row r="2265" spans="1:11" x14ac:dyDescent="0.25">
      <c r="A2265" s="718">
        <v>4</v>
      </c>
      <c r="B2265" s="668"/>
      <c r="C2265" s="721"/>
      <c r="D2265" s="721"/>
      <c r="E2265" s="721"/>
      <c r="F2265" s="721"/>
      <c r="G2265" s="639"/>
      <c r="H2265" s="668"/>
      <c r="I2265" s="721"/>
      <c r="J2265" s="639"/>
      <c r="K2265" s="1124"/>
    </row>
    <row r="2266" spans="1:11" x14ac:dyDescent="0.25">
      <c r="A2266" s="718">
        <v>5</v>
      </c>
      <c r="B2266" s="668"/>
      <c r="C2266" s="721"/>
      <c r="D2266" s="721"/>
      <c r="E2266" s="721"/>
      <c r="F2266" s="721"/>
      <c r="G2266" s="639"/>
      <c r="H2266" s="668"/>
      <c r="I2266" s="721"/>
      <c r="J2266" s="639"/>
      <c r="K2266" s="1124"/>
    </row>
    <row r="2267" spans="1:11" ht="13.8" thickBot="1" x14ac:dyDescent="0.3">
      <c r="A2267" s="719">
        <v>6</v>
      </c>
      <c r="B2267" s="669"/>
      <c r="C2267" s="1137"/>
      <c r="D2267" s="1137"/>
      <c r="E2267" s="1137"/>
      <c r="F2267" s="1137"/>
      <c r="G2267" s="646"/>
      <c r="H2267" s="669"/>
      <c r="I2267" s="1137"/>
      <c r="J2267" s="646"/>
      <c r="K2267" s="1138"/>
    </row>
    <row r="2268" spans="1:11" x14ac:dyDescent="0.25">
      <c r="A2268" s="1190">
        <v>1</v>
      </c>
      <c r="B2268" s="745"/>
      <c r="C2268" s="1117"/>
      <c r="D2268" s="1117"/>
      <c r="E2268" s="1117"/>
      <c r="F2268" s="1117"/>
      <c r="G2268" s="632"/>
      <c r="H2268" s="745"/>
      <c r="I2268" s="1117"/>
      <c r="J2268" s="632"/>
      <c r="K2268" s="1118"/>
    </row>
    <row r="2269" spans="1:11" x14ac:dyDescent="0.25">
      <c r="A2269" s="718">
        <v>2</v>
      </c>
      <c r="B2269" s="668"/>
      <c r="C2269" s="721"/>
      <c r="D2269" s="721"/>
      <c r="E2269" s="721"/>
      <c r="F2269" s="721"/>
      <c r="G2269" s="639"/>
      <c r="H2269" s="668"/>
      <c r="I2269" s="721"/>
      <c r="J2269" s="639"/>
      <c r="K2269" s="1124"/>
    </row>
    <row r="2270" spans="1:11" ht="13.8" thickBot="1" x14ac:dyDescent="0.3">
      <c r="A2270" s="719">
        <v>3</v>
      </c>
      <c r="B2270" s="669"/>
      <c r="C2270" s="1137"/>
      <c r="D2270" s="1137"/>
      <c r="E2270" s="1137"/>
      <c r="F2270" s="1137"/>
      <c r="G2270" s="646"/>
      <c r="H2270" s="669"/>
      <c r="I2270" s="1137"/>
      <c r="J2270" s="646"/>
      <c r="K2270" s="1138"/>
    </row>
    <row r="2271" spans="1:11" ht="13.8" thickBot="1" x14ac:dyDescent="0.3">
      <c r="A2271" s="1186" t="s">
        <v>713</v>
      </c>
      <c r="B2271" s="1187"/>
      <c r="C2271" s="1188"/>
      <c r="D2271" s="1188"/>
      <c r="E2271" s="1188"/>
      <c r="F2271" s="1188"/>
      <c r="G2271" s="1189"/>
      <c r="H2271" s="1187"/>
      <c r="I2271" s="1188"/>
      <c r="J2271" s="1189"/>
      <c r="K2271" s="716"/>
    </row>
    <row r="2272" spans="1:11" x14ac:dyDescent="0.25">
      <c r="A2272" s="1190">
        <v>1</v>
      </c>
      <c r="B2272" s="745"/>
      <c r="C2272" s="1117"/>
      <c r="D2272" s="1117"/>
      <c r="E2272" s="1117"/>
      <c r="F2272" s="1117"/>
      <c r="G2272" s="632"/>
      <c r="H2272" s="745"/>
      <c r="I2272" s="1117"/>
      <c r="J2272" s="632"/>
      <c r="K2272" s="1118"/>
    </row>
    <row r="2273" spans="1:11" x14ac:dyDescent="0.25">
      <c r="A2273" s="718">
        <v>2</v>
      </c>
      <c r="B2273" s="668"/>
      <c r="C2273" s="721"/>
      <c r="D2273" s="721"/>
      <c r="E2273" s="721"/>
      <c r="F2273" s="721"/>
      <c r="G2273" s="639"/>
      <c r="H2273" s="668"/>
      <c r="I2273" s="721"/>
      <c r="J2273" s="639"/>
      <c r="K2273" s="1124"/>
    </row>
    <row r="2274" spans="1:11" x14ac:dyDescent="0.25">
      <c r="A2274" s="718">
        <v>3</v>
      </c>
      <c r="B2274" s="668"/>
      <c r="C2274" s="721"/>
      <c r="D2274" s="721"/>
      <c r="E2274" s="721"/>
      <c r="F2274" s="721"/>
      <c r="G2274" s="639"/>
      <c r="H2274" s="668"/>
      <c r="I2274" s="721"/>
      <c r="J2274" s="639"/>
      <c r="K2274" s="1124"/>
    </row>
    <row r="2275" spans="1:11" x14ac:dyDescent="0.25">
      <c r="A2275" s="718">
        <v>4</v>
      </c>
      <c r="B2275" s="668"/>
      <c r="C2275" s="721"/>
      <c r="D2275" s="721"/>
      <c r="E2275" s="721"/>
      <c r="F2275" s="721"/>
      <c r="G2275" s="639"/>
      <c r="H2275" s="668"/>
      <c r="I2275" s="721"/>
      <c r="J2275" s="639"/>
      <c r="K2275" s="1124"/>
    </row>
    <row r="2276" spans="1:11" x14ac:dyDescent="0.25">
      <c r="A2276" s="718">
        <v>5</v>
      </c>
      <c r="B2276" s="668"/>
      <c r="C2276" s="721"/>
      <c r="D2276" s="721"/>
      <c r="E2276" s="721"/>
      <c r="F2276" s="721"/>
      <c r="G2276" s="639"/>
      <c r="H2276" s="668"/>
      <c r="I2276" s="721"/>
      <c r="J2276" s="639"/>
      <c r="K2276" s="1124"/>
    </row>
    <row r="2277" spans="1:11" ht="13.8" thickBot="1" x14ac:dyDescent="0.3">
      <c r="A2277" s="719">
        <v>6</v>
      </c>
      <c r="B2277" s="669"/>
      <c r="C2277" s="1137"/>
      <c r="D2277" s="1137"/>
      <c r="E2277" s="1137"/>
      <c r="F2277" s="1137"/>
      <c r="G2277" s="646"/>
      <c r="H2277" s="669"/>
      <c r="I2277" s="1137"/>
      <c r="J2277" s="646"/>
      <c r="K2277" s="1138"/>
    </row>
    <row r="2278" spans="1:11" x14ac:dyDescent="0.25">
      <c r="A2278" s="1190">
        <v>1</v>
      </c>
      <c r="B2278" s="745"/>
      <c r="C2278" s="1117"/>
      <c r="D2278" s="1117"/>
      <c r="E2278" s="1117"/>
      <c r="F2278" s="1117"/>
      <c r="G2278" s="632"/>
      <c r="H2278" s="745"/>
      <c r="I2278" s="1117"/>
      <c r="J2278" s="632"/>
      <c r="K2278" s="1118"/>
    </row>
    <row r="2279" spans="1:11" x14ac:dyDescent="0.25">
      <c r="A2279" s="718">
        <v>2</v>
      </c>
      <c r="B2279" s="668"/>
      <c r="C2279" s="721"/>
      <c r="D2279" s="721"/>
      <c r="E2279" s="721"/>
      <c r="F2279" s="721"/>
      <c r="G2279" s="639"/>
      <c r="H2279" s="668"/>
      <c r="I2279" s="721"/>
      <c r="J2279" s="639"/>
      <c r="K2279" s="1124"/>
    </row>
    <row r="2280" spans="1:11" ht="13.8" thickBot="1" x14ac:dyDescent="0.3">
      <c r="A2280" s="719">
        <v>3</v>
      </c>
      <c r="B2280" s="669"/>
      <c r="C2280" s="1137"/>
      <c r="D2280" s="1137"/>
      <c r="E2280" s="1137"/>
      <c r="F2280" s="1137"/>
      <c r="G2280" s="646"/>
      <c r="H2280" s="669"/>
      <c r="I2280" s="1137"/>
      <c r="J2280" s="646"/>
      <c r="K2280" s="1138"/>
    </row>
    <row r="2281" spans="1:11" ht="13.8" thickBot="1" x14ac:dyDescent="0.3">
      <c r="A2281" s="1186" t="s">
        <v>714</v>
      </c>
      <c r="B2281" s="1187"/>
      <c r="C2281" s="1188"/>
      <c r="D2281" s="1188"/>
      <c r="E2281" s="1188"/>
      <c r="F2281" s="1188"/>
      <c r="G2281" s="1189"/>
      <c r="H2281" s="1187"/>
      <c r="I2281" s="1188"/>
      <c r="J2281" s="1189"/>
      <c r="K2281" s="716"/>
    </row>
    <row r="2282" spans="1:11" x14ac:dyDescent="0.25">
      <c r="A2282" s="1190">
        <v>1</v>
      </c>
      <c r="B2282" s="745"/>
      <c r="C2282" s="1117"/>
      <c r="D2282" s="1117"/>
      <c r="E2282" s="1117"/>
      <c r="F2282" s="1117"/>
      <c r="G2282" s="632"/>
      <c r="H2282" s="745"/>
      <c r="I2282" s="1117"/>
      <c r="J2282" s="632"/>
      <c r="K2282" s="1118"/>
    </row>
    <row r="2283" spans="1:11" x14ac:dyDescent="0.25">
      <c r="A2283" s="718">
        <v>2</v>
      </c>
      <c r="B2283" s="668"/>
      <c r="C2283" s="721"/>
      <c r="D2283" s="721"/>
      <c r="E2283" s="721"/>
      <c r="F2283" s="721"/>
      <c r="G2283" s="639"/>
      <c r="H2283" s="668"/>
      <c r="I2283" s="721"/>
      <c r="J2283" s="639"/>
      <c r="K2283" s="1124"/>
    </row>
    <row r="2284" spans="1:11" x14ac:dyDescent="0.25">
      <c r="A2284" s="718">
        <v>3</v>
      </c>
      <c r="B2284" s="668"/>
      <c r="C2284" s="721"/>
      <c r="D2284" s="721"/>
      <c r="E2284" s="721"/>
      <c r="F2284" s="721"/>
      <c r="G2284" s="639"/>
      <c r="H2284" s="668"/>
      <c r="I2284" s="721"/>
      <c r="J2284" s="639"/>
      <c r="K2284" s="1124"/>
    </row>
    <row r="2285" spans="1:11" x14ac:dyDescent="0.25">
      <c r="A2285" s="718">
        <v>4</v>
      </c>
      <c r="B2285" s="668"/>
      <c r="C2285" s="721"/>
      <c r="D2285" s="721"/>
      <c r="E2285" s="721"/>
      <c r="F2285" s="721"/>
      <c r="G2285" s="639"/>
      <c r="H2285" s="668"/>
      <c r="I2285" s="721"/>
      <c r="J2285" s="639"/>
      <c r="K2285" s="1124"/>
    </row>
    <row r="2286" spans="1:11" x14ac:dyDescent="0.25">
      <c r="A2286" s="718">
        <v>5</v>
      </c>
      <c r="B2286" s="668"/>
      <c r="C2286" s="721"/>
      <c r="D2286" s="721"/>
      <c r="E2286" s="721"/>
      <c r="F2286" s="721"/>
      <c r="G2286" s="639"/>
      <c r="H2286" s="668"/>
      <c r="I2286" s="721"/>
      <c r="J2286" s="639"/>
      <c r="K2286" s="1124"/>
    </row>
    <row r="2287" spans="1:11" ht="13.8" thickBot="1" x14ac:dyDescent="0.3">
      <c r="A2287" s="719">
        <v>6</v>
      </c>
      <c r="B2287" s="669"/>
      <c r="C2287" s="1137"/>
      <c r="D2287" s="1137"/>
      <c r="E2287" s="1137"/>
      <c r="F2287" s="1137"/>
      <c r="G2287" s="646"/>
      <c r="H2287" s="669"/>
      <c r="I2287" s="1137"/>
      <c r="J2287" s="646"/>
      <c r="K2287" s="1138"/>
    </row>
    <row r="2288" spans="1:11" x14ac:dyDescent="0.25">
      <c r="A2288" s="1190">
        <v>1</v>
      </c>
      <c r="B2288" s="745"/>
      <c r="C2288" s="1117"/>
      <c r="D2288" s="1117"/>
      <c r="E2288" s="1117"/>
      <c r="F2288" s="1117"/>
      <c r="G2288" s="632"/>
      <c r="H2288" s="745"/>
      <c r="I2288" s="1117"/>
      <c r="J2288" s="632"/>
      <c r="K2288" s="1118"/>
    </row>
    <row r="2289" spans="1:11" x14ac:dyDescent="0.25">
      <c r="A2289" s="718">
        <v>2</v>
      </c>
      <c r="B2289" s="668"/>
      <c r="C2289" s="721"/>
      <c r="D2289" s="721"/>
      <c r="E2289" s="721"/>
      <c r="F2289" s="721"/>
      <c r="G2289" s="639"/>
      <c r="H2289" s="668"/>
      <c r="I2289" s="721"/>
      <c r="J2289" s="639"/>
      <c r="K2289" s="1124"/>
    </row>
    <row r="2290" spans="1:11" ht="13.8" thickBot="1" x14ac:dyDescent="0.3">
      <c r="A2290" s="1191">
        <v>3</v>
      </c>
      <c r="B2290" s="1132"/>
      <c r="C2290" s="1133"/>
      <c r="D2290" s="1133"/>
      <c r="E2290" s="1133"/>
      <c r="F2290" s="1133"/>
      <c r="G2290" s="1134"/>
      <c r="H2290" s="1132"/>
      <c r="I2290" s="1133"/>
      <c r="J2290" s="1134"/>
      <c r="K2290" s="1147"/>
    </row>
    <row r="2291" spans="1:11" ht="13.8" thickBot="1" x14ac:dyDescent="0.3">
      <c r="A2291" s="1186" t="s">
        <v>715</v>
      </c>
      <c r="B2291" s="1187"/>
      <c r="C2291" s="1188"/>
      <c r="D2291" s="1188"/>
      <c r="E2291" s="1188"/>
      <c r="F2291" s="1188"/>
      <c r="G2291" s="1189"/>
      <c r="H2291" s="1187"/>
      <c r="I2291" s="1188"/>
      <c r="J2291" s="1189"/>
      <c r="K2291" s="716"/>
    </row>
    <row r="2292" spans="1:11" x14ac:dyDescent="0.25">
      <c r="A2292" s="1190">
        <v>1</v>
      </c>
      <c r="B2292" s="745"/>
      <c r="C2292" s="1117"/>
      <c r="D2292" s="1117"/>
      <c r="E2292" s="1117"/>
      <c r="F2292" s="1117"/>
      <c r="G2292" s="632"/>
      <c r="H2292" s="745"/>
      <c r="I2292" s="1117"/>
      <c r="J2292" s="632"/>
      <c r="K2292" s="1118"/>
    </row>
    <row r="2293" spans="1:11" x14ac:dyDescent="0.25">
      <c r="A2293" s="718">
        <v>2</v>
      </c>
      <c r="B2293" s="668"/>
      <c r="C2293" s="721"/>
      <c r="D2293" s="721"/>
      <c r="E2293" s="721"/>
      <c r="F2293" s="721"/>
      <c r="G2293" s="639"/>
      <c r="H2293" s="668"/>
      <c r="I2293" s="721"/>
      <c r="J2293" s="639"/>
      <c r="K2293" s="1124"/>
    </row>
    <row r="2294" spans="1:11" x14ac:dyDescent="0.25">
      <c r="A2294" s="718">
        <v>3</v>
      </c>
      <c r="B2294" s="668"/>
      <c r="C2294" s="721"/>
      <c r="D2294" s="721"/>
      <c r="E2294" s="721"/>
      <c r="F2294" s="721"/>
      <c r="G2294" s="639"/>
      <c r="H2294" s="668"/>
      <c r="I2294" s="721"/>
      <c r="J2294" s="639"/>
      <c r="K2294" s="1124"/>
    </row>
    <row r="2295" spans="1:11" x14ac:dyDescent="0.25">
      <c r="A2295" s="718">
        <v>4</v>
      </c>
      <c r="B2295" s="668"/>
      <c r="C2295" s="721"/>
      <c r="D2295" s="721"/>
      <c r="E2295" s="721"/>
      <c r="F2295" s="721"/>
      <c r="G2295" s="639"/>
      <c r="H2295" s="668"/>
      <c r="I2295" s="721"/>
      <c r="J2295" s="639"/>
      <c r="K2295" s="1124"/>
    </row>
    <row r="2296" spans="1:11" x14ac:dyDescent="0.25">
      <c r="A2296" s="718">
        <v>5</v>
      </c>
      <c r="B2296" s="668"/>
      <c r="C2296" s="721"/>
      <c r="D2296" s="721"/>
      <c r="E2296" s="721"/>
      <c r="F2296" s="721"/>
      <c r="G2296" s="639"/>
      <c r="H2296" s="668"/>
      <c r="I2296" s="721"/>
      <c r="J2296" s="639"/>
      <c r="K2296" s="1124"/>
    </row>
    <row r="2297" spans="1:11" ht="13.8" thickBot="1" x14ac:dyDescent="0.3">
      <c r="A2297" s="719">
        <v>6</v>
      </c>
      <c r="B2297" s="669"/>
      <c r="C2297" s="1137"/>
      <c r="D2297" s="1137"/>
      <c r="E2297" s="1137"/>
      <c r="F2297" s="1137"/>
      <c r="G2297" s="646"/>
      <c r="H2297" s="669"/>
      <c r="I2297" s="1137"/>
      <c r="J2297" s="646"/>
      <c r="K2297" s="1138"/>
    </row>
    <row r="2298" spans="1:11" x14ac:dyDescent="0.25">
      <c r="A2298" s="1190">
        <v>1</v>
      </c>
      <c r="B2298" s="745"/>
      <c r="C2298" s="1117"/>
      <c r="D2298" s="1117"/>
      <c r="E2298" s="1117"/>
      <c r="F2298" s="1117"/>
      <c r="G2298" s="632"/>
      <c r="H2298" s="745"/>
      <c r="I2298" s="1117"/>
      <c r="J2298" s="632"/>
      <c r="K2298" s="1118"/>
    </row>
    <row r="2299" spans="1:11" x14ac:dyDescent="0.25">
      <c r="A2299" s="718">
        <v>2</v>
      </c>
      <c r="B2299" s="668"/>
      <c r="C2299" s="721"/>
      <c r="D2299" s="721"/>
      <c r="E2299" s="721"/>
      <c r="F2299" s="721"/>
      <c r="G2299" s="639"/>
      <c r="H2299" s="668"/>
      <c r="I2299" s="721"/>
      <c r="J2299" s="639"/>
      <c r="K2299" s="1124"/>
    </row>
    <row r="2300" spans="1:11" ht="13.8" thickBot="1" x14ac:dyDescent="0.3">
      <c r="A2300" s="719">
        <v>3</v>
      </c>
      <c r="B2300" s="669"/>
      <c r="C2300" s="1137"/>
      <c r="D2300" s="1137"/>
      <c r="E2300" s="1137"/>
      <c r="F2300" s="1137"/>
      <c r="G2300" s="646"/>
      <c r="H2300" s="669"/>
      <c r="I2300" s="1137"/>
      <c r="J2300" s="646"/>
      <c r="K2300" s="1138"/>
    </row>
    <row r="2301" spans="1:11" ht="13.8" thickBot="1" x14ac:dyDescent="0.3">
      <c r="A2301" s="1186" t="s">
        <v>716</v>
      </c>
      <c r="B2301" s="1187"/>
      <c r="C2301" s="1188"/>
      <c r="D2301" s="1188"/>
      <c r="E2301" s="1188"/>
      <c r="F2301" s="1188"/>
      <c r="G2301" s="1189"/>
      <c r="H2301" s="1187"/>
      <c r="I2301" s="1188"/>
      <c r="J2301" s="1189"/>
      <c r="K2301" s="716"/>
    </row>
    <row r="2302" spans="1:11" x14ac:dyDescent="0.25">
      <c r="A2302" s="1190">
        <v>1</v>
      </c>
      <c r="B2302" s="745"/>
      <c r="C2302" s="1117"/>
      <c r="D2302" s="1117"/>
      <c r="E2302" s="1117"/>
      <c r="F2302" s="1117"/>
      <c r="G2302" s="632"/>
      <c r="H2302" s="745"/>
      <c r="I2302" s="1117"/>
      <c r="J2302" s="632"/>
      <c r="K2302" s="1118"/>
    </row>
    <row r="2303" spans="1:11" x14ac:dyDescent="0.25">
      <c r="A2303" s="718">
        <v>2</v>
      </c>
      <c r="B2303" s="668"/>
      <c r="C2303" s="721"/>
      <c r="D2303" s="721"/>
      <c r="E2303" s="721"/>
      <c r="F2303" s="721"/>
      <c r="G2303" s="639"/>
      <c r="H2303" s="668"/>
      <c r="I2303" s="721"/>
      <c r="J2303" s="639"/>
      <c r="K2303" s="1124"/>
    </row>
    <row r="2304" spans="1:11" x14ac:dyDescent="0.25">
      <c r="A2304" s="718">
        <v>3</v>
      </c>
      <c r="B2304" s="668"/>
      <c r="C2304" s="721"/>
      <c r="D2304" s="721"/>
      <c r="E2304" s="721"/>
      <c r="F2304" s="721"/>
      <c r="G2304" s="639"/>
      <c r="H2304" s="668"/>
      <c r="I2304" s="721"/>
      <c r="J2304" s="639"/>
      <c r="K2304" s="1124"/>
    </row>
    <row r="2305" spans="1:11" x14ac:dyDescent="0.25">
      <c r="A2305" s="718">
        <v>4</v>
      </c>
      <c r="B2305" s="668"/>
      <c r="C2305" s="721"/>
      <c r="D2305" s="721"/>
      <c r="E2305" s="721"/>
      <c r="F2305" s="721"/>
      <c r="G2305" s="639"/>
      <c r="H2305" s="668"/>
      <c r="I2305" s="721"/>
      <c r="J2305" s="639"/>
      <c r="K2305" s="1124"/>
    </row>
    <row r="2306" spans="1:11" x14ac:dyDescent="0.25">
      <c r="A2306" s="718">
        <v>5</v>
      </c>
      <c r="B2306" s="668"/>
      <c r="C2306" s="721"/>
      <c r="D2306" s="721"/>
      <c r="E2306" s="721"/>
      <c r="F2306" s="721"/>
      <c r="G2306" s="639"/>
      <c r="H2306" s="668"/>
      <c r="I2306" s="721"/>
      <c r="J2306" s="639"/>
      <c r="K2306" s="1124"/>
    </row>
    <row r="2307" spans="1:11" ht="13.8" thickBot="1" x14ac:dyDescent="0.3">
      <c r="A2307" s="719">
        <v>6</v>
      </c>
      <c r="B2307" s="669"/>
      <c r="C2307" s="1137"/>
      <c r="D2307" s="1137"/>
      <c r="E2307" s="1137"/>
      <c r="F2307" s="1137"/>
      <c r="G2307" s="646"/>
      <c r="H2307" s="669"/>
      <c r="I2307" s="1137"/>
      <c r="J2307" s="646"/>
      <c r="K2307" s="1138"/>
    </row>
    <row r="2308" spans="1:11" x14ac:dyDescent="0.25">
      <c r="A2308" s="1190">
        <v>1</v>
      </c>
      <c r="B2308" s="745"/>
      <c r="C2308" s="1117"/>
      <c r="D2308" s="1117"/>
      <c r="E2308" s="1117"/>
      <c r="F2308" s="1117"/>
      <c r="G2308" s="632"/>
      <c r="H2308" s="745"/>
      <c r="I2308" s="1117"/>
      <c r="J2308" s="632"/>
      <c r="K2308" s="1118"/>
    </row>
    <row r="2309" spans="1:11" x14ac:dyDescent="0.25">
      <c r="A2309" s="718">
        <v>2</v>
      </c>
      <c r="B2309" s="668"/>
      <c r="C2309" s="721"/>
      <c r="D2309" s="721"/>
      <c r="E2309" s="721"/>
      <c r="F2309" s="721"/>
      <c r="G2309" s="639"/>
      <c r="H2309" s="668"/>
      <c r="I2309" s="721"/>
      <c r="J2309" s="639"/>
      <c r="K2309" s="1124"/>
    </row>
    <row r="2310" spans="1:11" ht="13.8" thickBot="1" x14ac:dyDescent="0.3">
      <c r="A2310" s="719">
        <v>3</v>
      </c>
      <c r="B2310" s="669"/>
      <c r="C2310" s="1137"/>
      <c r="D2310" s="1137"/>
      <c r="E2310" s="1137"/>
      <c r="F2310" s="1137"/>
      <c r="G2310" s="646"/>
      <c r="H2310" s="669"/>
      <c r="I2310" s="1137"/>
      <c r="J2310" s="646"/>
      <c r="K2310" s="1138"/>
    </row>
    <row r="2311" spans="1:11" ht="13.8" thickBot="1" x14ac:dyDescent="0.3">
      <c r="A2311" s="1186" t="s">
        <v>717</v>
      </c>
      <c r="B2311" s="1187"/>
      <c r="C2311" s="1188"/>
      <c r="D2311" s="1188"/>
      <c r="E2311" s="1188"/>
      <c r="F2311" s="1188"/>
      <c r="G2311" s="1189"/>
      <c r="H2311" s="1187"/>
      <c r="I2311" s="1188"/>
      <c r="J2311" s="1189"/>
      <c r="K2311" s="716"/>
    </row>
    <row r="2312" spans="1:11" x14ac:dyDescent="0.25">
      <c r="A2312" s="1190">
        <v>1</v>
      </c>
      <c r="B2312" s="745"/>
      <c r="C2312" s="1117"/>
      <c r="D2312" s="1117"/>
      <c r="E2312" s="1117"/>
      <c r="F2312" s="1117"/>
      <c r="G2312" s="632"/>
      <c r="H2312" s="745"/>
      <c r="I2312" s="1117"/>
      <c r="J2312" s="632"/>
      <c r="K2312" s="1118"/>
    </row>
    <row r="2313" spans="1:11" x14ac:dyDescent="0.25">
      <c r="A2313" s="718">
        <v>2</v>
      </c>
      <c r="B2313" s="668"/>
      <c r="C2313" s="721"/>
      <c r="D2313" s="721"/>
      <c r="E2313" s="721"/>
      <c r="F2313" s="721"/>
      <c r="G2313" s="639"/>
      <c r="H2313" s="668"/>
      <c r="I2313" s="721"/>
      <c r="J2313" s="639"/>
      <c r="K2313" s="1124"/>
    </row>
    <row r="2314" spans="1:11" x14ac:dyDescent="0.25">
      <c r="A2314" s="718">
        <v>3</v>
      </c>
      <c r="B2314" s="668"/>
      <c r="C2314" s="721"/>
      <c r="D2314" s="721"/>
      <c r="E2314" s="721"/>
      <c r="F2314" s="721"/>
      <c r="G2314" s="639"/>
      <c r="H2314" s="668"/>
      <c r="I2314" s="721"/>
      <c r="J2314" s="639"/>
      <c r="K2314" s="1124"/>
    </row>
    <row r="2315" spans="1:11" x14ac:dyDescent="0.25">
      <c r="A2315" s="718">
        <v>4</v>
      </c>
      <c r="B2315" s="668"/>
      <c r="C2315" s="721"/>
      <c r="D2315" s="721"/>
      <c r="E2315" s="721"/>
      <c r="F2315" s="721"/>
      <c r="G2315" s="639"/>
      <c r="H2315" s="668"/>
      <c r="I2315" s="721"/>
      <c r="J2315" s="639"/>
      <c r="K2315" s="1124"/>
    </row>
    <row r="2316" spans="1:11" x14ac:dyDescent="0.25">
      <c r="A2316" s="718">
        <v>5</v>
      </c>
      <c r="B2316" s="668"/>
      <c r="C2316" s="721"/>
      <c r="D2316" s="721"/>
      <c r="E2316" s="721"/>
      <c r="F2316" s="721"/>
      <c r="G2316" s="639"/>
      <c r="H2316" s="668"/>
      <c r="I2316" s="721"/>
      <c r="J2316" s="639"/>
      <c r="K2316" s="1124"/>
    </row>
    <row r="2317" spans="1:11" ht="13.8" thickBot="1" x14ac:dyDescent="0.3">
      <c r="A2317" s="719">
        <v>6</v>
      </c>
      <c r="B2317" s="669"/>
      <c r="C2317" s="1137"/>
      <c r="D2317" s="1137"/>
      <c r="E2317" s="1137"/>
      <c r="F2317" s="1137"/>
      <c r="G2317" s="646"/>
      <c r="H2317" s="669"/>
      <c r="I2317" s="1137"/>
      <c r="J2317" s="646"/>
      <c r="K2317" s="1138"/>
    </row>
    <row r="2318" spans="1:11" x14ac:dyDescent="0.25">
      <c r="A2318" s="1190">
        <v>1</v>
      </c>
      <c r="B2318" s="745"/>
      <c r="C2318" s="1117"/>
      <c r="D2318" s="1117"/>
      <c r="E2318" s="1117"/>
      <c r="F2318" s="1117"/>
      <c r="G2318" s="632"/>
      <c r="H2318" s="745"/>
      <c r="I2318" s="1117"/>
      <c r="J2318" s="632"/>
      <c r="K2318" s="1118"/>
    </row>
    <row r="2319" spans="1:11" x14ac:dyDescent="0.25">
      <c r="A2319" s="718">
        <v>2</v>
      </c>
      <c r="B2319" s="668"/>
      <c r="C2319" s="721"/>
      <c r="D2319" s="721"/>
      <c r="E2319" s="721"/>
      <c r="F2319" s="721"/>
      <c r="G2319" s="639"/>
      <c r="H2319" s="668"/>
      <c r="I2319" s="721"/>
      <c r="J2319" s="639"/>
      <c r="K2319" s="1124"/>
    </row>
    <row r="2320" spans="1:11" ht="13.8" thickBot="1" x14ac:dyDescent="0.3">
      <c r="A2320" s="719">
        <v>3</v>
      </c>
      <c r="B2320" s="669"/>
      <c r="C2320" s="1137"/>
      <c r="D2320" s="1137"/>
      <c r="E2320" s="1137"/>
      <c r="F2320" s="1137"/>
      <c r="G2320" s="646"/>
      <c r="H2320" s="669"/>
      <c r="I2320" s="1137"/>
      <c r="J2320" s="646"/>
      <c r="K2320" s="1138"/>
    </row>
    <row r="2321" spans="1:11" ht="13.8" thickBot="1" x14ac:dyDescent="0.3">
      <c r="A2321" s="1186" t="s">
        <v>718</v>
      </c>
      <c r="B2321" s="1187"/>
      <c r="C2321" s="1188"/>
      <c r="D2321" s="1188"/>
      <c r="E2321" s="1188"/>
      <c r="F2321" s="1188"/>
      <c r="G2321" s="1189"/>
      <c r="H2321" s="1187"/>
      <c r="I2321" s="1188"/>
      <c r="J2321" s="1189"/>
      <c r="K2321" s="716"/>
    </row>
    <row r="2322" spans="1:11" x14ac:dyDescent="0.25">
      <c r="A2322" s="1190">
        <v>1</v>
      </c>
      <c r="B2322" s="745"/>
      <c r="C2322" s="1117"/>
      <c r="D2322" s="1117"/>
      <c r="E2322" s="1117"/>
      <c r="F2322" s="1117"/>
      <c r="G2322" s="632"/>
      <c r="H2322" s="745"/>
      <c r="I2322" s="1117"/>
      <c r="J2322" s="632"/>
      <c r="K2322" s="1118"/>
    </row>
    <row r="2323" spans="1:11" x14ac:dyDescent="0.25">
      <c r="A2323" s="718">
        <v>2</v>
      </c>
      <c r="B2323" s="668"/>
      <c r="C2323" s="721"/>
      <c r="D2323" s="721"/>
      <c r="E2323" s="721"/>
      <c r="F2323" s="721"/>
      <c r="G2323" s="639"/>
      <c r="H2323" s="668"/>
      <c r="I2323" s="721"/>
      <c r="J2323" s="639"/>
      <c r="K2323" s="1124"/>
    </row>
    <row r="2324" spans="1:11" x14ac:dyDescent="0.25">
      <c r="A2324" s="718">
        <v>3</v>
      </c>
      <c r="B2324" s="668"/>
      <c r="C2324" s="721"/>
      <c r="D2324" s="721"/>
      <c r="E2324" s="721"/>
      <c r="F2324" s="721"/>
      <c r="G2324" s="639"/>
      <c r="H2324" s="668"/>
      <c r="I2324" s="721"/>
      <c r="J2324" s="639"/>
      <c r="K2324" s="1124"/>
    </row>
    <row r="2325" spans="1:11" x14ac:dyDescent="0.25">
      <c r="A2325" s="718">
        <v>4</v>
      </c>
      <c r="B2325" s="668"/>
      <c r="C2325" s="721"/>
      <c r="D2325" s="721"/>
      <c r="E2325" s="721"/>
      <c r="F2325" s="721"/>
      <c r="G2325" s="639"/>
      <c r="H2325" s="668"/>
      <c r="I2325" s="721"/>
      <c r="J2325" s="639"/>
      <c r="K2325" s="1124"/>
    </row>
    <row r="2326" spans="1:11" x14ac:dyDescent="0.25">
      <c r="A2326" s="718">
        <v>5</v>
      </c>
      <c r="B2326" s="668"/>
      <c r="C2326" s="721"/>
      <c r="D2326" s="721"/>
      <c r="E2326" s="721"/>
      <c r="F2326" s="721"/>
      <c r="G2326" s="639"/>
      <c r="H2326" s="668"/>
      <c r="I2326" s="721"/>
      <c r="J2326" s="639"/>
      <c r="K2326" s="1124"/>
    </row>
    <row r="2327" spans="1:11" ht="13.8" thickBot="1" x14ac:dyDescent="0.3">
      <c r="A2327" s="719">
        <v>6</v>
      </c>
      <c r="B2327" s="669"/>
      <c r="C2327" s="1137"/>
      <c r="D2327" s="1137"/>
      <c r="E2327" s="1137"/>
      <c r="F2327" s="1137"/>
      <c r="G2327" s="646"/>
      <c r="H2327" s="669"/>
      <c r="I2327" s="1137"/>
      <c r="J2327" s="646"/>
      <c r="K2327" s="1138"/>
    </row>
    <row r="2328" spans="1:11" x14ac:dyDescent="0.25">
      <c r="A2328" s="1190">
        <v>1</v>
      </c>
      <c r="B2328" s="745"/>
      <c r="C2328" s="1117"/>
      <c r="D2328" s="1117"/>
      <c r="E2328" s="1117"/>
      <c r="F2328" s="1117"/>
      <c r="G2328" s="632"/>
      <c r="H2328" s="745"/>
      <c r="I2328" s="1117"/>
      <c r="J2328" s="632"/>
      <c r="K2328" s="1118"/>
    </row>
    <row r="2329" spans="1:11" x14ac:dyDescent="0.25">
      <c r="A2329" s="718">
        <v>2</v>
      </c>
      <c r="B2329" s="668"/>
      <c r="C2329" s="721"/>
      <c r="D2329" s="721"/>
      <c r="E2329" s="721"/>
      <c r="F2329" s="721"/>
      <c r="G2329" s="639"/>
      <c r="H2329" s="668"/>
      <c r="I2329" s="721"/>
      <c r="J2329" s="639"/>
      <c r="K2329" s="1124"/>
    </row>
    <row r="2330" spans="1:11" ht="13.8" thickBot="1" x14ac:dyDescent="0.3">
      <c r="A2330" s="719">
        <v>3</v>
      </c>
      <c r="B2330" s="669"/>
      <c r="C2330" s="1137"/>
      <c r="D2330" s="1137"/>
      <c r="E2330" s="1137"/>
      <c r="F2330" s="1137"/>
      <c r="G2330" s="646"/>
      <c r="H2330" s="669"/>
      <c r="I2330" s="1137"/>
      <c r="J2330" s="646"/>
      <c r="K2330" s="1138"/>
    </row>
    <row r="2331" spans="1:11" ht="13.8" thickBot="1" x14ac:dyDescent="0.3">
      <c r="A2331" s="1186" t="s">
        <v>719</v>
      </c>
      <c r="B2331" s="1187"/>
      <c r="C2331" s="1188"/>
      <c r="D2331" s="1188"/>
      <c r="E2331" s="1188"/>
      <c r="F2331" s="1188"/>
      <c r="G2331" s="1189"/>
      <c r="H2331" s="1187"/>
      <c r="I2331" s="1188"/>
      <c r="J2331" s="1189"/>
      <c r="K2331" s="716"/>
    </row>
    <row r="2332" spans="1:11" x14ac:dyDescent="0.25">
      <c r="A2332" s="1190">
        <v>1</v>
      </c>
      <c r="B2332" s="745"/>
      <c r="C2332" s="1117"/>
      <c r="D2332" s="1117"/>
      <c r="E2332" s="1117"/>
      <c r="F2332" s="1117"/>
      <c r="G2332" s="632"/>
      <c r="H2332" s="745"/>
      <c r="I2332" s="1117"/>
      <c r="J2332" s="632"/>
      <c r="K2332" s="1118"/>
    </row>
    <row r="2333" spans="1:11" x14ac:dyDescent="0.25">
      <c r="A2333" s="718">
        <v>2</v>
      </c>
      <c r="B2333" s="668"/>
      <c r="C2333" s="721"/>
      <c r="D2333" s="721"/>
      <c r="E2333" s="721"/>
      <c r="F2333" s="721"/>
      <c r="G2333" s="639"/>
      <c r="H2333" s="668"/>
      <c r="I2333" s="721"/>
      <c r="J2333" s="639"/>
      <c r="K2333" s="1124"/>
    </row>
    <row r="2334" spans="1:11" x14ac:dyDescent="0.25">
      <c r="A2334" s="718">
        <v>3</v>
      </c>
      <c r="B2334" s="668"/>
      <c r="C2334" s="721"/>
      <c r="D2334" s="721"/>
      <c r="E2334" s="721"/>
      <c r="F2334" s="721"/>
      <c r="G2334" s="639"/>
      <c r="H2334" s="668"/>
      <c r="I2334" s="721"/>
      <c r="J2334" s="639"/>
      <c r="K2334" s="1124"/>
    </row>
    <row r="2335" spans="1:11" x14ac:dyDescent="0.25">
      <c r="A2335" s="718">
        <v>4</v>
      </c>
      <c r="B2335" s="668"/>
      <c r="C2335" s="721"/>
      <c r="D2335" s="721"/>
      <c r="E2335" s="721"/>
      <c r="F2335" s="721"/>
      <c r="G2335" s="639"/>
      <c r="H2335" s="668"/>
      <c r="I2335" s="721"/>
      <c r="J2335" s="639"/>
      <c r="K2335" s="1124"/>
    </row>
    <row r="2336" spans="1:11" x14ac:dyDescent="0.25">
      <c r="A2336" s="718">
        <v>5</v>
      </c>
      <c r="B2336" s="668"/>
      <c r="C2336" s="721"/>
      <c r="D2336" s="721"/>
      <c r="E2336" s="721"/>
      <c r="F2336" s="721"/>
      <c r="G2336" s="639"/>
      <c r="H2336" s="668"/>
      <c r="I2336" s="721"/>
      <c r="J2336" s="639"/>
      <c r="K2336" s="1124"/>
    </row>
    <row r="2337" spans="1:11" ht="13.8" thickBot="1" x14ac:dyDescent="0.3">
      <c r="A2337" s="719">
        <v>6</v>
      </c>
      <c r="B2337" s="669"/>
      <c r="C2337" s="1137"/>
      <c r="D2337" s="1137"/>
      <c r="E2337" s="1137"/>
      <c r="F2337" s="1137"/>
      <c r="G2337" s="646"/>
      <c r="H2337" s="669"/>
      <c r="I2337" s="1137"/>
      <c r="J2337" s="646"/>
      <c r="K2337" s="1138"/>
    </row>
    <row r="2338" spans="1:11" x14ac:dyDescent="0.25">
      <c r="A2338" s="1190">
        <v>1</v>
      </c>
      <c r="B2338" s="745"/>
      <c r="C2338" s="1117"/>
      <c r="D2338" s="1117"/>
      <c r="E2338" s="1117"/>
      <c r="F2338" s="1117"/>
      <c r="G2338" s="632"/>
      <c r="H2338" s="745"/>
      <c r="I2338" s="1117"/>
      <c r="J2338" s="632"/>
      <c r="K2338" s="1118"/>
    </row>
    <row r="2339" spans="1:11" x14ac:dyDescent="0.25">
      <c r="A2339" s="718">
        <v>2</v>
      </c>
      <c r="B2339" s="668"/>
      <c r="C2339" s="721"/>
      <c r="D2339" s="721"/>
      <c r="E2339" s="721"/>
      <c r="F2339" s="721"/>
      <c r="G2339" s="639"/>
      <c r="H2339" s="668"/>
      <c r="I2339" s="721"/>
      <c r="J2339" s="639"/>
      <c r="K2339" s="1124"/>
    </row>
    <row r="2340" spans="1:11" ht="13.8" thickBot="1" x14ac:dyDescent="0.3">
      <c r="A2340" s="719">
        <v>3</v>
      </c>
      <c r="B2340" s="669"/>
      <c r="C2340" s="1137"/>
      <c r="D2340" s="1137"/>
      <c r="E2340" s="1137"/>
      <c r="F2340" s="1137"/>
      <c r="G2340" s="646"/>
      <c r="H2340" s="669"/>
      <c r="I2340" s="1137"/>
      <c r="J2340" s="646"/>
      <c r="K2340" s="1138"/>
    </row>
    <row r="2341" spans="1:11" ht="13.8" thickBot="1" x14ac:dyDescent="0.3">
      <c r="A2341" s="1186" t="s">
        <v>720</v>
      </c>
      <c r="B2341" s="1187"/>
      <c r="C2341" s="1188"/>
      <c r="D2341" s="1188"/>
      <c r="E2341" s="1188"/>
      <c r="F2341" s="1188"/>
      <c r="G2341" s="1189"/>
      <c r="H2341" s="1187"/>
      <c r="I2341" s="1188"/>
      <c r="J2341" s="1189"/>
      <c r="K2341" s="716"/>
    </row>
    <row r="2342" spans="1:11" x14ac:dyDescent="0.25">
      <c r="A2342" s="1190">
        <v>1</v>
      </c>
      <c r="B2342" s="745"/>
      <c r="C2342" s="1117"/>
      <c r="D2342" s="1117"/>
      <c r="E2342" s="1117"/>
      <c r="F2342" s="1117"/>
      <c r="G2342" s="632"/>
      <c r="H2342" s="745"/>
      <c r="I2342" s="1117"/>
      <c r="J2342" s="632"/>
      <c r="K2342" s="1118"/>
    </row>
    <row r="2343" spans="1:11" x14ac:dyDescent="0.25">
      <c r="A2343" s="718">
        <v>2</v>
      </c>
      <c r="B2343" s="668"/>
      <c r="C2343" s="721"/>
      <c r="D2343" s="721"/>
      <c r="E2343" s="721"/>
      <c r="F2343" s="721"/>
      <c r="G2343" s="639"/>
      <c r="H2343" s="668"/>
      <c r="I2343" s="721"/>
      <c r="J2343" s="639"/>
      <c r="K2343" s="1124"/>
    </row>
    <row r="2344" spans="1:11" x14ac:dyDescent="0.25">
      <c r="A2344" s="718">
        <v>3</v>
      </c>
      <c r="B2344" s="668"/>
      <c r="C2344" s="721"/>
      <c r="D2344" s="721"/>
      <c r="E2344" s="721"/>
      <c r="F2344" s="721"/>
      <c r="G2344" s="639"/>
      <c r="H2344" s="668"/>
      <c r="I2344" s="721"/>
      <c r="J2344" s="639"/>
      <c r="K2344" s="1124"/>
    </row>
    <row r="2345" spans="1:11" x14ac:dyDescent="0.25">
      <c r="A2345" s="718">
        <v>4</v>
      </c>
      <c r="B2345" s="668"/>
      <c r="C2345" s="721"/>
      <c r="D2345" s="721"/>
      <c r="E2345" s="721"/>
      <c r="F2345" s="721"/>
      <c r="G2345" s="639"/>
      <c r="H2345" s="668"/>
      <c r="I2345" s="721"/>
      <c r="J2345" s="639"/>
      <c r="K2345" s="1124"/>
    </row>
    <row r="2346" spans="1:11" x14ac:dyDescent="0.25">
      <c r="A2346" s="718">
        <v>5</v>
      </c>
      <c r="B2346" s="668"/>
      <c r="C2346" s="721"/>
      <c r="D2346" s="721"/>
      <c r="E2346" s="721"/>
      <c r="F2346" s="721"/>
      <c r="G2346" s="639"/>
      <c r="H2346" s="668"/>
      <c r="I2346" s="721"/>
      <c r="J2346" s="639"/>
      <c r="K2346" s="1124"/>
    </row>
    <row r="2347" spans="1:11" ht="13.8" thickBot="1" x14ac:dyDescent="0.3">
      <c r="A2347" s="719">
        <v>6</v>
      </c>
      <c r="B2347" s="669"/>
      <c r="C2347" s="1137"/>
      <c r="D2347" s="1137"/>
      <c r="E2347" s="1137"/>
      <c r="F2347" s="1137"/>
      <c r="G2347" s="646"/>
      <c r="H2347" s="669"/>
      <c r="I2347" s="1137"/>
      <c r="J2347" s="646"/>
      <c r="K2347" s="1138"/>
    </row>
    <row r="2348" spans="1:11" x14ac:dyDescent="0.25">
      <c r="A2348" s="1190">
        <v>1</v>
      </c>
      <c r="B2348" s="745"/>
      <c r="C2348" s="1117"/>
      <c r="D2348" s="1117"/>
      <c r="E2348" s="1117"/>
      <c r="F2348" s="1117"/>
      <c r="G2348" s="632"/>
      <c r="H2348" s="745"/>
      <c r="I2348" s="1117"/>
      <c r="J2348" s="632"/>
      <c r="K2348" s="1118"/>
    </row>
    <row r="2349" spans="1:11" x14ac:dyDescent="0.25">
      <c r="A2349" s="718">
        <v>2</v>
      </c>
      <c r="B2349" s="668"/>
      <c r="C2349" s="721"/>
      <c r="D2349" s="721"/>
      <c r="E2349" s="721"/>
      <c r="F2349" s="721"/>
      <c r="G2349" s="639"/>
      <c r="H2349" s="668"/>
      <c r="I2349" s="721"/>
      <c r="J2349" s="639"/>
      <c r="K2349" s="1124"/>
    </row>
    <row r="2350" spans="1:11" ht="13.8" thickBot="1" x14ac:dyDescent="0.3">
      <c r="A2350" s="1191">
        <v>3</v>
      </c>
      <c r="B2350" s="1132"/>
      <c r="C2350" s="1133"/>
      <c r="D2350" s="1133"/>
      <c r="E2350" s="1133"/>
      <c r="F2350" s="1133"/>
      <c r="G2350" s="1134"/>
      <c r="H2350" s="1132"/>
      <c r="I2350" s="1133"/>
      <c r="J2350" s="1134"/>
      <c r="K2350" s="1147"/>
    </row>
    <row r="2351" spans="1:11" ht="13.8" thickBot="1" x14ac:dyDescent="0.3">
      <c r="A2351" s="1186" t="s">
        <v>721</v>
      </c>
      <c r="B2351" s="1187"/>
      <c r="C2351" s="1188"/>
      <c r="D2351" s="1188"/>
      <c r="E2351" s="1188"/>
      <c r="F2351" s="1188"/>
      <c r="G2351" s="1189"/>
      <c r="H2351" s="1187"/>
      <c r="I2351" s="1188"/>
      <c r="J2351" s="1189"/>
      <c r="K2351" s="716"/>
    </row>
    <row r="2352" spans="1:11" x14ac:dyDescent="0.25">
      <c r="A2352" s="1190">
        <v>1</v>
      </c>
      <c r="B2352" s="745"/>
      <c r="C2352" s="1117"/>
      <c r="D2352" s="1117"/>
      <c r="E2352" s="1117"/>
      <c r="F2352" s="1117"/>
      <c r="G2352" s="632"/>
      <c r="H2352" s="745"/>
      <c r="I2352" s="1117"/>
      <c r="J2352" s="632"/>
      <c r="K2352" s="1118"/>
    </row>
    <row r="2353" spans="1:11" x14ac:dyDescent="0.25">
      <c r="A2353" s="718">
        <v>2</v>
      </c>
      <c r="B2353" s="668"/>
      <c r="C2353" s="721"/>
      <c r="D2353" s="721"/>
      <c r="E2353" s="721"/>
      <c r="F2353" s="721"/>
      <c r="G2353" s="639"/>
      <c r="H2353" s="668"/>
      <c r="I2353" s="721"/>
      <c r="J2353" s="639"/>
      <c r="K2353" s="1124"/>
    </row>
    <row r="2354" spans="1:11" x14ac:dyDescent="0.25">
      <c r="A2354" s="718">
        <v>3</v>
      </c>
      <c r="B2354" s="668"/>
      <c r="C2354" s="721"/>
      <c r="D2354" s="721"/>
      <c r="E2354" s="721"/>
      <c r="F2354" s="721"/>
      <c r="G2354" s="639"/>
      <c r="H2354" s="668"/>
      <c r="I2354" s="721"/>
      <c r="J2354" s="639"/>
      <c r="K2354" s="1124"/>
    </row>
    <row r="2355" spans="1:11" x14ac:dyDescent="0.25">
      <c r="A2355" s="718">
        <v>4</v>
      </c>
      <c r="B2355" s="668"/>
      <c r="C2355" s="721"/>
      <c r="D2355" s="721"/>
      <c r="E2355" s="721"/>
      <c r="F2355" s="721"/>
      <c r="G2355" s="639"/>
      <c r="H2355" s="668"/>
      <c r="I2355" s="721"/>
      <c r="J2355" s="639"/>
      <c r="K2355" s="1124"/>
    </row>
    <row r="2356" spans="1:11" x14ac:dyDescent="0.25">
      <c r="A2356" s="718">
        <v>5</v>
      </c>
      <c r="B2356" s="668"/>
      <c r="C2356" s="721"/>
      <c r="D2356" s="721"/>
      <c r="E2356" s="721"/>
      <c r="F2356" s="721"/>
      <c r="G2356" s="639"/>
      <c r="H2356" s="668"/>
      <c r="I2356" s="721"/>
      <c r="J2356" s="639"/>
      <c r="K2356" s="1124"/>
    </row>
    <row r="2357" spans="1:11" ht="13.8" thickBot="1" x14ac:dyDescent="0.3">
      <c r="A2357" s="719">
        <v>6</v>
      </c>
      <c r="B2357" s="669"/>
      <c r="C2357" s="1137"/>
      <c r="D2357" s="1137"/>
      <c r="E2357" s="1137"/>
      <c r="F2357" s="1137"/>
      <c r="G2357" s="646"/>
      <c r="H2357" s="669"/>
      <c r="I2357" s="1137"/>
      <c r="J2357" s="646"/>
      <c r="K2357" s="1138"/>
    </row>
    <row r="2358" spans="1:11" x14ac:dyDescent="0.25">
      <c r="A2358" s="1190">
        <v>1</v>
      </c>
      <c r="B2358" s="745"/>
      <c r="C2358" s="1117"/>
      <c r="D2358" s="1117"/>
      <c r="E2358" s="1117"/>
      <c r="F2358" s="1117"/>
      <c r="G2358" s="632"/>
      <c r="H2358" s="745"/>
      <c r="I2358" s="1117"/>
      <c r="J2358" s="632"/>
      <c r="K2358" s="1118"/>
    </row>
    <row r="2359" spans="1:11" x14ac:dyDescent="0.25">
      <c r="A2359" s="718">
        <v>2</v>
      </c>
      <c r="B2359" s="668"/>
      <c r="C2359" s="721"/>
      <c r="D2359" s="721"/>
      <c r="E2359" s="721"/>
      <c r="F2359" s="721"/>
      <c r="G2359" s="639"/>
      <c r="H2359" s="668"/>
      <c r="I2359" s="721"/>
      <c r="J2359" s="639"/>
      <c r="K2359" s="1124"/>
    </row>
    <row r="2360" spans="1:11" ht="13.8" thickBot="1" x14ac:dyDescent="0.3">
      <c r="A2360" s="719">
        <v>3</v>
      </c>
      <c r="B2360" s="669"/>
      <c r="C2360" s="1137"/>
      <c r="D2360" s="1137"/>
      <c r="E2360" s="1137"/>
      <c r="F2360" s="1137"/>
      <c r="G2360" s="646"/>
      <c r="H2360" s="669"/>
      <c r="I2360" s="1137"/>
      <c r="J2360" s="646"/>
      <c r="K2360" s="1138"/>
    </row>
    <row r="2361" spans="1:11" ht="13.8" thickBot="1" x14ac:dyDescent="0.3">
      <c r="A2361" s="1186" t="s">
        <v>722</v>
      </c>
      <c r="B2361" s="1187"/>
      <c r="C2361" s="1188"/>
      <c r="D2361" s="1188"/>
      <c r="E2361" s="1188"/>
      <c r="F2361" s="1188"/>
      <c r="G2361" s="1189"/>
      <c r="H2361" s="1187"/>
      <c r="I2361" s="1188"/>
      <c r="J2361" s="1189"/>
      <c r="K2361" s="716"/>
    </row>
    <row r="2362" spans="1:11" x14ac:dyDescent="0.25">
      <c r="A2362" s="1190">
        <v>1</v>
      </c>
      <c r="B2362" s="745"/>
      <c r="C2362" s="1117"/>
      <c r="D2362" s="1117"/>
      <c r="E2362" s="1117"/>
      <c r="F2362" s="1117"/>
      <c r="G2362" s="632"/>
      <c r="H2362" s="745"/>
      <c r="I2362" s="1117"/>
      <c r="J2362" s="632"/>
      <c r="K2362" s="1118"/>
    </row>
    <row r="2363" spans="1:11" x14ac:dyDescent="0.25">
      <c r="A2363" s="718">
        <v>2</v>
      </c>
      <c r="B2363" s="668"/>
      <c r="C2363" s="721"/>
      <c r="D2363" s="721"/>
      <c r="E2363" s="721"/>
      <c r="F2363" s="721"/>
      <c r="G2363" s="639"/>
      <c r="H2363" s="668"/>
      <c r="I2363" s="721"/>
      <c r="J2363" s="639"/>
      <c r="K2363" s="1124"/>
    </row>
    <row r="2364" spans="1:11" x14ac:dyDescent="0.25">
      <c r="A2364" s="718">
        <v>3</v>
      </c>
      <c r="B2364" s="668"/>
      <c r="C2364" s="721"/>
      <c r="D2364" s="721"/>
      <c r="E2364" s="721"/>
      <c r="F2364" s="721"/>
      <c r="G2364" s="639"/>
      <c r="H2364" s="668"/>
      <c r="I2364" s="721"/>
      <c r="J2364" s="639"/>
      <c r="K2364" s="1124"/>
    </row>
    <row r="2365" spans="1:11" x14ac:dyDescent="0.25">
      <c r="A2365" s="718">
        <v>4</v>
      </c>
      <c r="B2365" s="668"/>
      <c r="C2365" s="721"/>
      <c r="D2365" s="721"/>
      <c r="E2365" s="721"/>
      <c r="F2365" s="721"/>
      <c r="G2365" s="639"/>
      <c r="H2365" s="668"/>
      <c r="I2365" s="721"/>
      <c r="J2365" s="639"/>
      <c r="K2365" s="1124"/>
    </row>
    <row r="2366" spans="1:11" x14ac:dyDescent="0.25">
      <c r="A2366" s="718">
        <v>5</v>
      </c>
      <c r="B2366" s="668"/>
      <c r="C2366" s="721"/>
      <c r="D2366" s="721"/>
      <c r="E2366" s="721"/>
      <c r="F2366" s="721"/>
      <c r="G2366" s="639"/>
      <c r="H2366" s="668"/>
      <c r="I2366" s="721"/>
      <c r="J2366" s="639"/>
      <c r="K2366" s="1124"/>
    </row>
    <row r="2367" spans="1:11" ht="13.8" thickBot="1" x14ac:dyDescent="0.3">
      <c r="A2367" s="719">
        <v>6</v>
      </c>
      <c r="B2367" s="669"/>
      <c r="C2367" s="1137"/>
      <c r="D2367" s="1137"/>
      <c r="E2367" s="1137"/>
      <c r="F2367" s="1137"/>
      <c r="G2367" s="646"/>
      <c r="H2367" s="669"/>
      <c r="I2367" s="1137"/>
      <c r="J2367" s="646"/>
      <c r="K2367" s="1138"/>
    </row>
    <row r="2368" spans="1:11" x14ac:dyDescent="0.25">
      <c r="A2368" s="1190">
        <v>1</v>
      </c>
      <c r="B2368" s="745"/>
      <c r="C2368" s="1117"/>
      <c r="D2368" s="1117"/>
      <c r="E2368" s="1117"/>
      <c r="F2368" s="1117"/>
      <c r="G2368" s="632"/>
      <c r="H2368" s="745"/>
      <c r="I2368" s="1117"/>
      <c r="J2368" s="632"/>
      <c r="K2368" s="1118"/>
    </row>
    <row r="2369" spans="1:11" x14ac:dyDescent="0.25">
      <c r="A2369" s="718">
        <v>2</v>
      </c>
      <c r="B2369" s="668"/>
      <c r="C2369" s="721"/>
      <c r="D2369" s="721"/>
      <c r="E2369" s="721"/>
      <c r="F2369" s="721"/>
      <c r="G2369" s="639"/>
      <c r="H2369" s="668"/>
      <c r="I2369" s="721"/>
      <c r="J2369" s="639"/>
      <c r="K2369" s="1124"/>
    </row>
    <row r="2370" spans="1:11" ht="13.8" thickBot="1" x14ac:dyDescent="0.3">
      <c r="A2370" s="719">
        <v>3</v>
      </c>
      <c r="B2370" s="669"/>
      <c r="C2370" s="1137"/>
      <c r="D2370" s="1137"/>
      <c r="E2370" s="1137"/>
      <c r="F2370" s="1137"/>
      <c r="G2370" s="646"/>
      <c r="H2370" s="669"/>
      <c r="I2370" s="1137"/>
      <c r="J2370" s="646"/>
      <c r="K2370" s="1138"/>
    </row>
    <row r="2371" spans="1:11" ht="13.8" thickBot="1" x14ac:dyDescent="0.3">
      <c r="A2371" s="1186" t="s">
        <v>723</v>
      </c>
      <c r="B2371" s="1187"/>
      <c r="C2371" s="1188"/>
      <c r="D2371" s="1188"/>
      <c r="E2371" s="1188"/>
      <c r="F2371" s="1188"/>
      <c r="G2371" s="1189"/>
      <c r="H2371" s="1187"/>
      <c r="I2371" s="1188"/>
      <c r="J2371" s="1189"/>
      <c r="K2371" s="716"/>
    </row>
    <row r="2372" spans="1:11" x14ac:dyDescent="0.25">
      <c r="A2372" s="1190">
        <v>1</v>
      </c>
      <c r="B2372" s="745"/>
      <c r="C2372" s="1117"/>
      <c r="D2372" s="1117"/>
      <c r="E2372" s="1117"/>
      <c r="F2372" s="1117"/>
      <c r="G2372" s="632"/>
      <c r="H2372" s="745"/>
      <c r="I2372" s="1117"/>
      <c r="J2372" s="632"/>
      <c r="K2372" s="1118"/>
    </row>
    <row r="2373" spans="1:11" x14ac:dyDescent="0.25">
      <c r="A2373" s="718">
        <v>2</v>
      </c>
      <c r="B2373" s="668"/>
      <c r="C2373" s="721"/>
      <c r="D2373" s="721"/>
      <c r="E2373" s="721"/>
      <c r="F2373" s="721"/>
      <c r="G2373" s="639"/>
      <c r="H2373" s="668"/>
      <c r="I2373" s="721"/>
      <c r="J2373" s="639"/>
      <c r="K2373" s="1124"/>
    </row>
    <row r="2374" spans="1:11" x14ac:dyDescent="0.25">
      <c r="A2374" s="718">
        <v>3</v>
      </c>
      <c r="B2374" s="668"/>
      <c r="C2374" s="721"/>
      <c r="D2374" s="721"/>
      <c r="E2374" s="721"/>
      <c r="F2374" s="721"/>
      <c r="G2374" s="639"/>
      <c r="H2374" s="668"/>
      <c r="I2374" s="721"/>
      <c r="J2374" s="639"/>
      <c r="K2374" s="1124"/>
    </row>
    <row r="2375" spans="1:11" x14ac:dyDescent="0.25">
      <c r="A2375" s="718">
        <v>4</v>
      </c>
      <c r="B2375" s="668"/>
      <c r="C2375" s="721"/>
      <c r="D2375" s="721"/>
      <c r="E2375" s="721"/>
      <c r="F2375" s="721"/>
      <c r="G2375" s="639"/>
      <c r="H2375" s="668"/>
      <c r="I2375" s="721"/>
      <c r="J2375" s="639"/>
      <c r="K2375" s="1124"/>
    </row>
    <row r="2376" spans="1:11" x14ac:dyDescent="0.25">
      <c r="A2376" s="718">
        <v>5</v>
      </c>
      <c r="B2376" s="668"/>
      <c r="C2376" s="721"/>
      <c r="D2376" s="721"/>
      <c r="E2376" s="721"/>
      <c r="F2376" s="721"/>
      <c r="G2376" s="639"/>
      <c r="H2376" s="668"/>
      <c r="I2376" s="721"/>
      <c r="J2376" s="639"/>
      <c r="K2376" s="1124"/>
    </row>
    <row r="2377" spans="1:11" ht="13.8" thickBot="1" x14ac:dyDescent="0.3">
      <c r="A2377" s="719">
        <v>6</v>
      </c>
      <c r="B2377" s="669"/>
      <c r="C2377" s="1137"/>
      <c r="D2377" s="1137"/>
      <c r="E2377" s="1137"/>
      <c r="F2377" s="1137"/>
      <c r="G2377" s="646"/>
      <c r="H2377" s="669"/>
      <c r="I2377" s="1137"/>
      <c r="J2377" s="646"/>
      <c r="K2377" s="1138"/>
    </row>
    <row r="2378" spans="1:11" x14ac:dyDescent="0.25">
      <c r="A2378" s="1190">
        <v>1</v>
      </c>
      <c r="B2378" s="745"/>
      <c r="C2378" s="1117"/>
      <c r="D2378" s="1117"/>
      <c r="E2378" s="1117"/>
      <c r="F2378" s="1117"/>
      <c r="G2378" s="632"/>
      <c r="H2378" s="745"/>
      <c r="I2378" s="1117"/>
      <c r="J2378" s="632"/>
      <c r="K2378" s="1118"/>
    </row>
    <row r="2379" spans="1:11" x14ac:dyDescent="0.25">
      <c r="A2379" s="718">
        <v>2</v>
      </c>
      <c r="B2379" s="668"/>
      <c r="C2379" s="721"/>
      <c r="D2379" s="721"/>
      <c r="E2379" s="721"/>
      <c r="F2379" s="721"/>
      <c r="G2379" s="639"/>
      <c r="H2379" s="668"/>
      <c r="I2379" s="721"/>
      <c r="J2379" s="639"/>
      <c r="K2379" s="1124"/>
    </row>
    <row r="2380" spans="1:11" ht="13.8" thickBot="1" x14ac:dyDescent="0.3">
      <c r="A2380" s="719">
        <v>3</v>
      </c>
      <c r="B2380" s="669"/>
      <c r="C2380" s="1137"/>
      <c r="D2380" s="1137"/>
      <c r="E2380" s="1137"/>
      <c r="F2380" s="1137"/>
      <c r="G2380" s="646"/>
      <c r="H2380" s="669"/>
      <c r="I2380" s="1137"/>
      <c r="J2380" s="646"/>
      <c r="K2380" s="1138"/>
    </row>
    <row r="2381" spans="1:11" ht="13.8" thickBot="1" x14ac:dyDescent="0.3">
      <c r="A2381" s="1186" t="s">
        <v>724</v>
      </c>
      <c r="B2381" s="1187"/>
      <c r="C2381" s="1188"/>
      <c r="D2381" s="1188"/>
      <c r="E2381" s="1188"/>
      <c r="F2381" s="1188"/>
      <c r="G2381" s="1189"/>
      <c r="H2381" s="1187"/>
      <c r="I2381" s="1188"/>
      <c r="J2381" s="1189"/>
      <c r="K2381" s="716"/>
    </row>
    <row r="2382" spans="1:11" x14ac:dyDescent="0.25">
      <c r="A2382" s="1190">
        <v>1</v>
      </c>
      <c r="B2382" s="745"/>
      <c r="C2382" s="1117"/>
      <c r="D2382" s="1117"/>
      <c r="E2382" s="1117"/>
      <c r="F2382" s="1117"/>
      <c r="G2382" s="632"/>
      <c r="H2382" s="745"/>
      <c r="I2382" s="1117"/>
      <c r="J2382" s="632"/>
      <c r="K2382" s="1118"/>
    </row>
    <row r="2383" spans="1:11" x14ac:dyDescent="0.25">
      <c r="A2383" s="718">
        <v>2</v>
      </c>
      <c r="B2383" s="668"/>
      <c r="C2383" s="721"/>
      <c r="D2383" s="721"/>
      <c r="E2383" s="721"/>
      <c r="F2383" s="721"/>
      <c r="G2383" s="639"/>
      <c r="H2383" s="668"/>
      <c r="I2383" s="721"/>
      <c r="J2383" s="639"/>
      <c r="K2383" s="1124"/>
    </row>
    <row r="2384" spans="1:11" x14ac:dyDescent="0.25">
      <c r="A2384" s="718">
        <v>3</v>
      </c>
      <c r="B2384" s="668"/>
      <c r="C2384" s="721"/>
      <c r="D2384" s="721"/>
      <c r="E2384" s="721"/>
      <c r="F2384" s="721"/>
      <c r="G2384" s="639"/>
      <c r="H2384" s="668"/>
      <c r="I2384" s="721"/>
      <c r="J2384" s="639"/>
      <c r="K2384" s="1124"/>
    </row>
    <row r="2385" spans="1:11" x14ac:dyDescent="0.25">
      <c r="A2385" s="718">
        <v>4</v>
      </c>
      <c r="B2385" s="668"/>
      <c r="C2385" s="721"/>
      <c r="D2385" s="721"/>
      <c r="E2385" s="721"/>
      <c r="F2385" s="721"/>
      <c r="G2385" s="639"/>
      <c r="H2385" s="668"/>
      <c r="I2385" s="721"/>
      <c r="J2385" s="639"/>
      <c r="K2385" s="1124"/>
    </row>
    <row r="2386" spans="1:11" x14ac:dyDescent="0.25">
      <c r="A2386" s="718">
        <v>5</v>
      </c>
      <c r="B2386" s="668"/>
      <c r="C2386" s="721"/>
      <c r="D2386" s="721"/>
      <c r="E2386" s="721"/>
      <c r="F2386" s="721"/>
      <c r="G2386" s="639"/>
      <c r="H2386" s="668"/>
      <c r="I2386" s="721"/>
      <c r="J2386" s="639"/>
      <c r="K2386" s="1124"/>
    </row>
    <row r="2387" spans="1:11" ht="13.8" thickBot="1" x14ac:dyDescent="0.3">
      <c r="A2387" s="719">
        <v>6</v>
      </c>
      <c r="B2387" s="669"/>
      <c r="C2387" s="1137"/>
      <c r="D2387" s="1137"/>
      <c r="E2387" s="1137"/>
      <c r="F2387" s="1137"/>
      <c r="G2387" s="646"/>
      <c r="H2387" s="669"/>
      <c r="I2387" s="1137"/>
      <c r="J2387" s="646"/>
      <c r="K2387" s="1138"/>
    </row>
    <row r="2388" spans="1:11" x14ac:dyDescent="0.25">
      <c r="A2388" s="1190">
        <v>1</v>
      </c>
      <c r="B2388" s="745"/>
      <c r="C2388" s="1117"/>
      <c r="D2388" s="1117"/>
      <c r="E2388" s="1117"/>
      <c r="F2388" s="1117"/>
      <c r="G2388" s="632"/>
      <c r="H2388" s="745"/>
      <c r="I2388" s="1117"/>
      <c r="J2388" s="632"/>
      <c r="K2388" s="1118"/>
    </row>
    <row r="2389" spans="1:11" x14ac:dyDescent="0.25">
      <c r="A2389" s="718">
        <v>2</v>
      </c>
      <c r="B2389" s="668"/>
      <c r="C2389" s="721"/>
      <c r="D2389" s="721"/>
      <c r="E2389" s="721"/>
      <c r="F2389" s="721"/>
      <c r="G2389" s="639"/>
      <c r="H2389" s="668"/>
      <c r="I2389" s="721"/>
      <c r="J2389" s="639"/>
      <c r="K2389" s="1124"/>
    </row>
    <row r="2390" spans="1:11" ht="13.8" thickBot="1" x14ac:dyDescent="0.3">
      <c r="A2390" s="1191">
        <v>3</v>
      </c>
      <c r="B2390" s="1132"/>
      <c r="C2390" s="1133"/>
      <c r="D2390" s="1133"/>
      <c r="E2390" s="1133"/>
      <c r="F2390" s="1133"/>
      <c r="G2390" s="1134"/>
      <c r="H2390" s="1132"/>
      <c r="I2390" s="1133"/>
      <c r="J2390" s="1134"/>
      <c r="K2390" s="1147"/>
    </row>
    <row r="2391" spans="1:11" ht="13.8" thickBot="1" x14ac:dyDescent="0.3">
      <c r="A2391" s="1186" t="s">
        <v>725</v>
      </c>
      <c r="B2391" s="1187"/>
      <c r="C2391" s="1188"/>
      <c r="D2391" s="1188"/>
      <c r="E2391" s="1188"/>
      <c r="F2391" s="1188"/>
      <c r="G2391" s="1189"/>
      <c r="H2391" s="1187"/>
      <c r="I2391" s="1188"/>
      <c r="J2391" s="1189"/>
      <c r="K2391" s="716"/>
    </row>
    <row r="2392" spans="1:11" x14ac:dyDescent="0.25">
      <c r="A2392" s="1190">
        <v>1</v>
      </c>
      <c r="B2392" s="745"/>
      <c r="C2392" s="1117"/>
      <c r="D2392" s="1117"/>
      <c r="E2392" s="1117"/>
      <c r="F2392" s="1117"/>
      <c r="G2392" s="632"/>
      <c r="H2392" s="745"/>
      <c r="I2392" s="1117"/>
      <c r="J2392" s="632"/>
      <c r="K2392" s="1118"/>
    </row>
    <row r="2393" spans="1:11" x14ac:dyDescent="0.25">
      <c r="A2393" s="718">
        <v>2</v>
      </c>
      <c r="B2393" s="668"/>
      <c r="C2393" s="721"/>
      <c r="D2393" s="721"/>
      <c r="E2393" s="721"/>
      <c r="F2393" s="721"/>
      <c r="G2393" s="639"/>
      <c r="H2393" s="668"/>
      <c r="I2393" s="721"/>
      <c r="J2393" s="639"/>
      <c r="K2393" s="1124"/>
    </row>
    <row r="2394" spans="1:11" x14ac:dyDescent="0.25">
      <c r="A2394" s="718">
        <v>3</v>
      </c>
      <c r="B2394" s="668"/>
      <c r="C2394" s="721"/>
      <c r="D2394" s="721"/>
      <c r="E2394" s="721"/>
      <c r="F2394" s="721"/>
      <c r="G2394" s="639"/>
      <c r="H2394" s="668"/>
      <c r="I2394" s="721"/>
      <c r="J2394" s="639"/>
      <c r="K2394" s="1124"/>
    </row>
    <row r="2395" spans="1:11" x14ac:dyDescent="0.25">
      <c r="A2395" s="718">
        <v>4</v>
      </c>
      <c r="B2395" s="668"/>
      <c r="C2395" s="721"/>
      <c r="D2395" s="721"/>
      <c r="E2395" s="721"/>
      <c r="F2395" s="721"/>
      <c r="G2395" s="639"/>
      <c r="H2395" s="668"/>
      <c r="I2395" s="721"/>
      <c r="J2395" s="639"/>
      <c r="K2395" s="1124"/>
    </row>
    <row r="2396" spans="1:11" x14ac:dyDescent="0.25">
      <c r="A2396" s="718">
        <v>5</v>
      </c>
      <c r="B2396" s="668"/>
      <c r="C2396" s="721"/>
      <c r="D2396" s="721"/>
      <c r="E2396" s="721"/>
      <c r="F2396" s="721"/>
      <c r="G2396" s="639"/>
      <c r="H2396" s="668"/>
      <c r="I2396" s="721"/>
      <c r="J2396" s="639"/>
      <c r="K2396" s="1124"/>
    </row>
    <row r="2397" spans="1:11" ht="13.8" thickBot="1" x14ac:dyDescent="0.3">
      <c r="A2397" s="719">
        <v>6</v>
      </c>
      <c r="B2397" s="669"/>
      <c r="C2397" s="1137"/>
      <c r="D2397" s="1137"/>
      <c r="E2397" s="1137"/>
      <c r="F2397" s="1137"/>
      <c r="G2397" s="646"/>
      <c r="H2397" s="669"/>
      <c r="I2397" s="1137"/>
      <c r="J2397" s="646"/>
      <c r="K2397" s="1138"/>
    </row>
    <row r="2398" spans="1:11" x14ac:dyDescent="0.25">
      <c r="A2398" s="1190">
        <v>1</v>
      </c>
      <c r="B2398" s="745"/>
      <c r="C2398" s="1117"/>
      <c r="D2398" s="1117"/>
      <c r="E2398" s="1117"/>
      <c r="F2398" s="1117"/>
      <c r="G2398" s="632"/>
      <c r="H2398" s="745"/>
      <c r="I2398" s="1117"/>
      <c r="J2398" s="632"/>
      <c r="K2398" s="1118"/>
    </row>
    <row r="2399" spans="1:11" x14ac:dyDescent="0.25">
      <c r="A2399" s="718">
        <v>2</v>
      </c>
      <c r="B2399" s="668"/>
      <c r="C2399" s="721"/>
      <c r="D2399" s="721"/>
      <c r="E2399" s="721"/>
      <c r="F2399" s="721"/>
      <c r="G2399" s="639"/>
      <c r="H2399" s="668"/>
      <c r="I2399" s="721"/>
      <c r="J2399" s="639"/>
      <c r="K2399" s="1124"/>
    </row>
    <row r="2400" spans="1:11" ht="13.8" thickBot="1" x14ac:dyDescent="0.3">
      <c r="A2400" s="719">
        <v>3</v>
      </c>
      <c r="B2400" s="669"/>
      <c r="C2400" s="1137"/>
      <c r="D2400" s="1137"/>
      <c r="E2400" s="1137"/>
      <c r="F2400" s="1137"/>
      <c r="G2400" s="646"/>
      <c r="H2400" s="669"/>
      <c r="I2400" s="1137"/>
      <c r="J2400" s="646"/>
      <c r="K2400" s="1138"/>
    </row>
    <row r="2401" spans="1:11" ht="13.8" thickBot="1" x14ac:dyDescent="0.3">
      <c r="A2401" s="1186" t="s">
        <v>726</v>
      </c>
      <c r="B2401" s="1187"/>
      <c r="C2401" s="1188"/>
      <c r="D2401" s="1188"/>
      <c r="E2401" s="1188"/>
      <c r="F2401" s="1188"/>
      <c r="G2401" s="1189"/>
      <c r="H2401" s="1187"/>
      <c r="I2401" s="1188"/>
      <c r="J2401" s="1189"/>
      <c r="K2401" s="716"/>
    </row>
    <row r="2402" spans="1:11" x14ac:dyDescent="0.25">
      <c r="A2402" s="1190">
        <v>1</v>
      </c>
      <c r="B2402" s="745"/>
      <c r="C2402" s="1117"/>
      <c r="D2402" s="1117"/>
      <c r="E2402" s="1117"/>
      <c r="F2402" s="1117"/>
      <c r="G2402" s="632"/>
      <c r="H2402" s="745"/>
      <c r="I2402" s="1117"/>
      <c r="J2402" s="632"/>
      <c r="K2402" s="1118"/>
    </row>
    <row r="2403" spans="1:11" x14ac:dyDescent="0.25">
      <c r="A2403" s="718">
        <v>2</v>
      </c>
      <c r="B2403" s="668"/>
      <c r="C2403" s="721"/>
      <c r="D2403" s="721"/>
      <c r="E2403" s="721"/>
      <c r="F2403" s="721"/>
      <c r="G2403" s="639"/>
      <c r="H2403" s="668"/>
      <c r="I2403" s="721"/>
      <c r="J2403" s="639"/>
      <c r="K2403" s="1124"/>
    </row>
    <row r="2404" spans="1:11" x14ac:dyDescent="0.25">
      <c r="A2404" s="718">
        <v>3</v>
      </c>
      <c r="B2404" s="668"/>
      <c r="C2404" s="721"/>
      <c r="D2404" s="721"/>
      <c r="E2404" s="721"/>
      <c r="F2404" s="721"/>
      <c r="G2404" s="639"/>
      <c r="H2404" s="668"/>
      <c r="I2404" s="721"/>
      <c r="J2404" s="639"/>
      <c r="K2404" s="1124"/>
    </row>
    <row r="2405" spans="1:11" x14ac:dyDescent="0.25">
      <c r="A2405" s="718">
        <v>4</v>
      </c>
      <c r="B2405" s="668"/>
      <c r="C2405" s="721"/>
      <c r="D2405" s="721"/>
      <c r="E2405" s="721"/>
      <c r="F2405" s="721"/>
      <c r="G2405" s="639"/>
      <c r="H2405" s="668"/>
      <c r="I2405" s="721"/>
      <c r="J2405" s="639"/>
      <c r="K2405" s="1124"/>
    </row>
    <row r="2406" spans="1:11" x14ac:dyDescent="0.25">
      <c r="A2406" s="718">
        <v>5</v>
      </c>
      <c r="B2406" s="668"/>
      <c r="C2406" s="721"/>
      <c r="D2406" s="721"/>
      <c r="E2406" s="721"/>
      <c r="F2406" s="721"/>
      <c r="G2406" s="639"/>
      <c r="H2406" s="668"/>
      <c r="I2406" s="721"/>
      <c r="J2406" s="639"/>
      <c r="K2406" s="1124"/>
    </row>
    <row r="2407" spans="1:11" ht="13.8" thickBot="1" x14ac:dyDescent="0.3">
      <c r="A2407" s="719">
        <v>6</v>
      </c>
      <c r="B2407" s="669"/>
      <c r="C2407" s="1137"/>
      <c r="D2407" s="1137"/>
      <c r="E2407" s="1137"/>
      <c r="F2407" s="1137"/>
      <c r="G2407" s="646"/>
      <c r="H2407" s="669"/>
      <c r="I2407" s="1137"/>
      <c r="J2407" s="646"/>
      <c r="K2407" s="1138"/>
    </row>
    <row r="2408" spans="1:11" x14ac:dyDescent="0.25">
      <c r="A2408" s="1190">
        <v>1</v>
      </c>
      <c r="B2408" s="745"/>
      <c r="C2408" s="1117"/>
      <c r="D2408" s="1117"/>
      <c r="E2408" s="1117"/>
      <c r="F2408" s="1117"/>
      <c r="G2408" s="632"/>
      <c r="H2408" s="745"/>
      <c r="I2408" s="1117"/>
      <c r="J2408" s="632"/>
      <c r="K2408" s="1118"/>
    </row>
    <row r="2409" spans="1:11" x14ac:dyDescent="0.25">
      <c r="A2409" s="718">
        <v>2</v>
      </c>
      <c r="B2409" s="668"/>
      <c r="C2409" s="721"/>
      <c r="D2409" s="721"/>
      <c r="E2409" s="721"/>
      <c r="F2409" s="721"/>
      <c r="G2409" s="639"/>
      <c r="H2409" s="668"/>
      <c r="I2409" s="721"/>
      <c r="J2409" s="639"/>
      <c r="K2409" s="1124"/>
    </row>
    <row r="2410" spans="1:11" ht="13.8" thickBot="1" x14ac:dyDescent="0.3">
      <c r="A2410" s="719">
        <v>3</v>
      </c>
      <c r="B2410" s="669"/>
      <c r="C2410" s="1137"/>
      <c r="D2410" s="1137"/>
      <c r="E2410" s="1137"/>
      <c r="F2410" s="1137"/>
      <c r="G2410" s="646"/>
      <c r="H2410" s="669"/>
      <c r="I2410" s="1137"/>
      <c r="J2410" s="646"/>
      <c r="K2410" s="1138"/>
    </row>
    <row r="2411" spans="1:11" ht="13.8" thickBot="1" x14ac:dyDescent="0.3">
      <c r="A2411" s="1186" t="s">
        <v>727</v>
      </c>
      <c r="B2411" s="1187"/>
      <c r="C2411" s="1188"/>
      <c r="D2411" s="1188"/>
      <c r="E2411" s="1188"/>
      <c r="F2411" s="1188"/>
      <c r="G2411" s="1189"/>
      <c r="H2411" s="1187"/>
      <c r="I2411" s="1188"/>
      <c r="J2411" s="1189"/>
      <c r="K2411" s="716"/>
    </row>
    <row r="2412" spans="1:11" x14ac:dyDescent="0.25">
      <c r="A2412" s="1190">
        <v>1</v>
      </c>
      <c r="B2412" s="745"/>
      <c r="C2412" s="1117"/>
      <c r="D2412" s="1117"/>
      <c r="E2412" s="1117"/>
      <c r="F2412" s="1117"/>
      <c r="G2412" s="632"/>
      <c r="H2412" s="745"/>
      <c r="I2412" s="1117"/>
      <c r="J2412" s="632"/>
      <c r="K2412" s="1118"/>
    </row>
    <row r="2413" spans="1:11" x14ac:dyDescent="0.25">
      <c r="A2413" s="718">
        <v>2</v>
      </c>
      <c r="B2413" s="668"/>
      <c r="C2413" s="721"/>
      <c r="D2413" s="721"/>
      <c r="E2413" s="721"/>
      <c r="F2413" s="721"/>
      <c r="G2413" s="639"/>
      <c r="H2413" s="668"/>
      <c r="I2413" s="721"/>
      <c r="J2413" s="639"/>
      <c r="K2413" s="1124"/>
    </row>
    <row r="2414" spans="1:11" x14ac:dyDescent="0.25">
      <c r="A2414" s="718">
        <v>3</v>
      </c>
      <c r="B2414" s="668"/>
      <c r="C2414" s="721"/>
      <c r="D2414" s="721"/>
      <c r="E2414" s="721"/>
      <c r="F2414" s="721"/>
      <c r="G2414" s="639"/>
      <c r="H2414" s="668"/>
      <c r="I2414" s="721"/>
      <c r="J2414" s="639"/>
      <c r="K2414" s="1124"/>
    </row>
    <row r="2415" spans="1:11" x14ac:dyDescent="0.25">
      <c r="A2415" s="718">
        <v>4</v>
      </c>
      <c r="B2415" s="668"/>
      <c r="C2415" s="721"/>
      <c r="D2415" s="721"/>
      <c r="E2415" s="721"/>
      <c r="F2415" s="721"/>
      <c r="G2415" s="639"/>
      <c r="H2415" s="668"/>
      <c r="I2415" s="721"/>
      <c r="J2415" s="639"/>
      <c r="K2415" s="1124"/>
    </row>
    <row r="2416" spans="1:11" x14ac:dyDescent="0.25">
      <c r="A2416" s="718">
        <v>5</v>
      </c>
      <c r="B2416" s="668"/>
      <c r="C2416" s="721"/>
      <c r="D2416" s="721"/>
      <c r="E2416" s="721"/>
      <c r="F2416" s="721"/>
      <c r="G2416" s="639"/>
      <c r="H2416" s="668"/>
      <c r="I2416" s="721"/>
      <c r="J2416" s="639"/>
      <c r="K2416" s="1124"/>
    </row>
    <row r="2417" spans="1:11" ht="13.8" thickBot="1" x14ac:dyDescent="0.3">
      <c r="A2417" s="719">
        <v>6</v>
      </c>
      <c r="B2417" s="669"/>
      <c r="C2417" s="1137"/>
      <c r="D2417" s="1137"/>
      <c r="E2417" s="1137"/>
      <c r="F2417" s="1137"/>
      <c r="G2417" s="646"/>
      <c r="H2417" s="669"/>
      <c r="I2417" s="1137"/>
      <c r="J2417" s="646"/>
      <c r="K2417" s="1138"/>
    </row>
    <row r="2418" spans="1:11" x14ac:dyDescent="0.25">
      <c r="A2418" s="1190">
        <v>1</v>
      </c>
      <c r="B2418" s="745"/>
      <c r="C2418" s="1117"/>
      <c r="D2418" s="1117"/>
      <c r="E2418" s="1117"/>
      <c r="F2418" s="1117"/>
      <c r="G2418" s="632"/>
      <c r="H2418" s="745"/>
      <c r="I2418" s="1117"/>
      <c r="J2418" s="632"/>
      <c r="K2418" s="1118"/>
    </row>
    <row r="2419" spans="1:11" x14ac:dyDescent="0.25">
      <c r="A2419" s="718">
        <v>2</v>
      </c>
      <c r="B2419" s="668"/>
      <c r="C2419" s="721"/>
      <c r="D2419" s="721"/>
      <c r="E2419" s="721"/>
      <c r="F2419" s="721"/>
      <c r="G2419" s="639"/>
      <c r="H2419" s="668"/>
      <c r="I2419" s="721"/>
      <c r="J2419" s="639"/>
      <c r="K2419" s="1124"/>
    </row>
    <row r="2420" spans="1:11" ht="13.8" thickBot="1" x14ac:dyDescent="0.3">
      <c r="A2420" s="719">
        <v>3</v>
      </c>
      <c r="B2420" s="669"/>
      <c r="C2420" s="1137"/>
      <c r="D2420" s="1137"/>
      <c r="E2420" s="1137"/>
      <c r="F2420" s="1137"/>
      <c r="G2420" s="646"/>
      <c r="H2420" s="669"/>
      <c r="I2420" s="1137"/>
      <c r="J2420" s="646"/>
      <c r="K2420" s="1138"/>
    </row>
    <row r="2421" spans="1:11" ht="13.8" thickBot="1" x14ac:dyDescent="0.3">
      <c r="A2421" s="1186" t="s">
        <v>728</v>
      </c>
      <c r="B2421" s="1187"/>
      <c r="C2421" s="1188"/>
      <c r="D2421" s="1188"/>
      <c r="E2421" s="1188"/>
      <c r="F2421" s="1188"/>
      <c r="G2421" s="1189"/>
      <c r="H2421" s="1187"/>
      <c r="I2421" s="1188"/>
      <c r="J2421" s="1189"/>
      <c r="K2421" s="716"/>
    </row>
    <row r="2422" spans="1:11" x14ac:dyDescent="0.25">
      <c r="A2422" s="1190">
        <v>1</v>
      </c>
      <c r="B2422" s="745"/>
      <c r="C2422" s="1117"/>
      <c r="D2422" s="1117"/>
      <c r="E2422" s="1117"/>
      <c r="F2422" s="1117"/>
      <c r="G2422" s="632"/>
      <c r="H2422" s="745"/>
      <c r="I2422" s="1117"/>
      <c r="J2422" s="632"/>
      <c r="K2422" s="1118"/>
    </row>
    <row r="2423" spans="1:11" x14ac:dyDescent="0.25">
      <c r="A2423" s="718">
        <v>2</v>
      </c>
      <c r="B2423" s="668"/>
      <c r="C2423" s="721"/>
      <c r="D2423" s="721"/>
      <c r="E2423" s="721"/>
      <c r="F2423" s="721"/>
      <c r="G2423" s="639"/>
      <c r="H2423" s="668"/>
      <c r="I2423" s="721"/>
      <c r="J2423" s="639"/>
      <c r="K2423" s="1124"/>
    </row>
    <row r="2424" spans="1:11" x14ac:dyDescent="0.25">
      <c r="A2424" s="718">
        <v>3</v>
      </c>
      <c r="B2424" s="668"/>
      <c r="C2424" s="721"/>
      <c r="D2424" s="721"/>
      <c r="E2424" s="721"/>
      <c r="F2424" s="721"/>
      <c r="G2424" s="639"/>
      <c r="H2424" s="668"/>
      <c r="I2424" s="721"/>
      <c r="J2424" s="639"/>
      <c r="K2424" s="1124"/>
    </row>
    <row r="2425" spans="1:11" x14ac:dyDescent="0.25">
      <c r="A2425" s="718">
        <v>4</v>
      </c>
      <c r="B2425" s="668"/>
      <c r="C2425" s="721"/>
      <c r="D2425" s="721"/>
      <c r="E2425" s="721"/>
      <c r="F2425" s="721"/>
      <c r="G2425" s="639"/>
      <c r="H2425" s="668"/>
      <c r="I2425" s="721"/>
      <c r="J2425" s="639"/>
      <c r="K2425" s="1124"/>
    </row>
    <row r="2426" spans="1:11" x14ac:dyDescent="0.25">
      <c r="A2426" s="718">
        <v>5</v>
      </c>
      <c r="B2426" s="668"/>
      <c r="C2426" s="721"/>
      <c r="D2426" s="721"/>
      <c r="E2426" s="721"/>
      <c r="F2426" s="721"/>
      <c r="G2426" s="639"/>
      <c r="H2426" s="668"/>
      <c r="I2426" s="721"/>
      <c r="J2426" s="639"/>
      <c r="K2426" s="1124"/>
    </row>
    <row r="2427" spans="1:11" ht="13.8" thickBot="1" x14ac:dyDescent="0.3">
      <c r="A2427" s="719">
        <v>6</v>
      </c>
      <c r="B2427" s="669"/>
      <c r="C2427" s="1137"/>
      <c r="D2427" s="1137"/>
      <c r="E2427" s="1137"/>
      <c r="F2427" s="1137"/>
      <c r="G2427" s="646"/>
      <c r="H2427" s="669"/>
      <c r="I2427" s="1137"/>
      <c r="J2427" s="646"/>
      <c r="K2427" s="1138"/>
    </row>
    <row r="2428" spans="1:11" x14ac:dyDescent="0.25">
      <c r="A2428" s="1190">
        <v>1</v>
      </c>
      <c r="B2428" s="745"/>
      <c r="C2428" s="1117"/>
      <c r="D2428" s="1117"/>
      <c r="E2428" s="1117"/>
      <c r="F2428" s="1117"/>
      <c r="G2428" s="632"/>
      <c r="H2428" s="745"/>
      <c r="I2428" s="1117"/>
      <c r="J2428" s="632"/>
      <c r="K2428" s="1118"/>
    </row>
    <row r="2429" spans="1:11" x14ac:dyDescent="0.25">
      <c r="A2429" s="718">
        <v>2</v>
      </c>
      <c r="B2429" s="668"/>
      <c r="C2429" s="721"/>
      <c r="D2429" s="721"/>
      <c r="E2429" s="721"/>
      <c r="F2429" s="721"/>
      <c r="G2429" s="639"/>
      <c r="H2429" s="668"/>
      <c r="I2429" s="721"/>
      <c r="J2429" s="639"/>
      <c r="K2429" s="1124"/>
    </row>
    <row r="2430" spans="1:11" ht="13.8" thickBot="1" x14ac:dyDescent="0.3">
      <c r="A2430" s="719">
        <v>3</v>
      </c>
      <c r="B2430" s="669"/>
      <c r="C2430" s="1137"/>
      <c r="D2430" s="1137"/>
      <c r="E2430" s="1137"/>
      <c r="F2430" s="1137"/>
      <c r="G2430" s="646"/>
      <c r="H2430" s="669"/>
      <c r="I2430" s="1137"/>
      <c r="J2430" s="646"/>
      <c r="K2430" s="1138"/>
    </row>
    <row r="2431" spans="1:11" ht="13.8" thickBot="1" x14ac:dyDescent="0.3">
      <c r="A2431" s="1186" t="s">
        <v>729</v>
      </c>
      <c r="B2431" s="1187"/>
      <c r="C2431" s="1188"/>
      <c r="D2431" s="1188"/>
      <c r="E2431" s="1188"/>
      <c r="F2431" s="1188"/>
      <c r="G2431" s="1189"/>
      <c r="H2431" s="1187"/>
      <c r="I2431" s="1188"/>
      <c r="J2431" s="1189"/>
      <c r="K2431" s="716"/>
    </row>
    <row r="2432" spans="1:11" x14ac:dyDescent="0.25">
      <c r="A2432" s="1190">
        <v>1</v>
      </c>
      <c r="B2432" s="745"/>
      <c r="C2432" s="1117"/>
      <c r="D2432" s="1117"/>
      <c r="E2432" s="1117"/>
      <c r="F2432" s="1117"/>
      <c r="G2432" s="632"/>
      <c r="H2432" s="745"/>
      <c r="I2432" s="1117"/>
      <c r="J2432" s="632"/>
      <c r="K2432" s="1118"/>
    </row>
    <row r="2433" spans="1:11" x14ac:dyDescent="0.25">
      <c r="A2433" s="718">
        <v>2</v>
      </c>
      <c r="B2433" s="668"/>
      <c r="C2433" s="721"/>
      <c r="D2433" s="721"/>
      <c r="E2433" s="721"/>
      <c r="F2433" s="721"/>
      <c r="G2433" s="639"/>
      <c r="H2433" s="668"/>
      <c r="I2433" s="721"/>
      <c r="J2433" s="639"/>
      <c r="K2433" s="1124"/>
    </row>
    <row r="2434" spans="1:11" x14ac:dyDescent="0.25">
      <c r="A2434" s="718">
        <v>3</v>
      </c>
      <c r="B2434" s="668"/>
      <c r="C2434" s="721"/>
      <c r="D2434" s="721"/>
      <c r="E2434" s="721"/>
      <c r="F2434" s="721"/>
      <c r="G2434" s="639"/>
      <c r="H2434" s="668"/>
      <c r="I2434" s="721"/>
      <c r="J2434" s="639"/>
      <c r="K2434" s="1124"/>
    </row>
    <row r="2435" spans="1:11" x14ac:dyDescent="0.25">
      <c r="A2435" s="718">
        <v>4</v>
      </c>
      <c r="B2435" s="668"/>
      <c r="C2435" s="721"/>
      <c r="D2435" s="721"/>
      <c r="E2435" s="721"/>
      <c r="F2435" s="721"/>
      <c r="G2435" s="639"/>
      <c r="H2435" s="668"/>
      <c r="I2435" s="721"/>
      <c r="J2435" s="639"/>
      <c r="K2435" s="1124"/>
    </row>
    <row r="2436" spans="1:11" x14ac:dyDescent="0.25">
      <c r="A2436" s="718">
        <v>5</v>
      </c>
      <c r="B2436" s="668"/>
      <c r="C2436" s="721"/>
      <c r="D2436" s="721"/>
      <c r="E2436" s="721"/>
      <c r="F2436" s="721"/>
      <c r="G2436" s="639"/>
      <c r="H2436" s="668"/>
      <c r="I2436" s="721"/>
      <c r="J2436" s="639"/>
      <c r="K2436" s="1124"/>
    </row>
    <row r="2437" spans="1:11" ht="13.8" thickBot="1" x14ac:dyDescent="0.3">
      <c r="A2437" s="719">
        <v>6</v>
      </c>
      <c r="B2437" s="669"/>
      <c r="C2437" s="1137"/>
      <c r="D2437" s="1137"/>
      <c r="E2437" s="1137"/>
      <c r="F2437" s="1137"/>
      <c r="G2437" s="646"/>
      <c r="H2437" s="669"/>
      <c r="I2437" s="1137"/>
      <c r="J2437" s="646"/>
      <c r="K2437" s="1138"/>
    </row>
    <row r="2438" spans="1:11" x14ac:dyDescent="0.25">
      <c r="A2438" s="1190">
        <v>1</v>
      </c>
      <c r="B2438" s="745"/>
      <c r="C2438" s="1117"/>
      <c r="D2438" s="1117"/>
      <c r="E2438" s="1117"/>
      <c r="F2438" s="1117"/>
      <c r="G2438" s="632"/>
      <c r="H2438" s="745"/>
      <c r="I2438" s="1117"/>
      <c r="J2438" s="632"/>
      <c r="K2438" s="1118"/>
    </row>
    <row r="2439" spans="1:11" x14ac:dyDescent="0.25">
      <c r="A2439" s="718">
        <v>2</v>
      </c>
      <c r="B2439" s="668"/>
      <c r="C2439" s="721"/>
      <c r="D2439" s="721"/>
      <c r="E2439" s="721"/>
      <c r="F2439" s="721"/>
      <c r="G2439" s="639"/>
      <c r="H2439" s="668"/>
      <c r="I2439" s="721"/>
      <c r="J2439" s="639"/>
      <c r="K2439" s="1124"/>
    </row>
    <row r="2440" spans="1:11" ht="13.8" thickBot="1" x14ac:dyDescent="0.3">
      <c r="A2440" s="1191">
        <v>3</v>
      </c>
      <c r="B2440" s="1132"/>
      <c r="C2440" s="1133"/>
      <c r="D2440" s="1133"/>
      <c r="E2440" s="1133"/>
      <c r="F2440" s="1133"/>
      <c r="G2440" s="1134"/>
      <c r="H2440" s="1132"/>
      <c r="I2440" s="1133"/>
      <c r="J2440" s="1134"/>
      <c r="K2440" s="1147"/>
    </row>
    <row r="2441" spans="1:11" ht="13.8" thickBot="1" x14ac:dyDescent="0.3">
      <c r="A2441" s="1186" t="s">
        <v>730</v>
      </c>
      <c r="B2441" s="1187"/>
      <c r="C2441" s="1188"/>
      <c r="D2441" s="1188"/>
      <c r="E2441" s="1188"/>
      <c r="F2441" s="1188"/>
      <c r="G2441" s="1189"/>
      <c r="H2441" s="1187"/>
      <c r="I2441" s="1188"/>
      <c r="J2441" s="1189"/>
      <c r="K2441" s="716"/>
    </row>
    <row r="2442" spans="1:11" x14ac:dyDescent="0.25">
      <c r="A2442" s="1190">
        <v>1</v>
      </c>
      <c r="B2442" s="745"/>
      <c r="C2442" s="1117"/>
      <c r="D2442" s="1117"/>
      <c r="E2442" s="1117"/>
      <c r="F2442" s="1117"/>
      <c r="G2442" s="632"/>
      <c r="H2442" s="745"/>
      <c r="I2442" s="1117"/>
      <c r="J2442" s="632"/>
      <c r="K2442" s="1118"/>
    </row>
    <row r="2443" spans="1:11" x14ac:dyDescent="0.25">
      <c r="A2443" s="718">
        <v>2</v>
      </c>
      <c r="B2443" s="668"/>
      <c r="C2443" s="721"/>
      <c r="D2443" s="721"/>
      <c r="E2443" s="721"/>
      <c r="F2443" s="721"/>
      <c r="G2443" s="639"/>
      <c r="H2443" s="668"/>
      <c r="I2443" s="721"/>
      <c r="J2443" s="639"/>
      <c r="K2443" s="1124"/>
    </row>
    <row r="2444" spans="1:11" x14ac:dyDescent="0.25">
      <c r="A2444" s="718">
        <v>3</v>
      </c>
      <c r="B2444" s="668"/>
      <c r="C2444" s="721"/>
      <c r="D2444" s="721"/>
      <c r="E2444" s="721"/>
      <c r="F2444" s="721"/>
      <c r="G2444" s="639"/>
      <c r="H2444" s="668"/>
      <c r="I2444" s="721"/>
      <c r="J2444" s="639"/>
      <c r="K2444" s="1124"/>
    </row>
    <row r="2445" spans="1:11" x14ac:dyDescent="0.25">
      <c r="A2445" s="718">
        <v>4</v>
      </c>
      <c r="B2445" s="668"/>
      <c r="C2445" s="721"/>
      <c r="D2445" s="721"/>
      <c r="E2445" s="721"/>
      <c r="F2445" s="721"/>
      <c r="G2445" s="639"/>
      <c r="H2445" s="668"/>
      <c r="I2445" s="721"/>
      <c r="J2445" s="639"/>
      <c r="K2445" s="1124"/>
    </row>
    <row r="2446" spans="1:11" x14ac:dyDescent="0.25">
      <c r="A2446" s="718">
        <v>5</v>
      </c>
      <c r="B2446" s="668"/>
      <c r="C2446" s="721"/>
      <c r="D2446" s="721"/>
      <c r="E2446" s="721"/>
      <c r="F2446" s="721"/>
      <c r="G2446" s="639"/>
      <c r="H2446" s="668"/>
      <c r="I2446" s="721"/>
      <c r="J2446" s="639"/>
      <c r="K2446" s="1124"/>
    </row>
    <row r="2447" spans="1:11" ht="13.8" thickBot="1" x14ac:dyDescent="0.3">
      <c r="A2447" s="719">
        <v>6</v>
      </c>
      <c r="B2447" s="669"/>
      <c r="C2447" s="1137"/>
      <c r="D2447" s="1137"/>
      <c r="E2447" s="1137"/>
      <c r="F2447" s="1137"/>
      <c r="G2447" s="646"/>
      <c r="H2447" s="669"/>
      <c r="I2447" s="1137"/>
      <c r="J2447" s="646"/>
      <c r="K2447" s="1138"/>
    </row>
    <row r="2448" spans="1:11" x14ac:dyDescent="0.25">
      <c r="A2448" s="1190">
        <v>1</v>
      </c>
      <c r="B2448" s="745"/>
      <c r="C2448" s="1117"/>
      <c r="D2448" s="1117"/>
      <c r="E2448" s="1117"/>
      <c r="F2448" s="1117"/>
      <c r="G2448" s="632"/>
      <c r="H2448" s="745"/>
      <c r="I2448" s="1117"/>
      <c r="J2448" s="632"/>
      <c r="K2448" s="1118"/>
    </row>
    <row r="2449" spans="1:11" x14ac:dyDescent="0.25">
      <c r="A2449" s="718">
        <v>2</v>
      </c>
      <c r="B2449" s="668"/>
      <c r="C2449" s="721"/>
      <c r="D2449" s="721"/>
      <c r="E2449" s="721"/>
      <c r="F2449" s="721"/>
      <c r="G2449" s="639"/>
      <c r="H2449" s="668"/>
      <c r="I2449" s="721"/>
      <c r="J2449" s="639"/>
      <c r="K2449" s="1124"/>
    </row>
    <row r="2450" spans="1:11" ht="13.8" thickBot="1" x14ac:dyDescent="0.3">
      <c r="A2450" s="719">
        <v>3</v>
      </c>
      <c r="B2450" s="669"/>
      <c r="C2450" s="1137"/>
      <c r="D2450" s="1137"/>
      <c r="E2450" s="1137"/>
      <c r="F2450" s="1137"/>
      <c r="G2450" s="646"/>
      <c r="H2450" s="669"/>
      <c r="I2450" s="1137"/>
      <c r="J2450" s="646"/>
      <c r="K2450" s="1138"/>
    </row>
    <row r="2451" spans="1:11" ht="13.8" thickBot="1" x14ac:dyDescent="0.3">
      <c r="A2451" s="1186" t="s">
        <v>731</v>
      </c>
      <c r="B2451" s="1187"/>
      <c r="C2451" s="1188"/>
      <c r="D2451" s="1188"/>
      <c r="E2451" s="1188"/>
      <c r="F2451" s="1188"/>
      <c r="G2451" s="1189"/>
      <c r="H2451" s="1187"/>
      <c r="I2451" s="1188"/>
      <c r="J2451" s="1189"/>
      <c r="K2451" s="716"/>
    </row>
    <row r="2452" spans="1:11" x14ac:dyDescent="0.25">
      <c r="A2452" s="1190">
        <v>1</v>
      </c>
      <c r="B2452" s="745"/>
      <c r="C2452" s="1117"/>
      <c r="D2452" s="1117"/>
      <c r="E2452" s="1117"/>
      <c r="F2452" s="1117"/>
      <c r="G2452" s="632"/>
      <c r="H2452" s="745"/>
      <c r="I2452" s="1117"/>
      <c r="J2452" s="632"/>
      <c r="K2452" s="1118"/>
    </row>
    <row r="2453" spans="1:11" x14ac:dyDescent="0.25">
      <c r="A2453" s="718">
        <v>2</v>
      </c>
      <c r="B2453" s="668"/>
      <c r="C2453" s="721"/>
      <c r="D2453" s="721"/>
      <c r="E2453" s="721"/>
      <c r="F2453" s="721"/>
      <c r="G2453" s="639"/>
      <c r="H2453" s="668"/>
      <c r="I2453" s="721"/>
      <c r="J2453" s="639"/>
      <c r="K2453" s="1124"/>
    </row>
    <row r="2454" spans="1:11" x14ac:dyDescent="0.25">
      <c r="A2454" s="718">
        <v>3</v>
      </c>
      <c r="B2454" s="668"/>
      <c r="C2454" s="721"/>
      <c r="D2454" s="721"/>
      <c r="E2454" s="721"/>
      <c r="F2454" s="721"/>
      <c r="G2454" s="639"/>
      <c r="H2454" s="668"/>
      <c r="I2454" s="721"/>
      <c r="J2454" s="639"/>
      <c r="K2454" s="1124"/>
    </row>
    <row r="2455" spans="1:11" x14ac:dyDescent="0.25">
      <c r="A2455" s="718">
        <v>4</v>
      </c>
      <c r="B2455" s="668"/>
      <c r="C2455" s="721"/>
      <c r="D2455" s="721"/>
      <c r="E2455" s="721"/>
      <c r="F2455" s="721"/>
      <c r="G2455" s="639"/>
      <c r="H2455" s="668"/>
      <c r="I2455" s="721"/>
      <c r="J2455" s="639"/>
      <c r="K2455" s="1124"/>
    </row>
    <row r="2456" spans="1:11" x14ac:dyDescent="0.25">
      <c r="A2456" s="718">
        <v>5</v>
      </c>
      <c r="B2456" s="668"/>
      <c r="C2456" s="721"/>
      <c r="D2456" s="721"/>
      <c r="E2456" s="721"/>
      <c r="F2456" s="721"/>
      <c r="G2456" s="639"/>
      <c r="H2456" s="668"/>
      <c r="I2456" s="721"/>
      <c r="J2456" s="639"/>
      <c r="K2456" s="1124"/>
    </row>
    <row r="2457" spans="1:11" ht="13.8" thickBot="1" x14ac:dyDescent="0.3">
      <c r="A2457" s="719">
        <v>6</v>
      </c>
      <c r="B2457" s="669"/>
      <c r="C2457" s="1137"/>
      <c r="D2457" s="1137"/>
      <c r="E2457" s="1137"/>
      <c r="F2457" s="1137"/>
      <c r="G2457" s="646"/>
      <c r="H2457" s="669"/>
      <c r="I2457" s="1137"/>
      <c r="J2457" s="646"/>
      <c r="K2457" s="1138"/>
    </row>
    <row r="2458" spans="1:11" x14ac:dyDescent="0.25">
      <c r="A2458" s="1190">
        <v>1</v>
      </c>
      <c r="B2458" s="745"/>
      <c r="C2458" s="1117"/>
      <c r="D2458" s="1117"/>
      <c r="E2458" s="1117"/>
      <c r="F2458" s="1117"/>
      <c r="G2458" s="632"/>
      <c r="H2458" s="745"/>
      <c r="I2458" s="1117"/>
      <c r="J2458" s="632"/>
      <c r="K2458" s="1118"/>
    </row>
    <row r="2459" spans="1:11" x14ac:dyDescent="0.25">
      <c r="A2459" s="718">
        <v>2</v>
      </c>
      <c r="B2459" s="668"/>
      <c r="C2459" s="721"/>
      <c r="D2459" s="721"/>
      <c r="E2459" s="721"/>
      <c r="F2459" s="721"/>
      <c r="G2459" s="639"/>
      <c r="H2459" s="668"/>
      <c r="I2459" s="721"/>
      <c r="J2459" s="639"/>
      <c r="K2459" s="1124"/>
    </row>
    <row r="2460" spans="1:11" ht="13.8" thickBot="1" x14ac:dyDescent="0.3">
      <c r="A2460" s="719">
        <v>3</v>
      </c>
      <c r="B2460" s="669"/>
      <c r="C2460" s="1137"/>
      <c r="D2460" s="1137"/>
      <c r="E2460" s="1137"/>
      <c r="F2460" s="1137"/>
      <c r="G2460" s="646"/>
      <c r="H2460" s="669"/>
      <c r="I2460" s="1137"/>
      <c r="J2460" s="646"/>
      <c r="K2460" s="1138"/>
    </row>
    <row r="2461" spans="1:11" ht="13.8" thickBot="1" x14ac:dyDescent="0.3">
      <c r="A2461" s="1186" t="s">
        <v>732</v>
      </c>
      <c r="B2461" s="1187"/>
      <c r="C2461" s="1188"/>
      <c r="D2461" s="1188"/>
      <c r="E2461" s="1188"/>
      <c r="F2461" s="1188"/>
      <c r="G2461" s="1189"/>
      <c r="H2461" s="1187"/>
      <c r="I2461" s="1188"/>
      <c r="J2461" s="1189"/>
      <c r="K2461" s="716"/>
    </row>
    <row r="2462" spans="1:11" x14ac:dyDescent="0.25">
      <c r="A2462" s="1190">
        <v>1</v>
      </c>
      <c r="B2462" s="745"/>
      <c r="C2462" s="1117"/>
      <c r="D2462" s="1117"/>
      <c r="E2462" s="1117"/>
      <c r="F2462" s="1117"/>
      <c r="G2462" s="632"/>
      <c r="H2462" s="745"/>
      <c r="I2462" s="1117"/>
      <c r="J2462" s="632"/>
      <c r="K2462" s="1118"/>
    </row>
    <row r="2463" spans="1:11" x14ac:dyDescent="0.25">
      <c r="A2463" s="718">
        <v>2</v>
      </c>
      <c r="B2463" s="668"/>
      <c r="C2463" s="721"/>
      <c r="D2463" s="721"/>
      <c r="E2463" s="721"/>
      <c r="F2463" s="721"/>
      <c r="G2463" s="639"/>
      <c r="H2463" s="668"/>
      <c r="I2463" s="721"/>
      <c r="J2463" s="639"/>
      <c r="K2463" s="1124"/>
    </row>
    <row r="2464" spans="1:11" x14ac:dyDescent="0.25">
      <c r="A2464" s="718">
        <v>3</v>
      </c>
      <c r="B2464" s="668"/>
      <c r="C2464" s="721"/>
      <c r="D2464" s="721"/>
      <c r="E2464" s="721"/>
      <c r="F2464" s="721"/>
      <c r="G2464" s="639"/>
      <c r="H2464" s="668"/>
      <c r="I2464" s="721"/>
      <c r="J2464" s="639"/>
      <c r="K2464" s="1124"/>
    </row>
    <row r="2465" spans="1:11" x14ac:dyDescent="0.25">
      <c r="A2465" s="718">
        <v>4</v>
      </c>
      <c r="B2465" s="668"/>
      <c r="C2465" s="721"/>
      <c r="D2465" s="721"/>
      <c r="E2465" s="721"/>
      <c r="F2465" s="721"/>
      <c r="G2465" s="639"/>
      <c r="H2465" s="668"/>
      <c r="I2465" s="721"/>
      <c r="J2465" s="639"/>
      <c r="K2465" s="1124"/>
    </row>
    <row r="2466" spans="1:11" x14ac:dyDescent="0.25">
      <c r="A2466" s="718">
        <v>5</v>
      </c>
      <c r="B2466" s="668"/>
      <c r="C2466" s="721"/>
      <c r="D2466" s="721"/>
      <c r="E2466" s="721"/>
      <c r="F2466" s="721"/>
      <c r="G2466" s="639"/>
      <c r="H2466" s="668"/>
      <c r="I2466" s="721"/>
      <c r="J2466" s="639"/>
      <c r="K2466" s="1124"/>
    </row>
    <row r="2467" spans="1:11" ht="13.8" thickBot="1" x14ac:dyDescent="0.3">
      <c r="A2467" s="719">
        <v>6</v>
      </c>
      <c r="B2467" s="669"/>
      <c r="C2467" s="1137"/>
      <c r="D2467" s="1137"/>
      <c r="E2467" s="1137"/>
      <c r="F2467" s="1137"/>
      <c r="G2467" s="646"/>
      <c r="H2467" s="669"/>
      <c r="I2467" s="1137"/>
      <c r="J2467" s="646"/>
      <c r="K2467" s="1138"/>
    </row>
    <row r="2468" spans="1:11" x14ac:dyDescent="0.25">
      <c r="A2468" s="1190">
        <v>1</v>
      </c>
      <c r="B2468" s="745"/>
      <c r="C2468" s="1117"/>
      <c r="D2468" s="1117"/>
      <c r="E2468" s="1117"/>
      <c r="F2468" s="1117"/>
      <c r="G2468" s="632"/>
      <c r="H2468" s="745"/>
      <c r="I2468" s="1117"/>
      <c r="J2468" s="632"/>
      <c r="K2468" s="1118"/>
    </row>
    <row r="2469" spans="1:11" x14ac:dyDescent="0.25">
      <c r="A2469" s="718">
        <v>2</v>
      </c>
      <c r="B2469" s="668"/>
      <c r="C2469" s="721"/>
      <c r="D2469" s="721"/>
      <c r="E2469" s="721"/>
      <c r="F2469" s="721"/>
      <c r="G2469" s="639"/>
      <c r="H2469" s="668"/>
      <c r="I2469" s="721"/>
      <c r="J2469" s="639"/>
      <c r="K2469" s="1124"/>
    </row>
    <row r="2470" spans="1:11" ht="13.8" thickBot="1" x14ac:dyDescent="0.3">
      <c r="A2470" s="719">
        <v>3</v>
      </c>
      <c r="B2470" s="669"/>
      <c r="C2470" s="1137"/>
      <c r="D2470" s="1137"/>
      <c r="E2470" s="1137"/>
      <c r="F2470" s="1137"/>
      <c r="G2470" s="646"/>
      <c r="H2470" s="669"/>
      <c r="I2470" s="1137"/>
      <c r="J2470" s="646"/>
      <c r="K2470" s="1138"/>
    </row>
    <row r="2471" spans="1:11" ht="13.8" thickBot="1" x14ac:dyDescent="0.3">
      <c r="A2471" s="1186" t="s">
        <v>733</v>
      </c>
      <c r="B2471" s="1187"/>
      <c r="C2471" s="1188"/>
      <c r="D2471" s="1188"/>
      <c r="E2471" s="1188"/>
      <c r="F2471" s="1188"/>
      <c r="G2471" s="1189"/>
      <c r="H2471" s="1187"/>
      <c r="I2471" s="1188"/>
      <c r="J2471" s="1189"/>
      <c r="K2471" s="716"/>
    </row>
    <row r="2472" spans="1:11" x14ac:dyDescent="0.25">
      <c r="A2472" s="1190">
        <v>1</v>
      </c>
      <c r="B2472" s="745"/>
      <c r="C2472" s="1117"/>
      <c r="D2472" s="1117"/>
      <c r="E2472" s="1117"/>
      <c r="F2472" s="1117"/>
      <c r="G2472" s="632"/>
      <c r="H2472" s="745"/>
      <c r="I2472" s="1117"/>
      <c r="J2472" s="632"/>
      <c r="K2472" s="1118"/>
    </row>
    <row r="2473" spans="1:11" x14ac:dyDescent="0.25">
      <c r="A2473" s="718">
        <v>2</v>
      </c>
      <c r="B2473" s="668"/>
      <c r="C2473" s="721"/>
      <c r="D2473" s="721"/>
      <c r="E2473" s="721"/>
      <c r="F2473" s="721"/>
      <c r="G2473" s="639"/>
      <c r="H2473" s="668"/>
      <c r="I2473" s="721"/>
      <c r="J2473" s="639"/>
      <c r="K2473" s="1124"/>
    </row>
    <row r="2474" spans="1:11" x14ac:dyDescent="0.25">
      <c r="A2474" s="718">
        <v>3</v>
      </c>
      <c r="B2474" s="668"/>
      <c r="C2474" s="721"/>
      <c r="D2474" s="721"/>
      <c r="E2474" s="721"/>
      <c r="F2474" s="721"/>
      <c r="G2474" s="639"/>
      <c r="H2474" s="668"/>
      <c r="I2474" s="721"/>
      <c r="J2474" s="639"/>
      <c r="K2474" s="1124"/>
    </row>
    <row r="2475" spans="1:11" x14ac:dyDescent="0.25">
      <c r="A2475" s="718">
        <v>4</v>
      </c>
      <c r="B2475" s="668"/>
      <c r="C2475" s="721"/>
      <c r="D2475" s="721"/>
      <c r="E2475" s="721"/>
      <c r="F2475" s="721"/>
      <c r="G2475" s="639"/>
      <c r="H2475" s="668"/>
      <c r="I2475" s="721"/>
      <c r="J2475" s="639"/>
      <c r="K2475" s="1124"/>
    </row>
    <row r="2476" spans="1:11" x14ac:dyDescent="0.25">
      <c r="A2476" s="718">
        <v>5</v>
      </c>
      <c r="B2476" s="668"/>
      <c r="C2476" s="721"/>
      <c r="D2476" s="721"/>
      <c r="E2476" s="721"/>
      <c r="F2476" s="721"/>
      <c r="G2476" s="639"/>
      <c r="H2476" s="668"/>
      <c r="I2476" s="721"/>
      <c r="J2476" s="639"/>
      <c r="K2476" s="1124"/>
    </row>
    <row r="2477" spans="1:11" ht="13.8" thickBot="1" x14ac:dyDescent="0.3">
      <c r="A2477" s="719">
        <v>6</v>
      </c>
      <c r="B2477" s="669"/>
      <c r="C2477" s="1137"/>
      <c r="D2477" s="1137"/>
      <c r="E2477" s="1137"/>
      <c r="F2477" s="1137"/>
      <c r="G2477" s="646"/>
      <c r="H2477" s="669"/>
      <c r="I2477" s="1137"/>
      <c r="J2477" s="646"/>
      <c r="K2477" s="1138"/>
    </row>
    <row r="2478" spans="1:11" x14ac:dyDescent="0.25">
      <c r="A2478" s="1190">
        <v>1</v>
      </c>
      <c r="B2478" s="745"/>
      <c r="C2478" s="1117"/>
      <c r="D2478" s="1117"/>
      <c r="E2478" s="1117"/>
      <c r="F2478" s="1117"/>
      <c r="G2478" s="632"/>
      <c r="H2478" s="745"/>
      <c r="I2478" s="1117"/>
      <c r="J2478" s="632"/>
      <c r="K2478" s="1118"/>
    </row>
    <row r="2479" spans="1:11" x14ac:dyDescent="0.25">
      <c r="A2479" s="718">
        <v>2</v>
      </c>
      <c r="B2479" s="668"/>
      <c r="C2479" s="721"/>
      <c r="D2479" s="721"/>
      <c r="E2479" s="721"/>
      <c r="F2479" s="721"/>
      <c r="G2479" s="639"/>
      <c r="H2479" s="668"/>
      <c r="I2479" s="721"/>
      <c r="J2479" s="639"/>
      <c r="K2479" s="1124"/>
    </row>
    <row r="2480" spans="1:11" ht="13.8" thickBot="1" x14ac:dyDescent="0.3">
      <c r="A2480" s="1191">
        <v>3</v>
      </c>
      <c r="B2480" s="1132"/>
      <c r="C2480" s="1133"/>
      <c r="D2480" s="1133"/>
      <c r="E2480" s="1133"/>
      <c r="F2480" s="1133"/>
      <c r="G2480" s="1134"/>
      <c r="H2480" s="1132"/>
      <c r="I2480" s="1133"/>
      <c r="J2480" s="1134"/>
      <c r="K2480" s="1147"/>
    </row>
    <row r="2481" spans="1:11" ht="13.8" thickBot="1" x14ac:dyDescent="0.3">
      <c r="A2481" s="1186" t="s">
        <v>734</v>
      </c>
      <c r="B2481" s="1187"/>
      <c r="C2481" s="1188"/>
      <c r="D2481" s="1188"/>
      <c r="E2481" s="1188"/>
      <c r="F2481" s="1188"/>
      <c r="G2481" s="1189"/>
      <c r="H2481" s="1187"/>
      <c r="I2481" s="1188"/>
      <c r="J2481" s="1189"/>
      <c r="K2481" s="716"/>
    </row>
    <row r="2482" spans="1:11" x14ac:dyDescent="0.25">
      <c r="A2482" s="1190">
        <v>1</v>
      </c>
      <c r="B2482" s="745"/>
      <c r="C2482" s="1117"/>
      <c r="D2482" s="1117"/>
      <c r="E2482" s="1117"/>
      <c r="F2482" s="1117"/>
      <c r="G2482" s="632"/>
      <c r="H2482" s="745"/>
      <c r="I2482" s="1117"/>
      <c r="J2482" s="632"/>
      <c r="K2482" s="1118"/>
    </row>
    <row r="2483" spans="1:11" x14ac:dyDescent="0.25">
      <c r="A2483" s="718">
        <v>2</v>
      </c>
      <c r="B2483" s="668"/>
      <c r="C2483" s="721"/>
      <c r="D2483" s="721"/>
      <c r="E2483" s="721"/>
      <c r="F2483" s="721"/>
      <c r="G2483" s="639"/>
      <c r="H2483" s="668"/>
      <c r="I2483" s="721"/>
      <c r="J2483" s="639"/>
      <c r="K2483" s="1124"/>
    </row>
    <row r="2484" spans="1:11" x14ac:dyDescent="0.25">
      <c r="A2484" s="718">
        <v>3</v>
      </c>
      <c r="B2484" s="668"/>
      <c r="C2484" s="721"/>
      <c r="D2484" s="721"/>
      <c r="E2484" s="721"/>
      <c r="F2484" s="721"/>
      <c r="G2484" s="639"/>
      <c r="H2484" s="668"/>
      <c r="I2484" s="721"/>
      <c r="J2484" s="639"/>
      <c r="K2484" s="1124"/>
    </row>
    <row r="2485" spans="1:11" x14ac:dyDescent="0.25">
      <c r="A2485" s="718">
        <v>4</v>
      </c>
      <c r="B2485" s="668"/>
      <c r="C2485" s="721"/>
      <c r="D2485" s="721"/>
      <c r="E2485" s="721"/>
      <c r="F2485" s="721"/>
      <c r="G2485" s="639"/>
      <c r="H2485" s="668"/>
      <c r="I2485" s="721"/>
      <c r="J2485" s="639"/>
      <c r="K2485" s="1124"/>
    </row>
    <row r="2486" spans="1:11" x14ac:dyDescent="0.25">
      <c r="A2486" s="718">
        <v>5</v>
      </c>
      <c r="B2486" s="668"/>
      <c r="C2486" s="721"/>
      <c r="D2486" s="721"/>
      <c r="E2486" s="721"/>
      <c r="F2486" s="721"/>
      <c r="G2486" s="639"/>
      <c r="H2486" s="668"/>
      <c r="I2486" s="721"/>
      <c r="J2486" s="639"/>
      <c r="K2486" s="1124"/>
    </row>
    <row r="2487" spans="1:11" ht="13.8" thickBot="1" x14ac:dyDescent="0.3">
      <c r="A2487" s="719">
        <v>6</v>
      </c>
      <c r="B2487" s="669"/>
      <c r="C2487" s="1137"/>
      <c r="D2487" s="1137"/>
      <c r="E2487" s="1137"/>
      <c r="F2487" s="1137"/>
      <c r="G2487" s="646"/>
      <c r="H2487" s="669"/>
      <c r="I2487" s="1137"/>
      <c r="J2487" s="646"/>
      <c r="K2487" s="1138"/>
    </row>
    <row r="2488" spans="1:11" x14ac:dyDescent="0.25">
      <c r="A2488" s="1190">
        <v>1</v>
      </c>
      <c r="B2488" s="745"/>
      <c r="C2488" s="1117"/>
      <c r="D2488" s="1117"/>
      <c r="E2488" s="1117"/>
      <c r="F2488" s="1117"/>
      <c r="G2488" s="632"/>
      <c r="H2488" s="745"/>
      <c r="I2488" s="1117"/>
      <c r="J2488" s="632"/>
      <c r="K2488" s="1118"/>
    </row>
    <row r="2489" spans="1:11" x14ac:dyDescent="0.25">
      <c r="A2489" s="718">
        <v>2</v>
      </c>
      <c r="B2489" s="668"/>
      <c r="C2489" s="721"/>
      <c r="D2489" s="721"/>
      <c r="E2489" s="721"/>
      <c r="F2489" s="721"/>
      <c r="G2489" s="639"/>
      <c r="H2489" s="668"/>
      <c r="I2489" s="721"/>
      <c r="J2489" s="639"/>
      <c r="K2489" s="1124"/>
    </row>
    <row r="2490" spans="1:11" ht="13.8" thickBot="1" x14ac:dyDescent="0.3">
      <c r="A2490" s="719">
        <v>3</v>
      </c>
      <c r="B2490" s="669"/>
      <c r="C2490" s="1137"/>
      <c r="D2490" s="1137"/>
      <c r="E2490" s="1137"/>
      <c r="F2490" s="1137"/>
      <c r="G2490" s="646"/>
      <c r="H2490" s="669"/>
      <c r="I2490" s="1137"/>
      <c r="J2490" s="646"/>
      <c r="K2490" s="1138"/>
    </row>
    <row r="2491" spans="1:11" ht="13.8" thickBot="1" x14ac:dyDescent="0.3">
      <c r="A2491" s="1186" t="s">
        <v>735</v>
      </c>
      <c r="B2491" s="1187"/>
      <c r="C2491" s="1188"/>
      <c r="D2491" s="1188"/>
      <c r="E2491" s="1188"/>
      <c r="F2491" s="1188"/>
      <c r="G2491" s="1189"/>
      <c r="H2491" s="1187"/>
      <c r="I2491" s="1188"/>
      <c r="J2491" s="1189"/>
      <c r="K2491" s="716"/>
    </row>
    <row r="2492" spans="1:11" x14ac:dyDescent="0.25">
      <c r="A2492" s="1190">
        <v>1</v>
      </c>
      <c r="B2492" s="745"/>
      <c r="C2492" s="1117"/>
      <c r="D2492" s="1117"/>
      <c r="E2492" s="1117"/>
      <c r="F2492" s="1117"/>
      <c r="G2492" s="632"/>
      <c r="H2492" s="745"/>
      <c r="I2492" s="1117"/>
      <c r="J2492" s="632"/>
      <c r="K2492" s="1118"/>
    </row>
    <row r="2493" spans="1:11" x14ac:dyDescent="0.25">
      <c r="A2493" s="718">
        <v>2</v>
      </c>
      <c r="B2493" s="668"/>
      <c r="C2493" s="721"/>
      <c r="D2493" s="721"/>
      <c r="E2493" s="721"/>
      <c r="F2493" s="721"/>
      <c r="G2493" s="639"/>
      <c r="H2493" s="668"/>
      <c r="I2493" s="721"/>
      <c r="J2493" s="639"/>
      <c r="K2493" s="1124"/>
    </row>
    <row r="2494" spans="1:11" x14ac:dyDescent="0.25">
      <c r="A2494" s="718">
        <v>3</v>
      </c>
      <c r="B2494" s="668"/>
      <c r="C2494" s="721"/>
      <c r="D2494" s="721"/>
      <c r="E2494" s="721"/>
      <c r="F2494" s="721"/>
      <c r="G2494" s="639"/>
      <c r="H2494" s="668"/>
      <c r="I2494" s="721"/>
      <c r="J2494" s="639"/>
      <c r="K2494" s="1124"/>
    </row>
    <row r="2495" spans="1:11" x14ac:dyDescent="0.25">
      <c r="A2495" s="718">
        <v>4</v>
      </c>
      <c r="B2495" s="668"/>
      <c r="C2495" s="721"/>
      <c r="D2495" s="721"/>
      <c r="E2495" s="721"/>
      <c r="F2495" s="721"/>
      <c r="G2495" s="639"/>
      <c r="H2495" s="668"/>
      <c r="I2495" s="721"/>
      <c r="J2495" s="639"/>
      <c r="K2495" s="1124"/>
    </row>
    <row r="2496" spans="1:11" x14ac:dyDescent="0.25">
      <c r="A2496" s="718">
        <v>5</v>
      </c>
      <c r="B2496" s="668"/>
      <c r="C2496" s="721"/>
      <c r="D2496" s="721"/>
      <c r="E2496" s="721"/>
      <c r="F2496" s="721"/>
      <c r="G2496" s="639"/>
      <c r="H2496" s="668"/>
      <c r="I2496" s="721"/>
      <c r="J2496" s="639"/>
      <c r="K2496" s="1124"/>
    </row>
    <row r="2497" spans="1:11" ht="13.8" thickBot="1" x14ac:dyDescent="0.3">
      <c r="A2497" s="719">
        <v>6</v>
      </c>
      <c r="B2497" s="669"/>
      <c r="C2497" s="1137"/>
      <c r="D2497" s="1137"/>
      <c r="E2497" s="1137"/>
      <c r="F2497" s="1137"/>
      <c r="G2497" s="646"/>
      <c r="H2497" s="669"/>
      <c r="I2497" s="1137"/>
      <c r="J2497" s="646"/>
      <c r="K2497" s="1138"/>
    </row>
    <row r="2498" spans="1:11" x14ac:dyDescent="0.25">
      <c r="A2498" s="1190">
        <v>1</v>
      </c>
      <c r="B2498" s="745"/>
      <c r="C2498" s="1117"/>
      <c r="D2498" s="1117"/>
      <c r="E2498" s="1117"/>
      <c r="F2498" s="1117"/>
      <c r="G2498" s="632"/>
      <c r="H2498" s="745"/>
      <c r="I2498" s="1117"/>
      <c r="J2498" s="632"/>
      <c r="K2498" s="1118"/>
    </row>
    <row r="2499" spans="1:11" x14ac:dyDescent="0.25">
      <c r="A2499" s="718">
        <v>2</v>
      </c>
      <c r="B2499" s="668"/>
      <c r="C2499" s="721"/>
      <c r="D2499" s="721"/>
      <c r="E2499" s="721"/>
      <c r="F2499" s="721"/>
      <c r="G2499" s="639"/>
      <c r="H2499" s="668"/>
      <c r="I2499" s="721"/>
      <c r="J2499" s="639"/>
      <c r="K2499" s="1124"/>
    </row>
    <row r="2500" spans="1:11" ht="13.8" thickBot="1" x14ac:dyDescent="0.3">
      <c r="A2500" s="719">
        <v>3</v>
      </c>
      <c r="B2500" s="669"/>
      <c r="C2500" s="1137"/>
      <c r="D2500" s="1137"/>
      <c r="E2500" s="1137"/>
      <c r="F2500" s="1137"/>
      <c r="G2500" s="646"/>
      <c r="H2500" s="669"/>
      <c r="I2500" s="1137"/>
      <c r="J2500" s="646"/>
      <c r="K2500" s="1138"/>
    </row>
    <row r="2501" spans="1:11" ht="13.8" thickBot="1" x14ac:dyDescent="0.3">
      <c r="A2501" s="1186" t="s">
        <v>736</v>
      </c>
      <c r="B2501" s="1187"/>
      <c r="C2501" s="1188"/>
      <c r="D2501" s="1188"/>
      <c r="E2501" s="1188"/>
      <c r="F2501" s="1188"/>
      <c r="G2501" s="1189"/>
      <c r="H2501" s="1187"/>
      <c r="I2501" s="1188"/>
      <c r="J2501" s="1189"/>
      <c r="K2501" s="716"/>
    </row>
    <row r="2502" spans="1:11" x14ac:dyDescent="0.25">
      <c r="A2502" s="1190">
        <v>1</v>
      </c>
      <c r="B2502" s="745"/>
      <c r="C2502" s="1117"/>
      <c r="D2502" s="1117"/>
      <c r="E2502" s="1117"/>
      <c r="F2502" s="1117"/>
      <c r="G2502" s="632"/>
      <c r="H2502" s="745"/>
      <c r="I2502" s="1117"/>
      <c r="J2502" s="632"/>
      <c r="K2502" s="1118"/>
    </row>
    <row r="2503" spans="1:11" x14ac:dyDescent="0.25">
      <c r="A2503" s="718">
        <v>2</v>
      </c>
      <c r="B2503" s="668"/>
      <c r="C2503" s="721"/>
      <c r="D2503" s="721"/>
      <c r="E2503" s="721"/>
      <c r="F2503" s="721"/>
      <c r="G2503" s="639"/>
      <c r="H2503" s="668"/>
      <c r="I2503" s="721"/>
      <c r="J2503" s="639"/>
      <c r="K2503" s="1124"/>
    </row>
    <row r="2504" spans="1:11" x14ac:dyDescent="0.25">
      <c r="A2504" s="718">
        <v>3</v>
      </c>
      <c r="B2504" s="668"/>
      <c r="C2504" s="721"/>
      <c r="D2504" s="721"/>
      <c r="E2504" s="721"/>
      <c r="F2504" s="721"/>
      <c r="G2504" s="639"/>
      <c r="H2504" s="668"/>
      <c r="I2504" s="721"/>
      <c r="J2504" s="639"/>
      <c r="K2504" s="1124"/>
    </row>
    <row r="2505" spans="1:11" x14ac:dyDescent="0.25">
      <c r="A2505" s="718">
        <v>4</v>
      </c>
      <c r="B2505" s="668"/>
      <c r="C2505" s="721"/>
      <c r="D2505" s="721"/>
      <c r="E2505" s="721"/>
      <c r="F2505" s="721"/>
      <c r="G2505" s="639"/>
      <c r="H2505" s="668"/>
      <c r="I2505" s="721"/>
      <c r="J2505" s="639"/>
      <c r="K2505" s="1124"/>
    </row>
    <row r="2506" spans="1:11" x14ac:dyDescent="0.25">
      <c r="A2506" s="718">
        <v>5</v>
      </c>
      <c r="B2506" s="668"/>
      <c r="C2506" s="721"/>
      <c r="D2506" s="721"/>
      <c r="E2506" s="721"/>
      <c r="F2506" s="721"/>
      <c r="G2506" s="639"/>
      <c r="H2506" s="668"/>
      <c r="I2506" s="721"/>
      <c r="J2506" s="639"/>
      <c r="K2506" s="1124"/>
    </row>
    <row r="2507" spans="1:11" ht="13.8" thickBot="1" x14ac:dyDescent="0.3">
      <c r="A2507" s="719">
        <v>6</v>
      </c>
      <c r="B2507" s="669"/>
      <c r="C2507" s="1137"/>
      <c r="D2507" s="1137"/>
      <c r="E2507" s="1137"/>
      <c r="F2507" s="1137"/>
      <c r="G2507" s="646"/>
      <c r="H2507" s="669"/>
      <c r="I2507" s="1137"/>
      <c r="J2507" s="646"/>
      <c r="K2507" s="1138"/>
    </row>
    <row r="2508" spans="1:11" x14ac:dyDescent="0.25">
      <c r="A2508" s="1190">
        <v>1</v>
      </c>
      <c r="B2508" s="745"/>
      <c r="C2508" s="1117"/>
      <c r="D2508" s="1117"/>
      <c r="E2508" s="1117"/>
      <c r="F2508" s="1117"/>
      <c r="G2508" s="632"/>
      <c r="H2508" s="745"/>
      <c r="I2508" s="1117"/>
      <c r="J2508" s="632"/>
      <c r="K2508" s="1118"/>
    </row>
    <row r="2509" spans="1:11" x14ac:dyDescent="0.25">
      <c r="A2509" s="718">
        <v>2</v>
      </c>
      <c r="B2509" s="668"/>
      <c r="C2509" s="721"/>
      <c r="D2509" s="721"/>
      <c r="E2509" s="721"/>
      <c r="F2509" s="721"/>
      <c r="G2509" s="639"/>
      <c r="H2509" s="668"/>
      <c r="I2509" s="721"/>
      <c r="J2509" s="639"/>
      <c r="K2509" s="1124"/>
    </row>
    <row r="2510" spans="1:11" ht="13.8" thickBot="1" x14ac:dyDescent="0.3">
      <c r="A2510" s="719">
        <v>3</v>
      </c>
      <c r="B2510" s="669"/>
      <c r="C2510" s="1137"/>
      <c r="D2510" s="1137"/>
      <c r="E2510" s="1137"/>
      <c r="F2510" s="1137"/>
      <c r="G2510" s="646"/>
      <c r="H2510" s="669"/>
      <c r="I2510" s="1137"/>
      <c r="J2510" s="646"/>
      <c r="K2510" s="1138"/>
    </row>
    <row r="2511" spans="1:11" ht="13.8" thickBot="1" x14ac:dyDescent="0.3">
      <c r="A2511" s="1186" t="s">
        <v>737</v>
      </c>
      <c r="B2511" s="1187"/>
      <c r="C2511" s="1188"/>
      <c r="D2511" s="1188"/>
      <c r="E2511" s="1188"/>
      <c r="F2511" s="1188"/>
      <c r="G2511" s="1189"/>
      <c r="H2511" s="1187"/>
      <c r="I2511" s="1188"/>
      <c r="J2511" s="1189"/>
      <c r="K2511" s="716"/>
    </row>
    <row r="2512" spans="1:11" x14ac:dyDescent="0.25">
      <c r="A2512" s="1190">
        <v>1</v>
      </c>
      <c r="B2512" s="745"/>
      <c r="C2512" s="1117"/>
      <c r="D2512" s="1117"/>
      <c r="E2512" s="1117"/>
      <c r="F2512" s="1117"/>
      <c r="G2512" s="632"/>
      <c r="H2512" s="745"/>
      <c r="I2512" s="1117"/>
      <c r="J2512" s="632"/>
      <c r="K2512" s="1118"/>
    </row>
    <row r="2513" spans="1:11" x14ac:dyDescent="0.25">
      <c r="A2513" s="718">
        <v>2</v>
      </c>
      <c r="B2513" s="668"/>
      <c r="C2513" s="721"/>
      <c r="D2513" s="721"/>
      <c r="E2513" s="721"/>
      <c r="F2513" s="721"/>
      <c r="G2513" s="639"/>
      <c r="H2513" s="668"/>
      <c r="I2513" s="721"/>
      <c r="J2513" s="639"/>
      <c r="K2513" s="1124"/>
    </row>
    <row r="2514" spans="1:11" x14ac:dyDescent="0.25">
      <c r="A2514" s="718">
        <v>3</v>
      </c>
      <c r="B2514" s="668"/>
      <c r="C2514" s="721"/>
      <c r="D2514" s="721"/>
      <c r="E2514" s="721"/>
      <c r="F2514" s="721"/>
      <c r="G2514" s="639"/>
      <c r="H2514" s="668"/>
      <c r="I2514" s="721"/>
      <c r="J2514" s="639"/>
      <c r="K2514" s="1124"/>
    </row>
    <row r="2515" spans="1:11" x14ac:dyDescent="0.25">
      <c r="A2515" s="718">
        <v>4</v>
      </c>
      <c r="B2515" s="668"/>
      <c r="C2515" s="721"/>
      <c r="D2515" s="721"/>
      <c r="E2515" s="721"/>
      <c r="F2515" s="721"/>
      <c r="G2515" s="639"/>
      <c r="H2515" s="668"/>
      <c r="I2515" s="721"/>
      <c r="J2515" s="639"/>
      <c r="K2515" s="1124"/>
    </row>
    <row r="2516" spans="1:11" x14ac:dyDescent="0.25">
      <c r="A2516" s="718">
        <v>5</v>
      </c>
      <c r="B2516" s="668"/>
      <c r="C2516" s="721"/>
      <c r="D2516" s="721"/>
      <c r="E2516" s="721"/>
      <c r="F2516" s="721"/>
      <c r="G2516" s="639"/>
      <c r="H2516" s="668"/>
      <c r="I2516" s="721"/>
      <c r="J2516" s="639"/>
      <c r="K2516" s="1124"/>
    </row>
    <row r="2517" spans="1:11" ht="13.8" thickBot="1" x14ac:dyDescent="0.3">
      <c r="A2517" s="719">
        <v>6</v>
      </c>
      <c r="B2517" s="669"/>
      <c r="C2517" s="1137"/>
      <c r="D2517" s="1137"/>
      <c r="E2517" s="1137"/>
      <c r="F2517" s="1137"/>
      <c r="G2517" s="646"/>
      <c r="H2517" s="669"/>
      <c r="I2517" s="1137"/>
      <c r="J2517" s="646"/>
      <c r="K2517" s="1138"/>
    </row>
    <row r="2518" spans="1:11" x14ac:dyDescent="0.25">
      <c r="A2518" s="1190">
        <v>1</v>
      </c>
      <c r="B2518" s="745"/>
      <c r="C2518" s="1117"/>
      <c r="D2518" s="1117"/>
      <c r="E2518" s="1117"/>
      <c r="F2518" s="1117"/>
      <c r="G2518" s="632"/>
      <c r="H2518" s="745"/>
      <c r="I2518" s="1117"/>
      <c r="J2518" s="632"/>
      <c r="K2518" s="1118"/>
    </row>
    <row r="2519" spans="1:11" x14ac:dyDescent="0.25">
      <c r="A2519" s="718">
        <v>2</v>
      </c>
      <c r="B2519" s="668"/>
      <c r="C2519" s="721"/>
      <c r="D2519" s="721"/>
      <c r="E2519" s="721"/>
      <c r="F2519" s="721"/>
      <c r="G2519" s="639"/>
      <c r="H2519" s="668"/>
      <c r="I2519" s="721"/>
      <c r="J2519" s="639"/>
      <c r="K2519" s="1124"/>
    </row>
    <row r="2520" spans="1:11" ht="13.8" thickBot="1" x14ac:dyDescent="0.3">
      <c r="A2520" s="1191">
        <v>3</v>
      </c>
      <c r="B2520" s="1132"/>
      <c r="C2520" s="1133"/>
      <c r="D2520" s="1133"/>
      <c r="E2520" s="1133"/>
      <c r="F2520" s="1133"/>
      <c r="G2520" s="1134"/>
      <c r="H2520" s="1132"/>
      <c r="I2520" s="1133"/>
      <c r="J2520" s="1134"/>
      <c r="K2520" s="1147"/>
    </row>
    <row r="2521" spans="1:11" ht="13.8" thickBot="1" x14ac:dyDescent="0.3">
      <c r="A2521" s="1186" t="s">
        <v>738</v>
      </c>
      <c r="B2521" s="1187"/>
      <c r="C2521" s="1188"/>
      <c r="D2521" s="1188"/>
      <c r="E2521" s="1188"/>
      <c r="F2521" s="1188"/>
      <c r="G2521" s="1189"/>
      <c r="H2521" s="1187"/>
      <c r="I2521" s="1188"/>
      <c r="J2521" s="1189"/>
      <c r="K2521" s="716"/>
    </row>
    <row r="2522" spans="1:11" x14ac:dyDescent="0.25">
      <c r="A2522" s="1190">
        <v>1</v>
      </c>
      <c r="B2522" s="745"/>
      <c r="C2522" s="1117"/>
      <c r="D2522" s="1117"/>
      <c r="E2522" s="1117"/>
      <c r="F2522" s="1117"/>
      <c r="G2522" s="632"/>
      <c r="H2522" s="745"/>
      <c r="I2522" s="1117"/>
      <c r="J2522" s="632"/>
      <c r="K2522" s="1118"/>
    </row>
    <row r="2523" spans="1:11" x14ac:dyDescent="0.25">
      <c r="A2523" s="718">
        <v>2</v>
      </c>
      <c r="B2523" s="668"/>
      <c r="C2523" s="721"/>
      <c r="D2523" s="721"/>
      <c r="E2523" s="721"/>
      <c r="F2523" s="721"/>
      <c r="G2523" s="639"/>
      <c r="H2523" s="668"/>
      <c r="I2523" s="721"/>
      <c r="J2523" s="639"/>
      <c r="K2523" s="1124"/>
    </row>
    <row r="2524" spans="1:11" x14ac:dyDescent="0.25">
      <c r="A2524" s="718">
        <v>3</v>
      </c>
      <c r="B2524" s="668"/>
      <c r="C2524" s="721"/>
      <c r="D2524" s="721"/>
      <c r="E2524" s="721"/>
      <c r="F2524" s="721"/>
      <c r="G2524" s="639"/>
      <c r="H2524" s="668"/>
      <c r="I2524" s="721"/>
      <c r="J2524" s="639"/>
      <c r="K2524" s="1124"/>
    </row>
    <row r="2525" spans="1:11" x14ac:dyDescent="0.25">
      <c r="A2525" s="718">
        <v>4</v>
      </c>
      <c r="B2525" s="668"/>
      <c r="C2525" s="721"/>
      <c r="D2525" s="721"/>
      <c r="E2525" s="721"/>
      <c r="F2525" s="721"/>
      <c r="G2525" s="639"/>
      <c r="H2525" s="668"/>
      <c r="I2525" s="721"/>
      <c r="J2525" s="639"/>
      <c r="K2525" s="1124"/>
    </row>
    <row r="2526" spans="1:11" x14ac:dyDescent="0.25">
      <c r="A2526" s="718">
        <v>5</v>
      </c>
      <c r="B2526" s="668"/>
      <c r="C2526" s="721"/>
      <c r="D2526" s="721"/>
      <c r="E2526" s="721"/>
      <c r="F2526" s="721"/>
      <c r="G2526" s="639"/>
      <c r="H2526" s="668"/>
      <c r="I2526" s="721"/>
      <c r="J2526" s="639"/>
      <c r="K2526" s="1124"/>
    </row>
    <row r="2527" spans="1:11" ht="13.8" thickBot="1" x14ac:dyDescent="0.3">
      <c r="A2527" s="719">
        <v>6</v>
      </c>
      <c r="B2527" s="669"/>
      <c r="C2527" s="1137"/>
      <c r="D2527" s="1137"/>
      <c r="E2527" s="1137"/>
      <c r="F2527" s="1137"/>
      <c r="G2527" s="646"/>
      <c r="H2527" s="669"/>
      <c r="I2527" s="1137"/>
      <c r="J2527" s="646"/>
      <c r="K2527" s="1138"/>
    </row>
    <row r="2528" spans="1:11" x14ac:dyDescent="0.25">
      <c r="A2528" s="1190">
        <v>1</v>
      </c>
      <c r="B2528" s="745"/>
      <c r="C2528" s="1117"/>
      <c r="D2528" s="1117"/>
      <c r="E2528" s="1117"/>
      <c r="F2528" s="1117"/>
      <c r="G2528" s="632"/>
      <c r="H2528" s="745"/>
      <c r="I2528" s="1117"/>
      <c r="J2528" s="632"/>
      <c r="K2528" s="1118"/>
    </row>
    <row r="2529" spans="1:11" x14ac:dyDescent="0.25">
      <c r="A2529" s="718">
        <v>2</v>
      </c>
      <c r="B2529" s="668"/>
      <c r="C2529" s="721"/>
      <c r="D2529" s="721"/>
      <c r="E2529" s="721"/>
      <c r="F2529" s="721"/>
      <c r="G2529" s="639"/>
      <c r="H2529" s="668"/>
      <c r="I2529" s="721"/>
      <c r="J2529" s="639"/>
      <c r="K2529" s="1124"/>
    </row>
    <row r="2530" spans="1:11" ht="13.8" thickBot="1" x14ac:dyDescent="0.3">
      <c r="A2530" s="719">
        <v>3</v>
      </c>
      <c r="B2530" s="669"/>
      <c r="C2530" s="1137"/>
      <c r="D2530" s="1137"/>
      <c r="E2530" s="1137"/>
      <c r="F2530" s="1137"/>
      <c r="G2530" s="646"/>
      <c r="H2530" s="669"/>
      <c r="I2530" s="1137"/>
      <c r="J2530" s="646"/>
      <c r="K2530" s="1138"/>
    </row>
    <row r="2531" spans="1:11" ht="13.8" thickBot="1" x14ac:dyDescent="0.3">
      <c r="A2531" s="1186" t="s">
        <v>739</v>
      </c>
      <c r="B2531" s="1187"/>
      <c r="C2531" s="1188"/>
      <c r="D2531" s="1188"/>
      <c r="E2531" s="1188"/>
      <c r="F2531" s="1188"/>
      <c r="G2531" s="1189"/>
      <c r="H2531" s="1187"/>
      <c r="I2531" s="1188"/>
      <c r="J2531" s="1189"/>
      <c r="K2531" s="716"/>
    </row>
    <row r="2532" spans="1:11" x14ac:dyDescent="0.25">
      <c r="A2532" s="1190">
        <v>1</v>
      </c>
      <c r="B2532" s="745"/>
      <c r="C2532" s="1117"/>
      <c r="D2532" s="1117"/>
      <c r="E2532" s="1117"/>
      <c r="F2532" s="1117"/>
      <c r="G2532" s="632"/>
      <c r="H2532" s="745"/>
      <c r="I2532" s="1117"/>
      <c r="J2532" s="632"/>
      <c r="K2532" s="1118"/>
    </row>
    <row r="2533" spans="1:11" x14ac:dyDescent="0.25">
      <c r="A2533" s="718">
        <v>2</v>
      </c>
      <c r="B2533" s="668"/>
      <c r="C2533" s="721"/>
      <c r="D2533" s="721"/>
      <c r="E2533" s="721"/>
      <c r="F2533" s="721"/>
      <c r="G2533" s="639"/>
      <c r="H2533" s="668"/>
      <c r="I2533" s="721"/>
      <c r="J2533" s="639"/>
      <c r="K2533" s="1124"/>
    </row>
    <row r="2534" spans="1:11" x14ac:dyDescent="0.25">
      <c r="A2534" s="718">
        <v>3</v>
      </c>
      <c r="B2534" s="668"/>
      <c r="C2534" s="721"/>
      <c r="D2534" s="721"/>
      <c r="E2534" s="721"/>
      <c r="F2534" s="721"/>
      <c r="G2534" s="639"/>
      <c r="H2534" s="668"/>
      <c r="I2534" s="721"/>
      <c r="J2534" s="639"/>
      <c r="K2534" s="1124"/>
    </row>
    <row r="2535" spans="1:11" x14ac:dyDescent="0.25">
      <c r="A2535" s="718">
        <v>4</v>
      </c>
      <c r="B2535" s="668"/>
      <c r="C2535" s="721"/>
      <c r="D2535" s="721"/>
      <c r="E2535" s="721"/>
      <c r="F2535" s="721"/>
      <c r="G2535" s="639"/>
      <c r="H2535" s="668"/>
      <c r="I2535" s="721"/>
      <c r="J2535" s="639"/>
      <c r="K2535" s="1124"/>
    </row>
    <row r="2536" spans="1:11" x14ac:dyDescent="0.25">
      <c r="A2536" s="718">
        <v>5</v>
      </c>
      <c r="B2536" s="668"/>
      <c r="C2536" s="721"/>
      <c r="D2536" s="721"/>
      <c r="E2536" s="721"/>
      <c r="F2536" s="721"/>
      <c r="G2536" s="639"/>
      <c r="H2536" s="668"/>
      <c r="I2536" s="721"/>
      <c r="J2536" s="639"/>
      <c r="K2536" s="1124"/>
    </row>
    <row r="2537" spans="1:11" ht="13.8" thickBot="1" x14ac:dyDescent="0.3">
      <c r="A2537" s="719">
        <v>6</v>
      </c>
      <c r="B2537" s="669"/>
      <c r="C2537" s="1137"/>
      <c r="D2537" s="1137"/>
      <c r="E2537" s="1137"/>
      <c r="F2537" s="1137"/>
      <c r="G2537" s="646"/>
      <c r="H2537" s="669"/>
      <c r="I2537" s="1137"/>
      <c r="J2537" s="646"/>
      <c r="K2537" s="1138"/>
    </row>
    <row r="2538" spans="1:11" x14ac:dyDescent="0.25">
      <c r="A2538" s="1190">
        <v>1</v>
      </c>
      <c r="B2538" s="745"/>
      <c r="C2538" s="1117"/>
      <c r="D2538" s="1117"/>
      <c r="E2538" s="1117"/>
      <c r="F2538" s="1117"/>
      <c r="G2538" s="632"/>
      <c r="H2538" s="745"/>
      <c r="I2538" s="1117"/>
      <c r="J2538" s="632"/>
      <c r="K2538" s="1118"/>
    </row>
    <row r="2539" spans="1:11" x14ac:dyDescent="0.25">
      <c r="A2539" s="718">
        <v>2</v>
      </c>
      <c r="B2539" s="668"/>
      <c r="C2539" s="721"/>
      <c r="D2539" s="721"/>
      <c r="E2539" s="721"/>
      <c r="F2539" s="721"/>
      <c r="G2539" s="639"/>
      <c r="H2539" s="668"/>
      <c r="I2539" s="721"/>
      <c r="J2539" s="639"/>
      <c r="K2539" s="1124"/>
    </row>
    <row r="2540" spans="1:11" ht="13.8" thickBot="1" x14ac:dyDescent="0.3">
      <c r="A2540" s="719">
        <v>3</v>
      </c>
      <c r="B2540" s="669"/>
      <c r="C2540" s="1137"/>
      <c r="D2540" s="1137"/>
      <c r="E2540" s="1137"/>
      <c r="F2540" s="1137"/>
      <c r="G2540" s="646"/>
      <c r="H2540" s="669"/>
      <c r="I2540" s="1137"/>
      <c r="J2540" s="646"/>
      <c r="K2540" s="1138"/>
    </row>
    <row r="2541" spans="1:11" ht="13.8" thickBot="1" x14ac:dyDescent="0.3">
      <c r="A2541" s="1186" t="s">
        <v>740</v>
      </c>
      <c r="B2541" s="1187"/>
      <c r="C2541" s="1188"/>
      <c r="D2541" s="1188"/>
      <c r="E2541" s="1188"/>
      <c r="F2541" s="1188"/>
      <c r="G2541" s="1189"/>
      <c r="H2541" s="1187"/>
      <c r="I2541" s="1188"/>
      <c r="J2541" s="1189"/>
      <c r="K2541" s="716"/>
    </row>
    <row r="2542" spans="1:11" x14ac:dyDescent="0.25">
      <c r="A2542" s="1190">
        <v>1</v>
      </c>
      <c r="B2542" s="745"/>
      <c r="C2542" s="1117"/>
      <c r="D2542" s="1117"/>
      <c r="E2542" s="1117"/>
      <c r="F2542" s="1117"/>
      <c r="G2542" s="632"/>
      <c r="H2542" s="745"/>
      <c r="I2542" s="1117"/>
      <c r="J2542" s="632"/>
      <c r="K2542" s="1118"/>
    </row>
    <row r="2543" spans="1:11" x14ac:dyDescent="0.25">
      <c r="A2543" s="718">
        <v>2</v>
      </c>
      <c r="B2543" s="668"/>
      <c r="C2543" s="721"/>
      <c r="D2543" s="721"/>
      <c r="E2543" s="721"/>
      <c r="F2543" s="721"/>
      <c r="G2543" s="639"/>
      <c r="H2543" s="668"/>
      <c r="I2543" s="721"/>
      <c r="J2543" s="639"/>
      <c r="K2543" s="1124"/>
    </row>
    <row r="2544" spans="1:11" x14ac:dyDescent="0.25">
      <c r="A2544" s="718">
        <v>3</v>
      </c>
      <c r="B2544" s="668"/>
      <c r="C2544" s="721"/>
      <c r="D2544" s="721"/>
      <c r="E2544" s="721"/>
      <c r="F2544" s="721"/>
      <c r="G2544" s="639"/>
      <c r="H2544" s="668"/>
      <c r="I2544" s="721"/>
      <c r="J2544" s="639"/>
      <c r="K2544" s="1124"/>
    </row>
    <row r="2545" spans="1:11" x14ac:dyDescent="0.25">
      <c r="A2545" s="718">
        <v>4</v>
      </c>
      <c r="B2545" s="668"/>
      <c r="C2545" s="721"/>
      <c r="D2545" s="721"/>
      <c r="E2545" s="721"/>
      <c r="F2545" s="721"/>
      <c r="G2545" s="639"/>
      <c r="H2545" s="668"/>
      <c r="I2545" s="721"/>
      <c r="J2545" s="639"/>
      <c r="K2545" s="1124"/>
    </row>
    <row r="2546" spans="1:11" x14ac:dyDescent="0.25">
      <c r="A2546" s="718">
        <v>5</v>
      </c>
      <c r="B2546" s="668"/>
      <c r="C2546" s="721"/>
      <c r="D2546" s="721"/>
      <c r="E2546" s="721"/>
      <c r="F2546" s="721"/>
      <c r="G2546" s="639"/>
      <c r="H2546" s="668"/>
      <c r="I2546" s="721"/>
      <c r="J2546" s="639"/>
      <c r="K2546" s="1124"/>
    </row>
    <row r="2547" spans="1:11" ht="13.8" thickBot="1" x14ac:dyDescent="0.3">
      <c r="A2547" s="719">
        <v>6</v>
      </c>
      <c r="B2547" s="669"/>
      <c r="C2547" s="1137"/>
      <c r="D2547" s="1137"/>
      <c r="E2547" s="1137"/>
      <c r="F2547" s="1137"/>
      <c r="G2547" s="646"/>
      <c r="H2547" s="669"/>
      <c r="I2547" s="1137"/>
      <c r="J2547" s="646"/>
      <c r="K2547" s="1138"/>
    </row>
    <row r="2548" spans="1:11" x14ac:dyDescent="0.25">
      <c r="A2548" s="1190">
        <v>1</v>
      </c>
      <c r="B2548" s="745"/>
      <c r="C2548" s="1117"/>
      <c r="D2548" s="1117"/>
      <c r="E2548" s="1117"/>
      <c r="F2548" s="1117"/>
      <c r="G2548" s="632"/>
      <c r="H2548" s="745"/>
      <c r="I2548" s="1117"/>
      <c r="J2548" s="632"/>
      <c r="K2548" s="1118"/>
    </row>
    <row r="2549" spans="1:11" x14ac:dyDescent="0.25">
      <c r="A2549" s="718">
        <v>2</v>
      </c>
      <c r="B2549" s="668"/>
      <c r="C2549" s="721"/>
      <c r="D2549" s="721"/>
      <c r="E2549" s="721"/>
      <c r="F2549" s="721"/>
      <c r="G2549" s="639"/>
      <c r="H2549" s="668"/>
      <c r="I2549" s="721"/>
      <c r="J2549" s="639"/>
      <c r="K2549" s="1124"/>
    </row>
    <row r="2550" spans="1:11" ht="13.8" thickBot="1" x14ac:dyDescent="0.3">
      <c r="A2550" s="719">
        <v>3</v>
      </c>
      <c r="B2550" s="669"/>
      <c r="C2550" s="1137"/>
      <c r="D2550" s="1137"/>
      <c r="E2550" s="1137"/>
      <c r="F2550" s="1137"/>
      <c r="G2550" s="646"/>
      <c r="H2550" s="669"/>
      <c r="I2550" s="1137"/>
      <c r="J2550" s="646"/>
      <c r="K2550" s="1138"/>
    </row>
    <row r="2551" spans="1:11" ht="13.8" thickBot="1" x14ac:dyDescent="0.3">
      <c r="A2551" s="1186" t="s">
        <v>741</v>
      </c>
      <c r="B2551" s="1187"/>
      <c r="C2551" s="1188"/>
      <c r="D2551" s="1188"/>
      <c r="E2551" s="1188"/>
      <c r="F2551" s="1188"/>
      <c r="G2551" s="1189"/>
      <c r="H2551" s="1187"/>
      <c r="I2551" s="1188"/>
      <c r="J2551" s="1189"/>
      <c r="K2551" s="716"/>
    </row>
    <row r="2552" spans="1:11" x14ac:dyDescent="0.25">
      <c r="A2552" s="1190">
        <v>1</v>
      </c>
      <c r="B2552" s="745"/>
      <c r="C2552" s="1117"/>
      <c r="D2552" s="1117"/>
      <c r="E2552" s="1117"/>
      <c r="F2552" s="1117"/>
      <c r="G2552" s="632"/>
      <c r="H2552" s="745"/>
      <c r="I2552" s="1117"/>
      <c r="J2552" s="632"/>
      <c r="K2552" s="1118"/>
    </row>
    <row r="2553" spans="1:11" x14ac:dyDescent="0.25">
      <c r="A2553" s="718">
        <v>2</v>
      </c>
      <c r="B2553" s="668"/>
      <c r="C2553" s="721"/>
      <c r="D2553" s="721"/>
      <c r="E2553" s="721"/>
      <c r="F2553" s="721"/>
      <c r="G2553" s="639"/>
      <c r="H2553" s="668"/>
      <c r="I2553" s="721"/>
      <c r="J2553" s="639"/>
      <c r="K2553" s="1124"/>
    </row>
    <row r="2554" spans="1:11" x14ac:dyDescent="0.25">
      <c r="A2554" s="718">
        <v>3</v>
      </c>
      <c r="B2554" s="668"/>
      <c r="C2554" s="721"/>
      <c r="D2554" s="721"/>
      <c r="E2554" s="721"/>
      <c r="F2554" s="721"/>
      <c r="G2554" s="639"/>
      <c r="H2554" s="668"/>
      <c r="I2554" s="721"/>
      <c r="J2554" s="639"/>
      <c r="K2554" s="1124"/>
    </row>
    <row r="2555" spans="1:11" x14ac:dyDescent="0.25">
      <c r="A2555" s="718">
        <v>4</v>
      </c>
      <c r="B2555" s="668"/>
      <c r="C2555" s="721"/>
      <c r="D2555" s="721"/>
      <c r="E2555" s="721"/>
      <c r="F2555" s="721"/>
      <c r="G2555" s="639"/>
      <c r="H2555" s="668"/>
      <c r="I2555" s="721"/>
      <c r="J2555" s="639"/>
      <c r="K2555" s="1124"/>
    </row>
    <row r="2556" spans="1:11" x14ac:dyDescent="0.25">
      <c r="A2556" s="718">
        <v>5</v>
      </c>
      <c r="B2556" s="668"/>
      <c r="C2556" s="721"/>
      <c r="D2556" s="721"/>
      <c r="E2556" s="721"/>
      <c r="F2556" s="721"/>
      <c r="G2556" s="639"/>
      <c r="H2556" s="668"/>
      <c r="I2556" s="721"/>
      <c r="J2556" s="639"/>
      <c r="K2556" s="1124"/>
    </row>
    <row r="2557" spans="1:11" ht="13.8" thickBot="1" x14ac:dyDescent="0.3">
      <c r="A2557" s="719">
        <v>6</v>
      </c>
      <c r="B2557" s="669"/>
      <c r="C2557" s="1137"/>
      <c r="D2557" s="1137"/>
      <c r="E2557" s="1137"/>
      <c r="F2557" s="1137"/>
      <c r="G2557" s="646"/>
      <c r="H2557" s="669"/>
      <c r="I2557" s="1137"/>
      <c r="J2557" s="646"/>
      <c r="K2557" s="1138"/>
    </row>
    <row r="2558" spans="1:11" x14ac:dyDescent="0.25">
      <c r="A2558" s="1190">
        <v>1</v>
      </c>
      <c r="B2558" s="745"/>
      <c r="C2558" s="1117"/>
      <c r="D2558" s="1117"/>
      <c r="E2558" s="1117"/>
      <c r="F2558" s="1117"/>
      <c r="G2558" s="632"/>
      <c r="H2558" s="745"/>
      <c r="I2558" s="1117"/>
      <c r="J2558" s="632"/>
      <c r="K2558" s="1118"/>
    </row>
    <row r="2559" spans="1:11" x14ac:dyDescent="0.25">
      <c r="A2559" s="718">
        <v>2</v>
      </c>
      <c r="B2559" s="668"/>
      <c r="C2559" s="721"/>
      <c r="D2559" s="721"/>
      <c r="E2559" s="721"/>
      <c r="F2559" s="721"/>
      <c r="G2559" s="639"/>
      <c r="H2559" s="668"/>
      <c r="I2559" s="721"/>
      <c r="J2559" s="639"/>
      <c r="K2559" s="1124"/>
    </row>
    <row r="2560" spans="1:11" ht="13.8" thickBot="1" x14ac:dyDescent="0.3">
      <c r="A2560" s="1191">
        <v>3</v>
      </c>
      <c r="B2560" s="1132"/>
      <c r="C2560" s="1133"/>
      <c r="D2560" s="1133"/>
      <c r="E2560" s="1133"/>
      <c r="F2560" s="1133"/>
      <c r="G2560" s="1134"/>
      <c r="H2560" s="1132"/>
      <c r="I2560" s="1133"/>
      <c r="J2560" s="1134"/>
      <c r="K2560" s="1147"/>
    </row>
    <row r="2561" spans="1:11" ht="13.8" thickBot="1" x14ac:dyDescent="0.3">
      <c r="A2561" s="1186" t="s">
        <v>742</v>
      </c>
      <c r="B2561" s="1187"/>
      <c r="C2561" s="1188"/>
      <c r="D2561" s="1188"/>
      <c r="E2561" s="1188"/>
      <c r="F2561" s="1188"/>
      <c r="G2561" s="1189"/>
      <c r="H2561" s="1187"/>
      <c r="I2561" s="1188"/>
      <c r="J2561" s="1189"/>
      <c r="K2561" s="716"/>
    </row>
    <row r="2562" spans="1:11" x14ac:dyDescent="0.25">
      <c r="A2562" s="1190">
        <v>1</v>
      </c>
      <c r="B2562" s="745"/>
      <c r="C2562" s="1117"/>
      <c r="D2562" s="1117"/>
      <c r="E2562" s="1117"/>
      <c r="F2562" s="1117"/>
      <c r="G2562" s="632"/>
      <c r="H2562" s="745"/>
      <c r="I2562" s="1117"/>
      <c r="J2562" s="632"/>
      <c r="K2562" s="1118"/>
    </row>
    <row r="2563" spans="1:11" x14ac:dyDescent="0.25">
      <c r="A2563" s="718">
        <v>2</v>
      </c>
      <c r="B2563" s="668"/>
      <c r="C2563" s="721"/>
      <c r="D2563" s="721"/>
      <c r="E2563" s="721"/>
      <c r="F2563" s="721"/>
      <c r="G2563" s="639"/>
      <c r="H2563" s="668"/>
      <c r="I2563" s="721"/>
      <c r="J2563" s="639"/>
      <c r="K2563" s="1124"/>
    </row>
    <row r="2564" spans="1:11" x14ac:dyDescent="0.25">
      <c r="A2564" s="718">
        <v>3</v>
      </c>
      <c r="B2564" s="668"/>
      <c r="C2564" s="721"/>
      <c r="D2564" s="721"/>
      <c r="E2564" s="721"/>
      <c r="F2564" s="721"/>
      <c r="G2564" s="639"/>
      <c r="H2564" s="668"/>
      <c r="I2564" s="721"/>
      <c r="J2564" s="639"/>
      <c r="K2564" s="1124"/>
    </row>
    <row r="2565" spans="1:11" x14ac:dyDescent="0.25">
      <c r="A2565" s="718">
        <v>4</v>
      </c>
      <c r="B2565" s="668"/>
      <c r="C2565" s="721"/>
      <c r="D2565" s="721"/>
      <c r="E2565" s="721"/>
      <c r="F2565" s="721"/>
      <c r="G2565" s="639"/>
      <c r="H2565" s="668"/>
      <c r="I2565" s="721"/>
      <c r="J2565" s="639"/>
      <c r="K2565" s="1124"/>
    </row>
    <row r="2566" spans="1:11" x14ac:dyDescent="0.25">
      <c r="A2566" s="718">
        <v>5</v>
      </c>
      <c r="B2566" s="668"/>
      <c r="C2566" s="721"/>
      <c r="D2566" s="721"/>
      <c r="E2566" s="721"/>
      <c r="F2566" s="721"/>
      <c r="G2566" s="639"/>
      <c r="H2566" s="668"/>
      <c r="I2566" s="721"/>
      <c r="J2566" s="639"/>
      <c r="K2566" s="1124"/>
    </row>
    <row r="2567" spans="1:11" ht="13.8" thickBot="1" x14ac:dyDescent="0.3">
      <c r="A2567" s="719">
        <v>6</v>
      </c>
      <c r="B2567" s="669"/>
      <c r="C2567" s="1137"/>
      <c r="D2567" s="1137"/>
      <c r="E2567" s="1137"/>
      <c r="F2567" s="1137"/>
      <c r="G2567" s="646"/>
      <c r="H2567" s="669"/>
      <c r="I2567" s="1137"/>
      <c r="J2567" s="646"/>
      <c r="K2567" s="1138"/>
    </row>
    <row r="2568" spans="1:11" x14ac:dyDescent="0.25">
      <c r="A2568" s="1190">
        <v>1</v>
      </c>
      <c r="B2568" s="745"/>
      <c r="C2568" s="1117"/>
      <c r="D2568" s="1117"/>
      <c r="E2568" s="1117"/>
      <c r="F2568" s="1117"/>
      <c r="G2568" s="632"/>
      <c r="H2568" s="745"/>
      <c r="I2568" s="1117"/>
      <c r="J2568" s="632"/>
      <c r="K2568" s="1118"/>
    </row>
    <row r="2569" spans="1:11" x14ac:dyDescent="0.25">
      <c r="A2569" s="718">
        <v>2</v>
      </c>
      <c r="B2569" s="668"/>
      <c r="C2569" s="721"/>
      <c r="D2569" s="721"/>
      <c r="E2569" s="721"/>
      <c r="F2569" s="721"/>
      <c r="G2569" s="639"/>
      <c r="H2569" s="668"/>
      <c r="I2569" s="721"/>
      <c r="J2569" s="639"/>
      <c r="K2569" s="1124"/>
    </row>
    <row r="2570" spans="1:11" ht="13.8" thickBot="1" x14ac:dyDescent="0.3">
      <c r="A2570" s="719">
        <v>3</v>
      </c>
      <c r="B2570" s="669"/>
      <c r="C2570" s="1137"/>
      <c r="D2570" s="1137"/>
      <c r="E2570" s="1137"/>
      <c r="F2570" s="1137"/>
      <c r="G2570" s="646"/>
      <c r="H2570" s="669"/>
      <c r="I2570" s="1137"/>
      <c r="J2570" s="646"/>
      <c r="K2570" s="1138"/>
    </row>
    <row r="2571" spans="1:11" ht="13.8" thickBot="1" x14ac:dyDescent="0.3">
      <c r="A2571" s="1186" t="s">
        <v>743</v>
      </c>
      <c r="B2571" s="1187"/>
      <c r="C2571" s="1188"/>
      <c r="D2571" s="1188"/>
      <c r="E2571" s="1188"/>
      <c r="F2571" s="1188"/>
      <c r="G2571" s="1189"/>
      <c r="H2571" s="1187"/>
      <c r="I2571" s="1188"/>
      <c r="J2571" s="1189"/>
      <c r="K2571" s="716"/>
    </row>
    <row r="2572" spans="1:11" x14ac:dyDescent="0.25">
      <c r="A2572" s="1190">
        <v>1</v>
      </c>
      <c r="B2572" s="745"/>
      <c r="C2572" s="1117"/>
      <c r="D2572" s="1117"/>
      <c r="E2572" s="1117"/>
      <c r="F2572" s="1117"/>
      <c r="G2572" s="632"/>
      <c r="H2572" s="745"/>
      <c r="I2572" s="1117"/>
      <c r="J2572" s="632"/>
      <c r="K2572" s="1118"/>
    </row>
    <row r="2573" spans="1:11" x14ac:dyDescent="0.25">
      <c r="A2573" s="718">
        <v>2</v>
      </c>
      <c r="B2573" s="668"/>
      <c r="C2573" s="721"/>
      <c r="D2573" s="721"/>
      <c r="E2573" s="721"/>
      <c r="F2573" s="721"/>
      <c r="G2573" s="639"/>
      <c r="H2573" s="668"/>
      <c r="I2573" s="721"/>
      <c r="J2573" s="639"/>
      <c r="K2573" s="1124"/>
    </row>
    <row r="2574" spans="1:11" x14ac:dyDescent="0.25">
      <c r="A2574" s="718">
        <v>3</v>
      </c>
      <c r="B2574" s="668"/>
      <c r="C2574" s="721"/>
      <c r="D2574" s="721"/>
      <c r="E2574" s="721"/>
      <c r="F2574" s="721"/>
      <c r="G2574" s="639"/>
      <c r="H2574" s="668"/>
      <c r="I2574" s="721"/>
      <c r="J2574" s="639"/>
      <c r="K2574" s="1124"/>
    </row>
    <row r="2575" spans="1:11" x14ac:dyDescent="0.25">
      <c r="A2575" s="718">
        <v>4</v>
      </c>
      <c r="B2575" s="668"/>
      <c r="C2575" s="721"/>
      <c r="D2575" s="721"/>
      <c r="E2575" s="721"/>
      <c r="F2575" s="721"/>
      <c r="G2575" s="639"/>
      <c r="H2575" s="668"/>
      <c r="I2575" s="721"/>
      <c r="J2575" s="639"/>
      <c r="K2575" s="1124"/>
    </row>
    <row r="2576" spans="1:11" x14ac:dyDescent="0.25">
      <c r="A2576" s="718">
        <v>5</v>
      </c>
      <c r="B2576" s="668"/>
      <c r="C2576" s="721"/>
      <c r="D2576" s="721"/>
      <c r="E2576" s="721"/>
      <c r="F2576" s="721"/>
      <c r="G2576" s="639"/>
      <c r="H2576" s="668"/>
      <c r="I2576" s="721"/>
      <c r="J2576" s="639"/>
      <c r="K2576" s="1124"/>
    </row>
    <row r="2577" spans="1:11" ht="13.8" thickBot="1" x14ac:dyDescent="0.3">
      <c r="A2577" s="719">
        <v>6</v>
      </c>
      <c r="B2577" s="669"/>
      <c r="C2577" s="1137"/>
      <c r="D2577" s="1137"/>
      <c r="E2577" s="1137"/>
      <c r="F2577" s="1137"/>
      <c r="G2577" s="646"/>
      <c r="H2577" s="669"/>
      <c r="I2577" s="1137"/>
      <c r="J2577" s="646"/>
      <c r="K2577" s="1138"/>
    </row>
    <row r="2578" spans="1:11" x14ac:dyDescent="0.25">
      <c r="A2578" s="1190">
        <v>1</v>
      </c>
      <c r="B2578" s="745"/>
      <c r="C2578" s="1117"/>
      <c r="D2578" s="1117"/>
      <c r="E2578" s="1117"/>
      <c r="F2578" s="1117"/>
      <c r="G2578" s="632"/>
      <c r="H2578" s="745"/>
      <c r="I2578" s="1117"/>
      <c r="J2578" s="632"/>
      <c r="K2578" s="1118"/>
    </row>
    <row r="2579" spans="1:11" x14ac:dyDescent="0.25">
      <c r="A2579" s="718">
        <v>2</v>
      </c>
      <c r="B2579" s="668"/>
      <c r="C2579" s="721"/>
      <c r="D2579" s="721"/>
      <c r="E2579" s="721"/>
      <c r="F2579" s="721"/>
      <c r="G2579" s="639"/>
      <c r="H2579" s="668"/>
      <c r="I2579" s="721"/>
      <c r="J2579" s="639"/>
      <c r="K2579" s="1124"/>
    </row>
    <row r="2580" spans="1:11" ht="13.8" thickBot="1" x14ac:dyDescent="0.3">
      <c r="A2580" s="719">
        <v>3</v>
      </c>
      <c r="B2580" s="669"/>
      <c r="C2580" s="1137"/>
      <c r="D2580" s="1137"/>
      <c r="E2580" s="1137"/>
      <c r="F2580" s="1137"/>
      <c r="G2580" s="646"/>
      <c r="H2580" s="669"/>
      <c r="I2580" s="1137"/>
      <c r="J2580" s="646"/>
      <c r="K2580" s="1138"/>
    </row>
    <row r="2581" spans="1:11" ht="13.8" thickBot="1" x14ac:dyDescent="0.3">
      <c r="A2581" s="1186" t="s">
        <v>744</v>
      </c>
      <c r="B2581" s="1187"/>
      <c r="C2581" s="1188"/>
      <c r="D2581" s="1188"/>
      <c r="E2581" s="1188"/>
      <c r="F2581" s="1188"/>
      <c r="G2581" s="1189"/>
      <c r="H2581" s="1187"/>
      <c r="I2581" s="1188"/>
      <c r="J2581" s="1189"/>
      <c r="K2581" s="716"/>
    </row>
    <row r="2582" spans="1:11" x14ac:dyDescent="0.25">
      <c r="A2582" s="1190">
        <v>1</v>
      </c>
      <c r="B2582" s="745"/>
      <c r="C2582" s="1117"/>
      <c r="D2582" s="1117"/>
      <c r="E2582" s="1117"/>
      <c r="F2582" s="1117"/>
      <c r="G2582" s="632"/>
      <c r="H2582" s="745"/>
      <c r="I2582" s="1117"/>
      <c r="J2582" s="632"/>
      <c r="K2582" s="1118"/>
    </row>
    <row r="2583" spans="1:11" x14ac:dyDescent="0.25">
      <c r="A2583" s="718">
        <v>2</v>
      </c>
      <c r="B2583" s="668"/>
      <c r="C2583" s="721"/>
      <c r="D2583" s="721"/>
      <c r="E2583" s="721"/>
      <c r="F2583" s="721"/>
      <c r="G2583" s="639"/>
      <c r="H2583" s="668"/>
      <c r="I2583" s="721"/>
      <c r="J2583" s="639"/>
      <c r="K2583" s="1124"/>
    </row>
    <row r="2584" spans="1:11" x14ac:dyDescent="0.25">
      <c r="A2584" s="718">
        <v>3</v>
      </c>
      <c r="B2584" s="668"/>
      <c r="C2584" s="721"/>
      <c r="D2584" s="721"/>
      <c r="E2584" s="721"/>
      <c r="F2584" s="721"/>
      <c r="G2584" s="639"/>
      <c r="H2584" s="668"/>
      <c r="I2584" s="721"/>
      <c r="J2584" s="639"/>
      <c r="K2584" s="1124"/>
    </row>
    <row r="2585" spans="1:11" x14ac:dyDescent="0.25">
      <c r="A2585" s="718">
        <v>4</v>
      </c>
      <c r="B2585" s="668"/>
      <c r="C2585" s="721"/>
      <c r="D2585" s="721"/>
      <c r="E2585" s="721"/>
      <c r="F2585" s="721"/>
      <c r="G2585" s="639"/>
      <c r="H2585" s="668"/>
      <c r="I2585" s="721"/>
      <c r="J2585" s="639"/>
      <c r="K2585" s="1124"/>
    </row>
    <row r="2586" spans="1:11" x14ac:dyDescent="0.25">
      <c r="A2586" s="718">
        <v>5</v>
      </c>
      <c r="B2586" s="668"/>
      <c r="C2586" s="721"/>
      <c r="D2586" s="721"/>
      <c r="E2586" s="721"/>
      <c r="F2586" s="721"/>
      <c r="G2586" s="639"/>
      <c r="H2586" s="668"/>
      <c r="I2586" s="721"/>
      <c r="J2586" s="639"/>
      <c r="K2586" s="1124"/>
    </row>
    <row r="2587" spans="1:11" ht="13.8" thickBot="1" x14ac:dyDescent="0.3">
      <c r="A2587" s="719">
        <v>6</v>
      </c>
      <c r="B2587" s="669"/>
      <c r="C2587" s="1137"/>
      <c r="D2587" s="1137"/>
      <c r="E2587" s="1137"/>
      <c r="F2587" s="1137"/>
      <c r="G2587" s="646"/>
      <c r="H2587" s="669"/>
      <c r="I2587" s="1137"/>
      <c r="J2587" s="646"/>
      <c r="K2587" s="1138"/>
    </row>
    <row r="2588" spans="1:11" x14ac:dyDescent="0.25">
      <c r="A2588" s="1190">
        <v>1</v>
      </c>
      <c r="B2588" s="745"/>
      <c r="C2588" s="1117"/>
      <c r="D2588" s="1117"/>
      <c r="E2588" s="1117"/>
      <c r="F2588" s="1117"/>
      <c r="G2588" s="632"/>
      <c r="H2588" s="745"/>
      <c r="I2588" s="1117"/>
      <c r="J2588" s="632"/>
      <c r="K2588" s="1118"/>
    </row>
    <row r="2589" spans="1:11" x14ac:dyDescent="0.25">
      <c r="A2589" s="718">
        <v>2</v>
      </c>
      <c r="B2589" s="668"/>
      <c r="C2589" s="721"/>
      <c r="D2589" s="721"/>
      <c r="E2589" s="721"/>
      <c r="F2589" s="721"/>
      <c r="G2589" s="639"/>
      <c r="H2589" s="668"/>
      <c r="I2589" s="721"/>
      <c r="J2589" s="639"/>
      <c r="K2589" s="1124"/>
    </row>
    <row r="2590" spans="1:11" ht="13.8" thickBot="1" x14ac:dyDescent="0.3">
      <c r="A2590" s="719">
        <v>3</v>
      </c>
      <c r="B2590" s="669"/>
      <c r="C2590" s="1137"/>
      <c r="D2590" s="1137"/>
      <c r="E2590" s="1137"/>
      <c r="F2590" s="1137"/>
      <c r="G2590" s="646"/>
      <c r="H2590" s="669"/>
      <c r="I2590" s="1137"/>
      <c r="J2590" s="646"/>
      <c r="K2590" s="1138"/>
    </row>
    <row r="2591" spans="1:11" ht="13.8" thickBot="1" x14ac:dyDescent="0.3">
      <c r="A2591" s="1186" t="s">
        <v>745</v>
      </c>
      <c r="B2591" s="1187"/>
      <c r="C2591" s="1188"/>
      <c r="D2591" s="1188"/>
      <c r="E2591" s="1188"/>
      <c r="F2591" s="1188"/>
      <c r="G2591" s="1189"/>
      <c r="H2591" s="1187"/>
      <c r="I2591" s="1188"/>
      <c r="J2591" s="1189"/>
      <c r="K2591" s="716"/>
    </row>
    <row r="2592" spans="1:11" x14ac:dyDescent="0.25">
      <c r="A2592" s="1190">
        <v>1</v>
      </c>
      <c r="B2592" s="745"/>
      <c r="C2592" s="1117"/>
      <c r="D2592" s="1117"/>
      <c r="E2592" s="1117"/>
      <c r="F2592" s="1117"/>
      <c r="G2592" s="632"/>
      <c r="H2592" s="745"/>
      <c r="I2592" s="1117"/>
      <c r="J2592" s="632"/>
      <c r="K2592" s="1118"/>
    </row>
    <row r="2593" spans="1:11" x14ac:dyDescent="0.25">
      <c r="A2593" s="718">
        <v>2</v>
      </c>
      <c r="B2593" s="668"/>
      <c r="C2593" s="721"/>
      <c r="D2593" s="721"/>
      <c r="E2593" s="721"/>
      <c r="F2593" s="721"/>
      <c r="G2593" s="639"/>
      <c r="H2593" s="668"/>
      <c r="I2593" s="721"/>
      <c r="J2593" s="639"/>
      <c r="K2593" s="1124"/>
    </row>
    <row r="2594" spans="1:11" x14ac:dyDescent="0.25">
      <c r="A2594" s="718">
        <v>3</v>
      </c>
      <c r="B2594" s="668"/>
      <c r="C2594" s="721"/>
      <c r="D2594" s="721"/>
      <c r="E2594" s="721"/>
      <c r="F2594" s="721"/>
      <c r="G2594" s="639"/>
      <c r="H2594" s="668"/>
      <c r="I2594" s="721"/>
      <c r="J2594" s="639"/>
      <c r="K2594" s="1124"/>
    </row>
    <row r="2595" spans="1:11" x14ac:dyDescent="0.25">
      <c r="A2595" s="718">
        <v>4</v>
      </c>
      <c r="B2595" s="668"/>
      <c r="C2595" s="721"/>
      <c r="D2595" s="721"/>
      <c r="E2595" s="721"/>
      <c r="F2595" s="721"/>
      <c r="G2595" s="639"/>
      <c r="H2595" s="668"/>
      <c r="I2595" s="721"/>
      <c r="J2595" s="639"/>
      <c r="K2595" s="1124"/>
    </row>
    <row r="2596" spans="1:11" x14ac:dyDescent="0.25">
      <c r="A2596" s="718">
        <v>5</v>
      </c>
      <c r="B2596" s="668"/>
      <c r="C2596" s="721"/>
      <c r="D2596" s="721"/>
      <c r="E2596" s="721"/>
      <c r="F2596" s="721"/>
      <c r="G2596" s="639"/>
      <c r="H2596" s="668"/>
      <c r="I2596" s="721"/>
      <c r="J2596" s="639"/>
      <c r="K2596" s="1124"/>
    </row>
    <row r="2597" spans="1:11" ht="13.8" thickBot="1" x14ac:dyDescent="0.3">
      <c r="A2597" s="719">
        <v>6</v>
      </c>
      <c r="B2597" s="669"/>
      <c r="C2597" s="1137"/>
      <c r="D2597" s="1137"/>
      <c r="E2597" s="1137"/>
      <c r="F2597" s="1137"/>
      <c r="G2597" s="646"/>
      <c r="H2597" s="669"/>
      <c r="I2597" s="1137"/>
      <c r="J2597" s="646"/>
      <c r="K2597" s="1138"/>
    </row>
    <row r="2598" spans="1:11" x14ac:dyDescent="0.25">
      <c r="A2598" s="1190">
        <v>1</v>
      </c>
      <c r="B2598" s="745"/>
      <c r="C2598" s="1117"/>
      <c r="D2598" s="1117"/>
      <c r="E2598" s="1117"/>
      <c r="F2598" s="1117"/>
      <c r="G2598" s="632"/>
      <c r="H2598" s="745"/>
      <c r="I2598" s="1117"/>
      <c r="J2598" s="632"/>
      <c r="K2598" s="1118"/>
    </row>
    <row r="2599" spans="1:11" x14ac:dyDescent="0.25">
      <c r="A2599" s="718">
        <v>2</v>
      </c>
      <c r="B2599" s="668"/>
      <c r="C2599" s="721"/>
      <c r="D2599" s="721"/>
      <c r="E2599" s="721"/>
      <c r="F2599" s="721"/>
      <c r="G2599" s="639"/>
      <c r="H2599" s="668"/>
      <c r="I2599" s="721"/>
      <c r="J2599" s="639"/>
      <c r="K2599" s="1124"/>
    </row>
    <row r="2600" spans="1:11" ht="13.8" thickBot="1" x14ac:dyDescent="0.3">
      <c r="A2600" s="1191">
        <v>3</v>
      </c>
      <c r="B2600" s="1132"/>
      <c r="C2600" s="1133"/>
      <c r="D2600" s="1133"/>
      <c r="E2600" s="1133"/>
      <c r="F2600" s="1133"/>
      <c r="G2600" s="1134"/>
      <c r="H2600" s="1132"/>
      <c r="I2600" s="1133"/>
      <c r="J2600" s="1134"/>
      <c r="K2600" s="1147"/>
    </row>
    <row r="2601" spans="1:11" ht="13.8" thickBot="1" x14ac:dyDescent="0.3">
      <c r="A2601" s="1186" t="s">
        <v>746</v>
      </c>
      <c r="B2601" s="1187"/>
      <c r="C2601" s="1188"/>
      <c r="D2601" s="1188"/>
      <c r="E2601" s="1188"/>
      <c r="F2601" s="1188"/>
      <c r="G2601" s="1189"/>
      <c r="H2601" s="1187"/>
      <c r="I2601" s="1188"/>
      <c r="J2601" s="1189"/>
      <c r="K2601" s="716"/>
    </row>
    <row r="2602" spans="1:11" x14ac:dyDescent="0.25">
      <c r="A2602" s="1190">
        <v>1</v>
      </c>
      <c r="B2602" s="745"/>
      <c r="C2602" s="1117"/>
      <c r="D2602" s="1117"/>
      <c r="E2602" s="1117"/>
      <c r="F2602" s="1117"/>
      <c r="G2602" s="632"/>
      <c r="H2602" s="745"/>
      <c r="I2602" s="1117"/>
      <c r="J2602" s="632"/>
      <c r="K2602" s="1118"/>
    </row>
    <row r="2603" spans="1:11" x14ac:dyDescent="0.25">
      <c r="A2603" s="718">
        <v>2</v>
      </c>
      <c r="B2603" s="668"/>
      <c r="C2603" s="721"/>
      <c r="D2603" s="721"/>
      <c r="E2603" s="721"/>
      <c r="F2603" s="721"/>
      <c r="G2603" s="639"/>
      <c r="H2603" s="668"/>
      <c r="I2603" s="721"/>
      <c r="J2603" s="639"/>
      <c r="K2603" s="1124"/>
    </row>
    <row r="2604" spans="1:11" x14ac:dyDescent="0.25">
      <c r="A2604" s="718">
        <v>3</v>
      </c>
      <c r="B2604" s="668"/>
      <c r="C2604" s="721"/>
      <c r="D2604" s="721"/>
      <c r="E2604" s="721"/>
      <c r="F2604" s="721"/>
      <c r="G2604" s="639"/>
      <c r="H2604" s="668"/>
      <c r="I2604" s="721"/>
      <c r="J2604" s="639"/>
      <c r="K2604" s="1124"/>
    </row>
    <row r="2605" spans="1:11" x14ac:dyDescent="0.25">
      <c r="A2605" s="718">
        <v>4</v>
      </c>
      <c r="B2605" s="668"/>
      <c r="C2605" s="721"/>
      <c r="D2605" s="721"/>
      <c r="E2605" s="721"/>
      <c r="F2605" s="721"/>
      <c r="G2605" s="639"/>
      <c r="H2605" s="668"/>
      <c r="I2605" s="721"/>
      <c r="J2605" s="639"/>
      <c r="K2605" s="1124"/>
    </row>
    <row r="2606" spans="1:11" x14ac:dyDescent="0.25">
      <c r="A2606" s="718">
        <v>5</v>
      </c>
      <c r="B2606" s="668"/>
      <c r="C2606" s="721"/>
      <c r="D2606" s="721"/>
      <c r="E2606" s="721"/>
      <c r="F2606" s="721"/>
      <c r="G2606" s="639"/>
      <c r="H2606" s="668"/>
      <c r="I2606" s="721"/>
      <c r="J2606" s="639"/>
      <c r="K2606" s="1124"/>
    </row>
    <row r="2607" spans="1:11" ht="13.8" thickBot="1" x14ac:dyDescent="0.3">
      <c r="A2607" s="719">
        <v>6</v>
      </c>
      <c r="B2607" s="669"/>
      <c r="C2607" s="1137"/>
      <c r="D2607" s="1137"/>
      <c r="E2607" s="1137"/>
      <c r="F2607" s="1137"/>
      <c r="G2607" s="646"/>
      <c r="H2607" s="669"/>
      <c r="I2607" s="1137"/>
      <c r="J2607" s="646"/>
      <c r="K2607" s="1138"/>
    </row>
    <row r="2608" spans="1:11" x14ac:dyDescent="0.25">
      <c r="A2608" s="1190">
        <v>1</v>
      </c>
      <c r="B2608" s="745"/>
      <c r="C2608" s="1117"/>
      <c r="D2608" s="1117"/>
      <c r="E2608" s="1117"/>
      <c r="F2608" s="1117"/>
      <c r="G2608" s="632"/>
      <c r="H2608" s="745"/>
      <c r="I2608" s="1117"/>
      <c r="J2608" s="632"/>
      <c r="K2608" s="1118"/>
    </row>
    <row r="2609" spans="1:11" x14ac:dyDescent="0.25">
      <c r="A2609" s="718">
        <v>2</v>
      </c>
      <c r="B2609" s="668"/>
      <c r="C2609" s="721"/>
      <c r="D2609" s="721"/>
      <c r="E2609" s="721"/>
      <c r="F2609" s="721"/>
      <c r="G2609" s="639"/>
      <c r="H2609" s="668"/>
      <c r="I2609" s="721"/>
      <c r="J2609" s="639"/>
      <c r="K2609" s="1124"/>
    </row>
    <row r="2610" spans="1:11" ht="13.8" thickBot="1" x14ac:dyDescent="0.3">
      <c r="A2610" s="719">
        <v>3</v>
      </c>
      <c r="B2610" s="669"/>
      <c r="C2610" s="1137"/>
      <c r="D2610" s="1137"/>
      <c r="E2610" s="1137"/>
      <c r="F2610" s="1137"/>
      <c r="G2610" s="646"/>
      <c r="H2610" s="669"/>
      <c r="I2610" s="1137"/>
      <c r="J2610" s="646"/>
      <c r="K2610" s="1138"/>
    </row>
    <row r="2611" spans="1:11" ht="13.8" thickBot="1" x14ac:dyDescent="0.3">
      <c r="A2611" s="1186" t="s">
        <v>747</v>
      </c>
      <c r="B2611" s="1187"/>
      <c r="C2611" s="1188"/>
      <c r="D2611" s="1188"/>
      <c r="E2611" s="1188"/>
      <c r="F2611" s="1188"/>
      <c r="G2611" s="1189"/>
      <c r="H2611" s="1187"/>
      <c r="I2611" s="1188"/>
      <c r="J2611" s="1189"/>
      <c r="K2611" s="716"/>
    </row>
    <row r="2612" spans="1:11" x14ac:dyDescent="0.25">
      <c r="A2612" s="1190">
        <v>1</v>
      </c>
      <c r="B2612" s="745"/>
      <c r="C2612" s="1117"/>
      <c r="D2612" s="1117"/>
      <c r="E2612" s="1117"/>
      <c r="F2612" s="1117"/>
      <c r="G2612" s="632"/>
      <c r="H2612" s="745"/>
      <c r="I2612" s="1117"/>
      <c r="J2612" s="632"/>
      <c r="K2612" s="1118"/>
    </row>
    <row r="2613" spans="1:11" x14ac:dyDescent="0.25">
      <c r="A2613" s="718">
        <v>2</v>
      </c>
      <c r="B2613" s="668"/>
      <c r="C2613" s="721"/>
      <c r="D2613" s="721"/>
      <c r="E2613" s="721"/>
      <c r="F2613" s="721"/>
      <c r="G2613" s="639"/>
      <c r="H2613" s="668"/>
      <c r="I2613" s="721"/>
      <c r="J2613" s="639"/>
      <c r="K2613" s="1124"/>
    </row>
    <row r="2614" spans="1:11" x14ac:dyDescent="0.25">
      <c r="A2614" s="718">
        <v>3</v>
      </c>
      <c r="B2614" s="668"/>
      <c r="C2614" s="721"/>
      <c r="D2614" s="721"/>
      <c r="E2614" s="721"/>
      <c r="F2614" s="721"/>
      <c r="G2614" s="639"/>
      <c r="H2614" s="668"/>
      <c r="I2614" s="721"/>
      <c r="J2614" s="639"/>
      <c r="K2614" s="1124"/>
    </row>
    <row r="2615" spans="1:11" x14ac:dyDescent="0.25">
      <c r="A2615" s="718">
        <v>4</v>
      </c>
      <c r="B2615" s="668"/>
      <c r="C2615" s="721"/>
      <c r="D2615" s="721"/>
      <c r="E2615" s="721"/>
      <c r="F2615" s="721"/>
      <c r="G2615" s="639"/>
      <c r="H2615" s="668"/>
      <c r="I2615" s="721"/>
      <c r="J2615" s="639"/>
      <c r="K2615" s="1124"/>
    </row>
    <row r="2616" spans="1:11" x14ac:dyDescent="0.25">
      <c r="A2616" s="718">
        <v>5</v>
      </c>
      <c r="B2616" s="668"/>
      <c r="C2616" s="721"/>
      <c r="D2616" s="721"/>
      <c r="E2616" s="721"/>
      <c r="F2616" s="721"/>
      <c r="G2616" s="639"/>
      <c r="H2616" s="668"/>
      <c r="I2616" s="721"/>
      <c r="J2616" s="639"/>
      <c r="K2616" s="1124"/>
    </row>
    <row r="2617" spans="1:11" ht="13.8" thickBot="1" x14ac:dyDescent="0.3">
      <c r="A2617" s="719">
        <v>6</v>
      </c>
      <c r="B2617" s="669"/>
      <c r="C2617" s="1137"/>
      <c r="D2617" s="1137"/>
      <c r="E2617" s="1137"/>
      <c r="F2617" s="1137"/>
      <c r="G2617" s="646"/>
      <c r="H2617" s="669"/>
      <c r="I2617" s="1137"/>
      <c r="J2617" s="646"/>
      <c r="K2617" s="1138"/>
    </row>
    <row r="2618" spans="1:11" x14ac:dyDescent="0.25">
      <c r="A2618" s="1190">
        <v>1</v>
      </c>
      <c r="B2618" s="745"/>
      <c r="C2618" s="1117"/>
      <c r="D2618" s="1117"/>
      <c r="E2618" s="1117"/>
      <c r="F2618" s="1117"/>
      <c r="G2618" s="632"/>
      <c r="H2618" s="745"/>
      <c r="I2618" s="1117"/>
      <c r="J2618" s="632"/>
      <c r="K2618" s="1118"/>
    </row>
    <row r="2619" spans="1:11" x14ac:dyDescent="0.25">
      <c r="A2619" s="718">
        <v>2</v>
      </c>
      <c r="B2619" s="668"/>
      <c r="C2619" s="721"/>
      <c r="D2619" s="721"/>
      <c r="E2619" s="721"/>
      <c r="F2619" s="721"/>
      <c r="G2619" s="639"/>
      <c r="H2619" s="668"/>
      <c r="I2619" s="721"/>
      <c r="J2619" s="639"/>
      <c r="K2619" s="1124"/>
    </row>
    <row r="2620" spans="1:11" ht="13.8" thickBot="1" x14ac:dyDescent="0.3">
      <c r="A2620" s="719">
        <v>3</v>
      </c>
      <c r="B2620" s="669"/>
      <c r="C2620" s="1137"/>
      <c r="D2620" s="1137"/>
      <c r="E2620" s="1137"/>
      <c r="F2620" s="1137"/>
      <c r="G2620" s="646"/>
      <c r="H2620" s="669"/>
      <c r="I2620" s="1137"/>
      <c r="J2620" s="646"/>
      <c r="K2620" s="1138"/>
    </row>
    <row r="2621" spans="1:11" ht="13.8" thickBot="1" x14ac:dyDescent="0.3">
      <c r="A2621" s="1186" t="s">
        <v>748</v>
      </c>
      <c r="B2621" s="1187"/>
      <c r="C2621" s="1188"/>
      <c r="D2621" s="1188"/>
      <c r="E2621" s="1188"/>
      <c r="F2621" s="1188"/>
      <c r="G2621" s="1189"/>
      <c r="H2621" s="1187"/>
      <c r="I2621" s="1188"/>
      <c r="J2621" s="1189"/>
      <c r="K2621" s="716"/>
    </row>
    <row r="2622" spans="1:11" x14ac:dyDescent="0.25">
      <c r="A2622" s="1190">
        <v>1</v>
      </c>
      <c r="B2622" s="745"/>
      <c r="C2622" s="1117"/>
      <c r="D2622" s="1117"/>
      <c r="E2622" s="1117"/>
      <c r="F2622" s="1117"/>
      <c r="G2622" s="632"/>
      <c r="H2622" s="745"/>
      <c r="I2622" s="1117"/>
      <c r="J2622" s="632"/>
      <c r="K2622" s="1118"/>
    </row>
    <row r="2623" spans="1:11" x14ac:dyDescent="0.25">
      <c r="A2623" s="718">
        <v>2</v>
      </c>
      <c r="B2623" s="668"/>
      <c r="C2623" s="721"/>
      <c r="D2623" s="721"/>
      <c r="E2623" s="721"/>
      <c r="F2623" s="721"/>
      <c r="G2623" s="639"/>
      <c r="H2623" s="668"/>
      <c r="I2623" s="721"/>
      <c r="J2623" s="639"/>
      <c r="K2623" s="1124"/>
    </row>
    <row r="2624" spans="1:11" x14ac:dyDescent="0.25">
      <c r="A2624" s="718">
        <v>3</v>
      </c>
      <c r="B2624" s="668"/>
      <c r="C2624" s="721"/>
      <c r="D2624" s="721"/>
      <c r="E2624" s="721"/>
      <c r="F2624" s="721"/>
      <c r="G2624" s="639"/>
      <c r="H2624" s="668"/>
      <c r="I2624" s="721"/>
      <c r="J2624" s="639"/>
      <c r="K2624" s="1124"/>
    </row>
    <row r="2625" spans="1:11" x14ac:dyDescent="0.25">
      <c r="A2625" s="718">
        <v>4</v>
      </c>
      <c r="B2625" s="668"/>
      <c r="C2625" s="721"/>
      <c r="D2625" s="721"/>
      <c r="E2625" s="721"/>
      <c r="F2625" s="721"/>
      <c r="G2625" s="639"/>
      <c r="H2625" s="668"/>
      <c r="I2625" s="721"/>
      <c r="J2625" s="639"/>
      <c r="K2625" s="1124"/>
    </row>
    <row r="2626" spans="1:11" x14ac:dyDescent="0.25">
      <c r="A2626" s="718">
        <v>5</v>
      </c>
      <c r="B2626" s="668"/>
      <c r="C2626" s="721"/>
      <c r="D2626" s="721"/>
      <c r="E2626" s="721"/>
      <c r="F2626" s="721"/>
      <c r="G2626" s="639"/>
      <c r="H2626" s="668"/>
      <c r="I2626" s="721"/>
      <c r="J2626" s="639"/>
      <c r="K2626" s="1124"/>
    </row>
    <row r="2627" spans="1:11" ht="13.8" thickBot="1" x14ac:dyDescent="0.3">
      <c r="A2627" s="719">
        <v>6</v>
      </c>
      <c r="B2627" s="669"/>
      <c r="C2627" s="1137"/>
      <c r="D2627" s="1137"/>
      <c r="E2627" s="1137"/>
      <c r="F2627" s="1137"/>
      <c r="G2627" s="646"/>
      <c r="H2627" s="669"/>
      <c r="I2627" s="1137"/>
      <c r="J2627" s="646"/>
      <c r="K2627" s="1138"/>
    </row>
    <row r="2628" spans="1:11" x14ac:dyDescent="0.25">
      <c r="A2628" s="1190">
        <v>1</v>
      </c>
      <c r="B2628" s="745"/>
      <c r="C2628" s="1117"/>
      <c r="D2628" s="1117"/>
      <c r="E2628" s="1117"/>
      <c r="F2628" s="1117"/>
      <c r="G2628" s="632"/>
      <c r="H2628" s="745"/>
      <c r="I2628" s="1117"/>
      <c r="J2628" s="632"/>
      <c r="K2628" s="1118"/>
    </row>
    <row r="2629" spans="1:11" x14ac:dyDescent="0.25">
      <c r="A2629" s="718">
        <v>2</v>
      </c>
      <c r="B2629" s="668"/>
      <c r="C2629" s="721"/>
      <c r="D2629" s="721"/>
      <c r="E2629" s="721"/>
      <c r="F2629" s="721"/>
      <c r="G2629" s="639"/>
      <c r="H2629" s="668"/>
      <c r="I2629" s="721"/>
      <c r="J2629" s="639"/>
      <c r="K2629" s="1124"/>
    </row>
    <row r="2630" spans="1:11" ht="13.8" thickBot="1" x14ac:dyDescent="0.3">
      <c r="A2630" s="719">
        <v>3</v>
      </c>
      <c r="B2630" s="669"/>
      <c r="C2630" s="1137"/>
      <c r="D2630" s="1137"/>
      <c r="E2630" s="1137"/>
      <c r="F2630" s="1137"/>
      <c r="G2630" s="646"/>
      <c r="H2630" s="669"/>
      <c r="I2630" s="1137"/>
      <c r="J2630" s="646"/>
      <c r="K2630" s="1138"/>
    </row>
    <row r="2631" spans="1:11" ht="13.8" thickBot="1" x14ac:dyDescent="0.3">
      <c r="A2631" s="1186" t="s">
        <v>749</v>
      </c>
      <c r="B2631" s="1187"/>
      <c r="C2631" s="1188"/>
      <c r="D2631" s="1188"/>
      <c r="E2631" s="1188"/>
      <c r="F2631" s="1188"/>
      <c r="G2631" s="1189"/>
      <c r="H2631" s="1187"/>
      <c r="I2631" s="1188"/>
      <c r="J2631" s="1189"/>
      <c r="K2631" s="716"/>
    </row>
    <row r="2632" spans="1:11" x14ac:dyDescent="0.25">
      <c r="A2632" s="1190">
        <v>1</v>
      </c>
      <c r="B2632" s="745"/>
      <c r="C2632" s="1117"/>
      <c r="D2632" s="1117"/>
      <c r="E2632" s="1117"/>
      <c r="F2632" s="1117"/>
      <c r="G2632" s="632"/>
      <c r="H2632" s="745"/>
      <c r="I2632" s="1117"/>
      <c r="J2632" s="632"/>
      <c r="K2632" s="1118"/>
    </row>
    <row r="2633" spans="1:11" x14ac:dyDescent="0.25">
      <c r="A2633" s="718">
        <v>2</v>
      </c>
      <c r="B2633" s="668"/>
      <c r="C2633" s="721"/>
      <c r="D2633" s="721"/>
      <c r="E2633" s="721"/>
      <c r="F2633" s="721"/>
      <c r="G2633" s="639"/>
      <c r="H2633" s="668"/>
      <c r="I2633" s="721"/>
      <c r="J2633" s="639"/>
      <c r="K2633" s="1124"/>
    </row>
    <row r="2634" spans="1:11" x14ac:dyDescent="0.25">
      <c r="A2634" s="718">
        <v>3</v>
      </c>
      <c r="B2634" s="668"/>
      <c r="C2634" s="721"/>
      <c r="D2634" s="721"/>
      <c r="E2634" s="721"/>
      <c r="F2634" s="721"/>
      <c r="G2634" s="639"/>
      <c r="H2634" s="668"/>
      <c r="I2634" s="721"/>
      <c r="J2634" s="639"/>
      <c r="K2634" s="1124"/>
    </row>
    <row r="2635" spans="1:11" x14ac:dyDescent="0.25">
      <c r="A2635" s="718">
        <v>4</v>
      </c>
      <c r="B2635" s="668"/>
      <c r="C2635" s="721"/>
      <c r="D2635" s="721"/>
      <c r="E2635" s="721"/>
      <c r="F2635" s="721"/>
      <c r="G2635" s="639"/>
      <c r="H2635" s="668"/>
      <c r="I2635" s="721"/>
      <c r="J2635" s="639"/>
      <c r="K2635" s="1124"/>
    </row>
    <row r="2636" spans="1:11" x14ac:dyDescent="0.25">
      <c r="A2636" s="718">
        <v>5</v>
      </c>
      <c r="B2636" s="668"/>
      <c r="C2636" s="721"/>
      <c r="D2636" s="721"/>
      <c r="E2636" s="721"/>
      <c r="F2636" s="721"/>
      <c r="G2636" s="639"/>
      <c r="H2636" s="668"/>
      <c r="I2636" s="721"/>
      <c r="J2636" s="639"/>
      <c r="K2636" s="1124"/>
    </row>
    <row r="2637" spans="1:11" ht="13.8" thickBot="1" x14ac:dyDescent="0.3">
      <c r="A2637" s="719">
        <v>6</v>
      </c>
      <c r="B2637" s="669"/>
      <c r="C2637" s="1137"/>
      <c r="D2637" s="1137"/>
      <c r="E2637" s="1137"/>
      <c r="F2637" s="1137"/>
      <c r="G2637" s="646"/>
      <c r="H2637" s="669"/>
      <c r="I2637" s="1137"/>
      <c r="J2637" s="646"/>
      <c r="K2637" s="1138"/>
    </row>
    <row r="2638" spans="1:11" x14ac:dyDescent="0.25">
      <c r="A2638" s="1190">
        <v>1</v>
      </c>
      <c r="B2638" s="745"/>
      <c r="C2638" s="1117"/>
      <c r="D2638" s="1117"/>
      <c r="E2638" s="1117"/>
      <c r="F2638" s="1117"/>
      <c r="G2638" s="632"/>
      <c r="H2638" s="745"/>
      <c r="I2638" s="1117"/>
      <c r="J2638" s="632"/>
      <c r="K2638" s="1118"/>
    </row>
    <row r="2639" spans="1:11" x14ac:dyDescent="0.25">
      <c r="A2639" s="718">
        <v>2</v>
      </c>
      <c r="B2639" s="668"/>
      <c r="C2639" s="721"/>
      <c r="D2639" s="721"/>
      <c r="E2639" s="721"/>
      <c r="F2639" s="721"/>
      <c r="G2639" s="639"/>
      <c r="H2639" s="668"/>
      <c r="I2639" s="721"/>
      <c r="J2639" s="639"/>
      <c r="K2639" s="1124"/>
    </row>
    <row r="2640" spans="1:11" ht="13.8" thickBot="1" x14ac:dyDescent="0.3">
      <c r="A2640" s="719">
        <v>3</v>
      </c>
      <c r="B2640" s="669"/>
      <c r="C2640" s="1137"/>
      <c r="D2640" s="1137"/>
      <c r="E2640" s="1137"/>
      <c r="F2640" s="1137"/>
      <c r="G2640" s="646"/>
      <c r="H2640" s="669"/>
      <c r="I2640" s="1137"/>
      <c r="J2640" s="646"/>
      <c r="K2640" s="1138"/>
    </row>
    <row r="2641" spans="1:11" ht="13.8" thickBot="1" x14ac:dyDescent="0.3">
      <c r="A2641" s="1186" t="s">
        <v>750</v>
      </c>
      <c r="B2641" s="1187"/>
      <c r="C2641" s="1188"/>
      <c r="D2641" s="1188"/>
      <c r="E2641" s="1188"/>
      <c r="F2641" s="1188"/>
      <c r="G2641" s="1189"/>
      <c r="H2641" s="1187"/>
      <c r="I2641" s="1188"/>
      <c r="J2641" s="1189"/>
      <c r="K2641" s="716"/>
    </row>
    <row r="2642" spans="1:11" x14ac:dyDescent="0.25">
      <c r="A2642" s="1190">
        <v>1</v>
      </c>
      <c r="B2642" s="745"/>
      <c r="C2642" s="1117"/>
      <c r="D2642" s="1117"/>
      <c r="E2642" s="1117"/>
      <c r="F2642" s="1117"/>
      <c r="G2642" s="632"/>
      <c r="H2642" s="745"/>
      <c r="I2642" s="1117"/>
      <c r="J2642" s="632"/>
      <c r="K2642" s="1118"/>
    </row>
    <row r="2643" spans="1:11" x14ac:dyDescent="0.25">
      <c r="A2643" s="718">
        <v>2</v>
      </c>
      <c r="B2643" s="668"/>
      <c r="C2643" s="721"/>
      <c r="D2643" s="721"/>
      <c r="E2643" s="721"/>
      <c r="F2643" s="721"/>
      <c r="G2643" s="639"/>
      <c r="H2643" s="668"/>
      <c r="I2643" s="721"/>
      <c r="J2643" s="639"/>
      <c r="K2643" s="1124"/>
    </row>
    <row r="2644" spans="1:11" x14ac:dyDescent="0.25">
      <c r="A2644" s="718">
        <v>3</v>
      </c>
      <c r="B2644" s="668"/>
      <c r="C2644" s="721"/>
      <c r="D2644" s="721"/>
      <c r="E2644" s="721"/>
      <c r="F2644" s="721"/>
      <c r="G2644" s="639"/>
      <c r="H2644" s="668"/>
      <c r="I2644" s="721"/>
      <c r="J2644" s="639"/>
      <c r="K2644" s="1124"/>
    </row>
    <row r="2645" spans="1:11" x14ac:dyDescent="0.25">
      <c r="A2645" s="718">
        <v>4</v>
      </c>
      <c r="B2645" s="668"/>
      <c r="C2645" s="721"/>
      <c r="D2645" s="721"/>
      <c r="E2645" s="721"/>
      <c r="F2645" s="721"/>
      <c r="G2645" s="639"/>
      <c r="H2645" s="668"/>
      <c r="I2645" s="721"/>
      <c r="J2645" s="639"/>
      <c r="K2645" s="1124"/>
    </row>
    <row r="2646" spans="1:11" x14ac:dyDescent="0.25">
      <c r="A2646" s="718">
        <v>5</v>
      </c>
      <c r="B2646" s="668"/>
      <c r="C2646" s="721"/>
      <c r="D2646" s="721"/>
      <c r="E2646" s="721"/>
      <c r="F2646" s="721"/>
      <c r="G2646" s="639"/>
      <c r="H2646" s="668"/>
      <c r="I2646" s="721"/>
      <c r="J2646" s="639"/>
      <c r="K2646" s="1124"/>
    </row>
    <row r="2647" spans="1:11" ht="13.8" thickBot="1" x14ac:dyDescent="0.3">
      <c r="A2647" s="719">
        <v>6</v>
      </c>
      <c r="B2647" s="669"/>
      <c r="C2647" s="1137"/>
      <c r="D2647" s="1137"/>
      <c r="E2647" s="1137"/>
      <c r="F2647" s="1137"/>
      <c r="G2647" s="646"/>
      <c r="H2647" s="669"/>
      <c r="I2647" s="1137"/>
      <c r="J2647" s="646"/>
      <c r="K2647" s="1138"/>
    </row>
    <row r="2648" spans="1:11" x14ac:dyDescent="0.25">
      <c r="A2648" s="1190">
        <v>1</v>
      </c>
      <c r="B2648" s="745"/>
      <c r="C2648" s="1117"/>
      <c r="D2648" s="1117"/>
      <c r="E2648" s="1117"/>
      <c r="F2648" s="1117"/>
      <c r="G2648" s="632"/>
      <c r="H2648" s="745"/>
      <c r="I2648" s="1117"/>
      <c r="J2648" s="632"/>
      <c r="K2648" s="1118"/>
    </row>
    <row r="2649" spans="1:11" x14ac:dyDescent="0.25">
      <c r="A2649" s="718">
        <v>2</v>
      </c>
      <c r="B2649" s="668"/>
      <c r="C2649" s="721"/>
      <c r="D2649" s="721"/>
      <c r="E2649" s="721"/>
      <c r="F2649" s="721"/>
      <c r="G2649" s="639"/>
      <c r="H2649" s="668"/>
      <c r="I2649" s="721"/>
      <c r="J2649" s="639"/>
      <c r="K2649" s="1124"/>
    </row>
    <row r="2650" spans="1:11" ht="13.8" thickBot="1" x14ac:dyDescent="0.3">
      <c r="A2650" s="719">
        <v>3</v>
      </c>
      <c r="B2650" s="669"/>
      <c r="C2650" s="1137"/>
      <c r="D2650" s="1137"/>
      <c r="E2650" s="1137"/>
      <c r="F2650" s="1137"/>
      <c r="G2650" s="646"/>
      <c r="H2650" s="669"/>
      <c r="I2650" s="1137"/>
      <c r="J2650" s="646"/>
      <c r="K2650" s="1138"/>
    </row>
    <row r="2651" spans="1:11" ht="13.8" thickBot="1" x14ac:dyDescent="0.3">
      <c r="A2651" s="1186" t="s">
        <v>751</v>
      </c>
      <c r="B2651" s="1187"/>
      <c r="C2651" s="1188"/>
      <c r="D2651" s="1188"/>
      <c r="E2651" s="1188"/>
      <c r="F2651" s="1188"/>
      <c r="G2651" s="1189"/>
      <c r="H2651" s="1187"/>
      <c r="I2651" s="1188"/>
      <c r="J2651" s="1189"/>
      <c r="K2651" s="716"/>
    </row>
    <row r="2652" spans="1:11" x14ac:dyDescent="0.25">
      <c r="A2652" s="1190">
        <v>1</v>
      </c>
      <c r="B2652" s="745"/>
      <c r="C2652" s="1117"/>
      <c r="D2652" s="1117"/>
      <c r="E2652" s="1117"/>
      <c r="F2652" s="1117"/>
      <c r="G2652" s="632"/>
      <c r="H2652" s="745"/>
      <c r="I2652" s="1117"/>
      <c r="J2652" s="632"/>
      <c r="K2652" s="1118"/>
    </row>
    <row r="2653" spans="1:11" x14ac:dyDescent="0.25">
      <c r="A2653" s="718">
        <v>2</v>
      </c>
      <c r="B2653" s="668"/>
      <c r="C2653" s="721"/>
      <c r="D2653" s="721"/>
      <c r="E2653" s="721"/>
      <c r="F2653" s="721"/>
      <c r="G2653" s="639"/>
      <c r="H2653" s="668"/>
      <c r="I2653" s="721"/>
      <c r="J2653" s="639"/>
      <c r="K2653" s="1124"/>
    </row>
    <row r="2654" spans="1:11" x14ac:dyDescent="0.25">
      <c r="A2654" s="718">
        <v>3</v>
      </c>
      <c r="B2654" s="668"/>
      <c r="C2654" s="721"/>
      <c r="D2654" s="721"/>
      <c r="E2654" s="721"/>
      <c r="F2654" s="721"/>
      <c r="G2654" s="639"/>
      <c r="H2654" s="668"/>
      <c r="I2654" s="721"/>
      <c r="J2654" s="639"/>
      <c r="K2654" s="1124"/>
    </row>
    <row r="2655" spans="1:11" x14ac:dyDescent="0.25">
      <c r="A2655" s="718">
        <v>4</v>
      </c>
      <c r="B2655" s="668"/>
      <c r="C2655" s="721"/>
      <c r="D2655" s="721"/>
      <c r="E2655" s="721"/>
      <c r="F2655" s="721"/>
      <c r="G2655" s="639"/>
      <c r="H2655" s="668"/>
      <c r="I2655" s="721"/>
      <c r="J2655" s="639"/>
      <c r="K2655" s="1124"/>
    </row>
    <row r="2656" spans="1:11" x14ac:dyDescent="0.25">
      <c r="A2656" s="718">
        <v>5</v>
      </c>
      <c r="B2656" s="668"/>
      <c r="C2656" s="721"/>
      <c r="D2656" s="721"/>
      <c r="E2656" s="721"/>
      <c r="F2656" s="721"/>
      <c r="G2656" s="639"/>
      <c r="H2656" s="668"/>
      <c r="I2656" s="721"/>
      <c r="J2656" s="639"/>
      <c r="K2656" s="1124"/>
    </row>
    <row r="2657" spans="1:11" ht="13.8" thickBot="1" x14ac:dyDescent="0.3">
      <c r="A2657" s="719">
        <v>6</v>
      </c>
      <c r="B2657" s="669"/>
      <c r="C2657" s="1137"/>
      <c r="D2657" s="1137"/>
      <c r="E2657" s="1137"/>
      <c r="F2657" s="1137"/>
      <c r="G2657" s="646"/>
      <c r="H2657" s="669"/>
      <c r="I2657" s="1137"/>
      <c r="J2657" s="646"/>
      <c r="K2657" s="1138"/>
    </row>
    <row r="2658" spans="1:11" x14ac:dyDescent="0.25">
      <c r="A2658" s="1190">
        <v>1</v>
      </c>
      <c r="B2658" s="745"/>
      <c r="C2658" s="1117"/>
      <c r="D2658" s="1117"/>
      <c r="E2658" s="1117"/>
      <c r="F2658" s="1117"/>
      <c r="G2658" s="632"/>
      <c r="H2658" s="745"/>
      <c r="I2658" s="1117"/>
      <c r="J2658" s="632"/>
      <c r="K2658" s="1118"/>
    </row>
    <row r="2659" spans="1:11" x14ac:dyDescent="0.25">
      <c r="A2659" s="718">
        <v>2</v>
      </c>
      <c r="B2659" s="668"/>
      <c r="C2659" s="721"/>
      <c r="D2659" s="721"/>
      <c r="E2659" s="721"/>
      <c r="F2659" s="721"/>
      <c r="G2659" s="639"/>
      <c r="H2659" s="668"/>
      <c r="I2659" s="721"/>
      <c r="J2659" s="639"/>
      <c r="K2659" s="1124"/>
    </row>
    <row r="2660" spans="1:11" ht="13.8" thickBot="1" x14ac:dyDescent="0.3">
      <c r="A2660" s="719">
        <v>3</v>
      </c>
      <c r="B2660" s="669"/>
      <c r="C2660" s="1137"/>
      <c r="D2660" s="1137"/>
      <c r="E2660" s="1137"/>
      <c r="F2660" s="1137"/>
      <c r="G2660" s="646"/>
      <c r="H2660" s="669"/>
      <c r="I2660" s="1137"/>
      <c r="J2660" s="646"/>
      <c r="K2660" s="1138"/>
    </row>
    <row r="2661" spans="1:11" ht="13.8" thickBot="1" x14ac:dyDescent="0.3">
      <c r="A2661" s="1186" t="s">
        <v>752</v>
      </c>
      <c r="B2661" s="1187"/>
      <c r="C2661" s="1188"/>
      <c r="D2661" s="1188"/>
      <c r="E2661" s="1188"/>
      <c r="F2661" s="1188"/>
      <c r="G2661" s="1189"/>
      <c r="H2661" s="1187"/>
      <c r="I2661" s="1188"/>
      <c r="J2661" s="1189"/>
      <c r="K2661" s="716"/>
    </row>
    <row r="2662" spans="1:11" x14ac:dyDescent="0.25">
      <c r="A2662" s="1190">
        <v>1</v>
      </c>
      <c r="B2662" s="745"/>
      <c r="C2662" s="1117"/>
      <c r="D2662" s="1117"/>
      <c r="E2662" s="1117"/>
      <c r="F2662" s="1117"/>
      <c r="G2662" s="632"/>
      <c r="H2662" s="745"/>
      <c r="I2662" s="1117"/>
      <c r="J2662" s="632"/>
      <c r="K2662" s="1118"/>
    </row>
    <row r="2663" spans="1:11" x14ac:dyDescent="0.25">
      <c r="A2663" s="718">
        <v>2</v>
      </c>
      <c r="B2663" s="668"/>
      <c r="C2663" s="721"/>
      <c r="D2663" s="721"/>
      <c r="E2663" s="721"/>
      <c r="F2663" s="721"/>
      <c r="G2663" s="639"/>
      <c r="H2663" s="668"/>
      <c r="I2663" s="721"/>
      <c r="J2663" s="639"/>
      <c r="K2663" s="1124"/>
    </row>
    <row r="2664" spans="1:11" x14ac:dyDescent="0.25">
      <c r="A2664" s="718">
        <v>3</v>
      </c>
      <c r="B2664" s="668"/>
      <c r="C2664" s="721"/>
      <c r="D2664" s="721"/>
      <c r="E2664" s="721"/>
      <c r="F2664" s="721"/>
      <c r="G2664" s="639"/>
      <c r="H2664" s="668"/>
      <c r="I2664" s="721"/>
      <c r="J2664" s="639"/>
      <c r="K2664" s="1124"/>
    </row>
    <row r="2665" spans="1:11" x14ac:dyDescent="0.25">
      <c r="A2665" s="718">
        <v>4</v>
      </c>
      <c r="B2665" s="668"/>
      <c r="C2665" s="721"/>
      <c r="D2665" s="721"/>
      <c r="E2665" s="721"/>
      <c r="F2665" s="721"/>
      <c r="G2665" s="639"/>
      <c r="H2665" s="668"/>
      <c r="I2665" s="721"/>
      <c r="J2665" s="639"/>
      <c r="K2665" s="1124"/>
    </row>
    <row r="2666" spans="1:11" x14ac:dyDescent="0.25">
      <c r="A2666" s="718">
        <v>5</v>
      </c>
      <c r="B2666" s="668"/>
      <c r="C2666" s="721"/>
      <c r="D2666" s="721"/>
      <c r="E2666" s="721"/>
      <c r="F2666" s="721"/>
      <c r="G2666" s="639"/>
      <c r="H2666" s="668"/>
      <c r="I2666" s="721"/>
      <c r="J2666" s="639"/>
      <c r="K2666" s="1124"/>
    </row>
    <row r="2667" spans="1:11" ht="13.8" thickBot="1" x14ac:dyDescent="0.3">
      <c r="A2667" s="719">
        <v>6</v>
      </c>
      <c r="B2667" s="669"/>
      <c r="C2667" s="1137"/>
      <c r="D2667" s="1137"/>
      <c r="E2667" s="1137"/>
      <c r="F2667" s="1137"/>
      <c r="G2667" s="646"/>
      <c r="H2667" s="669"/>
      <c r="I2667" s="1137"/>
      <c r="J2667" s="646"/>
      <c r="K2667" s="1138"/>
    </row>
    <row r="2668" spans="1:11" x14ac:dyDescent="0.25">
      <c r="A2668" s="1190">
        <v>1</v>
      </c>
      <c r="B2668" s="745"/>
      <c r="C2668" s="1117"/>
      <c r="D2668" s="1117"/>
      <c r="E2668" s="1117"/>
      <c r="F2668" s="1117"/>
      <c r="G2668" s="632"/>
      <c r="H2668" s="745"/>
      <c r="I2668" s="1117"/>
      <c r="J2668" s="632"/>
      <c r="K2668" s="1118"/>
    </row>
    <row r="2669" spans="1:11" x14ac:dyDescent="0.25">
      <c r="A2669" s="718">
        <v>2</v>
      </c>
      <c r="B2669" s="668"/>
      <c r="C2669" s="721"/>
      <c r="D2669" s="721"/>
      <c r="E2669" s="721"/>
      <c r="F2669" s="721"/>
      <c r="G2669" s="639"/>
      <c r="H2669" s="668"/>
      <c r="I2669" s="721"/>
      <c r="J2669" s="639"/>
      <c r="K2669" s="1124"/>
    </row>
    <row r="2670" spans="1:11" ht="13.8" thickBot="1" x14ac:dyDescent="0.3">
      <c r="A2670" s="1191">
        <v>3</v>
      </c>
      <c r="B2670" s="1132"/>
      <c r="C2670" s="1133"/>
      <c r="D2670" s="1133"/>
      <c r="E2670" s="1133"/>
      <c r="F2670" s="1133"/>
      <c r="G2670" s="1134"/>
      <c r="H2670" s="1132"/>
      <c r="I2670" s="1133"/>
      <c r="J2670" s="1134"/>
      <c r="K2670" s="1147"/>
    </row>
    <row r="2671" spans="1:11" ht="13.8" thickBot="1" x14ac:dyDescent="0.3">
      <c r="A2671" s="1186" t="s">
        <v>753</v>
      </c>
      <c r="B2671" s="1187"/>
      <c r="C2671" s="1188"/>
      <c r="D2671" s="1188"/>
      <c r="E2671" s="1188"/>
      <c r="F2671" s="1188"/>
      <c r="G2671" s="1189"/>
      <c r="H2671" s="1187"/>
      <c r="I2671" s="1188"/>
      <c r="J2671" s="1189"/>
      <c r="K2671" s="716"/>
    </row>
    <row r="2672" spans="1:11" x14ac:dyDescent="0.25">
      <c r="A2672" s="1190">
        <v>1</v>
      </c>
      <c r="B2672" s="745"/>
      <c r="C2672" s="1117"/>
      <c r="D2672" s="1117"/>
      <c r="E2672" s="1117"/>
      <c r="F2672" s="1117"/>
      <c r="G2672" s="632"/>
      <c r="H2672" s="745"/>
      <c r="I2672" s="1117"/>
      <c r="J2672" s="632"/>
      <c r="K2672" s="1118"/>
    </row>
    <row r="2673" spans="1:11" x14ac:dyDescent="0.25">
      <c r="A2673" s="718">
        <v>2</v>
      </c>
      <c r="B2673" s="668"/>
      <c r="C2673" s="721"/>
      <c r="D2673" s="721"/>
      <c r="E2673" s="721"/>
      <c r="F2673" s="721"/>
      <c r="G2673" s="639"/>
      <c r="H2673" s="668"/>
      <c r="I2673" s="721"/>
      <c r="J2673" s="639"/>
      <c r="K2673" s="1124"/>
    </row>
    <row r="2674" spans="1:11" x14ac:dyDescent="0.25">
      <c r="A2674" s="718">
        <v>3</v>
      </c>
      <c r="B2674" s="668"/>
      <c r="C2674" s="721"/>
      <c r="D2674" s="721"/>
      <c r="E2674" s="721"/>
      <c r="F2674" s="721"/>
      <c r="G2674" s="639"/>
      <c r="H2674" s="668"/>
      <c r="I2674" s="721"/>
      <c r="J2674" s="639"/>
      <c r="K2674" s="1124"/>
    </row>
    <row r="2675" spans="1:11" x14ac:dyDescent="0.25">
      <c r="A2675" s="718">
        <v>4</v>
      </c>
      <c r="B2675" s="668"/>
      <c r="C2675" s="721"/>
      <c r="D2675" s="721"/>
      <c r="E2675" s="721"/>
      <c r="F2675" s="721"/>
      <c r="G2675" s="639"/>
      <c r="H2675" s="668"/>
      <c r="I2675" s="721"/>
      <c r="J2675" s="639"/>
      <c r="K2675" s="1124"/>
    </row>
    <row r="2676" spans="1:11" x14ac:dyDescent="0.25">
      <c r="A2676" s="718">
        <v>5</v>
      </c>
      <c r="B2676" s="668"/>
      <c r="C2676" s="721"/>
      <c r="D2676" s="721"/>
      <c r="E2676" s="721"/>
      <c r="F2676" s="721"/>
      <c r="G2676" s="639"/>
      <c r="H2676" s="668"/>
      <c r="I2676" s="721"/>
      <c r="J2676" s="639"/>
      <c r="K2676" s="1124"/>
    </row>
    <row r="2677" spans="1:11" ht="13.8" thickBot="1" x14ac:dyDescent="0.3">
      <c r="A2677" s="719">
        <v>6</v>
      </c>
      <c r="B2677" s="669"/>
      <c r="C2677" s="1137"/>
      <c r="D2677" s="1137"/>
      <c r="E2677" s="1137"/>
      <c r="F2677" s="1137"/>
      <c r="G2677" s="646"/>
      <c r="H2677" s="669"/>
      <c r="I2677" s="1137"/>
      <c r="J2677" s="646"/>
      <c r="K2677" s="1138"/>
    </row>
    <row r="2678" spans="1:11" x14ac:dyDescent="0.25">
      <c r="A2678" s="1190">
        <v>1</v>
      </c>
      <c r="B2678" s="745"/>
      <c r="C2678" s="1117"/>
      <c r="D2678" s="1117"/>
      <c r="E2678" s="1117"/>
      <c r="F2678" s="1117"/>
      <c r="G2678" s="632"/>
      <c r="H2678" s="745"/>
      <c r="I2678" s="1117"/>
      <c r="J2678" s="632"/>
      <c r="K2678" s="1118"/>
    </row>
    <row r="2679" spans="1:11" x14ac:dyDescent="0.25">
      <c r="A2679" s="718">
        <v>2</v>
      </c>
      <c r="B2679" s="668"/>
      <c r="C2679" s="721"/>
      <c r="D2679" s="721"/>
      <c r="E2679" s="721"/>
      <c r="F2679" s="721"/>
      <c r="G2679" s="639"/>
      <c r="H2679" s="668"/>
      <c r="I2679" s="721"/>
      <c r="J2679" s="639"/>
      <c r="K2679" s="1124"/>
    </row>
    <row r="2680" spans="1:11" ht="13.8" thickBot="1" x14ac:dyDescent="0.3">
      <c r="A2680" s="719">
        <v>3</v>
      </c>
      <c r="B2680" s="669"/>
      <c r="C2680" s="1137"/>
      <c r="D2680" s="1137"/>
      <c r="E2680" s="1137"/>
      <c r="F2680" s="1137"/>
      <c r="G2680" s="646"/>
      <c r="H2680" s="669"/>
      <c r="I2680" s="1137"/>
      <c r="J2680" s="646"/>
      <c r="K2680" s="1138"/>
    </row>
    <row r="2681" spans="1:11" ht="13.8" thickBot="1" x14ac:dyDescent="0.3">
      <c r="A2681" s="1186" t="s">
        <v>754</v>
      </c>
      <c r="B2681" s="1187"/>
      <c r="C2681" s="1188"/>
      <c r="D2681" s="1188"/>
      <c r="E2681" s="1188"/>
      <c r="F2681" s="1188"/>
      <c r="G2681" s="1189"/>
      <c r="H2681" s="1187"/>
      <c r="I2681" s="1188"/>
      <c r="J2681" s="1189"/>
      <c r="K2681" s="716"/>
    </row>
    <row r="2682" spans="1:11" x14ac:dyDescent="0.25">
      <c r="A2682" s="1190">
        <v>1</v>
      </c>
      <c r="B2682" s="745"/>
      <c r="C2682" s="1117"/>
      <c r="D2682" s="1117"/>
      <c r="E2682" s="1117"/>
      <c r="F2682" s="1117"/>
      <c r="G2682" s="632"/>
      <c r="H2682" s="745"/>
      <c r="I2682" s="1117"/>
      <c r="J2682" s="632"/>
      <c r="K2682" s="1118"/>
    </row>
    <row r="2683" spans="1:11" x14ac:dyDescent="0.25">
      <c r="A2683" s="718">
        <v>2</v>
      </c>
      <c r="B2683" s="668"/>
      <c r="C2683" s="721"/>
      <c r="D2683" s="721"/>
      <c r="E2683" s="721"/>
      <c r="F2683" s="721"/>
      <c r="G2683" s="639"/>
      <c r="H2683" s="668"/>
      <c r="I2683" s="721"/>
      <c r="J2683" s="639"/>
      <c r="K2683" s="1124"/>
    </row>
    <row r="2684" spans="1:11" x14ac:dyDescent="0.25">
      <c r="A2684" s="718">
        <v>3</v>
      </c>
      <c r="B2684" s="668"/>
      <c r="C2684" s="721"/>
      <c r="D2684" s="721"/>
      <c r="E2684" s="721"/>
      <c r="F2684" s="721"/>
      <c r="G2684" s="639"/>
      <c r="H2684" s="668"/>
      <c r="I2684" s="721"/>
      <c r="J2684" s="639"/>
      <c r="K2684" s="1124"/>
    </row>
    <row r="2685" spans="1:11" x14ac:dyDescent="0.25">
      <c r="A2685" s="718">
        <v>4</v>
      </c>
      <c r="B2685" s="668"/>
      <c r="C2685" s="721"/>
      <c r="D2685" s="721"/>
      <c r="E2685" s="721"/>
      <c r="F2685" s="721"/>
      <c r="G2685" s="639"/>
      <c r="H2685" s="668"/>
      <c r="I2685" s="721"/>
      <c r="J2685" s="639"/>
      <c r="K2685" s="1124"/>
    </row>
    <row r="2686" spans="1:11" x14ac:dyDescent="0.25">
      <c r="A2686" s="718">
        <v>5</v>
      </c>
      <c r="B2686" s="668"/>
      <c r="C2686" s="721"/>
      <c r="D2686" s="721"/>
      <c r="E2686" s="721"/>
      <c r="F2686" s="721"/>
      <c r="G2686" s="639"/>
      <c r="H2686" s="668"/>
      <c r="I2686" s="721"/>
      <c r="J2686" s="639"/>
      <c r="K2686" s="1124"/>
    </row>
    <row r="2687" spans="1:11" ht="13.8" thickBot="1" x14ac:dyDescent="0.3">
      <c r="A2687" s="719">
        <v>6</v>
      </c>
      <c r="B2687" s="669"/>
      <c r="C2687" s="1137"/>
      <c r="D2687" s="1137"/>
      <c r="E2687" s="1137"/>
      <c r="F2687" s="1137"/>
      <c r="G2687" s="646"/>
      <c r="H2687" s="669"/>
      <c r="I2687" s="1137"/>
      <c r="J2687" s="646"/>
      <c r="K2687" s="1138"/>
    </row>
    <row r="2688" spans="1:11" x14ac:dyDescent="0.25">
      <c r="A2688" s="1190">
        <v>1</v>
      </c>
      <c r="B2688" s="745"/>
      <c r="C2688" s="1117"/>
      <c r="D2688" s="1117"/>
      <c r="E2688" s="1117"/>
      <c r="F2688" s="1117"/>
      <c r="G2688" s="632"/>
      <c r="H2688" s="745"/>
      <c r="I2688" s="1117"/>
      <c r="J2688" s="632"/>
      <c r="K2688" s="1118"/>
    </row>
    <row r="2689" spans="1:11" x14ac:dyDescent="0.25">
      <c r="A2689" s="718">
        <v>2</v>
      </c>
      <c r="B2689" s="668"/>
      <c r="C2689" s="721"/>
      <c r="D2689" s="721"/>
      <c r="E2689" s="721"/>
      <c r="F2689" s="721"/>
      <c r="G2689" s="639"/>
      <c r="H2689" s="668"/>
      <c r="I2689" s="721"/>
      <c r="J2689" s="639"/>
      <c r="K2689" s="1124"/>
    </row>
    <row r="2690" spans="1:11" ht="13.8" thickBot="1" x14ac:dyDescent="0.3">
      <c r="A2690" s="719">
        <v>3</v>
      </c>
      <c r="B2690" s="669"/>
      <c r="C2690" s="1137"/>
      <c r="D2690" s="1137"/>
      <c r="E2690" s="1137"/>
      <c r="F2690" s="1137"/>
      <c r="G2690" s="646"/>
      <c r="H2690" s="669"/>
      <c r="I2690" s="1137"/>
      <c r="J2690" s="646"/>
      <c r="K2690" s="1138"/>
    </row>
    <row r="2691" spans="1:11" ht="13.8" thickBot="1" x14ac:dyDescent="0.3">
      <c r="A2691" s="1186" t="s">
        <v>755</v>
      </c>
      <c r="B2691" s="1187"/>
      <c r="C2691" s="1188"/>
      <c r="D2691" s="1188"/>
      <c r="E2691" s="1188"/>
      <c r="F2691" s="1188"/>
      <c r="G2691" s="1189"/>
      <c r="H2691" s="1187"/>
      <c r="I2691" s="1188"/>
      <c r="J2691" s="1189"/>
      <c r="K2691" s="716"/>
    </row>
    <row r="2692" spans="1:11" x14ac:dyDescent="0.25">
      <c r="A2692" s="1190">
        <v>1</v>
      </c>
      <c r="B2692" s="745"/>
      <c r="C2692" s="1117"/>
      <c r="D2692" s="1117"/>
      <c r="E2692" s="1117"/>
      <c r="F2692" s="1117"/>
      <c r="G2692" s="632"/>
      <c r="H2692" s="745"/>
      <c r="I2692" s="1117"/>
      <c r="J2692" s="632"/>
      <c r="K2692" s="1118"/>
    </row>
    <row r="2693" spans="1:11" x14ac:dyDescent="0.25">
      <c r="A2693" s="718">
        <v>2</v>
      </c>
      <c r="B2693" s="668"/>
      <c r="C2693" s="721"/>
      <c r="D2693" s="721"/>
      <c r="E2693" s="721"/>
      <c r="F2693" s="721"/>
      <c r="G2693" s="639"/>
      <c r="H2693" s="668"/>
      <c r="I2693" s="721"/>
      <c r="J2693" s="639"/>
      <c r="K2693" s="1124"/>
    </row>
    <row r="2694" spans="1:11" x14ac:dyDescent="0.25">
      <c r="A2694" s="718">
        <v>3</v>
      </c>
      <c r="B2694" s="668"/>
      <c r="C2694" s="721"/>
      <c r="D2694" s="721"/>
      <c r="E2694" s="721"/>
      <c r="F2694" s="721"/>
      <c r="G2694" s="639"/>
      <c r="H2694" s="668"/>
      <c r="I2694" s="721"/>
      <c r="J2694" s="639"/>
      <c r="K2694" s="1124"/>
    </row>
    <row r="2695" spans="1:11" x14ac:dyDescent="0.25">
      <c r="A2695" s="718">
        <v>4</v>
      </c>
      <c r="B2695" s="668"/>
      <c r="C2695" s="721"/>
      <c r="D2695" s="721"/>
      <c r="E2695" s="721"/>
      <c r="F2695" s="721"/>
      <c r="G2695" s="639"/>
      <c r="H2695" s="668"/>
      <c r="I2695" s="721"/>
      <c r="J2695" s="639"/>
      <c r="K2695" s="1124"/>
    </row>
    <row r="2696" spans="1:11" x14ac:dyDescent="0.25">
      <c r="A2696" s="718">
        <v>5</v>
      </c>
      <c r="B2696" s="668"/>
      <c r="C2696" s="721"/>
      <c r="D2696" s="721"/>
      <c r="E2696" s="721"/>
      <c r="F2696" s="721"/>
      <c r="G2696" s="639"/>
      <c r="H2696" s="668"/>
      <c r="I2696" s="721"/>
      <c r="J2696" s="639"/>
      <c r="K2696" s="1124"/>
    </row>
    <row r="2697" spans="1:11" ht="13.8" thickBot="1" x14ac:dyDescent="0.3">
      <c r="A2697" s="719">
        <v>6</v>
      </c>
      <c r="B2697" s="669"/>
      <c r="C2697" s="1137"/>
      <c r="D2697" s="1137"/>
      <c r="E2697" s="1137"/>
      <c r="F2697" s="1137"/>
      <c r="G2697" s="646"/>
      <c r="H2697" s="669"/>
      <c r="I2697" s="1137"/>
      <c r="J2697" s="646"/>
      <c r="K2697" s="1138"/>
    </row>
    <row r="2698" spans="1:11" x14ac:dyDescent="0.25">
      <c r="A2698" s="1190">
        <v>1</v>
      </c>
      <c r="B2698" s="745"/>
      <c r="C2698" s="1117"/>
      <c r="D2698" s="1117"/>
      <c r="E2698" s="1117"/>
      <c r="F2698" s="1117"/>
      <c r="G2698" s="632"/>
      <c r="H2698" s="745"/>
      <c r="I2698" s="1117"/>
      <c r="J2698" s="632"/>
      <c r="K2698" s="1118"/>
    </row>
    <row r="2699" spans="1:11" x14ac:dyDescent="0.25">
      <c r="A2699" s="718">
        <v>2</v>
      </c>
      <c r="B2699" s="668"/>
      <c r="C2699" s="721"/>
      <c r="D2699" s="721"/>
      <c r="E2699" s="721"/>
      <c r="F2699" s="721"/>
      <c r="G2699" s="639"/>
      <c r="H2699" s="668"/>
      <c r="I2699" s="721"/>
      <c r="J2699" s="639"/>
      <c r="K2699" s="1124"/>
    </row>
    <row r="2700" spans="1:11" ht="13.8" thickBot="1" x14ac:dyDescent="0.3">
      <c r="A2700" s="719">
        <v>3</v>
      </c>
      <c r="B2700" s="669"/>
      <c r="C2700" s="1137"/>
      <c r="D2700" s="1137"/>
      <c r="E2700" s="1137"/>
      <c r="F2700" s="1137"/>
      <c r="G2700" s="646"/>
      <c r="H2700" s="669"/>
      <c r="I2700" s="1137"/>
      <c r="J2700" s="646"/>
      <c r="K2700" s="1138"/>
    </row>
    <row r="2701" spans="1:11" ht="13.8" thickBot="1" x14ac:dyDescent="0.3">
      <c r="A2701" s="1186" t="s">
        <v>756</v>
      </c>
      <c r="B2701" s="1187"/>
      <c r="C2701" s="1188"/>
      <c r="D2701" s="1188"/>
      <c r="E2701" s="1188"/>
      <c r="F2701" s="1188"/>
      <c r="G2701" s="1189"/>
      <c r="H2701" s="1187"/>
      <c r="I2701" s="1188"/>
      <c r="J2701" s="1189"/>
      <c r="K2701" s="716"/>
    </row>
    <row r="2702" spans="1:11" x14ac:dyDescent="0.25">
      <c r="A2702" s="1190">
        <v>1</v>
      </c>
      <c r="B2702" s="745"/>
      <c r="C2702" s="1117"/>
      <c r="D2702" s="1117"/>
      <c r="E2702" s="1117"/>
      <c r="F2702" s="1117"/>
      <c r="G2702" s="632"/>
      <c r="H2702" s="745"/>
      <c r="I2702" s="1117"/>
      <c r="J2702" s="632"/>
      <c r="K2702" s="1118"/>
    </row>
    <row r="2703" spans="1:11" x14ac:dyDescent="0.25">
      <c r="A2703" s="718">
        <v>2</v>
      </c>
      <c r="B2703" s="668"/>
      <c r="C2703" s="721"/>
      <c r="D2703" s="721"/>
      <c r="E2703" s="721"/>
      <c r="F2703" s="721"/>
      <c r="G2703" s="639"/>
      <c r="H2703" s="668"/>
      <c r="I2703" s="721"/>
      <c r="J2703" s="639"/>
      <c r="K2703" s="1124"/>
    </row>
    <row r="2704" spans="1:11" x14ac:dyDescent="0.25">
      <c r="A2704" s="718">
        <v>3</v>
      </c>
      <c r="B2704" s="668"/>
      <c r="C2704" s="721"/>
      <c r="D2704" s="721"/>
      <c r="E2704" s="721"/>
      <c r="F2704" s="721"/>
      <c r="G2704" s="639"/>
      <c r="H2704" s="668"/>
      <c r="I2704" s="721"/>
      <c r="J2704" s="639"/>
      <c r="K2704" s="1124"/>
    </row>
    <row r="2705" spans="1:11" x14ac:dyDescent="0.25">
      <c r="A2705" s="718">
        <v>4</v>
      </c>
      <c r="B2705" s="668"/>
      <c r="C2705" s="721"/>
      <c r="D2705" s="721"/>
      <c r="E2705" s="721"/>
      <c r="F2705" s="721"/>
      <c r="G2705" s="639"/>
      <c r="H2705" s="668"/>
      <c r="I2705" s="721"/>
      <c r="J2705" s="639"/>
      <c r="K2705" s="1124"/>
    </row>
    <row r="2706" spans="1:11" x14ac:dyDescent="0.25">
      <c r="A2706" s="718">
        <v>5</v>
      </c>
      <c r="B2706" s="668"/>
      <c r="C2706" s="721"/>
      <c r="D2706" s="721"/>
      <c r="E2706" s="721"/>
      <c r="F2706" s="721"/>
      <c r="G2706" s="639"/>
      <c r="H2706" s="668"/>
      <c r="I2706" s="721"/>
      <c r="J2706" s="639"/>
      <c r="K2706" s="1124"/>
    </row>
    <row r="2707" spans="1:11" ht="13.8" thickBot="1" x14ac:dyDescent="0.3">
      <c r="A2707" s="719">
        <v>6</v>
      </c>
      <c r="B2707" s="669"/>
      <c r="C2707" s="1137"/>
      <c r="D2707" s="1137"/>
      <c r="E2707" s="1137"/>
      <c r="F2707" s="1137"/>
      <c r="G2707" s="646"/>
      <c r="H2707" s="669"/>
      <c r="I2707" s="1137"/>
      <c r="J2707" s="646"/>
      <c r="K2707" s="1138"/>
    </row>
    <row r="2708" spans="1:11" x14ac:dyDescent="0.25">
      <c r="A2708" s="1190">
        <v>1</v>
      </c>
      <c r="B2708" s="745"/>
      <c r="C2708" s="1117"/>
      <c r="D2708" s="1117"/>
      <c r="E2708" s="1117"/>
      <c r="F2708" s="1117"/>
      <c r="G2708" s="632"/>
      <c r="H2708" s="745"/>
      <c r="I2708" s="1117"/>
      <c r="J2708" s="632"/>
      <c r="K2708" s="1118"/>
    </row>
    <row r="2709" spans="1:11" x14ac:dyDescent="0.25">
      <c r="A2709" s="718">
        <v>2</v>
      </c>
      <c r="B2709" s="668"/>
      <c r="C2709" s="721"/>
      <c r="D2709" s="721"/>
      <c r="E2709" s="721"/>
      <c r="F2709" s="721"/>
      <c r="G2709" s="639"/>
      <c r="H2709" s="668"/>
      <c r="I2709" s="721"/>
      <c r="J2709" s="639"/>
      <c r="K2709" s="1124"/>
    </row>
    <row r="2710" spans="1:11" ht="13.8" thickBot="1" x14ac:dyDescent="0.3">
      <c r="A2710" s="719">
        <v>3</v>
      </c>
      <c r="B2710" s="669"/>
      <c r="C2710" s="1137"/>
      <c r="D2710" s="1137"/>
      <c r="E2710" s="1137"/>
      <c r="F2710" s="1137"/>
      <c r="G2710" s="646"/>
      <c r="H2710" s="669"/>
      <c r="I2710" s="1137"/>
      <c r="J2710" s="646"/>
      <c r="K2710" s="1138"/>
    </row>
    <row r="2711" spans="1:11" ht="13.8" thickBot="1" x14ac:dyDescent="0.3">
      <c r="A2711" s="1186" t="s">
        <v>757</v>
      </c>
      <c r="B2711" s="1187"/>
      <c r="C2711" s="1188"/>
      <c r="D2711" s="1188"/>
      <c r="E2711" s="1188"/>
      <c r="F2711" s="1188"/>
      <c r="G2711" s="1189"/>
      <c r="H2711" s="1187"/>
      <c r="I2711" s="1188"/>
      <c r="J2711" s="1189"/>
      <c r="K2711" s="716"/>
    </row>
    <row r="2712" spans="1:11" x14ac:dyDescent="0.25">
      <c r="A2712" s="1190">
        <v>1</v>
      </c>
      <c r="B2712" s="745"/>
      <c r="C2712" s="1117"/>
      <c r="D2712" s="1117"/>
      <c r="E2712" s="1117"/>
      <c r="F2712" s="1117"/>
      <c r="G2712" s="632"/>
      <c r="H2712" s="745"/>
      <c r="I2712" s="1117"/>
      <c r="J2712" s="632"/>
      <c r="K2712" s="1118"/>
    </row>
    <row r="2713" spans="1:11" x14ac:dyDescent="0.25">
      <c r="A2713" s="718">
        <v>2</v>
      </c>
      <c r="B2713" s="668"/>
      <c r="C2713" s="721"/>
      <c r="D2713" s="721"/>
      <c r="E2713" s="721"/>
      <c r="F2713" s="721"/>
      <c r="G2713" s="639"/>
      <c r="H2713" s="668"/>
      <c r="I2713" s="721"/>
      <c r="J2713" s="639"/>
      <c r="K2713" s="1124"/>
    </row>
    <row r="2714" spans="1:11" x14ac:dyDescent="0.25">
      <c r="A2714" s="718">
        <v>3</v>
      </c>
      <c r="B2714" s="668"/>
      <c r="C2714" s="721"/>
      <c r="D2714" s="721"/>
      <c r="E2714" s="721"/>
      <c r="F2714" s="721"/>
      <c r="G2714" s="639"/>
      <c r="H2714" s="668"/>
      <c r="I2714" s="721"/>
      <c r="J2714" s="639"/>
      <c r="K2714" s="1124"/>
    </row>
    <row r="2715" spans="1:11" x14ac:dyDescent="0.25">
      <c r="A2715" s="718">
        <v>4</v>
      </c>
      <c r="B2715" s="668"/>
      <c r="C2715" s="721"/>
      <c r="D2715" s="721"/>
      <c r="E2715" s="721"/>
      <c r="F2715" s="721"/>
      <c r="G2715" s="639"/>
      <c r="H2715" s="668"/>
      <c r="I2715" s="721"/>
      <c r="J2715" s="639"/>
      <c r="K2715" s="1124"/>
    </row>
    <row r="2716" spans="1:11" x14ac:dyDescent="0.25">
      <c r="A2716" s="718">
        <v>5</v>
      </c>
      <c r="B2716" s="668"/>
      <c r="C2716" s="721"/>
      <c r="D2716" s="721"/>
      <c r="E2716" s="721"/>
      <c r="F2716" s="721"/>
      <c r="G2716" s="639"/>
      <c r="H2716" s="668"/>
      <c r="I2716" s="721"/>
      <c r="J2716" s="639"/>
      <c r="K2716" s="1124"/>
    </row>
    <row r="2717" spans="1:11" ht="13.8" thickBot="1" x14ac:dyDescent="0.3">
      <c r="A2717" s="719">
        <v>6</v>
      </c>
      <c r="B2717" s="669"/>
      <c r="C2717" s="1137"/>
      <c r="D2717" s="1137"/>
      <c r="E2717" s="1137"/>
      <c r="F2717" s="1137"/>
      <c r="G2717" s="646"/>
      <c r="H2717" s="669"/>
      <c r="I2717" s="1137"/>
      <c r="J2717" s="646"/>
      <c r="K2717" s="1138"/>
    </row>
    <row r="2718" spans="1:11" x14ac:dyDescent="0.25">
      <c r="A2718" s="1190">
        <v>1</v>
      </c>
      <c r="B2718" s="745"/>
      <c r="C2718" s="1117"/>
      <c r="D2718" s="1117"/>
      <c r="E2718" s="1117"/>
      <c r="F2718" s="1117"/>
      <c r="G2718" s="632"/>
      <c r="H2718" s="745"/>
      <c r="I2718" s="1117"/>
      <c r="J2718" s="632"/>
      <c r="K2718" s="1118"/>
    </row>
    <row r="2719" spans="1:11" x14ac:dyDescent="0.25">
      <c r="A2719" s="718">
        <v>2</v>
      </c>
      <c r="B2719" s="668"/>
      <c r="C2719" s="721"/>
      <c r="D2719" s="721"/>
      <c r="E2719" s="721"/>
      <c r="F2719" s="721"/>
      <c r="G2719" s="639"/>
      <c r="H2719" s="668"/>
      <c r="I2719" s="721"/>
      <c r="J2719" s="639"/>
      <c r="K2719" s="1124"/>
    </row>
    <row r="2720" spans="1:11" ht="13.8" thickBot="1" x14ac:dyDescent="0.3">
      <c r="A2720" s="719">
        <v>3</v>
      </c>
      <c r="B2720" s="669"/>
      <c r="C2720" s="1137"/>
      <c r="D2720" s="1137"/>
      <c r="E2720" s="1137"/>
      <c r="F2720" s="1137"/>
      <c r="G2720" s="646"/>
      <c r="H2720" s="669"/>
      <c r="I2720" s="1137"/>
      <c r="J2720" s="646"/>
      <c r="K2720" s="1138"/>
    </row>
    <row r="2721" spans="1:11" ht="13.8" thickBot="1" x14ac:dyDescent="0.3">
      <c r="A2721" s="1186" t="s">
        <v>758</v>
      </c>
      <c r="B2721" s="1187"/>
      <c r="C2721" s="1188"/>
      <c r="D2721" s="1188"/>
      <c r="E2721" s="1188"/>
      <c r="F2721" s="1188"/>
      <c r="G2721" s="1189"/>
      <c r="H2721" s="1187"/>
      <c r="I2721" s="1188"/>
      <c r="J2721" s="1189"/>
      <c r="K2721" s="716"/>
    </row>
    <row r="2722" spans="1:11" x14ac:dyDescent="0.25">
      <c r="A2722" s="1190">
        <v>1</v>
      </c>
      <c r="B2722" s="745"/>
      <c r="C2722" s="1117"/>
      <c r="D2722" s="1117"/>
      <c r="E2722" s="1117"/>
      <c r="F2722" s="1117"/>
      <c r="G2722" s="632"/>
      <c r="H2722" s="745"/>
      <c r="I2722" s="1117"/>
      <c r="J2722" s="632"/>
      <c r="K2722" s="1118"/>
    </row>
    <row r="2723" spans="1:11" x14ac:dyDescent="0.25">
      <c r="A2723" s="718">
        <v>2</v>
      </c>
      <c r="B2723" s="668"/>
      <c r="C2723" s="721"/>
      <c r="D2723" s="721"/>
      <c r="E2723" s="721"/>
      <c r="F2723" s="721"/>
      <c r="G2723" s="639"/>
      <c r="H2723" s="668"/>
      <c r="I2723" s="721"/>
      <c r="J2723" s="639"/>
      <c r="K2723" s="1124"/>
    </row>
    <row r="2724" spans="1:11" x14ac:dyDescent="0.25">
      <c r="A2724" s="718">
        <v>3</v>
      </c>
      <c r="B2724" s="668"/>
      <c r="C2724" s="721"/>
      <c r="D2724" s="721"/>
      <c r="E2724" s="721"/>
      <c r="F2724" s="721"/>
      <c r="G2724" s="639"/>
      <c r="H2724" s="668"/>
      <c r="I2724" s="721"/>
      <c r="J2724" s="639"/>
      <c r="K2724" s="1124"/>
    </row>
    <row r="2725" spans="1:11" x14ac:dyDescent="0.25">
      <c r="A2725" s="718">
        <v>4</v>
      </c>
      <c r="B2725" s="668"/>
      <c r="C2725" s="721"/>
      <c r="D2725" s="721"/>
      <c r="E2725" s="721"/>
      <c r="F2725" s="721"/>
      <c r="G2725" s="639"/>
      <c r="H2725" s="668"/>
      <c r="I2725" s="721"/>
      <c r="J2725" s="639"/>
      <c r="K2725" s="1124"/>
    </row>
    <row r="2726" spans="1:11" x14ac:dyDescent="0.25">
      <c r="A2726" s="718">
        <v>5</v>
      </c>
      <c r="B2726" s="668"/>
      <c r="C2726" s="721"/>
      <c r="D2726" s="721"/>
      <c r="E2726" s="721"/>
      <c r="F2726" s="721"/>
      <c r="G2726" s="639"/>
      <c r="H2726" s="668"/>
      <c r="I2726" s="721"/>
      <c r="J2726" s="639"/>
      <c r="K2726" s="1124"/>
    </row>
    <row r="2727" spans="1:11" ht="13.8" thickBot="1" x14ac:dyDescent="0.3">
      <c r="A2727" s="719">
        <v>6</v>
      </c>
      <c r="B2727" s="669"/>
      <c r="C2727" s="1137"/>
      <c r="D2727" s="1137"/>
      <c r="E2727" s="1137"/>
      <c r="F2727" s="1137"/>
      <c r="G2727" s="646"/>
      <c r="H2727" s="669"/>
      <c r="I2727" s="1137"/>
      <c r="J2727" s="646"/>
      <c r="K2727" s="1138"/>
    </row>
    <row r="2728" spans="1:11" x14ac:dyDescent="0.25">
      <c r="A2728" s="1190">
        <v>1</v>
      </c>
      <c r="B2728" s="745"/>
      <c r="C2728" s="1117"/>
      <c r="D2728" s="1117"/>
      <c r="E2728" s="1117"/>
      <c r="F2728" s="1117"/>
      <c r="G2728" s="632"/>
      <c r="H2728" s="745"/>
      <c r="I2728" s="1117"/>
      <c r="J2728" s="632"/>
      <c r="K2728" s="1118"/>
    </row>
    <row r="2729" spans="1:11" x14ac:dyDescent="0.25">
      <c r="A2729" s="718">
        <v>2</v>
      </c>
      <c r="B2729" s="668"/>
      <c r="C2729" s="721"/>
      <c r="D2729" s="721"/>
      <c r="E2729" s="721"/>
      <c r="F2729" s="721"/>
      <c r="G2729" s="639"/>
      <c r="H2729" s="668"/>
      <c r="I2729" s="721"/>
      <c r="J2729" s="639"/>
      <c r="K2729" s="1124"/>
    </row>
    <row r="2730" spans="1:11" ht="13.8" thickBot="1" x14ac:dyDescent="0.3">
      <c r="A2730" s="719">
        <v>3</v>
      </c>
      <c r="B2730" s="669"/>
      <c r="C2730" s="1137"/>
      <c r="D2730" s="1137"/>
      <c r="E2730" s="1137"/>
      <c r="F2730" s="1137"/>
      <c r="G2730" s="646"/>
      <c r="H2730" s="669"/>
      <c r="I2730" s="1137"/>
      <c r="J2730" s="646"/>
      <c r="K2730" s="1138"/>
    </row>
    <row r="2731" spans="1:11" ht="13.8" thickBot="1" x14ac:dyDescent="0.3">
      <c r="A2731" s="1186" t="s">
        <v>759</v>
      </c>
      <c r="B2731" s="1187"/>
      <c r="C2731" s="1188"/>
      <c r="D2731" s="1188"/>
      <c r="E2731" s="1188"/>
      <c r="F2731" s="1188"/>
      <c r="G2731" s="1189"/>
      <c r="H2731" s="1187"/>
      <c r="I2731" s="1188"/>
      <c r="J2731" s="1189"/>
      <c r="K2731" s="716"/>
    </row>
    <row r="2732" spans="1:11" x14ac:dyDescent="0.25">
      <c r="A2732" s="1190">
        <v>1</v>
      </c>
      <c r="B2732" s="745"/>
      <c r="C2732" s="1117"/>
      <c r="D2732" s="1117"/>
      <c r="E2732" s="1117"/>
      <c r="F2732" s="1117"/>
      <c r="G2732" s="632"/>
      <c r="H2732" s="745"/>
      <c r="I2732" s="1117"/>
      <c r="J2732" s="632"/>
      <c r="K2732" s="1118"/>
    </row>
    <row r="2733" spans="1:11" x14ac:dyDescent="0.25">
      <c r="A2733" s="718">
        <v>2</v>
      </c>
      <c r="B2733" s="668"/>
      <c r="C2733" s="721"/>
      <c r="D2733" s="721"/>
      <c r="E2733" s="721"/>
      <c r="F2733" s="721"/>
      <c r="G2733" s="639"/>
      <c r="H2733" s="668"/>
      <c r="I2733" s="721"/>
      <c r="J2733" s="639"/>
      <c r="K2733" s="1124"/>
    </row>
    <row r="2734" spans="1:11" x14ac:dyDescent="0.25">
      <c r="A2734" s="718">
        <v>3</v>
      </c>
      <c r="B2734" s="668"/>
      <c r="C2734" s="721"/>
      <c r="D2734" s="721"/>
      <c r="E2734" s="721"/>
      <c r="F2734" s="721"/>
      <c r="G2734" s="639"/>
      <c r="H2734" s="668"/>
      <c r="I2734" s="721"/>
      <c r="J2734" s="639"/>
      <c r="K2734" s="1124"/>
    </row>
    <row r="2735" spans="1:11" x14ac:dyDescent="0.25">
      <c r="A2735" s="718">
        <v>4</v>
      </c>
      <c r="B2735" s="668"/>
      <c r="C2735" s="721"/>
      <c r="D2735" s="721"/>
      <c r="E2735" s="721"/>
      <c r="F2735" s="721"/>
      <c r="G2735" s="639"/>
      <c r="H2735" s="668"/>
      <c r="I2735" s="721"/>
      <c r="J2735" s="639"/>
      <c r="K2735" s="1124"/>
    </row>
    <row r="2736" spans="1:11" x14ac:dyDescent="0.25">
      <c r="A2736" s="718">
        <v>5</v>
      </c>
      <c r="B2736" s="668"/>
      <c r="C2736" s="721"/>
      <c r="D2736" s="721"/>
      <c r="E2736" s="721"/>
      <c r="F2736" s="721"/>
      <c r="G2736" s="639"/>
      <c r="H2736" s="668"/>
      <c r="I2736" s="721"/>
      <c r="J2736" s="639"/>
      <c r="K2736" s="1124"/>
    </row>
    <row r="2737" spans="1:11" ht="13.8" thickBot="1" x14ac:dyDescent="0.3">
      <c r="A2737" s="719">
        <v>6</v>
      </c>
      <c r="B2737" s="669"/>
      <c r="C2737" s="1137"/>
      <c r="D2737" s="1137"/>
      <c r="E2737" s="1137"/>
      <c r="F2737" s="1137"/>
      <c r="G2737" s="646"/>
      <c r="H2737" s="669"/>
      <c r="I2737" s="1137"/>
      <c r="J2737" s="646"/>
      <c r="K2737" s="1138"/>
    </row>
    <row r="2738" spans="1:11" x14ac:dyDescent="0.25">
      <c r="A2738" s="1190">
        <v>1</v>
      </c>
      <c r="B2738" s="745"/>
      <c r="C2738" s="1117"/>
      <c r="D2738" s="1117"/>
      <c r="E2738" s="1117"/>
      <c r="F2738" s="1117"/>
      <c r="G2738" s="632"/>
      <c r="H2738" s="745"/>
      <c r="I2738" s="1117"/>
      <c r="J2738" s="632"/>
      <c r="K2738" s="1118"/>
    </row>
    <row r="2739" spans="1:11" x14ac:dyDescent="0.25">
      <c r="A2739" s="718">
        <v>2</v>
      </c>
      <c r="B2739" s="668"/>
      <c r="C2739" s="721"/>
      <c r="D2739" s="721"/>
      <c r="E2739" s="721"/>
      <c r="F2739" s="721"/>
      <c r="G2739" s="639"/>
      <c r="H2739" s="668"/>
      <c r="I2739" s="721"/>
      <c r="J2739" s="639"/>
      <c r="K2739" s="1124"/>
    </row>
    <row r="2740" spans="1:11" ht="13.8" thickBot="1" x14ac:dyDescent="0.3">
      <c r="A2740" s="719">
        <v>3</v>
      </c>
      <c r="B2740" s="669"/>
      <c r="C2740" s="1137"/>
      <c r="D2740" s="1137"/>
      <c r="E2740" s="1137"/>
      <c r="F2740" s="1137"/>
      <c r="G2740" s="646"/>
      <c r="H2740" s="669"/>
      <c r="I2740" s="1137"/>
      <c r="J2740" s="646"/>
      <c r="K2740" s="1138"/>
    </row>
    <row r="2741" spans="1:11" ht="13.8" thickBot="1" x14ac:dyDescent="0.3">
      <c r="A2741" s="1186" t="s">
        <v>760</v>
      </c>
      <c r="B2741" s="1187"/>
      <c r="C2741" s="1188"/>
      <c r="D2741" s="1188"/>
      <c r="E2741" s="1188"/>
      <c r="F2741" s="1188"/>
      <c r="G2741" s="1189"/>
      <c r="H2741" s="1187"/>
      <c r="I2741" s="1188"/>
      <c r="J2741" s="1189"/>
      <c r="K2741" s="716"/>
    </row>
    <row r="2742" spans="1:11" x14ac:dyDescent="0.25">
      <c r="A2742" s="1190">
        <v>1</v>
      </c>
      <c r="B2742" s="745"/>
      <c r="C2742" s="1117"/>
      <c r="D2742" s="1117"/>
      <c r="E2742" s="1117"/>
      <c r="F2742" s="1117"/>
      <c r="G2742" s="632"/>
      <c r="H2742" s="745"/>
      <c r="I2742" s="1117"/>
      <c r="J2742" s="632"/>
      <c r="K2742" s="1118"/>
    </row>
    <row r="2743" spans="1:11" x14ac:dyDescent="0.25">
      <c r="A2743" s="718">
        <v>2</v>
      </c>
      <c r="B2743" s="668"/>
      <c r="C2743" s="721"/>
      <c r="D2743" s="721"/>
      <c r="E2743" s="721"/>
      <c r="F2743" s="721"/>
      <c r="G2743" s="639"/>
      <c r="H2743" s="668"/>
      <c r="I2743" s="721"/>
      <c r="J2743" s="639"/>
      <c r="K2743" s="1124"/>
    </row>
    <row r="2744" spans="1:11" x14ac:dyDescent="0.25">
      <c r="A2744" s="718">
        <v>3</v>
      </c>
      <c r="B2744" s="668"/>
      <c r="C2744" s="721"/>
      <c r="D2744" s="721"/>
      <c r="E2744" s="721"/>
      <c r="F2744" s="721"/>
      <c r="G2744" s="639"/>
      <c r="H2744" s="668"/>
      <c r="I2744" s="721"/>
      <c r="J2744" s="639"/>
      <c r="K2744" s="1124"/>
    </row>
    <row r="2745" spans="1:11" x14ac:dyDescent="0.25">
      <c r="A2745" s="718">
        <v>4</v>
      </c>
      <c r="B2745" s="668"/>
      <c r="C2745" s="721"/>
      <c r="D2745" s="721"/>
      <c r="E2745" s="721"/>
      <c r="F2745" s="721"/>
      <c r="G2745" s="639"/>
      <c r="H2745" s="668"/>
      <c r="I2745" s="721"/>
      <c r="J2745" s="639"/>
      <c r="K2745" s="1124"/>
    </row>
    <row r="2746" spans="1:11" x14ac:dyDescent="0.25">
      <c r="A2746" s="718">
        <v>5</v>
      </c>
      <c r="B2746" s="668"/>
      <c r="C2746" s="721"/>
      <c r="D2746" s="721"/>
      <c r="E2746" s="721"/>
      <c r="F2746" s="721"/>
      <c r="G2746" s="639"/>
      <c r="H2746" s="668"/>
      <c r="I2746" s="721"/>
      <c r="J2746" s="639"/>
      <c r="K2746" s="1124"/>
    </row>
    <row r="2747" spans="1:11" ht="13.8" thickBot="1" x14ac:dyDescent="0.3">
      <c r="A2747" s="719">
        <v>6</v>
      </c>
      <c r="B2747" s="669"/>
      <c r="C2747" s="1137"/>
      <c r="D2747" s="1137"/>
      <c r="E2747" s="1137"/>
      <c r="F2747" s="1137"/>
      <c r="G2747" s="646"/>
      <c r="H2747" s="669"/>
      <c r="I2747" s="1137"/>
      <c r="J2747" s="646"/>
      <c r="K2747" s="1138"/>
    </row>
    <row r="2748" spans="1:11" x14ac:dyDescent="0.25">
      <c r="A2748" s="1190">
        <v>1</v>
      </c>
      <c r="B2748" s="745"/>
      <c r="C2748" s="1117"/>
      <c r="D2748" s="1117"/>
      <c r="E2748" s="1117"/>
      <c r="F2748" s="1117"/>
      <c r="G2748" s="632"/>
      <c r="H2748" s="745"/>
      <c r="I2748" s="1117"/>
      <c r="J2748" s="632"/>
      <c r="K2748" s="1118"/>
    </row>
    <row r="2749" spans="1:11" x14ac:dyDescent="0.25">
      <c r="A2749" s="718">
        <v>2</v>
      </c>
      <c r="B2749" s="668"/>
      <c r="C2749" s="721"/>
      <c r="D2749" s="721"/>
      <c r="E2749" s="721"/>
      <c r="F2749" s="721"/>
      <c r="G2749" s="639"/>
      <c r="H2749" s="668"/>
      <c r="I2749" s="721"/>
      <c r="J2749" s="639"/>
      <c r="K2749" s="1124"/>
    </row>
    <row r="2750" spans="1:11" ht="13.8" thickBot="1" x14ac:dyDescent="0.3">
      <c r="A2750" s="719">
        <v>3</v>
      </c>
      <c r="B2750" s="669"/>
      <c r="C2750" s="1137"/>
      <c r="D2750" s="1137"/>
      <c r="E2750" s="1137"/>
      <c r="F2750" s="1137"/>
      <c r="G2750" s="646"/>
      <c r="H2750" s="669"/>
      <c r="I2750" s="1137"/>
      <c r="J2750" s="646"/>
      <c r="K2750" s="1138"/>
    </row>
    <row r="2751" spans="1:11" ht="13.8" thickBot="1" x14ac:dyDescent="0.3">
      <c r="A2751" s="1186" t="s">
        <v>761</v>
      </c>
      <c r="B2751" s="1187"/>
      <c r="C2751" s="1188"/>
      <c r="D2751" s="1188"/>
      <c r="E2751" s="1188"/>
      <c r="F2751" s="1188"/>
      <c r="G2751" s="1189"/>
      <c r="H2751" s="1187"/>
      <c r="I2751" s="1188"/>
      <c r="J2751" s="1189"/>
      <c r="K2751" s="716"/>
    </row>
    <row r="2752" spans="1:11" x14ac:dyDescent="0.25">
      <c r="A2752" s="1190">
        <v>1</v>
      </c>
      <c r="B2752" s="745"/>
      <c r="C2752" s="1117"/>
      <c r="D2752" s="1117"/>
      <c r="E2752" s="1117"/>
      <c r="F2752" s="1117"/>
      <c r="G2752" s="632"/>
      <c r="H2752" s="745"/>
      <c r="I2752" s="1117"/>
      <c r="J2752" s="632"/>
      <c r="K2752" s="1118"/>
    </row>
    <row r="2753" spans="1:11" x14ac:dyDescent="0.25">
      <c r="A2753" s="718">
        <v>2</v>
      </c>
      <c r="B2753" s="668"/>
      <c r="C2753" s="721"/>
      <c r="D2753" s="721"/>
      <c r="E2753" s="721"/>
      <c r="F2753" s="721"/>
      <c r="G2753" s="639"/>
      <c r="H2753" s="668"/>
      <c r="I2753" s="721"/>
      <c r="J2753" s="639"/>
      <c r="K2753" s="1124"/>
    </row>
    <row r="2754" spans="1:11" x14ac:dyDescent="0.25">
      <c r="A2754" s="718">
        <v>3</v>
      </c>
      <c r="B2754" s="668"/>
      <c r="C2754" s="721"/>
      <c r="D2754" s="721"/>
      <c r="E2754" s="721"/>
      <c r="F2754" s="721"/>
      <c r="G2754" s="639"/>
      <c r="H2754" s="668"/>
      <c r="I2754" s="721"/>
      <c r="J2754" s="639"/>
      <c r="K2754" s="1124"/>
    </row>
    <row r="2755" spans="1:11" x14ac:dyDescent="0.25">
      <c r="A2755" s="718">
        <v>4</v>
      </c>
      <c r="B2755" s="668"/>
      <c r="C2755" s="721"/>
      <c r="D2755" s="721"/>
      <c r="E2755" s="721"/>
      <c r="F2755" s="721"/>
      <c r="G2755" s="639"/>
      <c r="H2755" s="668"/>
      <c r="I2755" s="721"/>
      <c r="J2755" s="639"/>
      <c r="K2755" s="1124"/>
    </row>
    <row r="2756" spans="1:11" x14ac:dyDescent="0.25">
      <c r="A2756" s="718">
        <v>5</v>
      </c>
      <c r="B2756" s="668"/>
      <c r="C2756" s="721"/>
      <c r="D2756" s="721"/>
      <c r="E2756" s="721"/>
      <c r="F2756" s="721"/>
      <c r="G2756" s="639"/>
      <c r="H2756" s="668"/>
      <c r="I2756" s="721"/>
      <c r="J2756" s="639"/>
      <c r="K2756" s="1124"/>
    </row>
    <row r="2757" spans="1:11" ht="13.8" thickBot="1" x14ac:dyDescent="0.3">
      <c r="A2757" s="719">
        <v>6</v>
      </c>
      <c r="B2757" s="669"/>
      <c r="C2757" s="1137"/>
      <c r="D2757" s="1137"/>
      <c r="E2757" s="1137"/>
      <c r="F2757" s="1137"/>
      <c r="G2757" s="646"/>
      <c r="H2757" s="669"/>
      <c r="I2757" s="1137"/>
      <c r="J2757" s="646"/>
      <c r="K2757" s="1138"/>
    </row>
    <row r="2758" spans="1:11" x14ac:dyDescent="0.25">
      <c r="A2758" s="1190">
        <v>1</v>
      </c>
      <c r="B2758" s="745"/>
      <c r="C2758" s="1117"/>
      <c r="D2758" s="1117"/>
      <c r="E2758" s="1117"/>
      <c r="F2758" s="1117"/>
      <c r="G2758" s="632"/>
      <c r="H2758" s="745"/>
      <c r="I2758" s="1117"/>
      <c r="J2758" s="632"/>
      <c r="K2758" s="1118"/>
    </row>
    <row r="2759" spans="1:11" x14ac:dyDescent="0.25">
      <c r="A2759" s="718">
        <v>2</v>
      </c>
      <c r="B2759" s="668"/>
      <c r="C2759" s="721"/>
      <c r="D2759" s="721"/>
      <c r="E2759" s="721"/>
      <c r="F2759" s="721"/>
      <c r="G2759" s="639"/>
      <c r="H2759" s="668"/>
      <c r="I2759" s="721"/>
      <c r="J2759" s="639"/>
      <c r="K2759" s="1124"/>
    </row>
    <row r="2760" spans="1:11" ht="13.8" thickBot="1" x14ac:dyDescent="0.3">
      <c r="A2760" s="1191">
        <v>3</v>
      </c>
      <c r="B2760" s="1132"/>
      <c r="C2760" s="1133"/>
      <c r="D2760" s="1133"/>
      <c r="E2760" s="1133"/>
      <c r="F2760" s="1133"/>
      <c r="G2760" s="1134"/>
      <c r="H2760" s="1132"/>
      <c r="I2760" s="1133"/>
      <c r="J2760" s="1134"/>
      <c r="K2760" s="1147"/>
    </row>
    <row r="2761" spans="1:11" ht="13.8" thickBot="1" x14ac:dyDescent="0.3">
      <c r="A2761" s="1186" t="s">
        <v>762</v>
      </c>
      <c r="B2761" s="1187"/>
      <c r="C2761" s="1188"/>
      <c r="D2761" s="1188"/>
      <c r="E2761" s="1188"/>
      <c r="F2761" s="1188"/>
      <c r="G2761" s="1189"/>
      <c r="H2761" s="1187"/>
      <c r="I2761" s="1188"/>
      <c r="J2761" s="1189"/>
      <c r="K2761" s="716"/>
    </row>
    <row r="2762" spans="1:11" x14ac:dyDescent="0.25">
      <c r="A2762" s="1190">
        <v>1</v>
      </c>
      <c r="B2762" s="745"/>
      <c r="C2762" s="1117"/>
      <c r="D2762" s="1117"/>
      <c r="E2762" s="1117"/>
      <c r="F2762" s="1117"/>
      <c r="G2762" s="632"/>
      <c r="H2762" s="745"/>
      <c r="I2762" s="1117"/>
      <c r="J2762" s="632"/>
      <c r="K2762" s="1118"/>
    </row>
    <row r="2763" spans="1:11" x14ac:dyDescent="0.25">
      <c r="A2763" s="718">
        <v>2</v>
      </c>
      <c r="B2763" s="668"/>
      <c r="C2763" s="721"/>
      <c r="D2763" s="721"/>
      <c r="E2763" s="721"/>
      <c r="F2763" s="721"/>
      <c r="G2763" s="639"/>
      <c r="H2763" s="668"/>
      <c r="I2763" s="721"/>
      <c r="J2763" s="639"/>
      <c r="K2763" s="1124"/>
    </row>
    <row r="2764" spans="1:11" x14ac:dyDescent="0.25">
      <c r="A2764" s="718">
        <v>3</v>
      </c>
      <c r="B2764" s="668"/>
      <c r="C2764" s="721"/>
      <c r="D2764" s="721"/>
      <c r="E2764" s="721"/>
      <c r="F2764" s="721"/>
      <c r="G2764" s="639"/>
      <c r="H2764" s="668"/>
      <c r="I2764" s="721"/>
      <c r="J2764" s="639"/>
      <c r="K2764" s="1124"/>
    </row>
    <row r="2765" spans="1:11" x14ac:dyDescent="0.25">
      <c r="A2765" s="718">
        <v>4</v>
      </c>
      <c r="B2765" s="668"/>
      <c r="C2765" s="721"/>
      <c r="D2765" s="721"/>
      <c r="E2765" s="721"/>
      <c r="F2765" s="721"/>
      <c r="G2765" s="639"/>
      <c r="H2765" s="668"/>
      <c r="I2765" s="721"/>
      <c r="J2765" s="639"/>
      <c r="K2765" s="1124"/>
    </row>
    <row r="2766" spans="1:11" x14ac:dyDescent="0.25">
      <c r="A2766" s="718">
        <v>5</v>
      </c>
      <c r="B2766" s="668"/>
      <c r="C2766" s="721"/>
      <c r="D2766" s="721"/>
      <c r="E2766" s="721"/>
      <c r="F2766" s="721"/>
      <c r="G2766" s="639"/>
      <c r="H2766" s="668"/>
      <c r="I2766" s="721"/>
      <c r="J2766" s="639"/>
      <c r="K2766" s="1124"/>
    </row>
    <row r="2767" spans="1:11" ht="13.8" thickBot="1" x14ac:dyDescent="0.3">
      <c r="A2767" s="719">
        <v>6</v>
      </c>
      <c r="B2767" s="669"/>
      <c r="C2767" s="1137"/>
      <c r="D2767" s="1137"/>
      <c r="E2767" s="1137"/>
      <c r="F2767" s="1137"/>
      <c r="G2767" s="646"/>
      <c r="H2767" s="669"/>
      <c r="I2767" s="1137"/>
      <c r="J2767" s="646"/>
      <c r="K2767" s="1138"/>
    </row>
    <row r="2768" spans="1:11" x14ac:dyDescent="0.25">
      <c r="A2768" s="1190">
        <v>1</v>
      </c>
      <c r="B2768" s="745"/>
      <c r="C2768" s="1117"/>
      <c r="D2768" s="1117"/>
      <c r="E2768" s="1117"/>
      <c r="F2768" s="1117"/>
      <c r="G2768" s="632"/>
      <c r="H2768" s="745"/>
      <c r="I2768" s="1117"/>
      <c r="J2768" s="632"/>
      <c r="K2768" s="1118"/>
    </row>
    <row r="2769" spans="1:11" x14ac:dyDescent="0.25">
      <c r="A2769" s="718">
        <v>2</v>
      </c>
      <c r="B2769" s="668"/>
      <c r="C2769" s="721"/>
      <c r="D2769" s="721"/>
      <c r="E2769" s="721"/>
      <c r="F2769" s="721"/>
      <c r="G2769" s="639"/>
      <c r="H2769" s="668"/>
      <c r="I2769" s="721"/>
      <c r="J2769" s="639"/>
      <c r="K2769" s="1124"/>
    </row>
    <row r="2770" spans="1:11" ht="13.8" thickBot="1" x14ac:dyDescent="0.3">
      <c r="A2770" s="719">
        <v>3</v>
      </c>
      <c r="B2770" s="669"/>
      <c r="C2770" s="1137"/>
      <c r="D2770" s="1137"/>
      <c r="E2770" s="1137"/>
      <c r="F2770" s="1137"/>
      <c r="G2770" s="646"/>
      <c r="H2770" s="669"/>
      <c r="I2770" s="1137"/>
      <c r="J2770" s="646"/>
      <c r="K2770" s="1138"/>
    </row>
    <row r="2771" spans="1:11" ht="13.8" thickBot="1" x14ac:dyDescent="0.3">
      <c r="A2771" s="1186" t="s">
        <v>763</v>
      </c>
      <c r="B2771" s="1187"/>
      <c r="C2771" s="1188"/>
      <c r="D2771" s="1188"/>
      <c r="E2771" s="1188"/>
      <c r="F2771" s="1188"/>
      <c r="G2771" s="1189"/>
      <c r="H2771" s="1187"/>
      <c r="I2771" s="1188"/>
      <c r="J2771" s="1189"/>
      <c r="K2771" s="716"/>
    </row>
    <row r="2772" spans="1:11" x14ac:dyDescent="0.25">
      <c r="A2772" s="1190">
        <v>1</v>
      </c>
      <c r="B2772" s="745"/>
      <c r="C2772" s="1117"/>
      <c r="D2772" s="1117"/>
      <c r="E2772" s="1117"/>
      <c r="F2772" s="1117"/>
      <c r="G2772" s="632"/>
      <c r="H2772" s="745"/>
      <c r="I2772" s="1117"/>
      <c r="J2772" s="632"/>
      <c r="K2772" s="1118"/>
    </row>
    <row r="2773" spans="1:11" x14ac:dyDescent="0.25">
      <c r="A2773" s="718">
        <v>2</v>
      </c>
      <c r="B2773" s="668"/>
      <c r="C2773" s="721"/>
      <c r="D2773" s="721"/>
      <c r="E2773" s="721"/>
      <c r="F2773" s="721"/>
      <c r="G2773" s="639"/>
      <c r="H2773" s="668"/>
      <c r="I2773" s="721"/>
      <c r="J2773" s="639"/>
      <c r="K2773" s="1124"/>
    </row>
    <row r="2774" spans="1:11" x14ac:dyDescent="0.25">
      <c r="A2774" s="718">
        <v>3</v>
      </c>
      <c r="B2774" s="668"/>
      <c r="C2774" s="721"/>
      <c r="D2774" s="721"/>
      <c r="E2774" s="721"/>
      <c r="F2774" s="721"/>
      <c r="G2774" s="639"/>
      <c r="H2774" s="668"/>
      <c r="I2774" s="721"/>
      <c r="J2774" s="639"/>
      <c r="K2774" s="1124"/>
    </row>
    <row r="2775" spans="1:11" x14ac:dyDescent="0.25">
      <c r="A2775" s="718">
        <v>4</v>
      </c>
      <c r="B2775" s="668"/>
      <c r="C2775" s="721"/>
      <c r="D2775" s="721"/>
      <c r="E2775" s="721"/>
      <c r="F2775" s="721"/>
      <c r="G2775" s="639"/>
      <c r="H2775" s="668"/>
      <c r="I2775" s="721"/>
      <c r="J2775" s="639"/>
      <c r="K2775" s="1124"/>
    </row>
    <row r="2776" spans="1:11" x14ac:dyDescent="0.25">
      <c r="A2776" s="718">
        <v>5</v>
      </c>
      <c r="B2776" s="668"/>
      <c r="C2776" s="721"/>
      <c r="D2776" s="721"/>
      <c r="E2776" s="721"/>
      <c r="F2776" s="721"/>
      <c r="G2776" s="639"/>
      <c r="H2776" s="668"/>
      <c r="I2776" s="721"/>
      <c r="J2776" s="639"/>
      <c r="K2776" s="1124"/>
    </row>
    <row r="2777" spans="1:11" ht="13.8" thickBot="1" x14ac:dyDescent="0.3">
      <c r="A2777" s="719">
        <v>6</v>
      </c>
      <c r="B2777" s="669"/>
      <c r="C2777" s="1137"/>
      <c r="D2777" s="1137"/>
      <c r="E2777" s="1137"/>
      <c r="F2777" s="1137"/>
      <c r="G2777" s="646"/>
      <c r="H2777" s="669"/>
      <c r="I2777" s="1137"/>
      <c r="J2777" s="646"/>
      <c r="K2777" s="1138"/>
    </row>
    <row r="2778" spans="1:11" x14ac:dyDescent="0.25">
      <c r="A2778" s="1190">
        <v>1</v>
      </c>
      <c r="B2778" s="745"/>
      <c r="C2778" s="1117"/>
      <c r="D2778" s="1117"/>
      <c r="E2778" s="1117"/>
      <c r="F2778" s="1117"/>
      <c r="G2778" s="632"/>
      <c r="H2778" s="745"/>
      <c r="I2778" s="1117"/>
      <c r="J2778" s="632"/>
      <c r="K2778" s="1118"/>
    </row>
    <row r="2779" spans="1:11" x14ac:dyDescent="0.25">
      <c r="A2779" s="718">
        <v>2</v>
      </c>
      <c r="B2779" s="668"/>
      <c r="C2779" s="721"/>
      <c r="D2779" s="721"/>
      <c r="E2779" s="721"/>
      <c r="F2779" s="721"/>
      <c r="G2779" s="639"/>
      <c r="H2779" s="668"/>
      <c r="I2779" s="721"/>
      <c r="J2779" s="639"/>
      <c r="K2779" s="1124"/>
    </row>
    <row r="2780" spans="1:11" ht="13.8" thickBot="1" x14ac:dyDescent="0.3">
      <c r="A2780" s="719">
        <v>3</v>
      </c>
      <c r="B2780" s="669"/>
      <c r="C2780" s="1137"/>
      <c r="D2780" s="1137"/>
      <c r="E2780" s="1137"/>
      <c r="F2780" s="1137"/>
      <c r="G2780" s="646"/>
      <c r="H2780" s="669"/>
      <c r="I2780" s="1137"/>
      <c r="J2780" s="646"/>
      <c r="K2780" s="1138"/>
    </row>
    <row r="2781" spans="1:11" ht="13.8" thickBot="1" x14ac:dyDescent="0.3">
      <c r="A2781" s="1186" t="s">
        <v>764</v>
      </c>
      <c r="B2781" s="1187"/>
      <c r="C2781" s="1188"/>
      <c r="D2781" s="1188"/>
      <c r="E2781" s="1188"/>
      <c r="F2781" s="1188"/>
      <c r="G2781" s="1189"/>
      <c r="H2781" s="1187"/>
      <c r="I2781" s="1188"/>
      <c r="J2781" s="1189"/>
      <c r="K2781" s="716"/>
    </row>
    <row r="2782" spans="1:11" x14ac:dyDescent="0.25">
      <c r="A2782" s="1190">
        <v>1</v>
      </c>
      <c r="B2782" s="745"/>
      <c r="C2782" s="1117"/>
      <c r="D2782" s="1117"/>
      <c r="E2782" s="1117"/>
      <c r="F2782" s="1117"/>
      <c r="G2782" s="632"/>
      <c r="H2782" s="745"/>
      <c r="I2782" s="1117"/>
      <c r="J2782" s="632"/>
      <c r="K2782" s="1118"/>
    </row>
    <row r="2783" spans="1:11" x14ac:dyDescent="0.25">
      <c r="A2783" s="718">
        <v>2</v>
      </c>
      <c r="B2783" s="668"/>
      <c r="C2783" s="721"/>
      <c r="D2783" s="721"/>
      <c r="E2783" s="721"/>
      <c r="F2783" s="721"/>
      <c r="G2783" s="639"/>
      <c r="H2783" s="668"/>
      <c r="I2783" s="721"/>
      <c r="J2783" s="639"/>
      <c r="K2783" s="1124"/>
    </row>
    <row r="2784" spans="1:11" x14ac:dyDescent="0.25">
      <c r="A2784" s="718">
        <v>3</v>
      </c>
      <c r="B2784" s="668"/>
      <c r="C2784" s="721"/>
      <c r="D2784" s="721"/>
      <c r="E2784" s="721"/>
      <c r="F2784" s="721"/>
      <c r="G2784" s="639"/>
      <c r="H2784" s="668"/>
      <c r="I2784" s="721"/>
      <c r="J2784" s="639"/>
      <c r="K2784" s="1124"/>
    </row>
    <row r="2785" spans="1:11" x14ac:dyDescent="0.25">
      <c r="A2785" s="718">
        <v>4</v>
      </c>
      <c r="B2785" s="668"/>
      <c r="C2785" s="721"/>
      <c r="D2785" s="721"/>
      <c r="E2785" s="721"/>
      <c r="F2785" s="721"/>
      <c r="G2785" s="639"/>
      <c r="H2785" s="668"/>
      <c r="I2785" s="721"/>
      <c r="J2785" s="639"/>
      <c r="K2785" s="1124"/>
    </row>
    <row r="2786" spans="1:11" x14ac:dyDescent="0.25">
      <c r="A2786" s="718">
        <v>5</v>
      </c>
      <c r="B2786" s="668"/>
      <c r="C2786" s="721"/>
      <c r="D2786" s="721"/>
      <c r="E2786" s="721"/>
      <c r="F2786" s="721"/>
      <c r="G2786" s="639"/>
      <c r="H2786" s="668"/>
      <c r="I2786" s="721"/>
      <c r="J2786" s="639"/>
      <c r="K2786" s="1124"/>
    </row>
    <row r="2787" spans="1:11" ht="13.8" thickBot="1" x14ac:dyDescent="0.3">
      <c r="A2787" s="719">
        <v>6</v>
      </c>
      <c r="B2787" s="669"/>
      <c r="C2787" s="1137"/>
      <c r="D2787" s="1137"/>
      <c r="E2787" s="1137"/>
      <c r="F2787" s="1137"/>
      <c r="G2787" s="646"/>
      <c r="H2787" s="669"/>
      <c r="I2787" s="1137"/>
      <c r="J2787" s="646"/>
      <c r="K2787" s="1138"/>
    </row>
    <row r="2788" spans="1:11" x14ac:dyDescent="0.25">
      <c r="A2788" s="1190">
        <v>1</v>
      </c>
      <c r="B2788" s="745"/>
      <c r="C2788" s="1117"/>
      <c r="D2788" s="1117"/>
      <c r="E2788" s="1117"/>
      <c r="F2788" s="1117"/>
      <c r="G2788" s="632"/>
      <c r="H2788" s="745"/>
      <c r="I2788" s="1117"/>
      <c r="J2788" s="632"/>
      <c r="K2788" s="1118"/>
    </row>
    <row r="2789" spans="1:11" x14ac:dyDescent="0.25">
      <c r="A2789" s="718">
        <v>2</v>
      </c>
      <c r="B2789" s="668"/>
      <c r="C2789" s="721"/>
      <c r="D2789" s="721"/>
      <c r="E2789" s="721"/>
      <c r="F2789" s="721"/>
      <c r="G2789" s="639"/>
      <c r="H2789" s="668"/>
      <c r="I2789" s="721"/>
      <c r="J2789" s="639"/>
      <c r="K2789" s="1124"/>
    </row>
    <row r="2790" spans="1:11" ht="13.8" thickBot="1" x14ac:dyDescent="0.3">
      <c r="A2790" s="719">
        <v>3</v>
      </c>
      <c r="B2790" s="669"/>
      <c r="C2790" s="1137"/>
      <c r="D2790" s="1137"/>
      <c r="E2790" s="1137"/>
      <c r="F2790" s="1137"/>
      <c r="G2790" s="646"/>
      <c r="H2790" s="669"/>
      <c r="I2790" s="1137"/>
      <c r="J2790" s="646"/>
      <c r="K2790" s="1138"/>
    </row>
    <row r="2791" spans="1:11" ht="13.8" thickBot="1" x14ac:dyDescent="0.3">
      <c r="A2791" s="1186" t="s">
        <v>765</v>
      </c>
      <c r="B2791" s="1187"/>
      <c r="C2791" s="1188"/>
      <c r="D2791" s="1188"/>
      <c r="E2791" s="1188"/>
      <c r="F2791" s="1188"/>
      <c r="G2791" s="1189"/>
      <c r="H2791" s="1187"/>
      <c r="I2791" s="1188"/>
      <c r="J2791" s="1189"/>
      <c r="K2791" s="716"/>
    </row>
    <row r="2792" spans="1:11" x14ac:dyDescent="0.25">
      <c r="A2792" s="1190">
        <v>1</v>
      </c>
      <c r="B2792" s="745"/>
      <c r="C2792" s="1117"/>
      <c r="D2792" s="1117"/>
      <c r="E2792" s="1117"/>
      <c r="F2792" s="1117"/>
      <c r="G2792" s="632"/>
      <c r="H2792" s="745"/>
      <c r="I2792" s="1117"/>
      <c r="J2792" s="632"/>
      <c r="K2792" s="1118"/>
    </row>
    <row r="2793" spans="1:11" x14ac:dyDescent="0.25">
      <c r="A2793" s="718">
        <v>2</v>
      </c>
      <c r="B2793" s="668"/>
      <c r="C2793" s="721"/>
      <c r="D2793" s="721"/>
      <c r="E2793" s="721"/>
      <c r="F2793" s="721"/>
      <c r="G2793" s="639"/>
      <c r="H2793" s="668"/>
      <c r="I2793" s="721"/>
      <c r="J2793" s="639"/>
      <c r="K2793" s="1124"/>
    </row>
    <row r="2794" spans="1:11" x14ac:dyDescent="0.25">
      <c r="A2794" s="718">
        <v>3</v>
      </c>
      <c r="B2794" s="668"/>
      <c r="C2794" s="721"/>
      <c r="D2794" s="721"/>
      <c r="E2794" s="721"/>
      <c r="F2794" s="721"/>
      <c r="G2794" s="639"/>
      <c r="H2794" s="668"/>
      <c r="I2794" s="721"/>
      <c r="J2794" s="639"/>
      <c r="K2794" s="1124"/>
    </row>
    <row r="2795" spans="1:11" x14ac:dyDescent="0.25">
      <c r="A2795" s="718">
        <v>4</v>
      </c>
      <c r="B2795" s="668"/>
      <c r="C2795" s="721"/>
      <c r="D2795" s="721"/>
      <c r="E2795" s="721"/>
      <c r="F2795" s="721"/>
      <c r="G2795" s="639"/>
      <c r="H2795" s="668"/>
      <c r="I2795" s="721"/>
      <c r="J2795" s="639"/>
      <c r="K2795" s="1124"/>
    </row>
    <row r="2796" spans="1:11" x14ac:dyDescent="0.25">
      <c r="A2796" s="718">
        <v>5</v>
      </c>
      <c r="B2796" s="668"/>
      <c r="C2796" s="721"/>
      <c r="D2796" s="721"/>
      <c r="E2796" s="721"/>
      <c r="F2796" s="721"/>
      <c r="G2796" s="639"/>
      <c r="H2796" s="668"/>
      <c r="I2796" s="721"/>
      <c r="J2796" s="639"/>
      <c r="K2796" s="1124"/>
    </row>
    <row r="2797" spans="1:11" ht="13.8" thickBot="1" x14ac:dyDescent="0.3">
      <c r="A2797" s="719">
        <v>6</v>
      </c>
      <c r="B2797" s="669"/>
      <c r="C2797" s="1137"/>
      <c r="D2797" s="1137"/>
      <c r="E2797" s="1137"/>
      <c r="F2797" s="1137"/>
      <c r="G2797" s="646"/>
      <c r="H2797" s="669"/>
      <c r="I2797" s="1137"/>
      <c r="J2797" s="646"/>
      <c r="K2797" s="1138"/>
    </row>
    <row r="2798" spans="1:11" x14ac:dyDescent="0.25">
      <c r="A2798" s="1190">
        <v>1</v>
      </c>
      <c r="B2798" s="745"/>
      <c r="C2798" s="1117"/>
      <c r="D2798" s="1117"/>
      <c r="E2798" s="1117"/>
      <c r="F2798" s="1117"/>
      <c r="G2798" s="632"/>
      <c r="H2798" s="745"/>
      <c r="I2798" s="1117"/>
      <c r="J2798" s="632"/>
      <c r="K2798" s="1118"/>
    </row>
    <row r="2799" spans="1:11" x14ac:dyDescent="0.25">
      <c r="A2799" s="718">
        <v>2</v>
      </c>
      <c r="B2799" s="668"/>
      <c r="C2799" s="721"/>
      <c r="D2799" s="721"/>
      <c r="E2799" s="721"/>
      <c r="F2799" s="721"/>
      <c r="G2799" s="639"/>
      <c r="H2799" s="668"/>
      <c r="I2799" s="721"/>
      <c r="J2799" s="639"/>
      <c r="K2799" s="1124"/>
    </row>
    <row r="2800" spans="1:11" ht="13.8" thickBot="1" x14ac:dyDescent="0.3">
      <c r="A2800" s="719">
        <v>3</v>
      </c>
      <c r="B2800" s="669"/>
      <c r="C2800" s="1137"/>
      <c r="D2800" s="1137"/>
      <c r="E2800" s="1137"/>
      <c r="F2800" s="1137"/>
      <c r="G2800" s="646"/>
      <c r="H2800" s="669"/>
      <c r="I2800" s="1137"/>
      <c r="J2800" s="646"/>
      <c r="K2800" s="1138"/>
    </row>
    <row r="2801" spans="1:11" ht="13.8" thickBot="1" x14ac:dyDescent="0.3">
      <c r="A2801" s="1186" t="s">
        <v>766</v>
      </c>
      <c r="B2801" s="1187"/>
      <c r="C2801" s="1188"/>
      <c r="D2801" s="1188"/>
      <c r="E2801" s="1188"/>
      <c r="F2801" s="1188"/>
      <c r="G2801" s="1189"/>
      <c r="H2801" s="1187"/>
      <c r="I2801" s="1188"/>
      <c r="J2801" s="1189"/>
      <c r="K2801" s="716"/>
    </row>
    <row r="2802" spans="1:11" x14ac:dyDescent="0.25">
      <c r="A2802" s="1190">
        <v>1</v>
      </c>
      <c r="B2802" s="745"/>
      <c r="C2802" s="1117"/>
      <c r="D2802" s="1117"/>
      <c r="E2802" s="1117"/>
      <c r="F2802" s="1117"/>
      <c r="G2802" s="632"/>
      <c r="H2802" s="745"/>
      <c r="I2802" s="1117"/>
      <c r="J2802" s="632"/>
      <c r="K2802" s="1118"/>
    </row>
    <row r="2803" spans="1:11" x14ac:dyDescent="0.25">
      <c r="A2803" s="718">
        <v>2</v>
      </c>
      <c r="B2803" s="668"/>
      <c r="C2803" s="721"/>
      <c r="D2803" s="721"/>
      <c r="E2803" s="721"/>
      <c r="F2803" s="721"/>
      <c r="G2803" s="639"/>
      <c r="H2803" s="668"/>
      <c r="I2803" s="721"/>
      <c r="J2803" s="639"/>
      <c r="K2803" s="1124"/>
    </row>
    <row r="2804" spans="1:11" x14ac:dyDescent="0.25">
      <c r="A2804" s="718">
        <v>3</v>
      </c>
      <c r="B2804" s="668"/>
      <c r="C2804" s="721"/>
      <c r="D2804" s="721"/>
      <c r="E2804" s="721"/>
      <c r="F2804" s="721"/>
      <c r="G2804" s="639"/>
      <c r="H2804" s="668"/>
      <c r="I2804" s="721"/>
      <c r="J2804" s="639"/>
      <c r="K2804" s="1124"/>
    </row>
    <row r="2805" spans="1:11" x14ac:dyDescent="0.25">
      <c r="A2805" s="718">
        <v>4</v>
      </c>
      <c r="B2805" s="668"/>
      <c r="C2805" s="721"/>
      <c r="D2805" s="721"/>
      <c r="E2805" s="721"/>
      <c r="F2805" s="721"/>
      <c r="G2805" s="639"/>
      <c r="H2805" s="668"/>
      <c r="I2805" s="721"/>
      <c r="J2805" s="639"/>
      <c r="K2805" s="1124"/>
    </row>
    <row r="2806" spans="1:11" x14ac:dyDescent="0.25">
      <c r="A2806" s="718">
        <v>5</v>
      </c>
      <c r="B2806" s="668"/>
      <c r="C2806" s="721"/>
      <c r="D2806" s="721"/>
      <c r="E2806" s="721"/>
      <c r="F2806" s="721"/>
      <c r="G2806" s="639"/>
      <c r="H2806" s="668"/>
      <c r="I2806" s="721"/>
      <c r="J2806" s="639"/>
      <c r="K2806" s="1124"/>
    </row>
    <row r="2807" spans="1:11" ht="13.8" thickBot="1" x14ac:dyDescent="0.3">
      <c r="A2807" s="719">
        <v>6</v>
      </c>
      <c r="B2807" s="669"/>
      <c r="C2807" s="1137"/>
      <c r="D2807" s="1137"/>
      <c r="E2807" s="1137"/>
      <c r="F2807" s="1137"/>
      <c r="G2807" s="646"/>
      <c r="H2807" s="669"/>
      <c r="I2807" s="1137"/>
      <c r="J2807" s="646"/>
      <c r="K2807" s="1138"/>
    </row>
    <row r="2808" spans="1:11" x14ac:dyDescent="0.25">
      <c r="A2808" s="1190">
        <v>1</v>
      </c>
      <c r="B2808" s="745"/>
      <c r="C2808" s="1117"/>
      <c r="D2808" s="1117"/>
      <c r="E2808" s="1117"/>
      <c r="F2808" s="1117"/>
      <c r="G2808" s="632"/>
      <c r="H2808" s="745"/>
      <c r="I2808" s="1117"/>
      <c r="J2808" s="632"/>
      <c r="K2808" s="1118"/>
    </row>
    <row r="2809" spans="1:11" x14ac:dyDescent="0.25">
      <c r="A2809" s="718">
        <v>2</v>
      </c>
      <c r="B2809" s="668"/>
      <c r="C2809" s="721"/>
      <c r="D2809" s="721"/>
      <c r="E2809" s="721"/>
      <c r="F2809" s="721"/>
      <c r="G2809" s="639"/>
      <c r="H2809" s="668"/>
      <c r="I2809" s="721"/>
      <c r="J2809" s="639"/>
      <c r="K2809" s="1124"/>
    </row>
    <row r="2810" spans="1:11" ht="13.8" thickBot="1" x14ac:dyDescent="0.3">
      <c r="A2810" s="719">
        <v>3</v>
      </c>
      <c r="B2810" s="669"/>
      <c r="C2810" s="1137"/>
      <c r="D2810" s="1137"/>
      <c r="E2810" s="1137"/>
      <c r="F2810" s="1137"/>
      <c r="G2810" s="646"/>
      <c r="H2810" s="669"/>
      <c r="I2810" s="1137"/>
      <c r="J2810" s="646"/>
      <c r="K2810" s="1138"/>
    </row>
    <row r="2811" spans="1:11" ht="13.8" thickBot="1" x14ac:dyDescent="0.3">
      <c r="A2811" s="1186" t="s">
        <v>767</v>
      </c>
      <c r="B2811" s="1187"/>
      <c r="C2811" s="1188"/>
      <c r="D2811" s="1188"/>
      <c r="E2811" s="1188"/>
      <c r="F2811" s="1188"/>
      <c r="G2811" s="1189"/>
      <c r="H2811" s="1187"/>
      <c r="I2811" s="1188"/>
      <c r="J2811" s="1189"/>
      <c r="K2811" s="716"/>
    </row>
    <row r="2812" spans="1:11" x14ac:dyDescent="0.25">
      <c r="A2812" s="1190">
        <v>1</v>
      </c>
      <c r="B2812" s="745"/>
      <c r="C2812" s="1117"/>
      <c r="D2812" s="1117"/>
      <c r="E2812" s="1117"/>
      <c r="F2812" s="1117"/>
      <c r="G2812" s="632"/>
      <c r="H2812" s="745"/>
      <c r="I2812" s="1117"/>
      <c r="J2812" s="632"/>
      <c r="K2812" s="1118"/>
    </row>
    <row r="2813" spans="1:11" x14ac:dyDescent="0.25">
      <c r="A2813" s="718">
        <v>2</v>
      </c>
      <c r="B2813" s="668"/>
      <c r="C2813" s="721"/>
      <c r="D2813" s="721"/>
      <c r="E2813" s="721"/>
      <c r="F2813" s="721"/>
      <c r="G2813" s="639"/>
      <c r="H2813" s="668"/>
      <c r="I2813" s="721"/>
      <c r="J2813" s="639"/>
      <c r="K2813" s="1124"/>
    </row>
    <row r="2814" spans="1:11" x14ac:dyDescent="0.25">
      <c r="A2814" s="718">
        <v>3</v>
      </c>
      <c r="B2814" s="668"/>
      <c r="C2814" s="721"/>
      <c r="D2814" s="721"/>
      <c r="E2814" s="721"/>
      <c r="F2814" s="721"/>
      <c r="G2814" s="639"/>
      <c r="H2814" s="668"/>
      <c r="I2814" s="721"/>
      <c r="J2814" s="639"/>
      <c r="K2814" s="1124"/>
    </row>
    <row r="2815" spans="1:11" x14ac:dyDescent="0.25">
      <c r="A2815" s="718">
        <v>4</v>
      </c>
      <c r="B2815" s="668"/>
      <c r="C2815" s="721"/>
      <c r="D2815" s="721"/>
      <c r="E2815" s="721"/>
      <c r="F2815" s="721"/>
      <c r="G2815" s="639"/>
      <c r="H2815" s="668"/>
      <c r="I2815" s="721"/>
      <c r="J2815" s="639"/>
      <c r="K2815" s="1124"/>
    </row>
    <row r="2816" spans="1:11" x14ac:dyDescent="0.25">
      <c r="A2816" s="718">
        <v>5</v>
      </c>
      <c r="B2816" s="668"/>
      <c r="C2816" s="721"/>
      <c r="D2816" s="721"/>
      <c r="E2816" s="721"/>
      <c r="F2816" s="721"/>
      <c r="G2816" s="639"/>
      <c r="H2816" s="668"/>
      <c r="I2816" s="721"/>
      <c r="J2816" s="639"/>
      <c r="K2816" s="1124"/>
    </row>
    <row r="2817" spans="1:11" ht="13.8" thickBot="1" x14ac:dyDescent="0.3">
      <c r="A2817" s="719">
        <v>6</v>
      </c>
      <c r="B2817" s="669"/>
      <c r="C2817" s="1137"/>
      <c r="D2817" s="1137"/>
      <c r="E2817" s="1137"/>
      <c r="F2817" s="1137"/>
      <c r="G2817" s="646"/>
      <c r="H2817" s="669"/>
      <c r="I2817" s="1137"/>
      <c r="J2817" s="646"/>
      <c r="K2817" s="1138"/>
    </row>
    <row r="2818" spans="1:11" x14ac:dyDescent="0.25">
      <c r="A2818" s="1190">
        <v>1</v>
      </c>
      <c r="B2818" s="745"/>
      <c r="C2818" s="1117"/>
      <c r="D2818" s="1117"/>
      <c r="E2818" s="1117"/>
      <c r="F2818" s="1117"/>
      <c r="G2818" s="632"/>
      <c r="H2818" s="745"/>
      <c r="I2818" s="1117"/>
      <c r="J2818" s="632"/>
      <c r="K2818" s="1118"/>
    </row>
    <row r="2819" spans="1:11" x14ac:dyDescent="0.25">
      <c r="A2819" s="718">
        <v>2</v>
      </c>
      <c r="B2819" s="668"/>
      <c r="C2819" s="721"/>
      <c r="D2819" s="721"/>
      <c r="E2819" s="721"/>
      <c r="F2819" s="721"/>
      <c r="G2819" s="639"/>
      <c r="H2819" s="668"/>
      <c r="I2819" s="721"/>
      <c r="J2819" s="639"/>
      <c r="K2819" s="1124"/>
    </row>
    <row r="2820" spans="1:11" ht="13.8" thickBot="1" x14ac:dyDescent="0.3">
      <c r="A2820" s="719">
        <v>3</v>
      </c>
      <c r="B2820" s="669"/>
      <c r="C2820" s="1137"/>
      <c r="D2820" s="1137"/>
      <c r="E2820" s="1137"/>
      <c r="F2820" s="1137"/>
      <c r="G2820" s="646"/>
      <c r="H2820" s="669"/>
      <c r="I2820" s="1137"/>
      <c r="J2820" s="646"/>
      <c r="K2820" s="1138"/>
    </row>
    <row r="2821" spans="1:11" ht="13.8" thickBot="1" x14ac:dyDescent="0.3">
      <c r="A2821" s="1186" t="s">
        <v>768</v>
      </c>
      <c r="B2821" s="1187"/>
      <c r="C2821" s="1188"/>
      <c r="D2821" s="1188"/>
      <c r="E2821" s="1188"/>
      <c r="F2821" s="1188"/>
      <c r="G2821" s="1189"/>
      <c r="H2821" s="1187"/>
      <c r="I2821" s="1188"/>
      <c r="J2821" s="1189"/>
      <c r="K2821" s="716"/>
    </row>
    <row r="2822" spans="1:11" x14ac:dyDescent="0.25">
      <c r="A2822" s="1190">
        <v>1</v>
      </c>
      <c r="B2822" s="745"/>
      <c r="C2822" s="1117"/>
      <c r="D2822" s="1117"/>
      <c r="E2822" s="1117"/>
      <c r="F2822" s="1117"/>
      <c r="G2822" s="632"/>
      <c r="H2822" s="745"/>
      <c r="I2822" s="1117"/>
      <c r="J2822" s="632"/>
      <c r="K2822" s="1118"/>
    </row>
    <row r="2823" spans="1:11" x14ac:dyDescent="0.25">
      <c r="A2823" s="718">
        <v>2</v>
      </c>
      <c r="B2823" s="668"/>
      <c r="C2823" s="721"/>
      <c r="D2823" s="721"/>
      <c r="E2823" s="721"/>
      <c r="F2823" s="721"/>
      <c r="G2823" s="639"/>
      <c r="H2823" s="668"/>
      <c r="I2823" s="721"/>
      <c r="J2823" s="639"/>
      <c r="K2823" s="1124"/>
    </row>
    <row r="2824" spans="1:11" x14ac:dyDescent="0.25">
      <c r="A2824" s="718">
        <v>3</v>
      </c>
      <c r="B2824" s="668"/>
      <c r="C2824" s="721"/>
      <c r="D2824" s="721"/>
      <c r="E2824" s="721"/>
      <c r="F2824" s="721"/>
      <c r="G2824" s="639"/>
      <c r="H2824" s="668"/>
      <c r="I2824" s="721"/>
      <c r="J2824" s="639"/>
      <c r="K2824" s="1124"/>
    </row>
    <row r="2825" spans="1:11" x14ac:dyDescent="0.25">
      <c r="A2825" s="718">
        <v>4</v>
      </c>
      <c r="B2825" s="668"/>
      <c r="C2825" s="721"/>
      <c r="D2825" s="721"/>
      <c r="E2825" s="721"/>
      <c r="F2825" s="721"/>
      <c r="G2825" s="639"/>
      <c r="H2825" s="668"/>
      <c r="I2825" s="721"/>
      <c r="J2825" s="639"/>
      <c r="K2825" s="1124"/>
    </row>
    <row r="2826" spans="1:11" x14ac:dyDescent="0.25">
      <c r="A2826" s="718">
        <v>5</v>
      </c>
      <c r="B2826" s="668"/>
      <c r="C2826" s="721"/>
      <c r="D2826" s="721"/>
      <c r="E2826" s="721"/>
      <c r="F2826" s="721"/>
      <c r="G2826" s="639"/>
      <c r="H2826" s="668"/>
      <c r="I2826" s="721"/>
      <c r="J2826" s="639"/>
      <c r="K2826" s="1124"/>
    </row>
    <row r="2827" spans="1:11" ht="13.8" thickBot="1" x14ac:dyDescent="0.3">
      <c r="A2827" s="719">
        <v>6</v>
      </c>
      <c r="B2827" s="669"/>
      <c r="C2827" s="1137"/>
      <c r="D2827" s="1137"/>
      <c r="E2827" s="1137"/>
      <c r="F2827" s="1137"/>
      <c r="G2827" s="646"/>
      <c r="H2827" s="669"/>
      <c r="I2827" s="1137"/>
      <c r="J2827" s="646"/>
      <c r="K2827" s="1138"/>
    </row>
    <row r="2828" spans="1:11" x14ac:dyDescent="0.25">
      <c r="A2828" s="1190">
        <v>1</v>
      </c>
      <c r="B2828" s="745"/>
      <c r="C2828" s="1117"/>
      <c r="D2828" s="1117"/>
      <c r="E2828" s="1117"/>
      <c r="F2828" s="1117"/>
      <c r="G2828" s="632"/>
      <c r="H2828" s="745"/>
      <c r="I2828" s="1117"/>
      <c r="J2828" s="632"/>
      <c r="K2828" s="1118"/>
    </row>
    <row r="2829" spans="1:11" x14ac:dyDescent="0.25">
      <c r="A2829" s="718">
        <v>2</v>
      </c>
      <c r="B2829" s="668"/>
      <c r="C2829" s="721"/>
      <c r="D2829" s="721"/>
      <c r="E2829" s="721"/>
      <c r="F2829" s="721"/>
      <c r="G2829" s="639"/>
      <c r="H2829" s="668"/>
      <c r="I2829" s="721"/>
      <c r="J2829" s="639"/>
      <c r="K2829" s="1124"/>
    </row>
    <row r="2830" spans="1:11" ht="13.8" thickBot="1" x14ac:dyDescent="0.3">
      <c r="A2830" s="1191">
        <v>3</v>
      </c>
      <c r="B2830" s="1132"/>
      <c r="C2830" s="1133"/>
      <c r="D2830" s="1133"/>
      <c r="E2830" s="1133"/>
      <c r="F2830" s="1133"/>
      <c r="G2830" s="1134"/>
      <c r="H2830" s="1132"/>
      <c r="I2830" s="1133"/>
      <c r="J2830" s="1134"/>
      <c r="K2830" s="1147"/>
    </row>
    <row r="2831" spans="1:11" ht="13.8" thickBot="1" x14ac:dyDescent="0.3">
      <c r="A2831" s="1186" t="s">
        <v>769</v>
      </c>
      <c r="B2831" s="1187"/>
      <c r="C2831" s="1188"/>
      <c r="D2831" s="1188"/>
      <c r="E2831" s="1188"/>
      <c r="F2831" s="1188"/>
      <c r="G2831" s="1189"/>
      <c r="H2831" s="1187"/>
      <c r="I2831" s="1188"/>
      <c r="J2831" s="1189"/>
      <c r="K2831" s="716"/>
    </row>
    <row r="2832" spans="1:11" x14ac:dyDescent="0.25">
      <c r="A2832" s="1190">
        <v>1</v>
      </c>
      <c r="B2832" s="745"/>
      <c r="C2832" s="1117"/>
      <c r="D2832" s="1117"/>
      <c r="E2832" s="1117"/>
      <c r="F2832" s="1117"/>
      <c r="G2832" s="632"/>
      <c r="H2832" s="745"/>
      <c r="I2832" s="1117"/>
      <c r="J2832" s="632"/>
      <c r="K2832" s="1118"/>
    </row>
    <row r="2833" spans="1:11" x14ac:dyDescent="0.25">
      <c r="A2833" s="718">
        <v>2</v>
      </c>
      <c r="B2833" s="668"/>
      <c r="C2833" s="721"/>
      <c r="D2833" s="721"/>
      <c r="E2833" s="721"/>
      <c r="F2833" s="721"/>
      <c r="G2833" s="639"/>
      <c r="H2833" s="668"/>
      <c r="I2833" s="721"/>
      <c r="J2833" s="639"/>
      <c r="K2833" s="1124"/>
    </row>
    <row r="2834" spans="1:11" x14ac:dyDescent="0.25">
      <c r="A2834" s="718">
        <v>3</v>
      </c>
      <c r="B2834" s="668"/>
      <c r="C2834" s="721"/>
      <c r="D2834" s="721"/>
      <c r="E2834" s="721"/>
      <c r="F2834" s="721"/>
      <c r="G2834" s="639"/>
      <c r="H2834" s="668"/>
      <c r="I2834" s="721"/>
      <c r="J2834" s="639"/>
      <c r="K2834" s="1124"/>
    </row>
    <row r="2835" spans="1:11" x14ac:dyDescent="0.25">
      <c r="A2835" s="718">
        <v>4</v>
      </c>
      <c r="B2835" s="668"/>
      <c r="C2835" s="721"/>
      <c r="D2835" s="721"/>
      <c r="E2835" s="721"/>
      <c r="F2835" s="721"/>
      <c r="G2835" s="639"/>
      <c r="H2835" s="668"/>
      <c r="I2835" s="721"/>
      <c r="J2835" s="639"/>
      <c r="K2835" s="1124"/>
    </row>
    <row r="2836" spans="1:11" x14ac:dyDescent="0.25">
      <c r="A2836" s="718">
        <v>5</v>
      </c>
      <c r="B2836" s="668"/>
      <c r="C2836" s="721"/>
      <c r="D2836" s="721"/>
      <c r="E2836" s="721"/>
      <c r="F2836" s="721"/>
      <c r="G2836" s="639"/>
      <c r="H2836" s="668"/>
      <c r="I2836" s="721"/>
      <c r="J2836" s="639"/>
      <c r="K2836" s="1124"/>
    </row>
    <row r="2837" spans="1:11" ht="13.8" thickBot="1" x14ac:dyDescent="0.3">
      <c r="A2837" s="719">
        <v>6</v>
      </c>
      <c r="B2837" s="669"/>
      <c r="C2837" s="1137"/>
      <c r="D2837" s="1137"/>
      <c r="E2837" s="1137"/>
      <c r="F2837" s="1137"/>
      <c r="G2837" s="646"/>
      <c r="H2837" s="669"/>
      <c r="I2837" s="1137"/>
      <c r="J2837" s="646"/>
      <c r="K2837" s="1138"/>
    </row>
    <row r="2838" spans="1:11" x14ac:dyDescent="0.25">
      <c r="A2838" s="1190">
        <v>1</v>
      </c>
      <c r="B2838" s="745"/>
      <c r="C2838" s="1117"/>
      <c r="D2838" s="1117"/>
      <c r="E2838" s="1117"/>
      <c r="F2838" s="1117"/>
      <c r="G2838" s="632"/>
      <c r="H2838" s="745"/>
      <c r="I2838" s="1117"/>
      <c r="J2838" s="632"/>
      <c r="K2838" s="1118"/>
    </row>
    <row r="2839" spans="1:11" x14ac:dyDescent="0.25">
      <c r="A2839" s="718">
        <v>2</v>
      </c>
      <c r="B2839" s="668"/>
      <c r="C2839" s="721"/>
      <c r="D2839" s="721"/>
      <c r="E2839" s="721"/>
      <c r="F2839" s="721"/>
      <c r="G2839" s="639"/>
      <c r="H2839" s="668"/>
      <c r="I2839" s="721"/>
      <c r="J2839" s="639"/>
      <c r="K2839" s="1124"/>
    </row>
    <row r="2840" spans="1:11" ht="13.8" thickBot="1" x14ac:dyDescent="0.3">
      <c r="A2840" s="719">
        <v>3</v>
      </c>
      <c r="B2840" s="669"/>
      <c r="C2840" s="1137"/>
      <c r="D2840" s="1137"/>
      <c r="E2840" s="1137"/>
      <c r="F2840" s="1137"/>
      <c r="G2840" s="646"/>
      <c r="H2840" s="669"/>
      <c r="I2840" s="1137"/>
      <c r="J2840" s="646"/>
      <c r="K2840" s="1138"/>
    </row>
    <row r="2841" spans="1:11" ht="13.8" thickBot="1" x14ac:dyDescent="0.3">
      <c r="A2841" s="1186" t="s">
        <v>770</v>
      </c>
      <c r="B2841" s="1187"/>
      <c r="C2841" s="1188"/>
      <c r="D2841" s="1188"/>
      <c r="E2841" s="1188"/>
      <c r="F2841" s="1188"/>
      <c r="G2841" s="1189"/>
      <c r="H2841" s="1187"/>
      <c r="I2841" s="1188"/>
      <c r="J2841" s="1189"/>
      <c r="K2841" s="716"/>
    </row>
    <row r="2842" spans="1:11" x14ac:dyDescent="0.25">
      <c r="A2842" s="1190">
        <v>1</v>
      </c>
      <c r="B2842" s="745"/>
      <c r="C2842" s="1117"/>
      <c r="D2842" s="1117"/>
      <c r="E2842" s="1117"/>
      <c r="F2842" s="1117"/>
      <c r="G2842" s="632"/>
      <c r="H2842" s="745"/>
      <c r="I2842" s="1117"/>
      <c r="J2842" s="632"/>
      <c r="K2842" s="1118"/>
    </row>
    <row r="2843" spans="1:11" x14ac:dyDescent="0.25">
      <c r="A2843" s="718">
        <v>2</v>
      </c>
      <c r="B2843" s="668"/>
      <c r="C2843" s="721"/>
      <c r="D2843" s="721"/>
      <c r="E2843" s="721"/>
      <c r="F2843" s="721"/>
      <c r="G2843" s="639"/>
      <c r="H2843" s="668"/>
      <c r="I2843" s="721"/>
      <c r="J2843" s="639"/>
      <c r="K2843" s="1124"/>
    </row>
    <row r="2844" spans="1:11" x14ac:dyDescent="0.25">
      <c r="A2844" s="718">
        <v>3</v>
      </c>
      <c r="B2844" s="668"/>
      <c r="C2844" s="721"/>
      <c r="D2844" s="721"/>
      <c r="E2844" s="721"/>
      <c r="F2844" s="721"/>
      <c r="G2844" s="639"/>
      <c r="H2844" s="668"/>
      <c r="I2844" s="721"/>
      <c r="J2844" s="639"/>
      <c r="K2844" s="1124"/>
    </row>
    <row r="2845" spans="1:11" x14ac:dyDescent="0.25">
      <c r="A2845" s="718">
        <v>4</v>
      </c>
      <c r="B2845" s="668"/>
      <c r="C2845" s="721"/>
      <c r="D2845" s="721"/>
      <c r="E2845" s="721"/>
      <c r="F2845" s="721"/>
      <c r="G2845" s="639"/>
      <c r="H2845" s="668"/>
      <c r="I2845" s="721"/>
      <c r="J2845" s="639"/>
      <c r="K2845" s="1124"/>
    </row>
    <row r="2846" spans="1:11" x14ac:dyDescent="0.25">
      <c r="A2846" s="718">
        <v>5</v>
      </c>
      <c r="B2846" s="668"/>
      <c r="C2846" s="721"/>
      <c r="D2846" s="721"/>
      <c r="E2846" s="721"/>
      <c r="F2846" s="721"/>
      <c r="G2846" s="639"/>
      <c r="H2846" s="668"/>
      <c r="I2846" s="721"/>
      <c r="J2846" s="639"/>
      <c r="K2846" s="1124"/>
    </row>
    <row r="2847" spans="1:11" ht="13.8" thickBot="1" x14ac:dyDescent="0.3">
      <c r="A2847" s="719">
        <v>6</v>
      </c>
      <c r="B2847" s="669"/>
      <c r="C2847" s="1137"/>
      <c r="D2847" s="1137"/>
      <c r="E2847" s="1137"/>
      <c r="F2847" s="1137"/>
      <c r="G2847" s="646"/>
      <c r="H2847" s="669"/>
      <c r="I2847" s="1137"/>
      <c r="J2847" s="646"/>
      <c r="K2847" s="1138"/>
    </row>
    <row r="2848" spans="1:11" x14ac:dyDescent="0.25">
      <c r="A2848" s="1190">
        <v>1</v>
      </c>
      <c r="B2848" s="745"/>
      <c r="C2848" s="1117"/>
      <c r="D2848" s="1117"/>
      <c r="E2848" s="1117"/>
      <c r="F2848" s="1117"/>
      <c r="G2848" s="632"/>
      <c r="H2848" s="745"/>
      <c r="I2848" s="1117"/>
      <c r="J2848" s="632"/>
      <c r="K2848" s="1118"/>
    </row>
    <row r="2849" spans="1:11" x14ac:dyDescent="0.25">
      <c r="A2849" s="718">
        <v>2</v>
      </c>
      <c r="B2849" s="668"/>
      <c r="C2849" s="721"/>
      <c r="D2849" s="721"/>
      <c r="E2849" s="721"/>
      <c r="F2849" s="721"/>
      <c r="G2849" s="639"/>
      <c r="H2849" s="668"/>
      <c r="I2849" s="721"/>
      <c r="J2849" s="639"/>
      <c r="K2849" s="1124"/>
    </row>
    <row r="2850" spans="1:11" ht="13.8" thickBot="1" x14ac:dyDescent="0.3">
      <c r="A2850" s="719">
        <v>3</v>
      </c>
      <c r="B2850" s="669"/>
      <c r="C2850" s="1137"/>
      <c r="D2850" s="1137"/>
      <c r="E2850" s="1137"/>
      <c r="F2850" s="1137"/>
      <c r="G2850" s="646"/>
      <c r="H2850" s="669"/>
      <c r="I2850" s="1137"/>
      <c r="J2850" s="646"/>
      <c r="K2850" s="1138"/>
    </row>
    <row r="2851" spans="1:11" ht="13.8" thickBot="1" x14ac:dyDescent="0.3">
      <c r="A2851" s="1186" t="s">
        <v>771</v>
      </c>
      <c r="B2851" s="1187"/>
      <c r="C2851" s="1188"/>
      <c r="D2851" s="1188"/>
      <c r="E2851" s="1188"/>
      <c r="F2851" s="1188"/>
      <c r="G2851" s="1189"/>
      <c r="H2851" s="1187"/>
      <c r="I2851" s="1188"/>
      <c r="J2851" s="1189"/>
      <c r="K2851" s="716"/>
    </row>
    <row r="2852" spans="1:11" x14ac:dyDescent="0.25">
      <c r="A2852" s="1190">
        <v>1</v>
      </c>
      <c r="B2852" s="745"/>
      <c r="C2852" s="1117"/>
      <c r="D2852" s="1117"/>
      <c r="E2852" s="1117"/>
      <c r="F2852" s="1117"/>
      <c r="G2852" s="632"/>
      <c r="H2852" s="745"/>
      <c r="I2852" s="1117"/>
      <c r="J2852" s="632"/>
      <c r="K2852" s="1118"/>
    </row>
    <row r="2853" spans="1:11" x14ac:dyDescent="0.25">
      <c r="A2853" s="718">
        <v>2</v>
      </c>
      <c r="B2853" s="668"/>
      <c r="C2853" s="721"/>
      <c r="D2853" s="721"/>
      <c r="E2853" s="721"/>
      <c r="F2853" s="721"/>
      <c r="G2853" s="639"/>
      <c r="H2853" s="668"/>
      <c r="I2853" s="721"/>
      <c r="J2853" s="639"/>
      <c r="K2853" s="1124"/>
    </row>
    <row r="2854" spans="1:11" x14ac:dyDescent="0.25">
      <c r="A2854" s="718">
        <v>3</v>
      </c>
      <c r="B2854" s="668"/>
      <c r="C2854" s="721"/>
      <c r="D2854" s="721"/>
      <c r="E2854" s="721"/>
      <c r="F2854" s="721"/>
      <c r="G2854" s="639"/>
      <c r="H2854" s="668"/>
      <c r="I2854" s="721"/>
      <c r="J2854" s="639"/>
      <c r="K2854" s="1124"/>
    </row>
    <row r="2855" spans="1:11" x14ac:dyDescent="0.25">
      <c r="A2855" s="718">
        <v>4</v>
      </c>
      <c r="B2855" s="668"/>
      <c r="C2855" s="721"/>
      <c r="D2855" s="721"/>
      <c r="E2855" s="721"/>
      <c r="F2855" s="721"/>
      <c r="G2855" s="639"/>
      <c r="H2855" s="668"/>
      <c r="I2855" s="721"/>
      <c r="J2855" s="639"/>
      <c r="K2855" s="1124"/>
    </row>
    <row r="2856" spans="1:11" x14ac:dyDescent="0.25">
      <c r="A2856" s="718">
        <v>5</v>
      </c>
      <c r="B2856" s="668"/>
      <c r="C2856" s="721"/>
      <c r="D2856" s="721"/>
      <c r="E2856" s="721"/>
      <c r="F2856" s="721"/>
      <c r="G2856" s="639"/>
      <c r="H2856" s="668"/>
      <c r="I2856" s="721"/>
      <c r="J2856" s="639"/>
      <c r="K2856" s="1124"/>
    </row>
    <row r="2857" spans="1:11" ht="13.8" thickBot="1" x14ac:dyDescent="0.3">
      <c r="A2857" s="719">
        <v>6</v>
      </c>
      <c r="B2857" s="669"/>
      <c r="C2857" s="1137"/>
      <c r="D2857" s="1137"/>
      <c r="E2857" s="1137"/>
      <c r="F2857" s="1137"/>
      <c r="G2857" s="646"/>
      <c r="H2857" s="669"/>
      <c r="I2857" s="1137"/>
      <c r="J2857" s="646"/>
      <c r="K2857" s="1138"/>
    </row>
    <row r="2858" spans="1:11" x14ac:dyDescent="0.25">
      <c r="A2858" s="1190">
        <v>1</v>
      </c>
      <c r="B2858" s="745"/>
      <c r="C2858" s="1117"/>
      <c r="D2858" s="1117"/>
      <c r="E2858" s="1117"/>
      <c r="F2858" s="1117"/>
      <c r="G2858" s="632"/>
      <c r="H2858" s="745"/>
      <c r="I2858" s="1117"/>
      <c r="J2858" s="632"/>
      <c r="K2858" s="1118"/>
    </row>
    <row r="2859" spans="1:11" x14ac:dyDescent="0.25">
      <c r="A2859" s="718">
        <v>2</v>
      </c>
      <c r="B2859" s="668"/>
      <c r="C2859" s="721"/>
      <c r="D2859" s="721"/>
      <c r="E2859" s="721"/>
      <c r="F2859" s="721"/>
      <c r="G2859" s="639"/>
      <c r="H2859" s="668"/>
      <c r="I2859" s="721"/>
      <c r="J2859" s="639"/>
      <c r="K2859" s="1124"/>
    </row>
    <row r="2860" spans="1:11" ht="13.8" thickBot="1" x14ac:dyDescent="0.3">
      <c r="A2860" s="719">
        <v>3</v>
      </c>
      <c r="B2860" s="669"/>
      <c r="C2860" s="1137"/>
      <c r="D2860" s="1137"/>
      <c r="E2860" s="1137"/>
      <c r="F2860" s="1137"/>
      <c r="G2860" s="646"/>
      <c r="H2860" s="669"/>
      <c r="I2860" s="1137"/>
      <c r="J2860" s="646"/>
      <c r="K2860" s="1138"/>
    </row>
    <row r="2861" spans="1:11" ht="13.8" thickBot="1" x14ac:dyDescent="0.3">
      <c r="A2861" s="1186" t="s">
        <v>772</v>
      </c>
      <c r="B2861" s="1187"/>
      <c r="C2861" s="1188"/>
      <c r="D2861" s="1188"/>
      <c r="E2861" s="1188"/>
      <c r="F2861" s="1188"/>
      <c r="G2861" s="1189"/>
      <c r="H2861" s="1187"/>
      <c r="I2861" s="1188"/>
      <c r="J2861" s="1189"/>
      <c r="K2861" s="716"/>
    </row>
    <row r="2862" spans="1:11" x14ac:dyDescent="0.25">
      <c r="A2862" s="1190">
        <v>1</v>
      </c>
      <c r="B2862" s="745"/>
      <c r="C2862" s="1117"/>
      <c r="D2862" s="1117"/>
      <c r="E2862" s="1117"/>
      <c r="F2862" s="1117"/>
      <c r="G2862" s="632"/>
      <c r="H2862" s="745"/>
      <c r="I2862" s="1117"/>
      <c r="J2862" s="632"/>
      <c r="K2862" s="1118"/>
    </row>
    <row r="2863" spans="1:11" x14ac:dyDescent="0.25">
      <c r="A2863" s="718">
        <v>2</v>
      </c>
      <c r="B2863" s="668"/>
      <c r="C2863" s="721"/>
      <c r="D2863" s="721"/>
      <c r="E2863" s="721"/>
      <c r="F2863" s="721"/>
      <c r="G2863" s="639"/>
      <c r="H2863" s="668"/>
      <c r="I2863" s="721"/>
      <c r="J2863" s="639"/>
      <c r="K2863" s="1124"/>
    </row>
    <row r="2864" spans="1:11" x14ac:dyDescent="0.25">
      <c r="A2864" s="718">
        <v>3</v>
      </c>
      <c r="B2864" s="668"/>
      <c r="C2864" s="721"/>
      <c r="D2864" s="721"/>
      <c r="E2864" s="721"/>
      <c r="F2864" s="721"/>
      <c r="G2864" s="639"/>
      <c r="H2864" s="668"/>
      <c r="I2864" s="721"/>
      <c r="J2864" s="639"/>
      <c r="K2864" s="1124"/>
    </row>
    <row r="2865" spans="1:11" x14ac:dyDescent="0.25">
      <c r="A2865" s="718">
        <v>4</v>
      </c>
      <c r="B2865" s="668"/>
      <c r="C2865" s="721"/>
      <c r="D2865" s="721"/>
      <c r="E2865" s="721"/>
      <c r="F2865" s="721"/>
      <c r="G2865" s="639"/>
      <c r="H2865" s="668"/>
      <c r="I2865" s="721"/>
      <c r="J2865" s="639"/>
      <c r="K2865" s="1124"/>
    </row>
    <row r="2866" spans="1:11" x14ac:dyDescent="0.25">
      <c r="A2866" s="718">
        <v>5</v>
      </c>
      <c r="B2866" s="668"/>
      <c r="C2866" s="721"/>
      <c r="D2866" s="721"/>
      <c r="E2866" s="721"/>
      <c r="F2866" s="721"/>
      <c r="G2866" s="639"/>
      <c r="H2866" s="668"/>
      <c r="I2866" s="721"/>
      <c r="J2866" s="639"/>
      <c r="K2866" s="1124"/>
    </row>
    <row r="2867" spans="1:11" ht="13.8" thickBot="1" x14ac:dyDescent="0.3">
      <c r="A2867" s="719">
        <v>6</v>
      </c>
      <c r="B2867" s="669"/>
      <c r="C2867" s="1137"/>
      <c r="D2867" s="1137"/>
      <c r="E2867" s="1137"/>
      <c r="F2867" s="1137"/>
      <c r="G2867" s="646"/>
      <c r="H2867" s="669"/>
      <c r="I2867" s="1137"/>
      <c r="J2867" s="646"/>
      <c r="K2867" s="1138"/>
    </row>
    <row r="2868" spans="1:11" x14ac:dyDescent="0.25">
      <c r="A2868" s="1190">
        <v>1</v>
      </c>
      <c r="B2868" s="745"/>
      <c r="C2868" s="1117"/>
      <c r="D2868" s="1117"/>
      <c r="E2868" s="1117"/>
      <c r="F2868" s="1117"/>
      <c r="G2868" s="632"/>
      <c r="H2868" s="745"/>
      <c r="I2868" s="1117"/>
      <c r="J2868" s="632"/>
      <c r="K2868" s="1118"/>
    </row>
    <row r="2869" spans="1:11" x14ac:dyDescent="0.25">
      <c r="A2869" s="718">
        <v>2</v>
      </c>
      <c r="B2869" s="668"/>
      <c r="C2869" s="721"/>
      <c r="D2869" s="721"/>
      <c r="E2869" s="721"/>
      <c r="F2869" s="721"/>
      <c r="G2869" s="639"/>
      <c r="H2869" s="668"/>
      <c r="I2869" s="721"/>
      <c r="J2869" s="639"/>
      <c r="K2869" s="1124"/>
    </row>
    <row r="2870" spans="1:11" ht="13.8" thickBot="1" x14ac:dyDescent="0.3">
      <c r="A2870" s="1191">
        <v>3</v>
      </c>
      <c r="B2870" s="1132"/>
      <c r="C2870" s="1133"/>
      <c r="D2870" s="1133"/>
      <c r="E2870" s="1133"/>
      <c r="F2870" s="1133"/>
      <c r="G2870" s="1134"/>
      <c r="H2870" s="1132"/>
      <c r="I2870" s="1133"/>
      <c r="J2870" s="1134"/>
      <c r="K2870" s="1147"/>
    </row>
    <row r="2871" spans="1:11" ht="13.8" thickBot="1" x14ac:dyDescent="0.3">
      <c r="A2871" s="1186" t="s">
        <v>773</v>
      </c>
      <c r="B2871" s="1187"/>
      <c r="C2871" s="1188"/>
      <c r="D2871" s="1188"/>
      <c r="E2871" s="1188"/>
      <c r="F2871" s="1188"/>
      <c r="G2871" s="1189"/>
      <c r="H2871" s="1187"/>
      <c r="I2871" s="1188"/>
      <c r="J2871" s="1189"/>
      <c r="K2871" s="716"/>
    </row>
    <row r="2872" spans="1:11" x14ac:dyDescent="0.25">
      <c r="A2872" s="1190">
        <v>1</v>
      </c>
      <c r="B2872" s="745"/>
      <c r="C2872" s="1117"/>
      <c r="D2872" s="1117"/>
      <c r="E2872" s="1117"/>
      <c r="F2872" s="1117"/>
      <c r="G2872" s="632"/>
      <c r="H2872" s="745"/>
      <c r="I2872" s="1117"/>
      <c r="J2872" s="632"/>
      <c r="K2872" s="1118"/>
    </row>
    <row r="2873" spans="1:11" x14ac:dyDescent="0.25">
      <c r="A2873" s="718">
        <v>2</v>
      </c>
      <c r="B2873" s="668"/>
      <c r="C2873" s="721"/>
      <c r="D2873" s="721"/>
      <c r="E2873" s="721"/>
      <c r="F2873" s="721"/>
      <c r="G2873" s="639"/>
      <c r="H2873" s="668"/>
      <c r="I2873" s="721"/>
      <c r="J2873" s="639"/>
      <c r="K2873" s="1124"/>
    </row>
    <row r="2874" spans="1:11" x14ac:dyDescent="0.25">
      <c r="A2874" s="718">
        <v>3</v>
      </c>
      <c r="B2874" s="668"/>
      <c r="C2874" s="721"/>
      <c r="D2874" s="721"/>
      <c r="E2874" s="721"/>
      <c r="F2874" s="721"/>
      <c r="G2874" s="639"/>
      <c r="H2874" s="668"/>
      <c r="I2874" s="721"/>
      <c r="J2874" s="639"/>
      <c r="K2874" s="1124"/>
    </row>
    <row r="2875" spans="1:11" x14ac:dyDescent="0.25">
      <c r="A2875" s="718">
        <v>4</v>
      </c>
      <c r="B2875" s="668"/>
      <c r="C2875" s="721"/>
      <c r="D2875" s="721"/>
      <c r="E2875" s="721"/>
      <c r="F2875" s="721"/>
      <c r="G2875" s="639"/>
      <c r="H2875" s="668"/>
      <c r="I2875" s="721"/>
      <c r="J2875" s="639"/>
      <c r="K2875" s="1124"/>
    </row>
    <row r="2876" spans="1:11" x14ac:dyDescent="0.25">
      <c r="A2876" s="718">
        <v>5</v>
      </c>
      <c r="B2876" s="668"/>
      <c r="C2876" s="721"/>
      <c r="D2876" s="721"/>
      <c r="E2876" s="721"/>
      <c r="F2876" s="721"/>
      <c r="G2876" s="639"/>
      <c r="H2876" s="668"/>
      <c r="I2876" s="721"/>
      <c r="J2876" s="639"/>
      <c r="K2876" s="1124"/>
    </row>
    <row r="2877" spans="1:11" ht="13.8" thickBot="1" x14ac:dyDescent="0.3">
      <c r="A2877" s="719">
        <v>6</v>
      </c>
      <c r="B2877" s="669"/>
      <c r="C2877" s="1137"/>
      <c r="D2877" s="1137"/>
      <c r="E2877" s="1137"/>
      <c r="F2877" s="1137"/>
      <c r="G2877" s="646"/>
      <c r="H2877" s="669"/>
      <c r="I2877" s="1137"/>
      <c r="J2877" s="646"/>
      <c r="K2877" s="1138"/>
    </row>
    <row r="2878" spans="1:11" x14ac:dyDescent="0.25">
      <c r="A2878" s="1190">
        <v>1</v>
      </c>
      <c r="B2878" s="745"/>
      <c r="C2878" s="1117"/>
      <c r="D2878" s="1117"/>
      <c r="E2878" s="1117"/>
      <c r="F2878" s="1117"/>
      <c r="G2878" s="632"/>
      <c r="H2878" s="745"/>
      <c r="I2878" s="1117"/>
      <c r="J2878" s="632"/>
      <c r="K2878" s="1118"/>
    </row>
    <row r="2879" spans="1:11" x14ac:dyDescent="0.25">
      <c r="A2879" s="718">
        <v>2</v>
      </c>
      <c r="B2879" s="668"/>
      <c r="C2879" s="721"/>
      <c r="D2879" s="721"/>
      <c r="E2879" s="721"/>
      <c r="F2879" s="721"/>
      <c r="G2879" s="639"/>
      <c r="H2879" s="668"/>
      <c r="I2879" s="721"/>
      <c r="J2879" s="639"/>
      <c r="K2879" s="1124"/>
    </row>
    <row r="2880" spans="1:11" ht="13.8" thickBot="1" x14ac:dyDescent="0.3">
      <c r="A2880" s="719">
        <v>3</v>
      </c>
      <c r="B2880" s="669"/>
      <c r="C2880" s="1137"/>
      <c r="D2880" s="1137"/>
      <c r="E2880" s="1137"/>
      <c r="F2880" s="1137"/>
      <c r="G2880" s="646"/>
      <c r="H2880" s="669"/>
      <c r="I2880" s="1137"/>
      <c r="J2880" s="646"/>
      <c r="K2880" s="1138"/>
    </row>
    <row r="2881" spans="1:11" ht="13.8" thickBot="1" x14ac:dyDescent="0.3">
      <c r="A2881" s="1186" t="s">
        <v>774</v>
      </c>
      <c r="B2881" s="1187"/>
      <c r="C2881" s="1188"/>
      <c r="D2881" s="1188"/>
      <c r="E2881" s="1188"/>
      <c r="F2881" s="1188"/>
      <c r="G2881" s="1189"/>
      <c r="H2881" s="1187"/>
      <c r="I2881" s="1188"/>
      <c r="J2881" s="1189"/>
      <c r="K2881" s="716"/>
    </row>
    <row r="2882" spans="1:11" x14ac:dyDescent="0.25">
      <c r="A2882" s="1190">
        <v>1</v>
      </c>
      <c r="B2882" s="745"/>
      <c r="C2882" s="1117"/>
      <c r="D2882" s="1117"/>
      <c r="E2882" s="1117"/>
      <c r="F2882" s="1117"/>
      <c r="G2882" s="632"/>
      <c r="H2882" s="745"/>
      <c r="I2882" s="1117"/>
      <c r="J2882" s="632"/>
      <c r="K2882" s="1118"/>
    </row>
    <row r="2883" spans="1:11" x14ac:dyDescent="0.25">
      <c r="A2883" s="718">
        <v>2</v>
      </c>
      <c r="B2883" s="668"/>
      <c r="C2883" s="721"/>
      <c r="D2883" s="721"/>
      <c r="E2883" s="721"/>
      <c r="F2883" s="721"/>
      <c r="G2883" s="639"/>
      <c r="H2883" s="668"/>
      <c r="I2883" s="721"/>
      <c r="J2883" s="639"/>
      <c r="K2883" s="1124"/>
    </row>
    <row r="2884" spans="1:11" x14ac:dyDescent="0.25">
      <c r="A2884" s="718">
        <v>3</v>
      </c>
      <c r="B2884" s="668"/>
      <c r="C2884" s="721"/>
      <c r="D2884" s="721"/>
      <c r="E2884" s="721"/>
      <c r="F2884" s="721"/>
      <c r="G2884" s="639"/>
      <c r="H2884" s="668"/>
      <c r="I2884" s="721"/>
      <c r="J2884" s="639"/>
      <c r="K2884" s="1124"/>
    </row>
    <row r="2885" spans="1:11" x14ac:dyDescent="0.25">
      <c r="A2885" s="718">
        <v>4</v>
      </c>
      <c r="B2885" s="668"/>
      <c r="C2885" s="721"/>
      <c r="D2885" s="721"/>
      <c r="E2885" s="721"/>
      <c r="F2885" s="721"/>
      <c r="G2885" s="639"/>
      <c r="H2885" s="668"/>
      <c r="I2885" s="721"/>
      <c r="J2885" s="639"/>
      <c r="K2885" s="1124"/>
    </row>
    <row r="2886" spans="1:11" x14ac:dyDescent="0.25">
      <c r="A2886" s="718">
        <v>5</v>
      </c>
      <c r="B2886" s="668"/>
      <c r="C2886" s="721"/>
      <c r="D2886" s="721"/>
      <c r="E2886" s="721"/>
      <c r="F2886" s="721"/>
      <c r="G2886" s="639"/>
      <c r="H2886" s="668"/>
      <c r="I2886" s="721"/>
      <c r="J2886" s="639"/>
      <c r="K2886" s="1124"/>
    </row>
    <row r="2887" spans="1:11" ht="13.8" thickBot="1" x14ac:dyDescent="0.3">
      <c r="A2887" s="719">
        <v>6</v>
      </c>
      <c r="B2887" s="669"/>
      <c r="C2887" s="1137"/>
      <c r="D2887" s="1137"/>
      <c r="E2887" s="1137"/>
      <c r="F2887" s="1137"/>
      <c r="G2887" s="646"/>
      <c r="H2887" s="669"/>
      <c r="I2887" s="1137"/>
      <c r="J2887" s="646"/>
      <c r="K2887" s="1138"/>
    </row>
    <row r="2888" spans="1:11" x14ac:dyDescent="0.25">
      <c r="A2888" s="1190">
        <v>1</v>
      </c>
      <c r="B2888" s="745"/>
      <c r="C2888" s="1117"/>
      <c r="D2888" s="1117"/>
      <c r="E2888" s="1117"/>
      <c r="F2888" s="1117"/>
      <c r="G2888" s="632"/>
      <c r="H2888" s="745"/>
      <c r="I2888" s="1117"/>
      <c r="J2888" s="632"/>
      <c r="K2888" s="1118"/>
    </row>
    <row r="2889" spans="1:11" x14ac:dyDescent="0.25">
      <c r="A2889" s="718">
        <v>2</v>
      </c>
      <c r="B2889" s="668"/>
      <c r="C2889" s="721"/>
      <c r="D2889" s="721"/>
      <c r="E2889" s="721"/>
      <c r="F2889" s="721"/>
      <c r="G2889" s="639"/>
      <c r="H2889" s="668"/>
      <c r="I2889" s="721"/>
      <c r="J2889" s="639"/>
      <c r="K2889" s="1124"/>
    </row>
    <row r="2890" spans="1:11" ht="13.8" thickBot="1" x14ac:dyDescent="0.3">
      <c r="A2890" s="719">
        <v>3</v>
      </c>
      <c r="B2890" s="669"/>
      <c r="C2890" s="1137"/>
      <c r="D2890" s="1137"/>
      <c r="E2890" s="1137"/>
      <c r="F2890" s="1137"/>
      <c r="G2890" s="646"/>
      <c r="H2890" s="669"/>
      <c r="I2890" s="1137"/>
      <c r="J2890" s="646"/>
      <c r="K2890" s="1138"/>
    </row>
    <row r="2891" spans="1:11" ht="13.8" thickBot="1" x14ac:dyDescent="0.3">
      <c r="A2891" s="1186" t="s">
        <v>775</v>
      </c>
      <c r="B2891" s="1187"/>
      <c r="C2891" s="1188"/>
      <c r="D2891" s="1188"/>
      <c r="E2891" s="1188"/>
      <c r="F2891" s="1188"/>
      <c r="G2891" s="1189"/>
      <c r="H2891" s="1187"/>
      <c r="I2891" s="1188"/>
      <c r="J2891" s="1189"/>
      <c r="K2891" s="716"/>
    </row>
    <row r="2892" spans="1:11" x14ac:dyDescent="0.25">
      <c r="A2892" s="1190">
        <v>1</v>
      </c>
      <c r="B2892" s="745"/>
      <c r="C2892" s="1117"/>
      <c r="D2892" s="1117"/>
      <c r="E2892" s="1117"/>
      <c r="F2892" s="1117"/>
      <c r="G2892" s="632"/>
      <c r="H2892" s="745"/>
      <c r="I2892" s="1117"/>
      <c r="J2892" s="632"/>
      <c r="K2892" s="1118"/>
    </row>
    <row r="2893" spans="1:11" x14ac:dyDescent="0.25">
      <c r="A2893" s="718">
        <v>2</v>
      </c>
      <c r="B2893" s="668"/>
      <c r="C2893" s="721"/>
      <c r="D2893" s="721"/>
      <c r="E2893" s="721"/>
      <c r="F2893" s="721"/>
      <c r="G2893" s="639"/>
      <c r="H2893" s="668"/>
      <c r="I2893" s="721"/>
      <c r="J2893" s="639"/>
      <c r="K2893" s="1124"/>
    </row>
    <row r="2894" spans="1:11" x14ac:dyDescent="0.25">
      <c r="A2894" s="718">
        <v>3</v>
      </c>
      <c r="B2894" s="668"/>
      <c r="C2894" s="721"/>
      <c r="D2894" s="721"/>
      <c r="E2894" s="721"/>
      <c r="F2894" s="721"/>
      <c r="G2894" s="639"/>
      <c r="H2894" s="668"/>
      <c r="I2894" s="721"/>
      <c r="J2894" s="639"/>
      <c r="K2894" s="1124"/>
    </row>
    <row r="2895" spans="1:11" x14ac:dyDescent="0.25">
      <c r="A2895" s="718">
        <v>4</v>
      </c>
      <c r="B2895" s="668"/>
      <c r="C2895" s="721"/>
      <c r="D2895" s="721"/>
      <c r="E2895" s="721"/>
      <c r="F2895" s="721"/>
      <c r="G2895" s="639"/>
      <c r="H2895" s="668"/>
      <c r="I2895" s="721"/>
      <c r="J2895" s="639"/>
      <c r="K2895" s="1124"/>
    </row>
    <row r="2896" spans="1:11" x14ac:dyDescent="0.25">
      <c r="A2896" s="718">
        <v>5</v>
      </c>
      <c r="B2896" s="668"/>
      <c r="C2896" s="721"/>
      <c r="D2896" s="721"/>
      <c r="E2896" s="721"/>
      <c r="F2896" s="721"/>
      <c r="G2896" s="639"/>
      <c r="H2896" s="668"/>
      <c r="I2896" s="721"/>
      <c r="J2896" s="639"/>
      <c r="K2896" s="1124"/>
    </row>
    <row r="2897" spans="1:11" ht="13.8" thickBot="1" x14ac:dyDescent="0.3">
      <c r="A2897" s="719">
        <v>6</v>
      </c>
      <c r="B2897" s="669"/>
      <c r="C2897" s="1137"/>
      <c r="D2897" s="1137"/>
      <c r="E2897" s="1137"/>
      <c r="F2897" s="1137"/>
      <c r="G2897" s="646"/>
      <c r="H2897" s="669"/>
      <c r="I2897" s="1137"/>
      <c r="J2897" s="646"/>
      <c r="K2897" s="1138"/>
    </row>
    <row r="2898" spans="1:11" x14ac:dyDescent="0.25">
      <c r="A2898" s="1190">
        <v>1</v>
      </c>
      <c r="B2898" s="745"/>
      <c r="C2898" s="1117"/>
      <c r="D2898" s="1117"/>
      <c r="E2898" s="1117"/>
      <c r="F2898" s="1117"/>
      <c r="G2898" s="632"/>
      <c r="H2898" s="745"/>
      <c r="I2898" s="1117"/>
      <c r="J2898" s="632"/>
      <c r="K2898" s="1118"/>
    </row>
    <row r="2899" spans="1:11" x14ac:dyDescent="0.25">
      <c r="A2899" s="718">
        <v>2</v>
      </c>
      <c r="B2899" s="668"/>
      <c r="C2899" s="721"/>
      <c r="D2899" s="721"/>
      <c r="E2899" s="721"/>
      <c r="F2899" s="721"/>
      <c r="G2899" s="639"/>
      <c r="H2899" s="668"/>
      <c r="I2899" s="721"/>
      <c r="J2899" s="639"/>
      <c r="K2899" s="1124"/>
    </row>
    <row r="2900" spans="1:11" ht="13.8" thickBot="1" x14ac:dyDescent="0.3">
      <c r="A2900" s="719">
        <v>3</v>
      </c>
      <c r="B2900" s="669"/>
      <c r="C2900" s="1137"/>
      <c r="D2900" s="1137"/>
      <c r="E2900" s="1137"/>
      <c r="F2900" s="1137"/>
      <c r="G2900" s="646"/>
      <c r="H2900" s="669"/>
      <c r="I2900" s="1137"/>
      <c r="J2900" s="646"/>
      <c r="K2900" s="1138"/>
    </row>
    <row r="2901" spans="1:11" ht="13.8" thickBot="1" x14ac:dyDescent="0.3">
      <c r="A2901" s="1186" t="s">
        <v>776</v>
      </c>
      <c r="B2901" s="1187"/>
      <c r="C2901" s="1188"/>
      <c r="D2901" s="1188"/>
      <c r="E2901" s="1188"/>
      <c r="F2901" s="1188"/>
      <c r="G2901" s="1189"/>
      <c r="H2901" s="1187"/>
      <c r="I2901" s="1188"/>
      <c r="J2901" s="1189"/>
      <c r="K2901" s="716"/>
    </row>
    <row r="2902" spans="1:11" x14ac:dyDescent="0.25">
      <c r="A2902" s="1190">
        <v>1</v>
      </c>
      <c r="B2902" s="745"/>
      <c r="C2902" s="1117"/>
      <c r="D2902" s="1117"/>
      <c r="E2902" s="1117"/>
      <c r="F2902" s="1117"/>
      <c r="G2902" s="632"/>
      <c r="H2902" s="745"/>
      <c r="I2902" s="1117"/>
      <c r="J2902" s="632"/>
      <c r="K2902" s="1118"/>
    </row>
    <row r="2903" spans="1:11" x14ac:dyDescent="0.25">
      <c r="A2903" s="718">
        <v>2</v>
      </c>
      <c r="B2903" s="668"/>
      <c r="C2903" s="721"/>
      <c r="D2903" s="721"/>
      <c r="E2903" s="721"/>
      <c r="F2903" s="721"/>
      <c r="G2903" s="639"/>
      <c r="H2903" s="668"/>
      <c r="I2903" s="721"/>
      <c r="J2903" s="639"/>
      <c r="K2903" s="1124"/>
    </row>
    <row r="2904" spans="1:11" x14ac:dyDescent="0.25">
      <c r="A2904" s="718">
        <v>3</v>
      </c>
      <c r="B2904" s="668"/>
      <c r="C2904" s="721"/>
      <c r="D2904" s="721"/>
      <c r="E2904" s="721"/>
      <c r="F2904" s="721"/>
      <c r="G2904" s="639"/>
      <c r="H2904" s="668"/>
      <c r="I2904" s="721"/>
      <c r="J2904" s="639"/>
      <c r="K2904" s="1124"/>
    </row>
    <row r="2905" spans="1:11" x14ac:dyDescent="0.25">
      <c r="A2905" s="718">
        <v>4</v>
      </c>
      <c r="B2905" s="668"/>
      <c r="C2905" s="721"/>
      <c r="D2905" s="721"/>
      <c r="E2905" s="721"/>
      <c r="F2905" s="721"/>
      <c r="G2905" s="639"/>
      <c r="H2905" s="668"/>
      <c r="I2905" s="721"/>
      <c r="J2905" s="639"/>
      <c r="K2905" s="1124"/>
    </row>
    <row r="2906" spans="1:11" x14ac:dyDescent="0.25">
      <c r="A2906" s="718">
        <v>5</v>
      </c>
      <c r="B2906" s="668"/>
      <c r="C2906" s="721"/>
      <c r="D2906" s="721"/>
      <c r="E2906" s="721"/>
      <c r="F2906" s="721"/>
      <c r="G2906" s="639"/>
      <c r="H2906" s="668"/>
      <c r="I2906" s="721"/>
      <c r="J2906" s="639"/>
      <c r="K2906" s="1124"/>
    </row>
    <row r="2907" spans="1:11" ht="13.8" thickBot="1" x14ac:dyDescent="0.3">
      <c r="A2907" s="719">
        <v>6</v>
      </c>
      <c r="B2907" s="669"/>
      <c r="C2907" s="1137"/>
      <c r="D2907" s="1137"/>
      <c r="E2907" s="1137"/>
      <c r="F2907" s="1137"/>
      <c r="G2907" s="646"/>
      <c r="H2907" s="669"/>
      <c r="I2907" s="1137"/>
      <c r="J2907" s="646"/>
      <c r="K2907" s="1138"/>
    </row>
    <row r="2908" spans="1:11" x14ac:dyDescent="0.25">
      <c r="A2908" s="1190">
        <v>1</v>
      </c>
      <c r="B2908" s="745"/>
      <c r="C2908" s="1117"/>
      <c r="D2908" s="1117"/>
      <c r="E2908" s="1117"/>
      <c r="F2908" s="1117"/>
      <c r="G2908" s="632"/>
      <c r="H2908" s="745"/>
      <c r="I2908" s="1117"/>
      <c r="J2908" s="632"/>
      <c r="K2908" s="1118"/>
    </row>
    <row r="2909" spans="1:11" x14ac:dyDescent="0.25">
      <c r="A2909" s="718">
        <v>2</v>
      </c>
      <c r="B2909" s="668"/>
      <c r="C2909" s="721"/>
      <c r="D2909" s="721"/>
      <c r="E2909" s="721"/>
      <c r="F2909" s="721"/>
      <c r="G2909" s="639"/>
      <c r="H2909" s="668"/>
      <c r="I2909" s="721"/>
      <c r="J2909" s="639"/>
      <c r="K2909" s="1124"/>
    </row>
    <row r="2910" spans="1:11" ht="13.8" thickBot="1" x14ac:dyDescent="0.3">
      <c r="A2910" s="1191">
        <v>3</v>
      </c>
      <c r="B2910" s="1132"/>
      <c r="C2910" s="1133"/>
      <c r="D2910" s="1133"/>
      <c r="E2910" s="1133"/>
      <c r="F2910" s="1133"/>
      <c r="G2910" s="1134"/>
      <c r="H2910" s="1132"/>
      <c r="I2910" s="1133"/>
      <c r="J2910" s="1134"/>
      <c r="K2910" s="1147"/>
    </row>
    <row r="2911" spans="1:11" ht="13.8" thickBot="1" x14ac:dyDescent="0.3">
      <c r="A2911" s="1186" t="s">
        <v>777</v>
      </c>
      <c r="B2911" s="1187"/>
      <c r="C2911" s="1188"/>
      <c r="D2911" s="1188"/>
      <c r="E2911" s="1188"/>
      <c r="F2911" s="1188"/>
      <c r="G2911" s="1189"/>
      <c r="H2911" s="1187"/>
      <c r="I2911" s="1188"/>
      <c r="J2911" s="1189"/>
      <c r="K2911" s="716"/>
    </row>
    <row r="2912" spans="1:11" x14ac:dyDescent="0.25">
      <c r="A2912" s="1190">
        <v>1</v>
      </c>
      <c r="B2912" s="745"/>
      <c r="C2912" s="1117"/>
      <c r="D2912" s="1117"/>
      <c r="E2912" s="1117"/>
      <c r="F2912" s="1117"/>
      <c r="G2912" s="632"/>
      <c r="H2912" s="745"/>
      <c r="I2912" s="1117"/>
      <c r="J2912" s="632"/>
      <c r="K2912" s="1118"/>
    </row>
    <row r="2913" spans="1:11" x14ac:dyDescent="0.25">
      <c r="A2913" s="718">
        <v>2</v>
      </c>
      <c r="B2913" s="668"/>
      <c r="C2913" s="721"/>
      <c r="D2913" s="721"/>
      <c r="E2913" s="721"/>
      <c r="F2913" s="721"/>
      <c r="G2913" s="639"/>
      <c r="H2913" s="668"/>
      <c r="I2913" s="721"/>
      <c r="J2913" s="639"/>
      <c r="K2913" s="1124"/>
    </row>
    <row r="2914" spans="1:11" x14ac:dyDescent="0.25">
      <c r="A2914" s="718">
        <v>3</v>
      </c>
      <c r="B2914" s="668"/>
      <c r="C2914" s="721"/>
      <c r="D2914" s="721"/>
      <c r="E2914" s="721"/>
      <c r="F2914" s="721"/>
      <c r="G2914" s="639"/>
      <c r="H2914" s="668"/>
      <c r="I2914" s="721"/>
      <c r="J2914" s="639"/>
      <c r="K2914" s="1124"/>
    </row>
    <row r="2915" spans="1:11" x14ac:dyDescent="0.25">
      <c r="A2915" s="718">
        <v>4</v>
      </c>
      <c r="B2915" s="668"/>
      <c r="C2915" s="721"/>
      <c r="D2915" s="721"/>
      <c r="E2915" s="721"/>
      <c r="F2915" s="721"/>
      <c r="G2915" s="639"/>
      <c r="H2915" s="668"/>
      <c r="I2915" s="721"/>
      <c r="J2915" s="639"/>
      <c r="K2915" s="1124"/>
    </row>
    <row r="2916" spans="1:11" x14ac:dyDescent="0.25">
      <c r="A2916" s="718">
        <v>5</v>
      </c>
      <c r="B2916" s="668"/>
      <c r="C2916" s="721"/>
      <c r="D2916" s="721"/>
      <c r="E2916" s="721"/>
      <c r="F2916" s="721"/>
      <c r="G2916" s="639"/>
      <c r="H2916" s="668"/>
      <c r="I2916" s="721"/>
      <c r="J2916" s="639"/>
      <c r="K2916" s="1124"/>
    </row>
    <row r="2917" spans="1:11" ht="13.8" thickBot="1" x14ac:dyDescent="0.3">
      <c r="A2917" s="719">
        <v>6</v>
      </c>
      <c r="B2917" s="669"/>
      <c r="C2917" s="1137"/>
      <c r="D2917" s="1137"/>
      <c r="E2917" s="1137"/>
      <c r="F2917" s="1137"/>
      <c r="G2917" s="646"/>
      <c r="H2917" s="669"/>
      <c r="I2917" s="1137"/>
      <c r="J2917" s="646"/>
      <c r="K2917" s="1138"/>
    </row>
    <row r="2918" spans="1:11" x14ac:dyDescent="0.25">
      <c r="A2918" s="1190">
        <v>1</v>
      </c>
      <c r="B2918" s="745"/>
      <c r="C2918" s="1117"/>
      <c r="D2918" s="1117"/>
      <c r="E2918" s="1117"/>
      <c r="F2918" s="1117"/>
      <c r="G2918" s="632"/>
      <c r="H2918" s="745"/>
      <c r="I2918" s="1117"/>
      <c r="J2918" s="632"/>
      <c r="K2918" s="1118"/>
    </row>
    <row r="2919" spans="1:11" x14ac:dyDescent="0.25">
      <c r="A2919" s="718">
        <v>2</v>
      </c>
      <c r="B2919" s="668"/>
      <c r="C2919" s="721"/>
      <c r="D2919" s="721"/>
      <c r="E2919" s="721"/>
      <c r="F2919" s="721"/>
      <c r="G2919" s="639"/>
      <c r="H2919" s="668"/>
      <c r="I2919" s="721"/>
      <c r="J2919" s="639"/>
      <c r="K2919" s="1124"/>
    </row>
    <row r="2920" spans="1:11" ht="13.8" thickBot="1" x14ac:dyDescent="0.3">
      <c r="A2920" s="719">
        <v>3</v>
      </c>
      <c r="B2920" s="669"/>
      <c r="C2920" s="1137"/>
      <c r="D2920" s="1137"/>
      <c r="E2920" s="1137"/>
      <c r="F2920" s="1137"/>
      <c r="G2920" s="646"/>
      <c r="H2920" s="669"/>
      <c r="I2920" s="1137"/>
      <c r="J2920" s="646"/>
      <c r="K2920" s="1138"/>
    </row>
    <row r="2921" spans="1:11" ht="13.8" thickBot="1" x14ac:dyDescent="0.3">
      <c r="A2921" s="1186" t="s">
        <v>778</v>
      </c>
      <c r="B2921" s="1187"/>
      <c r="C2921" s="1188"/>
      <c r="D2921" s="1188"/>
      <c r="E2921" s="1188"/>
      <c r="F2921" s="1188"/>
      <c r="G2921" s="1189"/>
      <c r="H2921" s="1187"/>
      <c r="I2921" s="1188"/>
      <c r="J2921" s="1189"/>
      <c r="K2921" s="716"/>
    </row>
    <row r="2922" spans="1:11" x14ac:dyDescent="0.25">
      <c r="A2922" s="1190">
        <v>1</v>
      </c>
      <c r="B2922" s="745"/>
      <c r="C2922" s="1117"/>
      <c r="D2922" s="1117"/>
      <c r="E2922" s="1117"/>
      <c r="F2922" s="1117"/>
      <c r="G2922" s="632"/>
      <c r="H2922" s="745"/>
      <c r="I2922" s="1117"/>
      <c r="J2922" s="632"/>
      <c r="K2922" s="1118"/>
    </row>
    <row r="2923" spans="1:11" x14ac:dyDescent="0.25">
      <c r="A2923" s="718">
        <v>2</v>
      </c>
      <c r="B2923" s="668"/>
      <c r="C2923" s="721"/>
      <c r="D2923" s="721"/>
      <c r="E2923" s="721"/>
      <c r="F2923" s="721"/>
      <c r="G2923" s="639"/>
      <c r="H2923" s="668"/>
      <c r="I2923" s="721"/>
      <c r="J2923" s="639"/>
      <c r="K2923" s="1124"/>
    </row>
    <row r="2924" spans="1:11" x14ac:dyDescent="0.25">
      <c r="A2924" s="718">
        <v>3</v>
      </c>
      <c r="B2924" s="668"/>
      <c r="C2924" s="721"/>
      <c r="D2924" s="721"/>
      <c r="E2924" s="721"/>
      <c r="F2924" s="721"/>
      <c r="G2924" s="639"/>
      <c r="H2924" s="668"/>
      <c r="I2924" s="721"/>
      <c r="J2924" s="639"/>
      <c r="K2924" s="1124"/>
    </row>
    <row r="2925" spans="1:11" x14ac:dyDescent="0.25">
      <c r="A2925" s="718">
        <v>4</v>
      </c>
      <c r="B2925" s="668"/>
      <c r="C2925" s="721"/>
      <c r="D2925" s="721"/>
      <c r="E2925" s="721"/>
      <c r="F2925" s="721"/>
      <c r="G2925" s="639"/>
      <c r="H2925" s="668"/>
      <c r="I2925" s="721"/>
      <c r="J2925" s="639"/>
      <c r="K2925" s="1124"/>
    </row>
    <row r="2926" spans="1:11" x14ac:dyDescent="0.25">
      <c r="A2926" s="718">
        <v>5</v>
      </c>
      <c r="B2926" s="668"/>
      <c r="C2926" s="721"/>
      <c r="D2926" s="721"/>
      <c r="E2926" s="721"/>
      <c r="F2926" s="721"/>
      <c r="G2926" s="639"/>
      <c r="H2926" s="668"/>
      <c r="I2926" s="721"/>
      <c r="J2926" s="639"/>
      <c r="K2926" s="1124"/>
    </row>
    <row r="2927" spans="1:11" ht="13.8" thickBot="1" x14ac:dyDescent="0.3">
      <c r="A2927" s="719">
        <v>6</v>
      </c>
      <c r="B2927" s="669"/>
      <c r="C2927" s="1137"/>
      <c r="D2927" s="1137"/>
      <c r="E2927" s="1137"/>
      <c r="F2927" s="1137"/>
      <c r="G2927" s="646"/>
      <c r="H2927" s="669"/>
      <c r="I2927" s="1137"/>
      <c r="J2927" s="646"/>
      <c r="K2927" s="1138"/>
    </row>
    <row r="2928" spans="1:11" x14ac:dyDescent="0.25">
      <c r="A2928" s="1190">
        <v>1</v>
      </c>
      <c r="B2928" s="745"/>
      <c r="C2928" s="1117"/>
      <c r="D2928" s="1117"/>
      <c r="E2928" s="1117"/>
      <c r="F2928" s="1117"/>
      <c r="G2928" s="632"/>
      <c r="H2928" s="745"/>
      <c r="I2928" s="1117"/>
      <c r="J2928" s="632"/>
      <c r="K2928" s="1118"/>
    </row>
    <row r="2929" spans="1:11" x14ac:dyDescent="0.25">
      <c r="A2929" s="718">
        <v>2</v>
      </c>
      <c r="B2929" s="668"/>
      <c r="C2929" s="721"/>
      <c r="D2929" s="721"/>
      <c r="E2929" s="721"/>
      <c r="F2929" s="721"/>
      <c r="G2929" s="639"/>
      <c r="H2929" s="668"/>
      <c r="I2929" s="721"/>
      <c r="J2929" s="639"/>
      <c r="K2929" s="1124"/>
    </row>
    <row r="2930" spans="1:11" ht="13.8" thickBot="1" x14ac:dyDescent="0.3">
      <c r="A2930" s="719">
        <v>3</v>
      </c>
      <c r="B2930" s="669"/>
      <c r="C2930" s="1137"/>
      <c r="D2930" s="1137"/>
      <c r="E2930" s="1137"/>
      <c r="F2930" s="1137"/>
      <c r="G2930" s="646"/>
      <c r="H2930" s="669"/>
      <c r="I2930" s="1137"/>
      <c r="J2930" s="646"/>
      <c r="K2930" s="1138"/>
    </row>
    <row r="2931" spans="1:11" ht="13.8" thickBot="1" x14ac:dyDescent="0.3">
      <c r="A2931" s="1186" t="s">
        <v>779</v>
      </c>
      <c r="B2931" s="1187"/>
      <c r="C2931" s="1188"/>
      <c r="D2931" s="1188"/>
      <c r="E2931" s="1188"/>
      <c r="F2931" s="1188"/>
      <c r="G2931" s="1189"/>
      <c r="H2931" s="1187"/>
      <c r="I2931" s="1188"/>
      <c r="J2931" s="1189"/>
      <c r="K2931" s="716"/>
    </row>
    <row r="2932" spans="1:11" x14ac:dyDescent="0.25">
      <c r="A2932" s="1190">
        <v>1</v>
      </c>
      <c r="B2932" s="745"/>
      <c r="C2932" s="1117"/>
      <c r="D2932" s="1117"/>
      <c r="E2932" s="1117"/>
      <c r="F2932" s="1117"/>
      <c r="G2932" s="632"/>
      <c r="H2932" s="745"/>
      <c r="I2932" s="1117"/>
      <c r="J2932" s="632"/>
      <c r="K2932" s="1118"/>
    </row>
    <row r="2933" spans="1:11" x14ac:dyDescent="0.25">
      <c r="A2933" s="718">
        <v>2</v>
      </c>
      <c r="B2933" s="668"/>
      <c r="C2933" s="721"/>
      <c r="D2933" s="721"/>
      <c r="E2933" s="721"/>
      <c r="F2933" s="721"/>
      <c r="G2933" s="639"/>
      <c r="H2933" s="668"/>
      <c r="I2933" s="721"/>
      <c r="J2933" s="639"/>
      <c r="K2933" s="1124"/>
    </row>
    <row r="2934" spans="1:11" x14ac:dyDescent="0.25">
      <c r="A2934" s="718">
        <v>3</v>
      </c>
      <c r="B2934" s="668"/>
      <c r="C2934" s="721"/>
      <c r="D2934" s="721"/>
      <c r="E2934" s="721"/>
      <c r="F2934" s="721"/>
      <c r="G2934" s="639"/>
      <c r="H2934" s="668"/>
      <c r="I2934" s="721"/>
      <c r="J2934" s="639"/>
      <c r="K2934" s="1124"/>
    </row>
    <row r="2935" spans="1:11" x14ac:dyDescent="0.25">
      <c r="A2935" s="718">
        <v>4</v>
      </c>
      <c r="B2935" s="668"/>
      <c r="C2935" s="721"/>
      <c r="D2935" s="721"/>
      <c r="E2935" s="721"/>
      <c r="F2935" s="721"/>
      <c r="G2935" s="639"/>
      <c r="H2935" s="668"/>
      <c r="I2935" s="721"/>
      <c r="J2935" s="639"/>
      <c r="K2935" s="1124"/>
    </row>
    <row r="2936" spans="1:11" x14ac:dyDescent="0.25">
      <c r="A2936" s="718">
        <v>5</v>
      </c>
      <c r="B2936" s="668"/>
      <c r="C2936" s="721"/>
      <c r="D2936" s="721"/>
      <c r="E2936" s="721"/>
      <c r="F2936" s="721"/>
      <c r="G2936" s="639"/>
      <c r="H2936" s="668"/>
      <c r="I2936" s="721"/>
      <c r="J2936" s="639"/>
      <c r="K2936" s="1124"/>
    </row>
    <row r="2937" spans="1:11" ht="13.8" thickBot="1" x14ac:dyDescent="0.3">
      <c r="A2937" s="719">
        <v>6</v>
      </c>
      <c r="B2937" s="669"/>
      <c r="C2937" s="1137"/>
      <c r="D2937" s="1137"/>
      <c r="E2937" s="1137"/>
      <c r="F2937" s="1137"/>
      <c r="G2937" s="646"/>
      <c r="H2937" s="669"/>
      <c r="I2937" s="1137"/>
      <c r="J2937" s="646"/>
      <c r="K2937" s="1138"/>
    </row>
    <row r="2938" spans="1:11" x14ac:dyDescent="0.25">
      <c r="A2938" s="1190">
        <v>1</v>
      </c>
      <c r="B2938" s="745"/>
      <c r="C2938" s="1117"/>
      <c r="D2938" s="1117"/>
      <c r="E2938" s="1117"/>
      <c r="F2938" s="1117"/>
      <c r="G2938" s="632"/>
      <c r="H2938" s="745"/>
      <c r="I2938" s="1117"/>
      <c r="J2938" s="632"/>
      <c r="K2938" s="1118"/>
    </row>
    <row r="2939" spans="1:11" x14ac:dyDescent="0.25">
      <c r="A2939" s="718">
        <v>2</v>
      </c>
      <c r="B2939" s="668"/>
      <c r="C2939" s="721"/>
      <c r="D2939" s="721"/>
      <c r="E2939" s="721"/>
      <c r="F2939" s="721"/>
      <c r="G2939" s="639"/>
      <c r="H2939" s="668"/>
      <c r="I2939" s="721"/>
      <c r="J2939" s="639"/>
      <c r="K2939" s="1124"/>
    </row>
    <row r="2940" spans="1:11" ht="13.8" thickBot="1" x14ac:dyDescent="0.3">
      <c r="A2940" s="719">
        <v>3</v>
      </c>
      <c r="B2940" s="669"/>
      <c r="C2940" s="1137"/>
      <c r="D2940" s="1137"/>
      <c r="E2940" s="1137"/>
      <c r="F2940" s="1137"/>
      <c r="G2940" s="646"/>
      <c r="H2940" s="669"/>
      <c r="I2940" s="1137"/>
      <c r="J2940" s="646"/>
      <c r="K2940" s="1138"/>
    </row>
    <row r="2941" spans="1:11" ht="13.8" thickBot="1" x14ac:dyDescent="0.3">
      <c r="A2941" s="1186" t="s">
        <v>780</v>
      </c>
      <c r="B2941" s="1187"/>
      <c r="C2941" s="1188"/>
      <c r="D2941" s="1188"/>
      <c r="E2941" s="1188"/>
      <c r="F2941" s="1188"/>
      <c r="G2941" s="1189"/>
      <c r="H2941" s="1187"/>
      <c r="I2941" s="1188"/>
      <c r="J2941" s="1189"/>
      <c r="K2941" s="716"/>
    </row>
    <row r="2942" spans="1:11" x14ac:dyDescent="0.25">
      <c r="A2942" s="1190">
        <v>1</v>
      </c>
      <c r="B2942" s="745"/>
      <c r="C2942" s="1117"/>
      <c r="D2942" s="1117"/>
      <c r="E2942" s="1117"/>
      <c r="F2942" s="1117"/>
      <c r="G2942" s="632"/>
      <c r="H2942" s="745"/>
      <c r="I2942" s="1117"/>
      <c r="J2942" s="632"/>
      <c r="K2942" s="1118"/>
    </row>
    <row r="2943" spans="1:11" x14ac:dyDescent="0.25">
      <c r="A2943" s="718">
        <v>2</v>
      </c>
      <c r="B2943" s="668"/>
      <c r="C2943" s="721"/>
      <c r="D2943" s="721"/>
      <c r="E2943" s="721"/>
      <c r="F2943" s="721"/>
      <c r="G2943" s="639"/>
      <c r="H2943" s="668"/>
      <c r="I2943" s="721"/>
      <c r="J2943" s="639"/>
      <c r="K2943" s="1124"/>
    </row>
    <row r="2944" spans="1:11" x14ac:dyDescent="0.25">
      <c r="A2944" s="718">
        <v>3</v>
      </c>
      <c r="B2944" s="668"/>
      <c r="C2944" s="721"/>
      <c r="D2944" s="721"/>
      <c r="E2944" s="721"/>
      <c r="F2944" s="721"/>
      <c r="G2944" s="639"/>
      <c r="H2944" s="668"/>
      <c r="I2944" s="721"/>
      <c r="J2944" s="639"/>
      <c r="K2944" s="1124"/>
    </row>
    <row r="2945" spans="1:11" x14ac:dyDescent="0.25">
      <c r="A2945" s="718">
        <v>4</v>
      </c>
      <c r="B2945" s="668"/>
      <c r="C2945" s="721"/>
      <c r="D2945" s="721"/>
      <c r="E2945" s="721"/>
      <c r="F2945" s="721"/>
      <c r="G2945" s="639"/>
      <c r="H2945" s="668"/>
      <c r="I2945" s="721"/>
      <c r="J2945" s="639"/>
      <c r="K2945" s="1124"/>
    </row>
    <row r="2946" spans="1:11" x14ac:dyDescent="0.25">
      <c r="A2946" s="718">
        <v>5</v>
      </c>
      <c r="B2946" s="668"/>
      <c r="C2946" s="721"/>
      <c r="D2946" s="721"/>
      <c r="E2946" s="721"/>
      <c r="F2946" s="721"/>
      <c r="G2946" s="639"/>
      <c r="H2946" s="668"/>
      <c r="I2946" s="721"/>
      <c r="J2946" s="639"/>
      <c r="K2946" s="1124"/>
    </row>
    <row r="2947" spans="1:11" ht="13.8" thickBot="1" x14ac:dyDescent="0.3">
      <c r="A2947" s="719">
        <v>6</v>
      </c>
      <c r="B2947" s="669"/>
      <c r="C2947" s="1137"/>
      <c r="D2947" s="1137"/>
      <c r="E2947" s="1137"/>
      <c r="F2947" s="1137"/>
      <c r="G2947" s="646"/>
      <c r="H2947" s="669"/>
      <c r="I2947" s="1137"/>
      <c r="J2947" s="646"/>
      <c r="K2947" s="1138"/>
    </row>
    <row r="2948" spans="1:11" x14ac:dyDescent="0.25">
      <c r="A2948" s="1190">
        <v>1</v>
      </c>
      <c r="B2948" s="745"/>
      <c r="C2948" s="1117"/>
      <c r="D2948" s="1117"/>
      <c r="E2948" s="1117"/>
      <c r="F2948" s="1117"/>
      <c r="G2948" s="632"/>
      <c r="H2948" s="745"/>
      <c r="I2948" s="1117"/>
      <c r="J2948" s="632"/>
      <c r="K2948" s="1118"/>
    </row>
    <row r="2949" spans="1:11" x14ac:dyDescent="0.25">
      <c r="A2949" s="718">
        <v>2</v>
      </c>
      <c r="B2949" s="668"/>
      <c r="C2949" s="721"/>
      <c r="D2949" s="721"/>
      <c r="E2949" s="721"/>
      <c r="F2949" s="721"/>
      <c r="G2949" s="639"/>
      <c r="H2949" s="668"/>
      <c r="I2949" s="721"/>
      <c r="J2949" s="639"/>
      <c r="K2949" s="1124"/>
    </row>
    <row r="2950" spans="1:11" ht="13.8" thickBot="1" x14ac:dyDescent="0.3">
      <c r="A2950" s="1191">
        <v>3</v>
      </c>
      <c r="B2950" s="1132"/>
      <c r="C2950" s="1133"/>
      <c r="D2950" s="1133"/>
      <c r="E2950" s="1133"/>
      <c r="F2950" s="1133"/>
      <c r="G2950" s="1134"/>
      <c r="H2950" s="1132"/>
      <c r="I2950" s="1133"/>
      <c r="J2950" s="1134"/>
      <c r="K2950" s="1147"/>
    </row>
    <row r="2951" spans="1:11" ht="13.8" thickBot="1" x14ac:dyDescent="0.3">
      <c r="A2951" s="1186" t="s">
        <v>781</v>
      </c>
      <c r="B2951" s="1187"/>
      <c r="C2951" s="1188"/>
      <c r="D2951" s="1188"/>
      <c r="E2951" s="1188"/>
      <c r="F2951" s="1188"/>
      <c r="G2951" s="1189"/>
      <c r="H2951" s="1187"/>
      <c r="I2951" s="1188"/>
      <c r="J2951" s="1189"/>
      <c r="K2951" s="716"/>
    </row>
    <row r="2952" spans="1:11" x14ac:dyDescent="0.25">
      <c r="A2952" s="1190">
        <v>1</v>
      </c>
      <c r="B2952" s="745"/>
      <c r="C2952" s="1117"/>
      <c r="D2952" s="1117"/>
      <c r="E2952" s="1117"/>
      <c r="F2952" s="1117"/>
      <c r="G2952" s="632"/>
      <c r="H2952" s="745"/>
      <c r="I2952" s="1117"/>
      <c r="J2952" s="632"/>
      <c r="K2952" s="1118"/>
    </row>
    <row r="2953" spans="1:11" x14ac:dyDescent="0.25">
      <c r="A2953" s="718">
        <v>2</v>
      </c>
      <c r="B2953" s="668"/>
      <c r="C2953" s="721"/>
      <c r="D2953" s="721"/>
      <c r="E2953" s="721"/>
      <c r="F2953" s="721"/>
      <c r="G2953" s="639"/>
      <c r="H2953" s="668"/>
      <c r="I2953" s="721"/>
      <c r="J2953" s="639"/>
      <c r="K2953" s="1124"/>
    </row>
    <row r="2954" spans="1:11" x14ac:dyDescent="0.25">
      <c r="A2954" s="718">
        <v>3</v>
      </c>
      <c r="B2954" s="668"/>
      <c r="C2954" s="721"/>
      <c r="D2954" s="721"/>
      <c r="E2954" s="721"/>
      <c r="F2954" s="721"/>
      <c r="G2954" s="639"/>
      <c r="H2954" s="668"/>
      <c r="I2954" s="721"/>
      <c r="J2954" s="639"/>
      <c r="K2954" s="1124"/>
    </row>
    <row r="2955" spans="1:11" x14ac:dyDescent="0.25">
      <c r="A2955" s="718">
        <v>4</v>
      </c>
      <c r="B2955" s="668"/>
      <c r="C2955" s="721"/>
      <c r="D2955" s="721"/>
      <c r="E2955" s="721"/>
      <c r="F2955" s="721"/>
      <c r="G2955" s="639"/>
      <c r="H2955" s="668"/>
      <c r="I2955" s="721"/>
      <c r="J2955" s="639"/>
      <c r="K2955" s="1124"/>
    </row>
    <row r="2956" spans="1:11" x14ac:dyDescent="0.25">
      <c r="A2956" s="718">
        <v>5</v>
      </c>
      <c r="B2956" s="668"/>
      <c r="C2956" s="721"/>
      <c r="D2956" s="721"/>
      <c r="E2956" s="721"/>
      <c r="F2956" s="721"/>
      <c r="G2956" s="639"/>
      <c r="H2956" s="668"/>
      <c r="I2956" s="721"/>
      <c r="J2956" s="639"/>
      <c r="K2956" s="1124"/>
    </row>
    <row r="2957" spans="1:11" ht="13.8" thickBot="1" x14ac:dyDescent="0.3">
      <c r="A2957" s="719">
        <v>6</v>
      </c>
      <c r="B2957" s="669"/>
      <c r="C2957" s="1137"/>
      <c r="D2957" s="1137"/>
      <c r="E2957" s="1137"/>
      <c r="F2957" s="1137"/>
      <c r="G2957" s="646"/>
      <c r="H2957" s="669"/>
      <c r="I2957" s="1137"/>
      <c r="J2957" s="646"/>
      <c r="K2957" s="1138"/>
    </row>
    <row r="2958" spans="1:11" x14ac:dyDescent="0.25">
      <c r="A2958" s="1190">
        <v>1</v>
      </c>
      <c r="B2958" s="745"/>
      <c r="C2958" s="1117"/>
      <c r="D2958" s="1117"/>
      <c r="E2958" s="1117"/>
      <c r="F2958" s="1117"/>
      <c r="G2958" s="632"/>
      <c r="H2958" s="745"/>
      <c r="I2958" s="1117"/>
      <c r="J2958" s="632"/>
      <c r="K2958" s="1118"/>
    </row>
    <row r="2959" spans="1:11" x14ac:dyDescent="0.25">
      <c r="A2959" s="718">
        <v>2</v>
      </c>
      <c r="B2959" s="668"/>
      <c r="C2959" s="721"/>
      <c r="D2959" s="721"/>
      <c r="E2959" s="721"/>
      <c r="F2959" s="721"/>
      <c r="G2959" s="639"/>
      <c r="H2959" s="668"/>
      <c r="I2959" s="721"/>
      <c r="J2959" s="639"/>
      <c r="K2959" s="1124"/>
    </row>
    <row r="2960" spans="1:11" ht="13.8" thickBot="1" x14ac:dyDescent="0.3">
      <c r="A2960" s="719">
        <v>3</v>
      </c>
      <c r="B2960" s="669"/>
      <c r="C2960" s="1137"/>
      <c r="D2960" s="1137"/>
      <c r="E2960" s="1137"/>
      <c r="F2960" s="1137"/>
      <c r="G2960" s="646"/>
      <c r="H2960" s="669"/>
      <c r="I2960" s="1137"/>
      <c r="J2960" s="646"/>
      <c r="K2960" s="1138"/>
    </row>
    <row r="2961" spans="1:11" ht="13.8" thickBot="1" x14ac:dyDescent="0.3">
      <c r="A2961" s="1186" t="s">
        <v>782</v>
      </c>
      <c r="B2961" s="1187"/>
      <c r="C2961" s="1188"/>
      <c r="D2961" s="1188"/>
      <c r="E2961" s="1188"/>
      <c r="F2961" s="1188"/>
      <c r="G2961" s="1189"/>
      <c r="H2961" s="1187"/>
      <c r="I2961" s="1188"/>
      <c r="J2961" s="1189"/>
      <c r="K2961" s="716"/>
    </row>
    <row r="2962" spans="1:11" x14ac:dyDescent="0.25">
      <c r="A2962" s="1190">
        <v>1</v>
      </c>
      <c r="B2962" s="745"/>
      <c r="C2962" s="1117"/>
      <c r="D2962" s="1117"/>
      <c r="E2962" s="1117"/>
      <c r="F2962" s="1117"/>
      <c r="G2962" s="632"/>
      <c r="H2962" s="745"/>
      <c r="I2962" s="1117"/>
      <c r="J2962" s="632"/>
      <c r="K2962" s="1118"/>
    </row>
    <row r="2963" spans="1:11" x14ac:dyDescent="0.25">
      <c r="A2963" s="718">
        <v>2</v>
      </c>
      <c r="B2963" s="668"/>
      <c r="C2963" s="721"/>
      <c r="D2963" s="721"/>
      <c r="E2963" s="721"/>
      <c r="F2963" s="721"/>
      <c r="G2963" s="639"/>
      <c r="H2963" s="668"/>
      <c r="I2963" s="721"/>
      <c r="J2963" s="639"/>
      <c r="K2963" s="1124"/>
    </row>
    <row r="2964" spans="1:11" x14ac:dyDescent="0.25">
      <c r="A2964" s="718">
        <v>3</v>
      </c>
      <c r="B2964" s="668"/>
      <c r="C2964" s="721"/>
      <c r="D2964" s="721"/>
      <c r="E2964" s="721"/>
      <c r="F2964" s="721"/>
      <c r="G2964" s="639"/>
      <c r="H2964" s="668"/>
      <c r="I2964" s="721"/>
      <c r="J2964" s="639"/>
      <c r="K2964" s="1124"/>
    </row>
    <row r="2965" spans="1:11" x14ac:dyDescent="0.25">
      <c r="A2965" s="718">
        <v>4</v>
      </c>
      <c r="B2965" s="668"/>
      <c r="C2965" s="721"/>
      <c r="D2965" s="721"/>
      <c r="E2965" s="721"/>
      <c r="F2965" s="721"/>
      <c r="G2965" s="639"/>
      <c r="H2965" s="668"/>
      <c r="I2965" s="721"/>
      <c r="J2965" s="639"/>
      <c r="K2965" s="1124"/>
    </row>
    <row r="2966" spans="1:11" x14ac:dyDescent="0.25">
      <c r="A2966" s="718">
        <v>5</v>
      </c>
      <c r="B2966" s="668"/>
      <c r="C2966" s="721"/>
      <c r="D2966" s="721"/>
      <c r="E2966" s="721"/>
      <c r="F2966" s="721"/>
      <c r="G2966" s="639"/>
      <c r="H2966" s="668"/>
      <c r="I2966" s="721"/>
      <c r="J2966" s="639"/>
      <c r="K2966" s="1124"/>
    </row>
    <row r="2967" spans="1:11" ht="13.8" thickBot="1" x14ac:dyDescent="0.3">
      <c r="A2967" s="719">
        <v>6</v>
      </c>
      <c r="B2967" s="669"/>
      <c r="C2967" s="1137"/>
      <c r="D2967" s="1137"/>
      <c r="E2967" s="1137"/>
      <c r="F2967" s="1137"/>
      <c r="G2967" s="646"/>
      <c r="H2967" s="669"/>
      <c r="I2967" s="1137"/>
      <c r="J2967" s="646"/>
      <c r="K2967" s="1138"/>
    </row>
    <row r="2968" spans="1:11" x14ac:dyDescent="0.25">
      <c r="A2968" s="1190">
        <v>1</v>
      </c>
      <c r="B2968" s="745"/>
      <c r="C2968" s="1117"/>
      <c r="D2968" s="1117"/>
      <c r="E2968" s="1117"/>
      <c r="F2968" s="1117"/>
      <c r="G2968" s="632"/>
      <c r="H2968" s="745"/>
      <c r="I2968" s="1117"/>
      <c r="J2968" s="632"/>
      <c r="K2968" s="1118"/>
    </row>
    <row r="2969" spans="1:11" x14ac:dyDescent="0.25">
      <c r="A2969" s="718">
        <v>2</v>
      </c>
      <c r="B2969" s="668"/>
      <c r="C2969" s="721"/>
      <c r="D2969" s="721"/>
      <c r="E2969" s="721"/>
      <c r="F2969" s="721"/>
      <c r="G2969" s="639"/>
      <c r="H2969" s="668"/>
      <c r="I2969" s="721"/>
      <c r="J2969" s="639"/>
      <c r="K2969" s="1124"/>
    </row>
    <row r="2970" spans="1:11" ht="13.8" thickBot="1" x14ac:dyDescent="0.3">
      <c r="A2970" s="719">
        <v>3</v>
      </c>
      <c r="B2970" s="669"/>
      <c r="C2970" s="1137"/>
      <c r="D2970" s="1137"/>
      <c r="E2970" s="1137"/>
      <c r="F2970" s="1137"/>
      <c r="G2970" s="646"/>
      <c r="H2970" s="669"/>
      <c r="I2970" s="1137"/>
      <c r="J2970" s="646"/>
      <c r="K2970" s="1138"/>
    </row>
    <row r="2971" spans="1:11" ht="13.8" thickBot="1" x14ac:dyDescent="0.3">
      <c r="A2971" s="1186" t="s">
        <v>783</v>
      </c>
      <c r="B2971" s="1187"/>
      <c r="C2971" s="1188"/>
      <c r="D2971" s="1188"/>
      <c r="E2971" s="1188"/>
      <c r="F2971" s="1188"/>
      <c r="G2971" s="1189"/>
      <c r="H2971" s="1187"/>
      <c r="I2971" s="1188"/>
      <c r="J2971" s="1189"/>
      <c r="K2971" s="716"/>
    </row>
    <row r="2972" spans="1:11" x14ac:dyDescent="0.25">
      <c r="A2972" s="1190">
        <v>1</v>
      </c>
      <c r="B2972" s="745"/>
      <c r="C2972" s="1117"/>
      <c r="D2972" s="1117"/>
      <c r="E2972" s="1117"/>
      <c r="F2972" s="1117"/>
      <c r="G2972" s="632"/>
      <c r="H2972" s="745"/>
      <c r="I2972" s="1117"/>
      <c r="J2972" s="632"/>
      <c r="K2972" s="1118"/>
    </row>
    <row r="2973" spans="1:11" x14ac:dyDescent="0.25">
      <c r="A2973" s="718">
        <v>2</v>
      </c>
      <c r="B2973" s="668"/>
      <c r="C2973" s="721"/>
      <c r="D2973" s="721"/>
      <c r="E2973" s="721"/>
      <c r="F2973" s="721"/>
      <c r="G2973" s="639"/>
      <c r="H2973" s="668"/>
      <c r="I2973" s="721"/>
      <c r="J2973" s="639"/>
      <c r="K2973" s="1124"/>
    </row>
    <row r="2974" spans="1:11" x14ac:dyDescent="0.25">
      <c r="A2974" s="718">
        <v>3</v>
      </c>
      <c r="B2974" s="668"/>
      <c r="C2974" s="721"/>
      <c r="D2974" s="721"/>
      <c r="E2974" s="721"/>
      <c r="F2974" s="721"/>
      <c r="G2974" s="639"/>
      <c r="H2974" s="668"/>
      <c r="I2974" s="721"/>
      <c r="J2974" s="639"/>
      <c r="K2974" s="1124"/>
    </row>
    <row r="2975" spans="1:11" x14ac:dyDescent="0.25">
      <c r="A2975" s="718">
        <v>4</v>
      </c>
      <c r="B2975" s="668"/>
      <c r="C2975" s="721"/>
      <c r="D2975" s="721"/>
      <c r="E2975" s="721"/>
      <c r="F2975" s="721"/>
      <c r="G2975" s="639"/>
      <c r="H2975" s="668"/>
      <c r="I2975" s="721"/>
      <c r="J2975" s="639"/>
      <c r="K2975" s="1124"/>
    </row>
    <row r="2976" spans="1:11" x14ac:dyDescent="0.25">
      <c r="A2976" s="718">
        <v>5</v>
      </c>
      <c r="B2976" s="668"/>
      <c r="C2976" s="721"/>
      <c r="D2976" s="721"/>
      <c r="E2976" s="721"/>
      <c r="F2976" s="721"/>
      <c r="G2976" s="639"/>
      <c r="H2976" s="668"/>
      <c r="I2976" s="721"/>
      <c r="J2976" s="639"/>
      <c r="K2976" s="1124"/>
    </row>
    <row r="2977" spans="1:11" ht="13.8" thickBot="1" x14ac:dyDescent="0.3">
      <c r="A2977" s="719">
        <v>6</v>
      </c>
      <c r="B2977" s="669"/>
      <c r="C2977" s="1137"/>
      <c r="D2977" s="1137"/>
      <c r="E2977" s="1137"/>
      <c r="F2977" s="1137"/>
      <c r="G2977" s="646"/>
      <c r="H2977" s="669"/>
      <c r="I2977" s="1137"/>
      <c r="J2977" s="646"/>
      <c r="K2977" s="1138"/>
    </row>
    <row r="2978" spans="1:11" x14ac:dyDescent="0.25">
      <c r="A2978" s="1190">
        <v>1</v>
      </c>
      <c r="B2978" s="745"/>
      <c r="C2978" s="1117"/>
      <c r="D2978" s="1117"/>
      <c r="E2978" s="1117"/>
      <c r="F2978" s="1117"/>
      <c r="G2978" s="632"/>
      <c r="H2978" s="745"/>
      <c r="I2978" s="1117"/>
      <c r="J2978" s="632"/>
      <c r="K2978" s="1118"/>
    </row>
    <row r="2979" spans="1:11" x14ac:dyDescent="0.25">
      <c r="A2979" s="718">
        <v>2</v>
      </c>
      <c r="B2979" s="668"/>
      <c r="C2979" s="721"/>
      <c r="D2979" s="721"/>
      <c r="E2979" s="721"/>
      <c r="F2979" s="721"/>
      <c r="G2979" s="639"/>
      <c r="H2979" s="668"/>
      <c r="I2979" s="721"/>
      <c r="J2979" s="639"/>
      <c r="K2979" s="1124"/>
    </row>
    <row r="2980" spans="1:11" ht="13.8" thickBot="1" x14ac:dyDescent="0.3">
      <c r="A2980" s="719">
        <v>3</v>
      </c>
      <c r="B2980" s="669"/>
      <c r="C2980" s="1137"/>
      <c r="D2980" s="1137"/>
      <c r="E2980" s="1137"/>
      <c r="F2980" s="1137"/>
      <c r="G2980" s="646"/>
      <c r="H2980" s="669"/>
      <c r="I2980" s="1137"/>
      <c r="J2980" s="646"/>
      <c r="K2980" s="1138"/>
    </row>
    <row r="2981" spans="1:11" ht="13.8" thickBot="1" x14ac:dyDescent="0.3">
      <c r="A2981" s="1186" t="s">
        <v>784</v>
      </c>
      <c r="B2981" s="1187"/>
      <c r="C2981" s="1188"/>
      <c r="D2981" s="1188"/>
      <c r="E2981" s="1188"/>
      <c r="F2981" s="1188"/>
      <c r="G2981" s="1189"/>
      <c r="H2981" s="1187"/>
      <c r="I2981" s="1188"/>
      <c r="J2981" s="1189"/>
      <c r="K2981" s="716"/>
    </row>
    <row r="2982" spans="1:11" x14ac:dyDescent="0.25">
      <c r="A2982" s="1190">
        <v>1</v>
      </c>
      <c r="B2982" s="745"/>
      <c r="C2982" s="1117"/>
      <c r="D2982" s="1117"/>
      <c r="E2982" s="1117"/>
      <c r="F2982" s="1117"/>
      <c r="G2982" s="632"/>
      <c r="H2982" s="745"/>
      <c r="I2982" s="1117"/>
      <c r="J2982" s="632"/>
      <c r="K2982" s="1118"/>
    </row>
    <row r="2983" spans="1:11" x14ac:dyDescent="0.25">
      <c r="A2983" s="718">
        <v>2</v>
      </c>
      <c r="B2983" s="668"/>
      <c r="C2983" s="721"/>
      <c r="D2983" s="721"/>
      <c r="E2983" s="721"/>
      <c r="F2983" s="721"/>
      <c r="G2983" s="639"/>
      <c r="H2983" s="668"/>
      <c r="I2983" s="721"/>
      <c r="J2983" s="639"/>
      <c r="K2983" s="1124"/>
    </row>
    <row r="2984" spans="1:11" x14ac:dyDescent="0.25">
      <c r="A2984" s="718">
        <v>3</v>
      </c>
      <c r="B2984" s="668"/>
      <c r="C2984" s="721"/>
      <c r="D2984" s="721"/>
      <c r="E2984" s="721"/>
      <c r="F2984" s="721"/>
      <c r="G2984" s="639"/>
      <c r="H2984" s="668"/>
      <c r="I2984" s="721"/>
      <c r="J2984" s="639"/>
      <c r="K2984" s="1124"/>
    </row>
    <row r="2985" spans="1:11" x14ac:dyDescent="0.25">
      <c r="A2985" s="718">
        <v>4</v>
      </c>
      <c r="B2985" s="668"/>
      <c r="C2985" s="721"/>
      <c r="D2985" s="721"/>
      <c r="E2985" s="721"/>
      <c r="F2985" s="721"/>
      <c r="G2985" s="639"/>
      <c r="H2985" s="668"/>
      <c r="I2985" s="721"/>
      <c r="J2985" s="639"/>
      <c r="K2985" s="1124"/>
    </row>
    <row r="2986" spans="1:11" x14ac:dyDescent="0.25">
      <c r="A2986" s="718">
        <v>5</v>
      </c>
      <c r="B2986" s="668"/>
      <c r="C2986" s="721"/>
      <c r="D2986" s="721"/>
      <c r="E2986" s="721"/>
      <c r="F2986" s="721"/>
      <c r="G2986" s="639"/>
      <c r="H2986" s="668"/>
      <c r="I2986" s="721"/>
      <c r="J2986" s="639"/>
      <c r="K2986" s="1124"/>
    </row>
    <row r="2987" spans="1:11" ht="13.8" thickBot="1" x14ac:dyDescent="0.3">
      <c r="A2987" s="719">
        <v>6</v>
      </c>
      <c r="B2987" s="669"/>
      <c r="C2987" s="1137"/>
      <c r="D2987" s="1137"/>
      <c r="E2987" s="1137"/>
      <c r="F2987" s="1137"/>
      <c r="G2987" s="646"/>
      <c r="H2987" s="669"/>
      <c r="I2987" s="1137"/>
      <c r="J2987" s="646"/>
      <c r="K2987" s="1138"/>
    </row>
    <row r="2988" spans="1:11" x14ac:dyDescent="0.25">
      <c r="A2988" s="1190">
        <v>1</v>
      </c>
      <c r="B2988" s="745"/>
      <c r="C2988" s="1117"/>
      <c r="D2988" s="1117"/>
      <c r="E2988" s="1117"/>
      <c r="F2988" s="1117"/>
      <c r="G2988" s="632"/>
      <c r="H2988" s="745"/>
      <c r="I2988" s="1117"/>
      <c r="J2988" s="632"/>
      <c r="K2988" s="1118"/>
    </row>
    <row r="2989" spans="1:11" x14ac:dyDescent="0.25">
      <c r="A2989" s="718">
        <v>2</v>
      </c>
      <c r="B2989" s="668"/>
      <c r="C2989" s="721"/>
      <c r="D2989" s="721"/>
      <c r="E2989" s="721"/>
      <c r="F2989" s="721"/>
      <c r="G2989" s="639"/>
      <c r="H2989" s="668"/>
      <c r="I2989" s="721"/>
      <c r="J2989" s="639"/>
      <c r="K2989" s="1124"/>
    </row>
    <row r="2990" spans="1:11" ht="13.8" thickBot="1" x14ac:dyDescent="0.3">
      <c r="A2990" s="719">
        <v>3</v>
      </c>
      <c r="B2990" s="669"/>
      <c r="C2990" s="1137"/>
      <c r="D2990" s="1137"/>
      <c r="E2990" s="1137"/>
      <c r="F2990" s="1137"/>
      <c r="G2990" s="646"/>
      <c r="H2990" s="669"/>
      <c r="I2990" s="1137"/>
      <c r="J2990" s="646"/>
      <c r="K2990" s="1138"/>
    </row>
    <row r="2991" spans="1:11" ht="13.8" thickBot="1" x14ac:dyDescent="0.3">
      <c r="A2991" s="1186" t="s">
        <v>785</v>
      </c>
      <c r="B2991" s="1187"/>
      <c r="C2991" s="1188"/>
      <c r="D2991" s="1188"/>
      <c r="E2991" s="1188"/>
      <c r="F2991" s="1188"/>
      <c r="G2991" s="1189"/>
      <c r="H2991" s="1187"/>
      <c r="I2991" s="1188"/>
      <c r="J2991" s="1189"/>
      <c r="K2991" s="716"/>
    </row>
    <row r="2992" spans="1:11" x14ac:dyDescent="0.25">
      <c r="A2992" s="1190">
        <v>1</v>
      </c>
      <c r="B2992" s="745"/>
      <c r="C2992" s="1117"/>
      <c r="D2992" s="1117"/>
      <c r="E2992" s="1117"/>
      <c r="F2992" s="1117"/>
      <c r="G2992" s="632"/>
      <c r="H2992" s="745"/>
      <c r="I2992" s="1117"/>
      <c r="J2992" s="632"/>
      <c r="K2992" s="1118"/>
    </row>
    <row r="2993" spans="1:11" x14ac:dyDescent="0.25">
      <c r="A2993" s="718">
        <v>2</v>
      </c>
      <c r="B2993" s="668"/>
      <c r="C2993" s="721"/>
      <c r="D2993" s="721"/>
      <c r="E2993" s="721"/>
      <c r="F2993" s="721"/>
      <c r="G2993" s="639"/>
      <c r="H2993" s="668"/>
      <c r="I2993" s="721"/>
      <c r="J2993" s="639"/>
      <c r="K2993" s="1124"/>
    </row>
    <row r="2994" spans="1:11" x14ac:dyDescent="0.25">
      <c r="A2994" s="718">
        <v>3</v>
      </c>
      <c r="B2994" s="668"/>
      <c r="C2994" s="721"/>
      <c r="D2994" s="721"/>
      <c r="E2994" s="721"/>
      <c r="F2994" s="721"/>
      <c r="G2994" s="639"/>
      <c r="H2994" s="668"/>
      <c r="I2994" s="721"/>
      <c r="J2994" s="639"/>
      <c r="K2994" s="1124"/>
    </row>
    <row r="2995" spans="1:11" x14ac:dyDescent="0.25">
      <c r="A2995" s="718">
        <v>4</v>
      </c>
      <c r="B2995" s="668"/>
      <c r="C2995" s="721"/>
      <c r="D2995" s="721"/>
      <c r="E2995" s="721"/>
      <c r="F2995" s="721"/>
      <c r="G2995" s="639"/>
      <c r="H2995" s="668"/>
      <c r="I2995" s="721"/>
      <c r="J2995" s="639"/>
      <c r="K2995" s="1124"/>
    </row>
    <row r="2996" spans="1:11" x14ac:dyDescent="0.25">
      <c r="A2996" s="718">
        <v>5</v>
      </c>
      <c r="B2996" s="668"/>
      <c r="C2996" s="721"/>
      <c r="D2996" s="721"/>
      <c r="E2996" s="721"/>
      <c r="F2996" s="721"/>
      <c r="G2996" s="639"/>
      <c r="H2996" s="668"/>
      <c r="I2996" s="721"/>
      <c r="J2996" s="639"/>
      <c r="K2996" s="1124"/>
    </row>
    <row r="2997" spans="1:11" ht="13.8" thickBot="1" x14ac:dyDescent="0.3">
      <c r="A2997" s="719">
        <v>6</v>
      </c>
      <c r="B2997" s="669"/>
      <c r="C2997" s="1137"/>
      <c r="D2997" s="1137"/>
      <c r="E2997" s="1137"/>
      <c r="F2997" s="1137"/>
      <c r="G2997" s="646"/>
      <c r="H2997" s="669"/>
      <c r="I2997" s="1137"/>
      <c r="J2997" s="646"/>
      <c r="K2997" s="1138"/>
    </row>
    <row r="2998" spans="1:11" x14ac:dyDescent="0.25">
      <c r="A2998" s="1190">
        <v>1</v>
      </c>
      <c r="B2998" s="745"/>
      <c r="C2998" s="1117"/>
      <c r="D2998" s="1117"/>
      <c r="E2998" s="1117"/>
      <c r="F2998" s="1117"/>
      <c r="G2998" s="632"/>
      <c r="H2998" s="745"/>
      <c r="I2998" s="1117"/>
      <c r="J2998" s="632"/>
      <c r="K2998" s="1118"/>
    </row>
    <row r="2999" spans="1:11" x14ac:dyDescent="0.25">
      <c r="A2999" s="718">
        <v>2</v>
      </c>
      <c r="B2999" s="668"/>
      <c r="C2999" s="721"/>
      <c r="D2999" s="721"/>
      <c r="E2999" s="721"/>
      <c r="F2999" s="721"/>
      <c r="G2999" s="639"/>
      <c r="H2999" s="668"/>
      <c r="I2999" s="721"/>
      <c r="J2999" s="639"/>
      <c r="K2999" s="1124"/>
    </row>
    <row r="3000" spans="1:11" ht="13.8" thickBot="1" x14ac:dyDescent="0.3">
      <c r="A3000" s="719">
        <v>3</v>
      </c>
      <c r="B3000" s="669"/>
      <c r="C3000" s="1137"/>
      <c r="D3000" s="1137"/>
      <c r="E3000" s="1137"/>
      <c r="F3000" s="1137"/>
      <c r="G3000" s="646"/>
      <c r="H3000" s="669"/>
      <c r="I3000" s="1137"/>
      <c r="J3000" s="646"/>
      <c r="K3000" s="1138"/>
    </row>
    <row r="3001" spans="1:11" ht="13.8" thickBot="1" x14ac:dyDescent="0.3">
      <c r="A3001" s="1186" t="s">
        <v>786</v>
      </c>
      <c r="B3001" s="1187"/>
      <c r="C3001" s="1188"/>
      <c r="D3001" s="1188"/>
      <c r="E3001" s="1188"/>
      <c r="F3001" s="1188"/>
      <c r="G3001" s="1189"/>
      <c r="H3001" s="1187"/>
      <c r="I3001" s="1188"/>
      <c r="J3001" s="1189"/>
      <c r="K3001" s="716"/>
    </row>
    <row r="3002" spans="1:11" x14ac:dyDescent="0.25">
      <c r="A3002" s="1190">
        <v>1</v>
      </c>
      <c r="B3002" s="745"/>
      <c r="C3002" s="1117"/>
      <c r="D3002" s="1117"/>
      <c r="E3002" s="1117"/>
      <c r="F3002" s="1117"/>
      <c r="G3002" s="632"/>
      <c r="H3002" s="745"/>
      <c r="I3002" s="1117"/>
      <c r="J3002" s="632"/>
      <c r="K3002" s="1118"/>
    </row>
    <row r="3003" spans="1:11" x14ac:dyDescent="0.25">
      <c r="A3003" s="718">
        <v>2</v>
      </c>
      <c r="B3003" s="668"/>
      <c r="C3003" s="721"/>
      <c r="D3003" s="721"/>
      <c r="E3003" s="721"/>
      <c r="F3003" s="721"/>
      <c r="G3003" s="639"/>
      <c r="H3003" s="668"/>
      <c r="I3003" s="721"/>
      <c r="J3003" s="639"/>
      <c r="K3003" s="1124"/>
    </row>
    <row r="3004" spans="1:11" x14ac:dyDescent="0.25">
      <c r="A3004" s="718">
        <v>3</v>
      </c>
      <c r="B3004" s="668"/>
      <c r="C3004" s="721"/>
      <c r="D3004" s="721"/>
      <c r="E3004" s="721"/>
      <c r="F3004" s="721"/>
      <c r="G3004" s="639"/>
      <c r="H3004" s="668"/>
      <c r="I3004" s="721"/>
      <c r="J3004" s="639"/>
      <c r="K3004" s="1124"/>
    </row>
    <row r="3005" spans="1:11" x14ac:dyDescent="0.25">
      <c r="A3005" s="718">
        <v>4</v>
      </c>
      <c r="B3005" s="668"/>
      <c r="C3005" s="721"/>
      <c r="D3005" s="721"/>
      <c r="E3005" s="721"/>
      <c r="F3005" s="721"/>
      <c r="G3005" s="639"/>
      <c r="H3005" s="668"/>
      <c r="I3005" s="721"/>
      <c r="J3005" s="639"/>
      <c r="K3005" s="1124"/>
    </row>
    <row r="3006" spans="1:11" x14ac:dyDescent="0.25">
      <c r="A3006" s="718">
        <v>5</v>
      </c>
      <c r="B3006" s="668"/>
      <c r="C3006" s="721"/>
      <c r="D3006" s="721"/>
      <c r="E3006" s="721"/>
      <c r="F3006" s="721"/>
      <c r="G3006" s="639"/>
      <c r="H3006" s="668"/>
      <c r="I3006" s="721"/>
      <c r="J3006" s="639"/>
      <c r="K3006" s="1124"/>
    </row>
    <row r="3007" spans="1:11" ht="13.8" thickBot="1" x14ac:dyDescent="0.3">
      <c r="A3007" s="719">
        <v>6</v>
      </c>
      <c r="B3007" s="669"/>
      <c r="C3007" s="1137"/>
      <c r="D3007" s="1137"/>
      <c r="E3007" s="1137"/>
      <c r="F3007" s="1137"/>
      <c r="G3007" s="646"/>
      <c r="H3007" s="669"/>
      <c r="I3007" s="1137"/>
      <c r="J3007" s="646"/>
      <c r="K3007" s="1138"/>
    </row>
    <row r="3008" spans="1:11" x14ac:dyDescent="0.25">
      <c r="A3008" s="1190">
        <v>1</v>
      </c>
      <c r="B3008" s="745"/>
      <c r="C3008" s="1117"/>
      <c r="D3008" s="1117"/>
      <c r="E3008" s="1117"/>
      <c r="F3008" s="1117"/>
      <c r="G3008" s="632"/>
      <c r="H3008" s="745"/>
      <c r="I3008" s="1117"/>
      <c r="J3008" s="632"/>
      <c r="K3008" s="1118"/>
    </row>
    <row r="3009" spans="1:11" x14ac:dyDescent="0.25">
      <c r="A3009" s="718">
        <v>2</v>
      </c>
      <c r="B3009" s="668"/>
      <c r="C3009" s="721"/>
      <c r="D3009" s="721"/>
      <c r="E3009" s="721"/>
      <c r="F3009" s="721"/>
      <c r="G3009" s="639"/>
      <c r="H3009" s="668"/>
      <c r="I3009" s="721"/>
      <c r="J3009" s="639"/>
      <c r="K3009" s="1124"/>
    </row>
    <row r="3010" spans="1:11" ht="13.8" thickBot="1" x14ac:dyDescent="0.3">
      <c r="A3010" s="1191">
        <v>3</v>
      </c>
      <c r="B3010" s="1132"/>
      <c r="C3010" s="1133"/>
      <c r="D3010" s="1133"/>
      <c r="E3010" s="1133"/>
      <c r="F3010" s="1133"/>
      <c r="G3010" s="1134"/>
      <c r="H3010" s="1132"/>
      <c r="I3010" s="1133"/>
      <c r="J3010" s="1134"/>
      <c r="K3010" s="1147"/>
    </row>
    <row r="3011" spans="1:11" ht="13.8" thickBot="1" x14ac:dyDescent="0.3">
      <c r="A3011" s="1186" t="s">
        <v>787</v>
      </c>
      <c r="B3011" s="1187"/>
      <c r="C3011" s="1188"/>
      <c r="D3011" s="1188"/>
      <c r="E3011" s="1188"/>
      <c r="F3011" s="1188"/>
      <c r="G3011" s="1189"/>
      <c r="H3011" s="1187"/>
      <c r="I3011" s="1188"/>
      <c r="J3011" s="1189"/>
      <c r="K3011" s="716"/>
    </row>
    <row r="3012" spans="1:11" x14ac:dyDescent="0.25">
      <c r="A3012" s="1190">
        <v>1</v>
      </c>
      <c r="B3012" s="745"/>
      <c r="C3012" s="1117"/>
      <c r="D3012" s="1117"/>
      <c r="E3012" s="1117"/>
      <c r="F3012" s="1117"/>
      <c r="G3012" s="632"/>
      <c r="H3012" s="745"/>
      <c r="I3012" s="1117"/>
      <c r="J3012" s="632"/>
      <c r="K3012" s="1118"/>
    </row>
    <row r="3013" spans="1:11" x14ac:dyDescent="0.25">
      <c r="A3013" s="718">
        <v>2</v>
      </c>
      <c r="B3013" s="668"/>
      <c r="C3013" s="721"/>
      <c r="D3013" s="721"/>
      <c r="E3013" s="721"/>
      <c r="F3013" s="721"/>
      <c r="G3013" s="639"/>
      <c r="H3013" s="668"/>
      <c r="I3013" s="721"/>
      <c r="J3013" s="639"/>
      <c r="K3013" s="1124"/>
    </row>
    <row r="3014" spans="1:11" x14ac:dyDescent="0.25">
      <c r="A3014" s="718">
        <v>3</v>
      </c>
      <c r="B3014" s="668"/>
      <c r="C3014" s="721"/>
      <c r="D3014" s="721"/>
      <c r="E3014" s="721"/>
      <c r="F3014" s="721"/>
      <c r="G3014" s="639"/>
      <c r="H3014" s="668"/>
      <c r="I3014" s="721"/>
      <c r="J3014" s="639"/>
      <c r="K3014" s="1124"/>
    </row>
    <row r="3015" spans="1:11" x14ac:dyDescent="0.25">
      <c r="A3015" s="718">
        <v>4</v>
      </c>
      <c r="B3015" s="668"/>
      <c r="C3015" s="721"/>
      <c r="D3015" s="721"/>
      <c r="E3015" s="721"/>
      <c r="F3015" s="721"/>
      <c r="G3015" s="639"/>
      <c r="H3015" s="668"/>
      <c r="I3015" s="721"/>
      <c r="J3015" s="639"/>
      <c r="K3015" s="1124"/>
    </row>
    <row r="3016" spans="1:11" x14ac:dyDescent="0.25">
      <c r="A3016" s="718">
        <v>5</v>
      </c>
      <c r="B3016" s="668"/>
      <c r="C3016" s="721"/>
      <c r="D3016" s="721"/>
      <c r="E3016" s="721"/>
      <c r="F3016" s="721"/>
      <c r="G3016" s="639"/>
      <c r="H3016" s="668"/>
      <c r="I3016" s="721"/>
      <c r="J3016" s="639"/>
      <c r="K3016" s="1124"/>
    </row>
    <row r="3017" spans="1:11" ht="13.8" thickBot="1" x14ac:dyDescent="0.3">
      <c r="A3017" s="719">
        <v>6</v>
      </c>
      <c r="B3017" s="669"/>
      <c r="C3017" s="1137"/>
      <c r="D3017" s="1137"/>
      <c r="E3017" s="1137"/>
      <c r="F3017" s="1137"/>
      <c r="G3017" s="646"/>
      <c r="H3017" s="669"/>
      <c r="I3017" s="1137"/>
      <c r="J3017" s="646"/>
      <c r="K3017" s="1138"/>
    </row>
    <row r="3018" spans="1:11" x14ac:dyDescent="0.25">
      <c r="A3018" s="1190">
        <v>1</v>
      </c>
      <c r="B3018" s="745"/>
      <c r="C3018" s="1117"/>
      <c r="D3018" s="1117"/>
      <c r="E3018" s="1117"/>
      <c r="F3018" s="1117"/>
      <c r="G3018" s="632"/>
      <c r="H3018" s="745"/>
      <c r="I3018" s="1117"/>
      <c r="J3018" s="632"/>
      <c r="K3018" s="1118"/>
    </row>
    <row r="3019" spans="1:11" x14ac:dyDescent="0.25">
      <c r="A3019" s="718">
        <v>2</v>
      </c>
      <c r="B3019" s="668"/>
      <c r="C3019" s="721"/>
      <c r="D3019" s="721"/>
      <c r="E3019" s="721"/>
      <c r="F3019" s="721"/>
      <c r="G3019" s="639"/>
      <c r="H3019" s="668"/>
      <c r="I3019" s="721"/>
      <c r="J3019" s="639"/>
      <c r="K3019" s="1124"/>
    </row>
    <row r="3020" spans="1:11" ht="13.8" thickBot="1" x14ac:dyDescent="0.3">
      <c r="A3020" s="719">
        <v>3</v>
      </c>
      <c r="B3020" s="669"/>
      <c r="C3020" s="1137"/>
      <c r="D3020" s="1137"/>
      <c r="E3020" s="1137"/>
      <c r="F3020" s="1137"/>
      <c r="G3020" s="646"/>
      <c r="H3020" s="669"/>
      <c r="I3020" s="1137"/>
      <c r="J3020" s="646"/>
      <c r="K3020" s="1138"/>
    </row>
    <row r="3021" spans="1:11" ht="13.8" thickBot="1" x14ac:dyDescent="0.3">
      <c r="A3021" s="1186" t="s">
        <v>788</v>
      </c>
      <c r="B3021" s="1187"/>
      <c r="C3021" s="1188"/>
      <c r="D3021" s="1188"/>
      <c r="E3021" s="1188"/>
      <c r="F3021" s="1188"/>
      <c r="G3021" s="1189"/>
      <c r="H3021" s="1187"/>
      <c r="I3021" s="1188"/>
      <c r="J3021" s="1189"/>
      <c r="K3021" s="716"/>
    </row>
    <row r="3022" spans="1:11" x14ac:dyDescent="0.25">
      <c r="A3022" s="1190">
        <v>1</v>
      </c>
      <c r="B3022" s="745"/>
      <c r="C3022" s="1117"/>
      <c r="D3022" s="1117"/>
      <c r="E3022" s="1117"/>
      <c r="F3022" s="1117"/>
      <c r="G3022" s="632"/>
      <c r="H3022" s="745"/>
      <c r="I3022" s="1117"/>
      <c r="J3022" s="632"/>
      <c r="K3022" s="1118"/>
    </row>
    <row r="3023" spans="1:11" x14ac:dyDescent="0.25">
      <c r="A3023" s="718">
        <v>2</v>
      </c>
      <c r="B3023" s="668"/>
      <c r="C3023" s="721"/>
      <c r="D3023" s="721"/>
      <c r="E3023" s="721"/>
      <c r="F3023" s="721"/>
      <c r="G3023" s="639"/>
      <c r="H3023" s="668"/>
      <c r="I3023" s="721"/>
      <c r="J3023" s="639"/>
      <c r="K3023" s="1124"/>
    </row>
    <row r="3024" spans="1:11" x14ac:dyDescent="0.25">
      <c r="A3024" s="718">
        <v>3</v>
      </c>
      <c r="B3024" s="668"/>
      <c r="C3024" s="721"/>
      <c r="D3024" s="721"/>
      <c r="E3024" s="721"/>
      <c r="F3024" s="721"/>
      <c r="G3024" s="639"/>
      <c r="H3024" s="668"/>
      <c r="I3024" s="721"/>
      <c r="J3024" s="639"/>
      <c r="K3024" s="1124"/>
    </row>
    <row r="3025" spans="1:11" x14ac:dyDescent="0.25">
      <c r="A3025" s="718">
        <v>4</v>
      </c>
      <c r="B3025" s="668"/>
      <c r="C3025" s="721"/>
      <c r="D3025" s="721"/>
      <c r="E3025" s="721"/>
      <c r="F3025" s="721"/>
      <c r="G3025" s="639"/>
      <c r="H3025" s="668"/>
      <c r="I3025" s="721"/>
      <c r="J3025" s="639"/>
      <c r="K3025" s="1124"/>
    </row>
    <row r="3026" spans="1:11" x14ac:dyDescent="0.25">
      <c r="A3026" s="718">
        <v>5</v>
      </c>
      <c r="B3026" s="668"/>
      <c r="C3026" s="721"/>
      <c r="D3026" s="721"/>
      <c r="E3026" s="721"/>
      <c r="F3026" s="721"/>
      <c r="G3026" s="639"/>
      <c r="H3026" s="668"/>
      <c r="I3026" s="721"/>
      <c r="J3026" s="639"/>
      <c r="K3026" s="1124"/>
    </row>
    <row r="3027" spans="1:11" ht="13.8" thickBot="1" x14ac:dyDescent="0.3">
      <c r="A3027" s="719">
        <v>6</v>
      </c>
      <c r="B3027" s="669"/>
      <c r="C3027" s="1137"/>
      <c r="D3027" s="1137"/>
      <c r="E3027" s="1137"/>
      <c r="F3027" s="1137"/>
      <c r="G3027" s="646"/>
      <c r="H3027" s="669"/>
      <c r="I3027" s="1137"/>
      <c r="J3027" s="646"/>
      <c r="K3027" s="1138"/>
    </row>
    <row r="3028" spans="1:11" x14ac:dyDescent="0.25">
      <c r="A3028" s="1190">
        <v>1</v>
      </c>
      <c r="B3028" s="745"/>
      <c r="C3028" s="1117"/>
      <c r="D3028" s="1117"/>
      <c r="E3028" s="1117"/>
      <c r="F3028" s="1117"/>
      <c r="G3028" s="632"/>
      <c r="H3028" s="745"/>
      <c r="I3028" s="1117"/>
      <c r="J3028" s="632"/>
      <c r="K3028" s="1118"/>
    </row>
    <row r="3029" spans="1:11" x14ac:dyDescent="0.25">
      <c r="A3029" s="718">
        <v>2</v>
      </c>
      <c r="B3029" s="668"/>
      <c r="C3029" s="721"/>
      <c r="D3029" s="721"/>
      <c r="E3029" s="721"/>
      <c r="F3029" s="721"/>
      <c r="G3029" s="639"/>
      <c r="H3029" s="668"/>
      <c r="I3029" s="721"/>
      <c r="J3029" s="639"/>
      <c r="K3029" s="1124"/>
    </row>
    <row r="3030" spans="1:11" ht="13.8" thickBot="1" x14ac:dyDescent="0.3">
      <c r="A3030" s="719">
        <v>3</v>
      </c>
      <c r="B3030" s="669"/>
      <c r="C3030" s="1137"/>
      <c r="D3030" s="1137"/>
      <c r="E3030" s="1137"/>
      <c r="F3030" s="1137"/>
      <c r="G3030" s="646"/>
      <c r="H3030" s="669"/>
      <c r="I3030" s="1137"/>
      <c r="J3030" s="646"/>
      <c r="K3030" s="1138"/>
    </row>
    <row r="3031" spans="1:11" ht="13.8" thickBot="1" x14ac:dyDescent="0.3">
      <c r="A3031" s="1186" t="s">
        <v>789</v>
      </c>
      <c r="B3031" s="1187"/>
      <c r="C3031" s="1188"/>
      <c r="D3031" s="1188"/>
      <c r="E3031" s="1188"/>
      <c r="F3031" s="1188"/>
      <c r="G3031" s="1189"/>
      <c r="H3031" s="1187"/>
      <c r="I3031" s="1188"/>
      <c r="J3031" s="1189"/>
      <c r="K3031" s="716"/>
    </row>
    <row r="3032" spans="1:11" x14ac:dyDescent="0.25">
      <c r="A3032" s="1190">
        <v>1</v>
      </c>
      <c r="B3032" s="745"/>
      <c r="C3032" s="1117"/>
      <c r="D3032" s="1117"/>
      <c r="E3032" s="1117"/>
      <c r="F3032" s="1117"/>
      <c r="G3032" s="632"/>
      <c r="H3032" s="745"/>
      <c r="I3032" s="1117"/>
      <c r="J3032" s="632"/>
      <c r="K3032" s="1118"/>
    </row>
    <row r="3033" spans="1:11" x14ac:dyDescent="0.25">
      <c r="A3033" s="718">
        <v>2</v>
      </c>
      <c r="B3033" s="668"/>
      <c r="C3033" s="721"/>
      <c r="D3033" s="721"/>
      <c r="E3033" s="721"/>
      <c r="F3033" s="721"/>
      <c r="G3033" s="639"/>
      <c r="H3033" s="668"/>
      <c r="I3033" s="721"/>
      <c r="J3033" s="639"/>
      <c r="K3033" s="1124"/>
    </row>
    <row r="3034" spans="1:11" x14ac:dyDescent="0.25">
      <c r="A3034" s="718">
        <v>3</v>
      </c>
      <c r="B3034" s="668"/>
      <c r="C3034" s="721"/>
      <c r="D3034" s="721"/>
      <c r="E3034" s="721"/>
      <c r="F3034" s="721"/>
      <c r="G3034" s="639"/>
      <c r="H3034" s="668"/>
      <c r="I3034" s="721"/>
      <c r="J3034" s="639"/>
      <c r="K3034" s="1124"/>
    </row>
    <row r="3035" spans="1:11" x14ac:dyDescent="0.25">
      <c r="A3035" s="718">
        <v>4</v>
      </c>
      <c r="B3035" s="668"/>
      <c r="C3035" s="721"/>
      <c r="D3035" s="721"/>
      <c r="E3035" s="721"/>
      <c r="F3035" s="721"/>
      <c r="G3035" s="639"/>
      <c r="H3035" s="668"/>
      <c r="I3035" s="721"/>
      <c r="J3035" s="639"/>
      <c r="K3035" s="1124"/>
    </row>
    <row r="3036" spans="1:11" x14ac:dyDescent="0.25">
      <c r="A3036" s="718">
        <v>5</v>
      </c>
      <c r="B3036" s="668"/>
      <c r="C3036" s="721"/>
      <c r="D3036" s="721"/>
      <c r="E3036" s="721"/>
      <c r="F3036" s="721"/>
      <c r="G3036" s="639"/>
      <c r="H3036" s="668"/>
      <c r="I3036" s="721"/>
      <c r="J3036" s="639"/>
      <c r="K3036" s="1124"/>
    </row>
    <row r="3037" spans="1:11" ht="13.8" thickBot="1" x14ac:dyDescent="0.3">
      <c r="A3037" s="719">
        <v>6</v>
      </c>
      <c r="B3037" s="669"/>
      <c r="C3037" s="1137"/>
      <c r="D3037" s="1137"/>
      <c r="E3037" s="1137"/>
      <c r="F3037" s="1137"/>
      <c r="G3037" s="646"/>
      <c r="H3037" s="669"/>
      <c r="I3037" s="1137"/>
      <c r="J3037" s="646"/>
      <c r="K3037" s="1138"/>
    </row>
    <row r="3038" spans="1:11" x14ac:dyDescent="0.25">
      <c r="A3038" s="1190">
        <v>1</v>
      </c>
      <c r="B3038" s="745"/>
      <c r="C3038" s="1117"/>
      <c r="D3038" s="1117"/>
      <c r="E3038" s="1117"/>
      <c r="F3038" s="1117"/>
      <c r="G3038" s="632"/>
      <c r="H3038" s="745"/>
      <c r="I3038" s="1117"/>
      <c r="J3038" s="632"/>
      <c r="K3038" s="1118"/>
    </row>
    <row r="3039" spans="1:11" x14ac:dyDescent="0.25">
      <c r="A3039" s="718">
        <v>2</v>
      </c>
      <c r="B3039" s="668"/>
      <c r="C3039" s="721"/>
      <c r="D3039" s="721"/>
      <c r="E3039" s="721"/>
      <c r="F3039" s="721"/>
      <c r="G3039" s="639"/>
      <c r="H3039" s="668"/>
      <c r="I3039" s="721"/>
      <c r="J3039" s="639"/>
      <c r="K3039" s="1124"/>
    </row>
    <row r="3040" spans="1:11" ht="13.8" thickBot="1" x14ac:dyDescent="0.3">
      <c r="A3040" s="719">
        <v>3</v>
      </c>
      <c r="B3040" s="669"/>
      <c r="C3040" s="1137"/>
      <c r="D3040" s="1137"/>
      <c r="E3040" s="1137"/>
      <c r="F3040" s="1137"/>
      <c r="G3040" s="646"/>
      <c r="H3040" s="669"/>
      <c r="I3040" s="1137"/>
      <c r="J3040" s="646"/>
      <c r="K3040" s="1138"/>
    </row>
    <row r="3041" spans="1:11" ht="13.8" thickBot="1" x14ac:dyDescent="0.3">
      <c r="A3041" s="1186" t="s">
        <v>790</v>
      </c>
      <c r="B3041" s="1187"/>
      <c r="C3041" s="1188"/>
      <c r="D3041" s="1188"/>
      <c r="E3041" s="1188"/>
      <c r="F3041" s="1188"/>
      <c r="G3041" s="1189"/>
      <c r="H3041" s="1187"/>
      <c r="I3041" s="1188"/>
      <c r="J3041" s="1189"/>
      <c r="K3041" s="716"/>
    </row>
    <row r="3042" spans="1:11" x14ac:dyDescent="0.25">
      <c r="A3042" s="1190">
        <v>1</v>
      </c>
      <c r="B3042" s="745"/>
      <c r="C3042" s="1117"/>
      <c r="D3042" s="1117"/>
      <c r="E3042" s="1117"/>
      <c r="F3042" s="1117"/>
      <c r="G3042" s="632"/>
      <c r="H3042" s="745"/>
      <c r="I3042" s="1117"/>
      <c r="J3042" s="632"/>
      <c r="K3042" s="1118"/>
    </row>
    <row r="3043" spans="1:11" x14ac:dyDescent="0.25">
      <c r="A3043" s="718">
        <v>2</v>
      </c>
      <c r="B3043" s="668"/>
      <c r="C3043" s="721"/>
      <c r="D3043" s="721"/>
      <c r="E3043" s="721"/>
      <c r="F3043" s="721"/>
      <c r="G3043" s="639"/>
      <c r="H3043" s="668"/>
      <c r="I3043" s="721"/>
      <c r="J3043" s="639"/>
      <c r="K3043" s="1124"/>
    </row>
    <row r="3044" spans="1:11" x14ac:dyDescent="0.25">
      <c r="A3044" s="718">
        <v>3</v>
      </c>
      <c r="B3044" s="668"/>
      <c r="C3044" s="721"/>
      <c r="D3044" s="721"/>
      <c r="E3044" s="721"/>
      <c r="F3044" s="721"/>
      <c r="G3044" s="639"/>
      <c r="H3044" s="668"/>
      <c r="I3044" s="721"/>
      <c r="J3044" s="639"/>
      <c r="K3044" s="1124"/>
    </row>
    <row r="3045" spans="1:11" x14ac:dyDescent="0.25">
      <c r="A3045" s="718">
        <v>4</v>
      </c>
      <c r="B3045" s="668"/>
      <c r="C3045" s="721"/>
      <c r="D3045" s="721"/>
      <c r="E3045" s="721"/>
      <c r="F3045" s="721"/>
      <c r="G3045" s="639"/>
      <c r="H3045" s="668"/>
      <c r="I3045" s="721"/>
      <c r="J3045" s="639"/>
      <c r="K3045" s="1124"/>
    </row>
    <row r="3046" spans="1:11" x14ac:dyDescent="0.25">
      <c r="A3046" s="718">
        <v>5</v>
      </c>
      <c r="B3046" s="668"/>
      <c r="C3046" s="721"/>
      <c r="D3046" s="721"/>
      <c r="E3046" s="721"/>
      <c r="F3046" s="721"/>
      <c r="G3046" s="639"/>
      <c r="H3046" s="668"/>
      <c r="I3046" s="721"/>
      <c r="J3046" s="639"/>
      <c r="K3046" s="1124"/>
    </row>
    <row r="3047" spans="1:11" ht="13.8" thickBot="1" x14ac:dyDescent="0.3">
      <c r="A3047" s="719">
        <v>6</v>
      </c>
      <c r="B3047" s="669"/>
      <c r="C3047" s="1137"/>
      <c r="D3047" s="1137"/>
      <c r="E3047" s="1137"/>
      <c r="F3047" s="1137"/>
      <c r="G3047" s="646"/>
      <c r="H3047" s="669"/>
      <c r="I3047" s="1137"/>
      <c r="J3047" s="646"/>
      <c r="K3047" s="1138"/>
    </row>
    <row r="3048" spans="1:11" x14ac:dyDescent="0.25">
      <c r="A3048" s="1190">
        <v>1</v>
      </c>
      <c r="B3048" s="745"/>
      <c r="C3048" s="1117"/>
      <c r="D3048" s="1117"/>
      <c r="E3048" s="1117"/>
      <c r="F3048" s="1117"/>
      <c r="G3048" s="632"/>
      <c r="H3048" s="745"/>
      <c r="I3048" s="1117"/>
      <c r="J3048" s="632"/>
      <c r="K3048" s="1118"/>
    </row>
    <row r="3049" spans="1:11" x14ac:dyDescent="0.25">
      <c r="A3049" s="718">
        <v>2</v>
      </c>
      <c r="B3049" s="668"/>
      <c r="C3049" s="721"/>
      <c r="D3049" s="721"/>
      <c r="E3049" s="721"/>
      <c r="F3049" s="721"/>
      <c r="G3049" s="639"/>
      <c r="H3049" s="668"/>
      <c r="I3049" s="721"/>
      <c r="J3049" s="639"/>
      <c r="K3049" s="1124"/>
    </row>
    <row r="3050" spans="1:11" ht="13.8" thickBot="1" x14ac:dyDescent="0.3">
      <c r="A3050" s="1191">
        <v>3</v>
      </c>
      <c r="B3050" s="1132"/>
      <c r="C3050" s="1133"/>
      <c r="D3050" s="1133"/>
      <c r="E3050" s="1133"/>
      <c r="F3050" s="1133"/>
      <c r="G3050" s="1134"/>
      <c r="H3050" s="1132"/>
      <c r="I3050" s="1133"/>
      <c r="J3050" s="1134"/>
      <c r="K3050" s="1147"/>
    </row>
    <row r="3051" spans="1:11" ht="13.8" thickBot="1" x14ac:dyDescent="0.3">
      <c r="A3051" s="1186" t="s">
        <v>791</v>
      </c>
      <c r="B3051" s="1187"/>
      <c r="C3051" s="1188"/>
      <c r="D3051" s="1188"/>
      <c r="E3051" s="1188"/>
      <c r="F3051" s="1188"/>
      <c r="G3051" s="1189"/>
      <c r="H3051" s="1187"/>
      <c r="I3051" s="1188"/>
      <c r="J3051" s="1189"/>
      <c r="K3051" s="716"/>
    </row>
    <row r="3052" spans="1:11" x14ac:dyDescent="0.25">
      <c r="A3052" s="1190">
        <v>1</v>
      </c>
      <c r="B3052" s="745"/>
      <c r="C3052" s="1117"/>
      <c r="D3052" s="1117"/>
      <c r="E3052" s="1117"/>
      <c r="F3052" s="1117"/>
      <c r="G3052" s="632"/>
      <c r="H3052" s="745"/>
      <c r="I3052" s="1117"/>
      <c r="J3052" s="632"/>
      <c r="K3052" s="1118"/>
    </row>
    <row r="3053" spans="1:11" x14ac:dyDescent="0.25">
      <c r="A3053" s="718">
        <v>2</v>
      </c>
      <c r="B3053" s="668"/>
      <c r="C3053" s="721"/>
      <c r="D3053" s="721"/>
      <c r="E3053" s="721"/>
      <c r="F3053" s="721"/>
      <c r="G3053" s="639"/>
      <c r="H3053" s="668"/>
      <c r="I3053" s="721"/>
      <c r="J3053" s="639"/>
      <c r="K3053" s="1124"/>
    </row>
    <row r="3054" spans="1:11" x14ac:dyDescent="0.25">
      <c r="A3054" s="718">
        <v>3</v>
      </c>
      <c r="B3054" s="668"/>
      <c r="C3054" s="721"/>
      <c r="D3054" s="721"/>
      <c r="E3054" s="721"/>
      <c r="F3054" s="721"/>
      <c r="G3054" s="639"/>
      <c r="H3054" s="668"/>
      <c r="I3054" s="721"/>
      <c r="J3054" s="639"/>
      <c r="K3054" s="1124"/>
    </row>
    <row r="3055" spans="1:11" x14ac:dyDescent="0.25">
      <c r="A3055" s="718">
        <v>4</v>
      </c>
      <c r="B3055" s="668"/>
      <c r="C3055" s="721"/>
      <c r="D3055" s="721"/>
      <c r="E3055" s="721"/>
      <c r="F3055" s="721"/>
      <c r="G3055" s="639"/>
      <c r="H3055" s="668"/>
      <c r="I3055" s="721"/>
      <c r="J3055" s="639"/>
      <c r="K3055" s="1124"/>
    </row>
    <row r="3056" spans="1:11" x14ac:dyDescent="0.25">
      <c r="A3056" s="718">
        <v>5</v>
      </c>
      <c r="B3056" s="668"/>
      <c r="C3056" s="721"/>
      <c r="D3056" s="721"/>
      <c r="E3056" s="721"/>
      <c r="F3056" s="721"/>
      <c r="G3056" s="639"/>
      <c r="H3056" s="668"/>
      <c r="I3056" s="721"/>
      <c r="J3056" s="639"/>
      <c r="K3056" s="1124"/>
    </row>
    <row r="3057" spans="1:11" ht="13.8" thickBot="1" x14ac:dyDescent="0.3">
      <c r="A3057" s="719">
        <v>6</v>
      </c>
      <c r="B3057" s="669"/>
      <c r="C3057" s="1137"/>
      <c r="D3057" s="1137"/>
      <c r="E3057" s="1137"/>
      <c r="F3057" s="1137"/>
      <c r="G3057" s="646"/>
      <c r="H3057" s="669"/>
      <c r="I3057" s="1137"/>
      <c r="J3057" s="646"/>
      <c r="K3057" s="1138"/>
    </row>
    <row r="3058" spans="1:11" x14ac:dyDescent="0.25">
      <c r="A3058" s="1190">
        <v>1</v>
      </c>
      <c r="B3058" s="745"/>
      <c r="C3058" s="1117"/>
      <c r="D3058" s="1117"/>
      <c r="E3058" s="1117"/>
      <c r="F3058" s="1117"/>
      <c r="G3058" s="632"/>
      <c r="H3058" s="745"/>
      <c r="I3058" s="1117"/>
      <c r="J3058" s="632"/>
      <c r="K3058" s="1118"/>
    </row>
    <row r="3059" spans="1:11" x14ac:dyDescent="0.25">
      <c r="A3059" s="718">
        <v>2</v>
      </c>
      <c r="B3059" s="668"/>
      <c r="C3059" s="721"/>
      <c r="D3059" s="721"/>
      <c r="E3059" s="721"/>
      <c r="F3059" s="721"/>
      <c r="G3059" s="639"/>
      <c r="H3059" s="668"/>
      <c r="I3059" s="721"/>
      <c r="J3059" s="639"/>
      <c r="K3059" s="1124"/>
    </row>
    <row r="3060" spans="1:11" ht="13.8" thickBot="1" x14ac:dyDescent="0.3">
      <c r="A3060" s="719">
        <v>3</v>
      </c>
      <c r="B3060" s="669"/>
      <c r="C3060" s="1137"/>
      <c r="D3060" s="1137"/>
      <c r="E3060" s="1137"/>
      <c r="F3060" s="1137"/>
      <c r="G3060" s="646"/>
      <c r="H3060" s="669"/>
      <c r="I3060" s="1137"/>
      <c r="J3060" s="646"/>
      <c r="K3060" s="1138"/>
    </row>
    <row r="3061" spans="1:11" ht="13.8" thickBot="1" x14ac:dyDescent="0.3">
      <c r="A3061" s="1186" t="s">
        <v>792</v>
      </c>
      <c r="B3061" s="1187"/>
      <c r="C3061" s="1188"/>
      <c r="D3061" s="1188"/>
      <c r="E3061" s="1188"/>
      <c r="F3061" s="1188"/>
      <c r="G3061" s="1189"/>
      <c r="H3061" s="1187"/>
      <c r="I3061" s="1188"/>
      <c r="J3061" s="1189"/>
      <c r="K3061" s="716"/>
    </row>
    <row r="3062" spans="1:11" x14ac:dyDescent="0.25">
      <c r="A3062" s="1190">
        <v>1</v>
      </c>
      <c r="B3062" s="745"/>
      <c r="C3062" s="1117"/>
      <c r="D3062" s="1117"/>
      <c r="E3062" s="1117"/>
      <c r="F3062" s="1117"/>
      <c r="G3062" s="632"/>
      <c r="H3062" s="745"/>
      <c r="I3062" s="1117"/>
      <c r="J3062" s="632"/>
      <c r="K3062" s="1118"/>
    </row>
    <row r="3063" spans="1:11" x14ac:dyDescent="0.25">
      <c r="A3063" s="718">
        <v>2</v>
      </c>
      <c r="B3063" s="668"/>
      <c r="C3063" s="721"/>
      <c r="D3063" s="721"/>
      <c r="E3063" s="721"/>
      <c r="F3063" s="721"/>
      <c r="G3063" s="639"/>
      <c r="H3063" s="668"/>
      <c r="I3063" s="721"/>
      <c r="J3063" s="639"/>
      <c r="K3063" s="1124"/>
    </row>
    <row r="3064" spans="1:11" x14ac:dyDescent="0.25">
      <c r="A3064" s="718">
        <v>3</v>
      </c>
      <c r="B3064" s="668"/>
      <c r="C3064" s="721"/>
      <c r="D3064" s="721"/>
      <c r="E3064" s="721"/>
      <c r="F3064" s="721"/>
      <c r="G3064" s="639"/>
      <c r="H3064" s="668"/>
      <c r="I3064" s="721"/>
      <c r="J3064" s="639"/>
      <c r="K3064" s="1124"/>
    </row>
    <row r="3065" spans="1:11" x14ac:dyDescent="0.25">
      <c r="A3065" s="718">
        <v>4</v>
      </c>
      <c r="B3065" s="668"/>
      <c r="C3065" s="721"/>
      <c r="D3065" s="721"/>
      <c r="E3065" s="721"/>
      <c r="F3065" s="721"/>
      <c r="G3065" s="639"/>
      <c r="H3065" s="668"/>
      <c r="I3065" s="721"/>
      <c r="J3065" s="639"/>
      <c r="K3065" s="1124"/>
    </row>
    <row r="3066" spans="1:11" x14ac:dyDescent="0.25">
      <c r="A3066" s="718">
        <v>5</v>
      </c>
      <c r="B3066" s="668"/>
      <c r="C3066" s="721"/>
      <c r="D3066" s="721"/>
      <c r="E3066" s="721"/>
      <c r="F3066" s="721"/>
      <c r="G3066" s="639"/>
      <c r="H3066" s="668"/>
      <c r="I3066" s="721"/>
      <c r="J3066" s="639"/>
      <c r="K3066" s="1124"/>
    </row>
    <row r="3067" spans="1:11" ht="13.8" thickBot="1" x14ac:dyDescent="0.3">
      <c r="A3067" s="719">
        <v>6</v>
      </c>
      <c r="B3067" s="669"/>
      <c r="C3067" s="1137"/>
      <c r="D3067" s="1137"/>
      <c r="E3067" s="1137"/>
      <c r="F3067" s="1137"/>
      <c r="G3067" s="646"/>
      <c r="H3067" s="669"/>
      <c r="I3067" s="1137"/>
      <c r="J3067" s="646"/>
      <c r="K3067" s="1138"/>
    </row>
    <row r="3068" spans="1:11" x14ac:dyDescent="0.25">
      <c r="A3068" s="1190">
        <v>1</v>
      </c>
      <c r="B3068" s="745"/>
      <c r="C3068" s="1117"/>
      <c r="D3068" s="1117"/>
      <c r="E3068" s="1117"/>
      <c r="F3068" s="1117"/>
      <c r="G3068" s="632"/>
      <c r="H3068" s="745"/>
      <c r="I3068" s="1117"/>
      <c r="J3068" s="632"/>
      <c r="K3068" s="1118"/>
    </row>
    <row r="3069" spans="1:11" x14ac:dyDescent="0.25">
      <c r="A3069" s="718">
        <v>2</v>
      </c>
      <c r="B3069" s="668"/>
      <c r="C3069" s="721"/>
      <c r="D3069" s="721"/>
      <c r="E3069" s="721"/>
      <c r="F3069" s="721"/>
      <c r="G3069" s="639"/>
      <c r="H3069" s="668"/>
      <c r="I3069" s="721"/>
      <c r="J3069" s="639"/>
      <c r="K3069" s="1124"/>
    </row>
    <row r="3070" spans="1:11" ht="13.8" thickBot="1" x14ac:dyDescent="0.3">
      <c r="A3070" s="719">
        <v>3</v>
      </c>
      <c r="B3070" s="669"/>
      <c r="C3070" s="1137"/>
      <c r="D3070" s="1137"/>
      <c r="E3070" s="1137"/>
      <c r="F3070" s="1137"/>
      <c r="G3070" s="646"/>
      <c r="H3070" s="669"/>
      <c r="I3070" s="1137"/>
      <c r="J3070" s="646"/>
      <c r="K3070" s="1138"/>
    </row>
    <row r="3071" spans="1:11" ht="13.8" thickBot="1" x14ac:dyDescent="0.3">
      <c r="A3071" s="1186" t="s">
        <v>793</v>
      </c>
      <c r="B3071" s="1187"/>
      <c r="C3071" s="1188"/>
      <c r="D3071" s="1188"/>
      <c r="E3071" s="1188"/>
      <c r="F3071" s="1188"/>
      <c r="G3071" s="1189"/>
      <c r="H3071" s="1187"/>
      <c r="I3071" s="1188"/>
      <c r="J3071" s="1189"/>
      <c r="K3071" s="716"/>
    </row>
    <row r="3072" spans="1:11" x14ac:dyDescent="0.25">
      <c r="A3072" s="1190">
        <v>1</v>
      </c>
      <c r="B3072" s="745"/>
      <c r="C3072" s="1117"/>
      <c r="D3072" s="1117"/>
      <c r="E3072" s="1117"/>
      <c r="F3072" s="1117"/>
      <c r="G3072" s="632"/>
      <c r="H3072" s="745"/>
      <c r="I3072" s="1117"/>
      <c r="J3072" s="632"/>
      <c r="K3072" s="1118"/>
    </row>
    <row r="3073" spans="1:11" x14ac:dyDescent="0.25">
      <c r="A3073" s="718">
        <v>2</v>
      </c>
      <c r="B3073" s="668"/>
      <c r="C3073" s="721"/>
      <c r="D3073" s="721"/>
      <c r="E3073" s="721"/>
      <c r="F3073" s="721"/>
      <c r="G3073" s="639"/>
      <c r="H3073" s="668"/>
      <c r="I3073" s="721"/>
      <c r="J3073" s="639"/>
      <c r="K3073" s="1124"/>
    </row>
    <row r="3074" spans="1:11" x14ac:dyDescent="0.25">
      <c r="A3074" s="718">
        <v>3</v>
      </c>
      <c r="B3074" s="668"/>
      <c r="C3074" s="721"/>
      <c r="D3074" s="721"/>
      <c r="E3074" s="721"/>
      <c r="F3074" s="721"/>
      <c r="G3074" s="639"/>
      <c r="H3074" s="668"/>
      <c r="I3074" s="721"/>
      <c r="J3074" s="639"/>
      <c r="K3074" s="1124"/>
    </row>
    <row r="3075" spans="1:11" x14ac:dyDescent="0.25">
      <c r="A3075" s="718">
        <v>4</v>
      </c>
      <c r="B3075" s="668"/>
      <c r="C3075" s="721"/>
      <c r="D3075" s="721"/>
      <c r="E3075" s="721"/>
      <c r="F3075" s="721"/>
      <c r="G3075" s="639"/>
      <c r="H3075" s="668"/>
      <c r="I3075" s="721"/>
      <c r="J3075" s="639"/>
      <c r="K3075" s="1124"/>
    </row>
    <row r="3076" spans="1:11" x14ac:dyDescent="0.25">
      <c r="A3076" s="718">
        <v>5</v>
      </c>
      <c r="B3076" s="668"/>
      <c r="C3076" s="721"/>
      <c r="D3076" s="721"/>
      <c r="E3076" s="721"/>
      <c r="F3076" s="721"/>
      <c r="G3076" s="639"/>
      <c r="H3076" s="668"/>
      <c r="I3076" s="721"/>
      <c r="J3076" s="639"/>
      <c r="K3076" s="1124"/>
    </row>
    <row r="3077" spans="1:11" ht="13.8" thickBot="1" x14ac:dyDescent="0.3">
      <c r="A3077" s="719">
        <v>6</v>
      </c>
      <c r="B3077" s="669"/>
      <c r="C3077" s="1137"/>
      <c r="D3077" s="1137"/>
      <c r="E3077" s="1137"/>
      <c r="F3077" s="1137"/>
      <c r="G3077" s="646"/>
      <c r="H3077" s="669"/>
      <c r="I3077" s="1137"/>
      <c r="J3077" s="646"/>
      <c r="K3077" s="1138"/>
    </row>
    <row r="3078" spans="1:11" x14ac:dyDescent="0.25">
      <c r="A3078" s="1190">
        <v>1</v>
      </c>
      <c r="B3078" s="745"/>
      <c r="C3078" s="1117"/>
      <c r="D3078" s="1117"/>
      <c r="E3078" s="1117"/>
      <c r="F3078" s="1117"/>
      <c r="G3078" s="632"/>
      <c r="H3078" s="745"/>
      <c r="I3078" s="1117"/>
      <c r="J3078" s="632"/>
      <c r="K3078" s="1118"/>
    </row>
    <row r="3079" spans="1:11" x14ac:dyDescent="0.25">
      <c r="A3079" s="718">
        <v>2</v>
      </c>
      <c r="B3079" s="668"/>
      <c r="C3079" s="721"/>
      <c r="D3079" s="721"/>
      <c r="E3079" s="721"/>
      <c r="F3079" s="721"/>
      <c r="G3079" s="639"/>
      <c r="H3079" s="668"/>
      <c r="I3079" s="721"/>
      <c r="J3079" s="639"/>
      <c r="K3079" s="1124"/>
    </row>
    <row r="3080" spans="1:11" ht="13.8" thickBot="1" x14ac:dyDescent="0.3">
      <c r="A3080" s="719">
        <v>3</v>
      </c>
      <c r="B3080" s="669"/>
      <c r="C3080" s="1137"/>
      <c r="D3080" s="1137"/>
      <c r="E3080" s="1137"/>
      <c r="F3080" s="1137"/>
      <c r="G3080" s="646"/>
      <c r="H3080" s="669"/>
      <c r="I3080" s="1137"/>
      <c r="J3080" s="646"/>
      <c r="K3080" s="1138"/>
    </row>
    <row r="3081" spans="1:11" ht="13.8" thickBot="1" x14ac:dyDescent="0.3">
      <c r="A3081" s="1186" t="s">
        <v>794</v>
      </c>
      <c r="B3081" s="1187"/>
      <c r="C3081" s="1188"/>
      <c r="D3081" s="1188"/>
      <c r="E3081" s="1188"/>
      <c r="F3081" s="1188"/>
      <c r="G3081" s="1189"/>
      <c r="H3081" s="1187"/>
      <c r="I3081" s="1188"/>
      <c r="J3081" s="1189"/>
      <c r="K3081" s="716"/>
    </row>
    <row r="3082" spans="1:11" x14ac:dyDescent="0.25">
      <c r="A3082" s="1190">
        <v>1</v>
      </c>
      <c r="B3082" s="745"/>
      <c r="C3082" s="1117"/>
      <c r="D3082" s="1117"/>
      <c r="E3082" s="1117"/>
      <c r="F3082" s="1117"/>
      <c r="G3082" s="632"/>
      <c r="H3082" s="745"/>
      <c r="I3082" s="1117"/>
      <c r="J3082" s="632"/>
      <c r="K3082" s="1118"/>
    </row>
    <row r="3083" spans="1:11" x14ac:dyDescent="0.25">
      <c r="A3083" s="718">
        <v>2</v>
      </c>
      <c r="B3083" s="668"/>
      <c r="C3083" s="721"/>
      <c r="D3083" s="721"/>
      <c r="E3083" s="721"/>
      <c r="F3083" s="721"/>
      <c r="G3083" s="639"/>
      <c r="H3083" s="668"/>
      <c r="I3083" s="721"/>
      <c r="J3083" s="639"/>
      <c r="K3083" s="1124"/>
    </row>
    <row r="3084" spans="1:11" x14ac:dyDescent="0.25">
      <c r="A3084" s="718">
        <v>3</v>
      </c>
      <c r="B3084" s="668"/>
      <c r="C3084" s="721"/>
      <c r="D3084" s="721"/>
      <c r="E3084" s="721"/>
      <c r="F3084" s="721"/>
      <c r="G3084" s="639"/>
      <c r="H3084" s="668"/>
      <c r="I3084" s="721"/>
      <c r="J3084" s="639"/>
      <c r="K3084" s="1124"/>
    </row>
    <row r="3085" spans="1:11" x14ac:dyDescent="0.25">
      <c r="A3085" s="718">
        <v>4</v>
      </c>
      <c r="B3085" s="668"/>
      <c r="C3085" s="721"/>
      <c r="D3085" s="721"/>
      <c r="E3085" s="721"/>
      <c r="F3085" s="721"/>
      <c r="G3085" s="639"/>
      <c r="H3085" s="668"/>
      <c r="I3085" s="721"/>
      <c r="J3085" s="639"/>
      <c r="K3085" s="1124"/>
    </row>
    <row r="3086" spans="1:11" x14ac:dyDescent="0.25">
      <c r="A3086" s="718">
        <v>5</v>
      </c>
      <c r="B3086" s="668"/>
      <c r="C3086" s="721"/>
      <c r="D3086" s="721"/>
      <c r="E3086" s="721"/>
      <c r="F3086" s="721"/>
      <c r="G3086" s="639"/>
      <c r="H3086" s="668"/>
      <c r="I3086" s="721"/>
      <c r="J3086" s="639"/>
      <c r="K3086" s="1124"/>
    </row>
    <row r="3087" spans="1:11" ht="13.8" thickBot="1" x14ac:dyDescent="0.3">
      <c r="A3087" s="719">
        <v>6</v>
      </c>
      <c r="B3087" s="669"/>
      <c r="C3087" s="1137"/>
      <c r="D3087" s="1137"/>
      <c r="E3087" s="1137"/>
      <c r="F3087" s="1137"/>
      <c r="G3087" s="646"/>
      <c r="H3087" s="669"/>
      <c r="I3087" s="1137"/>
      <c r="J3087" s="646"/>
      <c r="K3087" s="1138"/>
    </row>
    <row r="3088" spans="1:11" x14ac:dyDescent="0.25">
      <c r="A3088" s="1190">
        <v>1</v>
      </c>
      <c r="B3088" s="745"/>
      <c r="C3088" s="1117"/>
      <c r="D3088" s="1117"/>
      <c r="E3088" s="1117"/>
      <c r="F3088" s="1117"/>
      <c r="G3088" s="632"/>
      <c r="H3088" s="745"/>
      <c r="I3088" s="1117"/>
      <c r="J3088" s="632"/>
      <c r="K3088" s="1118"/>
    </row>
    <row r="3089" spans="1:11" x14ac:dyDescent="0.25">
      <c r="A3089" s="718">
        <v>2</v>
      </c>
      <c r="B3089" s="668"/>
      <c r="C3089" s="721"/>
      <c r="D3089" s="721"/>
      <c r="E3089" s="721"/>
      <c r="F3089" s="721"/>
      <c r="G3089" s="639"/>
      <c r="H3089" s="668"/>
      <c r="I3089" s="721"/>
      <c r="J3089" s="639"/>
      <c r="K3089" s="1124"/>
    </row>
    <row r="3090" spans="1:11" ht="13.8" thickBot="1" x14ac:dyDescent="0.3">
      <c r="A3090" s="719">
        <v>3</v>
      </c>
      <c r="B3090" s="669"/>
      <c r="C3090" s="1137"/>
      <c r="D3090" s="1137"/>
      <c r="E3090" s="1137"/>
      <c r="F3090" s="1137"/>
      <c r="G3090" s="646"/>
      <c r="H3090" s="669"/>
      <c r="I3090" s="1137"/>
      <c r="J3090" s="646"/>
      <c r="K3090" s="1138"/>
    </row>
    <row r="3091" spans="1:11" ht="13.8" thickBot="1" x14ac:dyDescent="0.3">
      <c r="A3091" s="1186" t="s">
        <v>795</v>
      </c>
      <c r="B3091" s="1187"/>
      <c r="C3091" s="1188"/>
      <c r="D3091" s="1188"/>
      <c r="E3091" s="1188"/>
      <c r="F3091" s="1188"/>
      <c r="G3091" s="1189"/>
      <c r="H3091" s="1187"/>
      <c r="I3091" s="1188"/>
      <c r="J3091" s="1189"/>
      <c r="K3091" s="716"/>
    </row>
    <row r="3092" spans="1:11" x14ac:dyDescent="0.25">
      <c r="A3092" s="1190">
        <v>1</v>
      </c>
      <c r="B3092" s="745"/>
      <c r="C3092" s="1117"/>
      <c r="D3092" s="1117"/>
      <c r="E3092" s="1117"/>
      <c r="F3092" s="1117"/>
      <c r="G3092" s="632"/>
      <c r="H3092" s="745"/>
      <c r="I3092" s="1117"/>
      <c r="J3092" s="632"/>
      <c r="K3092" s="1118"/>
    </row>
    <row r="3093" spans="1:11" x14ac:dyDescent="0.25">
      <c r="A3093" s="718">
        <v>2</v>
      </c>
      <c r="B3093" s="668"/>
      <c r="C3093" s="721"/>
      <c r="D3093" s="721"/>
      <c r="E3093" s="721"/>
      <c r="F3093" s="721"/>
      <c r="G3093" s="639"/>
      <c r="H3093" s="668"/>
      <c r="I3093" s="721"/>
      <c r="J3093" s="639"/>
      <c r="K3093" s="1124"/>
    </row>
    <row r="3094" spans="1:11" x14ac:dyDescent="0.25">
      <c r="A3094" s="718">
        <v>3</v>
      </c>
      <c r="B3094" s="668"/>
      <c r="C3094" s="721"/>
      <c r="D3094" s="721"/>
      <c r="E3094" s="721"/>
      <c r="F3094" s="721"/>
      <c r="G3094" s="639"/>
      <c r="H3094" s="668"/>
      <c r="I3094" s="721"/>
      <c r="J3094" s="639"/>
      <c r="K3094" s="1124"/>
    </row>
    <row r="3095" spans="1:11" x14ac:dyDescent="0.25">
      <c r="A3095" s="718">
        <v>4</v>
      </c>
      <c r="B3095" s="668"/>
      <c r="C3095" s="721"/>
      <c r="D3095" s="721"/>
      <c r="E3095" s="721"/>
      <c r="F3095" s="721"/>
      <c r="G3095" s="639"/>
      <c r="H3095" s="668"/>
      <c r="I3095" s="721"/>
      <c r="J3095" s="639"/>
      <c r="K3095" s="1124"/>
    </row>
    <row r="3096" spans="1:11" x14ac:dyDescent="0.25">
      <c r="A3096" s="718">
        <v>5</v>
      </c>
      <c r="B3096" s="668"/>
      <c r="C3096" s="721"/>
      <c r="D3096" s="721"/>
      <c r="E3096" s="721"/>
      <c r="F3096" s="721"/>
      <c r="G3096" s="639"/>
      <c r="H3096" s="668"/>
      <c r="I3096" s="721"/>
      <c r="J3096" s="639"/>
      <c r="K3096" s="1124"/>
    </row>
    <row r="3097" spans="1:11" ht="13.8" thickBot="1" x14ac:dyDescent="0.3">
      <c r="A3097" s="719">
        <v>6</v>
      </c>
      <c r="B3097" s="669"/>
      <c r="C3097" s="1137"/>
      <c r="D3097" s="1137"/>
      <c r="E3097" s="1137"/>
      <c r="F3097" s="1137"/>
      <c r="G3097" s="646"/>
      <c r="H3097" s="669"/>
      <c r="I3097" s="1137"/>
      <c r="J3097" s="646"/>
      <c r="K3097" s="1138"/>
    </row>
    <row r="3098" spans="1:11" x14ac:dyDescent="0.25">
      <c r="A3098" s="1190">
        <v>1</v>
      </c>
      <c r="B3098" s="745"/>
      <c r="C3098" s="1117"/>
      <c r="D3098" s="1117"/>
      <c r="E3098" s="1117"/>
      <c r="F3098" s="1117"/>
      <c r="G3098" s="632"/>
      <c r="H3098" s="745"/>
      <c r="I3098" s="1117"/>
      <c r="J3098" s="632"/>
      <c r="K3098" s="1118"/>
    </row>
    <row r="3099" spans="1:11" x14ac:dyDescent="0.25">
      <c r="A3099" s="718">
        <v>2</v>
      </c>
      <c r="B3099" s="668"/>
      <c r="C3099" s="721"/>
      <c r="D3099" s="721"/>
      <c r="E3099" s="721"/>
      <c r="F3099" s="721"/>
      <c r="G3099" s="639"/>
      <c r="H3099" s="668"/>
      <c r="I3099" s="721"/>
      <c r="J3099" s="639"/>
      <c r="K3099" s="1124"/>
    </row>
    <row r="3100" spans="1:11" ht="13.8" thickBot="1" x14ac:dyDescent="0.3">
      <c r="A3100" s="1191">
        <v>3</v>
      </c>
      <c r="B3100" s="1132"/>
      <c r="C3100" s="1133"/>
      <c r="D3100" s="1133"/>
      <c r="E3100" s="1133"/>
      <c r="F3100" s="1133"/>
      <c r="G3100" s="1134"/>
      <c r="H3100" s="1132"/>
      <c r="I3100" s="1133"/>
      <c r="J3100" s="1134"/>
      <c r="K3100" s="1147"/>
    </row>
    <row r="3101" spans="1:11" ht="13.8" thickBot="1" x14ac:dyDescent="0.3">
      <c r="A3101" s="1186" t="s">
        <v>796</v>
      </c>
      <c r="B3101" s="1187"/>
      <c r="C3101" s="1188"/>
      <c r="D3101" s="1188"/>
      <c r="E3101" s="1188"/>
      <c r="F3101" s="1188"/>
      <c r="G3101" s="1189"/>
      <c r="H3101" s="1187"/>
      <c r="I3101" s="1188"/>
      <c r="J3101" s="1189"/>
      <c r="K3101" s="716"/>
    </row>
    <row r="3102" spans="1:11" x14ac:dyDescent="0.25">
      <c r="A3102" s="1190">
        <v>1</v>
      </c>
      <c r="B3102" s="745"/>
      <c r="C3102" s="1117"/>
      <c r="D3102" s="1117"/>
      <c r="E3102" s="1117"/>
      <c r="F3102" s="1117"/>
      <c r="G3102" s="632"/>
      <c r="H3102" s="745"/>
      <c r="I3102" s="1117"/>
      <c r="J3102" s="632"/>
      <c r="K3102" s="1118"/>
    </row>
    <row r="3103" spans="1:11" x14ac:dyDescent="0.25">
      <c r="A3103" s="718">
        <v>2</v>
      </c>
      <c r="B3103" s="668"/>
      <c r="C3103" s="721"/>
      <c r="D3103" s="721"/>
      <c r="E3103" s="721"/>
      <c r="F3103" s="721"/>
      <c r="G3103" s="639"/>
      <c r="H3103" s="668"/>
      <c r="I3103" s="721"/>
      <c r="J3103" s="639"/>
      <c r="K3103" s="1124"/>
    </row>
    <row r="3104" spans="1:11" x14ac:dyDescent="0.25">
      <c r="A3104" s="718">
        <v>3</v>
      </c>
      <c r="B3104" s="668"/>
      <c r="C3104" s="721"/>
      <c r="D3104" s="721"/>
      <c r="E3104" s="721"/>
      <c r="F3104" s="721"/>
      <c r="G3104" s="639"/>
      <c r="H3104" s="668"/>
      <c r="I3104" s="721"/>
      <c r="J3104" s="639"/>
      <c r="K3104" s="1124"/>
    </row>
    <row r="3105" spans="1:11" x14ac:dyDescent="0.25">
      <c r="A3105" s="718">
        <v>4</v>
      </c>
      <c r="B3105" s="668"/>
      <c r="C3105" s="721"/>
      <c r="D3105" s="721"/>
      <c r="E3105" s="721"/>
      <c r="F3105" s="721"/>
      <c r="G3105" s="639"/>
      <c r="H3105" s="668"/>
      <c r="I3105" s="721"/>
      <c r="J3105" s="639"/>
      <c r="K3105" s="1124"/>
    </row>
    <row r="3106" spans="1:11" x14ac:dyDescent="0.25">
      <c r="A3106" s="718">
        <v>5</v>
      </c>
      <c r="B3106" s="668"/>
      <c r="C3106" s="721"/>
      <c r="D3106" s="721"/>
      <c r="E3106" s="721"/>
      <c r="F3106" s="721"/>
      <c r="G3106" s="639"/>
      <c r="H3106" s="668"/>
      <c r="I3106" s="721"/>
      <c r="J3106" s="639"/>
      <c r="K3106" s="1124"/>
    </row>
    <row r="3107" spans="1:11" ht="13.8" thickBot="1" x14ac:dyDescent="0.3">
      <c r="A3107" s="719">
        <v>6</v>
      </c>
      <c r="B3107" s="669"/>
      <c r="C3107" s="1137"/>
      <c r="D3107" s="1137"/>
      <c r="E3107" s="1137"/>
      <c r="F3107" s="1137"/>
      <c r="G3107" s="646"/>
      <c r="H3107" s="669"/>
      <c r="I3107" s="1137"/>
      <c r="J3107" s="646"/>
      <c r="K3107" s="1138"/>
    </row>
    <row r="3108" spans="1:11" x14ac:dyDescent="0.25">
      <c r="A3108" s="1190">
        <v>1</v>
      </c>
      <c r="B3108" s="745"/>
      <c r="C3108" s="1117"/>
      <c r="D3108" s="1117"/>
      <c r="E3108" s="1117"/>
      <c r="F3108" s="1117"/>
      <c r="G3108" s="632"/>
      <c r="H3108" s="745"/>
      <c r="I3108" s="1117"/>
      <c r="J3108" s="632"/>
      <c r="K3108" s="1118"/>
    </row>
    <row r="3109" spans="1:11" x14ac:dyDescent="0.25">
      <c r="A3109" s="718">
        <v>2</v>
      </c>
      <c r="B3109" s="668"/>
      <c r="C3109" s="721"/>
      <c r="D3109" s="721"/>
      <c r="E3109" s="721"/>
      <c r="F3109" s="721"/>
      <c r="G3109" s="639"/>
      <c r="H3109" s="668"/>
      <c r="I3109" s="721"/>
      <c r="J3109" s="639"/>
      <c r="K3109" s="1124"/>
    </row>
    <row r="3110" spans="1:11" ht="13.8" thickBot="1" x14ac:dyDescent="0.3">
      <c r="A3110" s="719">
        <v>3</v>
      </c>
      <c r="B3110" s="669"/>
      <c r="C3110" s="1137"/>
      <c r="D3110" s="1137"/>
      <c r="E3110" s="1137"/>
      <c r="F3110" s="1137"/>
      <c r="G3110" s="646"/>
      <c r="H3110" s="669"/>
      <c r="I3110" s="1137"/>
      <c r="J3110" s="646"/>
      <c r="K3110" s="1138"/>
    </row>
    <row r="3111" spans="1:11" ht="13.8" thickBot="1" x14ac:dyDescent="0.3">
      <c r="A3111" s="1186" t="s">
        <v>797</v>
      </c>
      <c r="B3111" s="1187"/>
      <c r="C3111" s="1188"/>
      <c r="D3111" s="1188"/>
      <c r="E3111" s="1188"/>
      <c r="F3111" s="1188"/>
      <c r="G3111" s="1189"/>
      <c r="H3111" s="1187"/>
      <c r="I3111" s="1188"/>
      <c r="J3111" s="1189"/>
      <c r="K3111" s="716"/>
    </row>
    <row r="3112" spans="1:11" x14ac:dyDescent="0.25">
      <c r="A3112" s="1190">
        <v>1</v>
      </c>
      <c r="B3112" s="745"/>
      <c r="C3112" s="1117"/>
      <c r="D3112" s="1117"/>
      <c r="E3112" s="1117"/>
      <c r="F3112" s="1117"/>
      <c r="G3112" s="632"/>
      <c r="H3112" s="745"/>
      <c r="I3112" s="1117"/>
      <c r="J3112" s="632"/>
      <c r="K3112" s="1118"/>
    </row>
    <row r="3113" spans="1:11" x14ac:dyDescent="0.25">
      <c r="A3113" s="718">
        <v>2</v>
      </c>
      <c r="B3113" s="668"/>
      <c r="C3113" s="721"/>
      <c r="D3113" s="721"/>
      <c r="E3113" s="721"/>
      <c r="F3113" s="721"/>
      <c r="G3113" s="639"/>
      <c r="H3113" s="668"/>
      <c r="I3113" s="721"/>
      <c r="J3113" s="639"/>
      <c r="K3113" s="1124"/>
    </row>
    <row r="3114" spans="1:11" x14ac:dyDescent="0.25">
      <c r="A3114" s="718">
        <v>3</v>
      </c>
      <c r="B3114" s="668"/>
      <c r="C3114" s="721"/>
      <c r="D3114" s="721"/>
      <c r="E3114" s="721"/>
      <c r="F3114" s="721"/>
      <c r="G3114" s="639"/>
      <c r="H3114" s="668"/>
      <c r="I3114" s="721"/>
      <c r="J3114" s="639"/>
      <c r="K3114" s="1124"/>
    </row>
    <row r="3115" spans="1:11" x14ac:dyDescent="0.25">
      <c r="A3115" s="718">
        <v>4</v>
      </c>
      <c r="B3115" s="668"/>
      <c r="C3115" s="721"/>
      <c r="D3115" s="721"/>
      <c r="E3115" s="721"/>
      <c r="F3115" s="721"/>
      <c r="G3115" s="639"/>
      <c r="H3115" s="668"/>
      <c r="I3115" s="721"/>
      <c r="J3115" s="639"/>
      <c r="K3115" s="1124"/>
    </row>
    <row r="3116" spans="1:11" x14ac:dyDescent="0.25">
      <c r="A3116" s="718">
        <v>5</v>
      </c>
      <c r="B3116" s="668"/>
      <c r="C3116" s="721"/>
      <c r="D3116" s="721"/>
      <c r="E3116" s="721"/>
      <c r="F3116" s="721"/>
      <c r="G3116" s="639"/>
      <c r="H3116" s="668"/>
      <c r="I3116" s="721"/>
      <c r="J3116" s="639"/>
      <c r="K3116" s="1124"/>
    </row>
    <row r="3117" spans="1:11" ht="13.8" thickBot="1" x14ac:dyDescent="0.3">
      <c r="A3117" s="719">
        <v>6</v>
      </c>
      <c r="B3117" s="669"/>
      <c r="C3117" s="1137"/>
      <c r="D3117" s="1137"/>
      <c r="E3117" s="1137"/>
      <c r="F3117" s="1137"/>
      <c r="G3117" s="646"/>
      <c r="H3117" s="669"/>
      <c r="I3117" s="1137"/>
      <c r="J3117" s="646"/>
      <c r="K3117" s="1138"/>
    </row>
    <row r="3118" spans="1:11" x14ac:dyDescent="0.25">
      <c r="A3118" s="1190">
        <v>1</v>
      </c>
      <c r="B3118" s="745"/>
      <c r="C3118" s="1117"/>
      <c r="D3118" s="1117"/>
      <c r="E3118" s="1117"/>
      <c r="F3118" s="1117"/>
      <c r="G3118" s="632"/>
      <c r="H3118" s="745"/>
      <c r="I3118" s="1117"/>
      <c r="J3118" s="632"/>
      <c r="K3118" s="1118"/>
    </row>
    <row r="3119" spans="1:11" x14ac:dyDescent="0.25">
      <c r="A3119" s="718">
        <v>2</v>
      </c>
      <c r="B3119" s="668"/>
      <c r="C3119" s="721"/>
      <c r="D3119" s="721"/>
      <c r="E3119" s="721"/>
      <c r="F3119" s="721"/>
      <c r="G3119" s="639"/>
      <c r="H3119" s="668"/>
      <c r="I3119" s="721"/>
      <c r="J3119" s="639"/>
      <c r="K3119" s="1124"/>
    </row>
    <row r="3120" spans="1:11" ht="13.8" thickBot="1" x14ac:dyDescent="0.3">
      <c r="A3120" s="719">
        <v>3</v>
      </c>
      <c r="B3120" s="669"/>
      <c r="C3120" s="1137"/>
      <c r="D3120" s="1137"/>
      <c r="E3120" s="1137"/>
      <c r="F3120" s="1137"/>
      <c r="G3120" s="646"/>
      <c r="H3120" s="669"/>
      <c r="I3120" s="1137"/>
      <c r="J3120" s="646"/>
      <c r="K3120" s="1138"/>
    </row>
    <row r="3121" spans="1:11" ht="13.8" thickBot="1" x14ac:dyDescent="0.3">
      <c r="A3121" s="1186" t="s">
        <v>798</v>
      </c>
      <c r="B3121" s="1187"/>
      <c r="C3121" s="1188"/>
      <c r="D3121" s="1188"/>
      <c r="E3121" s="1188"/>
      <c r="F3121" s="1188"/>
      <c r="G3121" s="1189"/>
      <c r="H3121" s="1187"/>
      <c r="I3121" s="1188"/>
      <c r="J3121" s="1189"/>
      <c r="K3121" s="716"/>
    </row>
    <row r="3122" spans="1:11" x14ac:dyDescent="0.25">
      <c r="A3122" s="1190">
        <v>1</v>
      </c>
      <c r="B3122" s="745"/>
      <c r="C3122" s="1117"/>
      <c r="D3122" s="1117"/>
      <c r="E3122" s="1117"/>
      <c r="F3122" s="1117"/>
      <c r="G3122" s="632"/>
      <c r="H3122" s="745"/>
      <c r="I3122" s="1117"/>
      <c r="J3122" s="632"/>
      <c r="K3122" s="1118"/>
    </row>
    <row r="3123" spans="1:11" x14ac:dyDescent="0.25">
      <c r="A3123" s="718">
        <v>2</v>
      </c>
      <c r="B3123" s="668"/>
      <c r="C3123" s="721"/>
      <c r="D3123" s="721"/>
      <c r="E3123" s="721"/>
      <c r="F3123" s="721"/>
      <c r="G3123" s="639"/>
      <c r="H3123" s="668"/>
      <c r="I3123" s="721"/>
      <c r="J3123" s="639"/>
      <c r="K3123" s="1124"/>
    </row>
    <row r="3124" spans="1:11" x14ac:dyDescent="0.25">
      <c r="A3124" s="718">
        <v>3</v>
      </c>
      <c r="B3124" s="668"/>
      <c r="C3124" s="721"/>
      <c r="D3124" s="721"/>
      <c r="E3124" s="721"/>
      <c r="F3124" s="721"/>
      <c r="G3124" s="639"/>
      <c r="H3124" s="668"/>
      <c r="I3124" s="721"/>
      <c r="J3124" s="639"/>
      <c r="K3124" s="1124"/>
    </row>
    <row r="3125" spans="1:11" x14ac:dyDescent="0.25">
      <c r="A3125" s="718">
        <v>4</v>
      </c>
      <c r="B3125" s="668"/>
      <c r="C3125" s="721"/>
      <c r="D3125" s="721"/>
      <c r="E3125" s="721"/>
      <c r="F3125" s="721"/>
      <c r="G3125" s="639"/>
      <c r="H3125" s="668"/>
      <c r="I3125" s="721"/>
      <c r="J3125" s="639"/>
      <c r="K3125" s="1124"/>
    </row>
    <row r="3126" spans="1:11" x14ac:dyDescent="0.25">
      <c r="A3126" s="718">
        <v>5</v>
      </c>
      <c r="B3126" s="668"/>
      <c r="C3126" s="721"/>
      <c r="D3126" s="721"/>
      <c r="E3126" s="721"/>
      <c r="F3126" s="721"/>
      <c r="G3126" s="639"/>
      <c r="H3126" s="668"/>
      <c r="I3126" s="721"/>
      <c r="J3126" s="639"/>
      <c r="K3126" s="1124"/>
    </row>
    <row r="3127" spans="1:11" ht="13.8" thickBot="1" x14ac:dyDescent="0.3">
      <c r="A3127" s="719">
        <v>6</v>
      </c>
      <c r="B3127" s="669"/>
      <c r="C3127" s="1137"/>
      <c r="D3127" s="1137"/>
      <c r="E3127" s="1137"/>
      <c r="F3127" s="1137"/>
      <c r="G3127" s="646"/>
      <c r="H3127" s="669"/>
      <c r="I3127" s="1137"/>
      <c r="J3127" s="646"/>
      <c r="K3127" s="1138"/>
    </row>
    <row r="3128" spans="1:11" x14ac:dyDescent="0.25">
      <c r="A3128" s="1190">
        <v>1</v>
      </c>
      <c r="B3128" s="745"/>
      <c r="C3128" s="1117"/>
      <c r="D3128" s="1117"/>
      <c r="E3128" s="1117"/>
      <c r="F3128" s="1117"/>
      <c r="G3128" s="632"/>
      <c r="H3128" s="745"/>
      <c r="I3128" s="1117"/>
      <c r="J3128" s="632"/>
      <c r="K3128" s="1118"/>
    </row>
    <row r="3129" spans="1:11" x14ac:dyDescent="0.25">
      <c r="A3129" s="718">
        <v>2</v>
      </c>
      <c r="B3129" s="668"/>
      <c r="C3129" s="721"/>
      <c r="D3129" s="721"/>
      <c r="E3129" s="721"/>
      <c r="F3129" s="721"/>
      <c r="G3129" s="639"/>
      <c r="H3129" s="668"/>
      <c r="I3129" s="721"/>
      <c r="J3129" s="639"/>
      <c r="K3129" s="1124"/>
    </row>
    <row r="3130" spans="1:11" ht="13.8" thickBot="1" x14ac:dyDescent="0.3">
      <c r="A3130" s="719">
        <v>3</v>
      </c>
      <c r="B3130" s="669"/>
      <c r="C3130" s="1137"/>
      <c r="D3130" s="1137"/>
      <c r="E3130" s="1137"/>
      <c r="F3130" s="1137"/>
      <c r="G3130" s="646"/>
      <c r="H3130" s="669"/>
      <c r="I3130" s="1137"/>
      <c r="J3130" s="646"/>
      <c r="K3130" s="1138"/>
    </row>
    <row r="3131" spans="1:11" ht="13.8" thickBot="1" x14ac:dyDescent="0.3">
      <c r="A3131" s="1186" t="s">
        <v>799</v>
      </c>
      <c r="B3131" s="1187"/>
      <c r="C3131" s="1188"/>
      <c r="D3131" s="1188"/>
      <c r="E3131" s="1188"/>
      <c r="F3131" s="1188"/>
      <c r="G3131" s="1189"/>
      <c r="H3131" s="1187"/>
      <c r="I3131" s="1188"/>
      <c r="J3131" s="1189"/>
      <c r="K3131" s="716"/>
    </row>
    <row r="3132" spans="1:11" x14ac:dyDescent="0.25">
      <c r="A3132" s="1190">
        <v>1</v>
      </c>
      <c r="B3132" s="745"/>
      <c r="C3132" s="1117"/>
      <c r="D3132" s="1117"/>
      <c r="E3132" s="1117"/>
      <c r="F3132" s="1117"/>
      <c r="G3132" s="632"/>
      <c r="H3132" s="745"/>
      <c r="I3132" s="1117"/>
      <c r="J3132" s="632"/>
      <c r="K3132" s="1118"/>
    </row>
    <row r="3133" spans="1:11" x14ac:dyDescent="0.25">
      <c r="A3133" s="718">
        <v>2</v>
      </c>
      <c r="B3133" s="668"/>
      <c r="C3133" s="721"/>
      <c r="D3133" s="721"/>
      <c r="E3133" s="721"/>
      <c r="F3133" s="721"/>
      <c r="G3133" s="639"/>
      <c r="H3133" s="668"/>
      <c r="I3133" s="721"/>
      <c r="J3133" s="639"/>
      <c r="K3133" s="1124"/>
    </row>
    <row r="3134" spans="1:11" x14ac:dyDescent="0.25">
      <c r="A3134" s="718">
        <v>3</v>
      </c>
      <c r="B3134" s="668"/>
      <c r="C3134" s="721"/>
      <c r="D3134" s="721"/>
      <c r="E3134" s="721"/>
      <c r="F3134" s="721"/>
      <c r="G3134" s="639"/>
      <c r="H3134" s="668"/>
      <c r="I3134" s="721"/>
      <c r="J3134" s="639"/>
      <c r="K3134" s="1124"/>
    </row>
    <row r="3135" spans="1:11" x14ac:dyDescent="0.25">
      <c r="A3135" s="718">
        <v>4</v>
      </c>
      <c r="B3135" s="668"/>
      <c r="C3135" s="721"/>
      <c r="D3135" s="721"/>
      <c r="E3135" s="721"/>
      <c r="F3135" s="721"/>
      <c r="G3135" s="639"/>
      <c r="H3135" s="668"/>
      <c r="I3135" s="721"/>
      <c r="J3135" s="639"/>
      <c r="K3135" s="1124"/>
    </row>
    <row r="3136" spans="1:11" x14ac:dyDescent="0.25">
      <c r="A3136" s="718">
        <v>5</v>
      </c>
      <c r="B3136" s="668"/>
      <c r="C3136" s="721"/>
      <c r="D3136" s="721"/>
      <c r="E3136" s="721"/>
      <c r="F3136" s="721"/>
      <c r="G3136" s="639"/>
      <c r="H3136" s="668"/>
      <c r="I3136" s="721"/>
      <c r="J3136" s="639"/>
      <c r="K3136" s="1124"/>
    </row>
    <row r="3137" spans="1:11" ht="13.8" thickBot="1" x14ac:dyDescent="0.3">
      <c r="A3137" s="719">
        <v>6</v>
      </c>
      <c r="B3137" s="669"/>
      <c r="C3137" s="1137"/>
      <c r="D3137" s="1137"/>
      <c r="E3137" s="1137"/>
      <c r="F3137" s="1137"/>
      <c r="G3137" s="646"/>
      <c r="H3137" s="669"/>
      <c r="I3137" s="1137"/>
      <c r="J3137" s="646"/>
      <c r="K3137" s="1138"/>
    </row>
    <row r="3138" spans="1:11" x14ac:dyDescent="0.25">
      <c r="A3138" s="1190">
        <v>1</v>
      </c>
      <c r="B3138" s="745"/>
      <c r="C3138" s="1117"/>
      <c r="D3138" s="1117"/>
      <c r="E3138" s="1117"/>
      <c r="F3138" s="1117"/>
      <c r="G3138" s="632"/>
      <c r="H3138" s="745"/>
      <c r="I3138" s="1117"/>
      <c r="J3138" s="632"/>
      <c r="K3138" s="1118"/>
    </row>
    <row r="3139" spans="1:11" x14ac:dyDescent="0.25">
      <c r="A3139" s="718">
        <v>2</v>
      </c>
      <c r="B3139" s="668"/>
      <c r="C3139" s="721"/>
      <c r="D3139" s="721"/>
      <c r="E3139" s="721"/>
      <c r="F3139" s="721"/>
      <c r="G3139" s="639"/>
      <c r="H3139" s="668"/>
      <c r="I3139" s="721"/>
      <c r="J3139" s="639"/>
      <c r="K3139" s="1124"/>
    </row>
    <row r="3140" spans="1:11" ht="13.8" thickBot="1" x14ac:dyDescent="0.3">
      <c r="A3140" s="1191">
        <v>3</v>
      </c>
      <c r="B3140" s="1132"/>
      <c r="C3140" s="1133"/>
      <c r="D3140" s="1133"/>
      <c r="E3140" s="1133"/>
      <c r="F3140" s="1133"/>
      <c r="G3140" s="1134"/>
      <c r="H3140" s="1132"/>
      <c r="I3140" s="1133"/>
      <c r="J3140" s="1134"/>
      <c r="K3140" s="1147"/>
    </row>
    <row r="3141" spans="1:11" ht="13.8" thickBot="1" x14ac:dyDescent="0.3">
      <c r="A3141" s="1186" t="s">
        <v>800</v>
      </c>
      <c r="B3141" s="1187"/>
      <c r="C3141" s="1188"/>
      <c r="D3141" s="1188"/>
      <c r="E3141" s="1188"/>
      <c r="F3141" s="1188"/>
      <c r="G3141" s="1189"/>
      <c r="H3141" s="1187"/>
      <c r="I3141" s="1188"/>
      <c r="J3141" s="1189"/>
      <c r="K3141" s="716"/>
    </row>
    <row r="3142" spans="1:11" x14ac:dyDescent="0.25">
      <c r="A3142" s="1190">
        <v>1</v>
      </c>
      <c r="B3142" s="745"/>
      <c r="C3142" s="1117"/>
      <c r="D3142" s="1117"/>
      <c r="E3142" s="1117"/>
      <c r="F3142" s="1117"/>
      <c r="G3142" s="632"/>
      <c r="H3142" s="745"/>
      <c r="I3142" s="1117"/>
      <c r="J3142" s="632"/>
      <c r="K3142" s="1118"/>
    </row>
    <row r="3143" spans="1:11" x14ac:dyDescent="0.25">
      <c r="A3143" s="718">
        <v>2</v>
      </c>
      <c r="B3143" s="668"/>
      <c r="C3143" s="721"/>
      <c r="D3143" s="721"/>
      <c r="E3143" s="721"/>
      <c r="F3143" s="721"/>
      <c r="G3143" s="639"/>
      <c r="H3143" s="668"/>
      <c r="I3143" s="721"/>
      <c r="J3143" s="639"/>
      <c r="K3143" s="1124"/>
    </row>
    <row r="3144" spans="1:11" x14ac:dyDescent="0.25">
      <c r="A3144" s="718">
        <v>3</v>
      </c>
      <c r="B3144" s="668"/>
      <c r="C3144" s="721"/>
      <c r="D3144" s="721"/>
      <c r="E3144" s="721"/>
      <c r="F3144" s="721"/>
      <c r="G3144" s="639"/>
      <c r="H3144" s="668"/>
      <c r="I3144" s="721"/>
      <c r="J3144" s="639"/>
      <c r="K3144" s="1124"/>
    </row>
    <row r="3145" spans="1:11" x14ac:dyDescent="0.25">
      <c r="A3145" s="718">
        <v>4</v>
      </c>
      <c r="B3145" s="668"/>
      <c r="C3145" s="721"/>
      <c r="D3145" s="721"/>
      <c r="E3145" s="721"/>
      <c r="F3145" s="721"/>
      <c r="G3145" s="639"/>
      <c r="H3145" s="668"/>
      <c r="I3145" s="721"/>
      <c r="J3145" s="639"/>
      <c r="K3145" s="1124"/>
    </row>
    <row r="3146" spans="1:11" x14ac:dyDescent="0.25">
      <c r="A3146" s="718">
        <v>5</v>
      </c>
      <c r="B3146" s="668"/>
      <c r="C3146" s="721"/>
      <c r="D3146" s="721"/>
      <c r="E3146" s="721"/>
      <c r="F3146" s="721"/>
      <c r="G3146" s="639"/>
      <c r="H3146" s="668"/>
      <c r="I3146" s="721"/>
      <c r="J3146" s="639"/>
      <c r="K3146" s="1124"/>
    </row>
    <row r="3147" spans="1:11" ht="13.8" thickBot="1" x14ac:dyDescent="0.3">
      <c r="A3147" s="719">
        <v>6</v>
      </c>
      <c r="B3147" s="669"/>
      <c r="C3147" s="1137"/>
      <c r="D3147" s="1137"/>
      <c r="E3147" s="1137"/>
      <c r="F3147" s="1137"/>
      <c r="G3147" s="646"/>
      <c r="H3147" s="669"/>
      <c r="I3147" s="1137"/>
      <c r="J3147" s="646"/>
      <c r="K3147" s="1138"/>
    </row>
    <row r="3148" spans="1:11" x14ac:dyDescent="0.25">
      <c r="A3148" s="1190">
        <v>1</v>
      </c>
      <c r="B3148" s="745"/>
      <c r="C3148" s="1117"/>
      <c r="D3148" s="1117"/>
      <c r="E3148" s="1117"/>
      <c r="F3148" s="1117"/>
      <c r="G3148" s="632"/>
      <c r="H3148" s="745"/>
      <c r="I3148" s="1117"/>
      <c r="J3148" s="632"/>
      <c r="K3148" s="1118"/>
    </row>
    <row r="3149" spans="1:11" x14ac:dyDescent="0.25">
      <c r="A3149" s="718">
        <v>2</v>
      </c>
      <c r="B3149" s="668"/>
      <c r="C3149" s="721"/>
      <c r="D3149" s="721"/>
      <c r="E3149" s="721"/>
      <c r="F3149" s="721"/>
      <c r="G3149" s="639"/>
      <c r="H3149" s="668"/>
      <c r="I3149" s="721"/>
      <c r="J3149" s="639"/>
      <c r="K3149" s="1124"/>
    </row>
    <row r="3150" spans="1:11" ht="13.8" thickBot="1" x14ac:dyDescent="0.3">
      <c r="A3150" s="719">
        <v>3</v>
      </c>
      <c r="B3150" s="669"/>
      <c r="C3150" s="1137"/>
      <c r="D3150" s="1137"/>
      <c r="E3150" s="1137"/>
      <c r="F3150" s="1137"/>
      <c r="G3150" s="646"/>
      <c r="H3150" s="669"/>
      <c r="I3150" s="1137"/>
      <c r="J3150" s="646"/>
      <c r="K3150" s="1138"/>
    </row>
    <row r="3151" spans="1:11" ht="13.8" thickBot="1" x14ac:dyDescent="0.3">
      <c r="A3151" s="1186" t="s">
        <v>801</v>
      </c>
      <c r="B3151" s="1187"/>
      <c r="C3151" s="1188"/>
      <c r="D3151" s="1188"/>
      <c r="E3151" s="1188"/>
      <c r="F3151" s="1188"/>
      <c r="G3151" s="1189"/>
      <c r="H3151" s="1187"/>
      <c r="I3151" s="1188"/>
      <c r="J3151" s="1189"/>
      <c r="K3151" s="716"/>
    </row>
    <row r="3152" spans="1:11" x14ac:dyDescent="0.25">
      <c r="A3152" s="1190">
        <v>1</v>
      </c>
      <c r="B3152" s="745"/>
      <c r="C3152" s="1117"/>
      <c r="D3152" s="1117"/>
      <c r="E3152" s="1117"/>
      <c r="F3152" s="1117"/>
      <c r="G3152" s="632"/>
      <c r="H3152" s="745"/>
      <c r="I3152" s="1117"/>
      <c r="J3152" s="632"/>
      <c r="K3152" s="1118"/>
    </row>
    <row r="3153" spans="1:11" x14ac:dyDescent="0.25">
      <c r="A3153" s="718">
        <v>2</v>
      </c>
      <c r="B3153" s="668"/>
      <c r="C3153" s="721"/>
      <c r="D3153" s="721"/>
      <c r="E3153" s="721"/>
      <c r="F3153" s="721"/>
      <c r="G3153" s="639"/>
      <c r="H3153" s="668"/>
      <c r="I3153" s="721"/>
      <c r="J3153" s="639"/>
      <c r="K3153" s="1124"/>
    </row>
    <row r="3154" spans="1:11" x14ac:dyDescent="0.25">
      <c r="A3154" s="718">
        <v>3</v>
      </c>
      <c r="B3154" s="668"/>
      <c r="C3154" s="721"/>
      <c r="D3154" s="721"/>
      <c r="E3154" s="721"/>
      <c r="F3154" s="721"/>
      <c r="G3154" s="639"/>
      <c r="H3154" s="668"/>
      <c r="I3154" s="721"/>
      <c r="J3154" s="639"/>
      <c r="K3154" s="1124"/>
    </row>
    <row r="3155" spans="1:11" x14ac:dyDescent="0.25">
      <c r="A3155" s="718">
        <v>4</v>
      </c>
      <c r="B3155" s="668"/>
      <c r="C3155" s="721"/>
      <c r="D3155" s="721"/>
      <c r="E3155" s="721"/>
      <c r="F3155" s="721"/>
      <c r="G3155" s="639"/>
      <c r="H3155" s="668"/>
      <c r="I3155" s="721"/>
      <c r="J3155" s="639"/>
      <c r="K3155" s="1124"/>
    </row>
    <row r="3156" spans="1:11" x14ac:dyDescent="0.25">
      <c r="A3156" s="718">
        <v>5</v>
      </c>
      <c r="B3156" s="668"/>
      <c r="C3156" s="721"/>
      <c r="D3156" s="721"/>
      <c r="E3156" s="721"/>
      <c r="F3156" s="721"/>
      <c r="G3156" s="639"/>
      <c r="H3156" s="668"/>
      <c r="I3156" s="721"/>
      <c r="J3156" s="639"/>
      <c r="K3156" s="1124"/>
    </row>
    <row r="3157" spans="1:11" ht="13.8" thickBot="1" x14ac:dyDescent="0.3">
      <c r="A3157" s="719">
        <v>6</v>
      </c>
      <c r="B3157" s="669"/>
      <c r="C3157" s="1137"/>
      <c r="D3157" s="1137"/>
      <c r="E3157" s="1137"/>
      <c r="F3157" s="1137"/>
      <c r="G3157" s="646"/>
      <c r="H3157" s="669"/>
      <c r="I3157" s="1137"/>
      <c r="J3157" s="646"/>
      <c r="K3157" s="1138"/>
    </row>
    <row r="3158" spans="1:11" x14ac:dyDescent="0.25">
      <c r="A3158" s="1190">
        <v>1</v>
      </c>
      <c r="B3158" s="745"/>
      <c r="C3158" s="1117"/>
      <c r="D3158" s="1117"/>
      <c r="E3158" s="1117"/>
      <c r="F3158" s="1117"/>
      <c r="G3158" s="632"/>
      <c r="H3158" s="745"/>
      <c r="I3158" s="1117"/>
      <c r="J3158" s="632"/>
      <c r="K3158" s="1118"/>
    </row>
    <row r="3159" spans="1:11" x14ac:dyDescent="0.25">
      <c r="A3159" s="718">
        <v>2</v>
      </c>
      <c r="B3159" s="668"/>
      <c r="C3159" s="721"/>
      <c r="D3159" s="721"/>
      <c r="E3159" s="721"/>
      <c r="F3159" s="721"/>
      <c r="G3159" s="639"/>
      <c r="H3159" s="668"/>
      <c r="I3159" s="721"/>
      <c r="J3159" s="639"/>
      <c r="K3159" s="1124"/>
    </row>
    <row r="3160" spans="1:11" ht="13.8" thickBot="1" x14ac:dyDescent="0.3">
      <c r="A3160" s="719">
        <v>3</v>
      </c>
      <c r="B3160" s="669"/>
      <c r="C3160" s="1137"/>
      <c r="D3160" s="1137"/>
      <c r="E3160" s="1137"/>
      <c r="F3160" s="1137"/>
      <c r="G3160" s="646"/>
      <c r="H3160" s="669"/>
      <c r="I3160" s="1137"/>
      <c r="J3160" s="646"/>
      <c r="K3160" s="1138"/>
    </row>
    <row r="3161" spans="1:11" ht="13.8" thickBot="1" x14ac:dyDescent="0.3">
      <c r="A3161" s="1186" t="s">
        <v>802</v>
      </c>
      <c r="B3161" s="1187"/>
      <c r="C3161" s="1188"/>
      <c r="D3161" s="1188"/>
      <c r="E3161" s="1188"/>
      <c r="F3161" s="1188"/>
      <c r="G3161" s="1189"/>
      <c r="H3161" s="1187"/>
      <c r="I3161" s="1188"/>
      <c r="J3161" s="1189"/>
      <c r="K3161" s="716"/>
    </row>
    <row r="3162" spans="1:11" x14ac:dyDescent="0.25">
      <c r="A3162" s="1190">
        <v>1</v>
      </c>
      <c r="B3162" s="745"/>
      <c r="C3162" s="1117"/>
      <c r="D3162" s="1117"/>
      <c r="E3162" s="1117"/>
      <c r="F3162" s="1117"/>
      <c r="G3162" s="632"/>
      <c r="H3162" s="745"/>
      <c r="I3162" s="1117"/>
      <c r="J3162" s="632"/>
      <c r="K3162" s="1118"/>
    </row>
    <row r="3163" spans="1:11" x14ac:dyDescent="0.25">
      <c r="A3163" s="718">
        <v>2</v>
      </c>
      <c r="B3163" s="668"/>
      <c r="C3163" s="721"/>
      <c r="D3163" s="721"/>
      <c r="E3163" s="721"/>
      <c r="F3163" s="721"/>
      <c r="G3163" s="639"/>
      <c r="H3163" s="668"/>
      <c r="I3163" s="721"/>
      <c r="J3163" s="639"/>
      <c r="K3163" s="1124"/>
    </row>
    <row r="3164" spans="1:11" x14ac:dyDescent="0.25">
      <c r="A3164" s="718">
        <v>3</v>
      </c>
      <c r="B3164" s="668"/>
      <c r="C3164" s="721"/>
      <c r="D3164" s="721"/>
      <c r="E3164" s="721"/>
      <c r="F3164" s="721"/>
      <c r="G3164" s="639"/>
      <c r="H3164" s="668"/>
      <c r="I3164" s="721"/>
      <c r="J3164" s="639"/>
      <c r="K3164" s="1124"/>
    </row>
    <row r="3165" spans="1:11" x14ac:dyDescent="0.25">
      <c r="A3165" s="718">
        <v>4</v>
      </c>
      <c r="B3165" s="668"/>
      <c r="C3165" s="721"/>
      <c r="D3165" s="721"/>
      <c r="E3165" s="721"/>
      <c r="F3165" s="721"/>
      <c r="G3165" s="639"/>
      <c r="H3165" s="668"/>
      <c r="I3165" s="721"/>
      <c r="J3165" s="639"/>
      <c r="K3165" s="1124"/>
    </row>
    <row r="3166" spans="1:11" x14ac:dyDescent="0.25">
      <c r="A3166" s="718">
        <v>5</v>
      </c>
      <c r="B3166" s="668"/>
      <c r="C3166" s="721"/>
      <c r="D3166" s="721"/>
      <c r="E3166" s="721"/>
      <c r="F3166" s="721"/>
      <c r="G3166" s="639"/>
      <c r="H3166" s="668"/>
      <c r="I3166" s="721"/>
      <c r="J3166" s="639"/>
      <c r="K3166" s="1124"/>
    </row>
    <row r="3167" spans="1:11" ht="13.8" thickBot="1" x14ac:dyDescent="0.3">
      <c r="A3167" s="719">
        <v>6</v>
      </c>
      <c r="B3167" s="669"/>
      <c r="C3167" s="1137"/>
      <c r="D3167" s="1137"/>
      <c r="E3167" s="1137"/>
      <c r="F3167" s="1137"/>
      <c r="G3167" s="646"/>
      <c r="H3167" s="669"/>
      <c r="I3167" s="1137"/>
      <c r="J3167" s="646"/>
      <c r="K3167" s="1138"/>
    </row>
    <row r="3168" spans="1:11" x14ac:dyDescent="0.25">
      <c r="A3168" s="1190">
        <v>1</v>
      </c>
      <c r="B3168" s="745"/>
      <c r="C3168" s="1117"/>
      <c r="D3168" s="1117"/>
      <c r="E3168" s="1117"/>
      <c r="F3168" s="1117"/>
      <c r="G3168" s="632"/>
      <c r="H3168" s="745"/>
      <c r="I3168" s="1117"/>
      <c r="J3168" s="632"/>
      <c r="K3168" s="1118"/>
    </row>
    <row r="3169" spans="1:11" x14ac:dyDescent="0.25">
      <c r="A3169" s="718">
        <v>2</v>
      </c>
      <c r="B3169" s="668"/>
      <c r="C3169" s="721"/>
      <c r="D3169" s="721"/>
      <c r="E3169" s="721"/>
      <c r="F3169" s="721"/>
      <c r="G3169" s="639"/>
      <c r="H3169" s="668"/>
      <c r="I3169" s="721"/>
      <c r="J3169" s="639"/>
      <c r="K3169" s="1124"/>
    </row>
    <row r="3170" spans="1:11" ht="13.8" thickBot="1" x14ac:dyDescent="0.3">
      <c r="A3170" s="719">
        <v>3</v>
      </c>
      <c r="B3170" s="669"/>
      <c r="C3170" s="1137"/>
      <c r="D3170" s="1137"/>
      <c r="E3170" s="1137"/>
      <c r="F3170" s="1137"/>
      <c r="G3170" s="646"/>
      <c r="H3170" s="669"/>
      <c r="I3170" s="1137"/>
      <c r="J3170" s="646"/>
      <c r="K3170" s="1138"/>
    </row>
    <row r="3171" spans="1:11" ht="13.8" thickBot="1" x14ac:dyDescent="0.3">
      <c r="A3171" s="1186" t="s">
        <v>803</v>
      </c>
      <c r="B3171" s="1187"/>
      <c r="C3171" s="1188"/>
      <c r="D3171" s="1188"/>
      <c r="E3171" s="1188"/>
      <c r="F3171" s="1188"/>
      <c r="G3171" s="1189"/>
      <c r="H3171" s="1187"/>
      <c r="I3171" s="1188"/>
      <c r="J3171" s="1189"/>
      <c r="K3171" s="716"/>
    </row>
    <row r="3172" spans="1:11" x14ac:dyDescent="0.25">
      <c r="A3172" s="1190">
        <v>1</v>
      </c>
      <c r="B3172" s="745"/>
      <c r="C3172" s="1117"/>
      <c r="D3172" s="1117"/>
      <c r="E3172" s="1117"/>
      <c r="F3172" s="1117"/>
      <c r="G3172" s="632"/>
      <c r="H3172" s="745"/>
      <c r="I3172" s="1117"/>
      <c r="J3172" s="632"/>
      <c r="K3172" s="1118"/>
    </row>
    <row r="3173" spans="1:11" x14ac:dyDescent="0.25">
      <c r="A3173" s="718">
        <v>2</v>
      </c>
      <c r="B3173" s="668"/>
      <c r="C3173" s="721"/>
      <c r="D3173" s="721"/>
      <c r="E3173" s="721"/>
      <c r="F3173" s="721"/>
      <c r="G3173" s="639"/>
      <c r="H3173" s="668"/>
      <c r="I3173" s="721"/>
      <c r="J3173" s="639"/>
      <c r="K3173" s="1124"/>
    </row>
    <row r="3174" spans="1:11" x14ac:dyDescent="0.25">
      <c r="A3174" s="718">
        <v>3</v>
      </c>
      <c r="B3174" s="668"/>
      <c r="C3174" s="721"/>
      <c r="D3174" s="721"/>
      <c r="E3174" s="721"/>
      <c r="F3174" s="721"/>
      <c r="G3174" s="639"/>
      <c r="H3174" s="668"/>
      <c r="I3174" s="721"/>
      <c r="J3174" s="639"/>
      <c r="K3174" s="1124"/>
    </row>
    <row r="3175" spans="1:11" x14ac:dyDescent="0.25">
      <c r="A3175" s="718">
        <v>4</v>
      </c>
      <c r="B3175" s="668"/>
      <c r="C3175" s="721"/>
      <c r="D3175" s="721"/>
      <c r="E3175" s="721"/>
      <c r="F3175" s="721"/>
      <c r="G3175" s="639"/>
      <c r="H3175" s="668"/>
      <c r="I3175" s="721"/>
      <c r="J3175" s="639"/>
      <c r="K3175" s="1124"/>
    </row>
    <row r="3176" spans="1:11" x14ac:dyDescent="0.25">
      <c r="A3176" s="718">
        <v>5</v>
      </c>
      <c r="B3176" s="668"/>
      <c r="C3176" s="721"/>
      <c r="D3176" s="721"/>
      <c r="E3176" s="721"/>
      <c r="F3176" s="721"/>
      <c r="G3176" s="639"/>
      <c r="H3176" s="668"/>
      <c r="I3176" s="721"/>
      <c r="J3176" s="639"/>
      <c r="K3176" s="1124"/>
    </row>
    <row r="3177" spans="1:11" ht="13.8" thickBot="1" x14ac:dyDescent="0.3">
      <c r="A3177" s="719">
        <v>6</v>
      </c>
      <c r="B3177" s="669"/>
      <c r="C3177" s="1137"/>
      <c r="D3177" s="1137"/>
      <c r="E3177" s="1137"/>
      <c r="F3177" s="1137"/>
      <c r="G3177" s="646"/>
      <c r="H3177" s="669"/>
      <c r="I3177" s="1137"/>
      <c r="J3177" s="646"/>
      <c r="K3177" s="1138"/>
    </row>
    <row r="3178" spans="1:11" x14ac:dyDescent="0.25">
      <c r="A3178" s="1190">
        <v>1</v>
      </c>
      <c r="B3178" s="745"/>
      <c r="C3178" s="1117"/>
      <c r="D3178" s="1117"/>
      <c r="E3178" s="1117"/>
      <c r="F3178" s="1117"/>
      <c r="G3178" s="632"/>
      <c r="H3178" s="745"/>
      <c r="I3178" s="1117"/>
      <c r="J3178" s="632"/>
      <c r="K3178" s="1118"/>
    </row>
    <row r="3179" spans="1:11" x14ac:dyDescent="0.25">
      <c r="A3179" s="718">
        <v>2</v>
      </c>
      <c r="B3179" s="668"/>
      <c r="C3179" s="721"/>
      <c r="D3179" s="721"/>
      <c r="E3179" s="721"/>
      <c r="F3179" s="721"/>
      <c r="G3179" s="639"/>
      <c r="H3179" s="668"/>
      <c r="I3179" s="721"/>
      <c r="J3179" s="639"/>
      <c r="K3179" s="1124"/>
    </row>
    <row r="3180" spans="1:11" ht="13.8" thickBot="1" x14ac:dyDescent="0.3">
      <c r="A3180" s="1191">
        <v>3</v>
      </c>
      <c r="B3180" s="1132"/>
      <c r="C3180" s="1133"/>
      <c r="D3180" s="1133"/>
      <c r="E3180" s="1133"/>
      <c r="F3180" s="1133"/>
      <c r="G3180" s="1134"/>
      <c r="H3180" s="1132"/>
      <c r="I3180" s="1133"/>
      <c r="J3180" s="1134"/>
      <c r="K3180" s="1147"/>
    </row>
    <row r="3181" spans="1:11" ht="13.8" thickBot="1" x14ac:dyDescent="0.3">
      <c r="A3181" s="1186" t="s">
        <v>804</v>
      </c>
      <c r="B3181" s="1187"/>
      <c r="C3181" s="1188"/>
      <c r="D3181" s="1188"/>
      <c r="E3181" s="1188"/>
      <c r="F3181" s="1188"/>
      <c r="G3181" s="1189"/>
      <c r="H3181" s="1187"/>
      <c r="I3181" s="1188"/>
      <c r="J3181" s="1189"/>
      <c r="K3181" s="716"/>
    </row>
    <row r="3182" spans="1:11" x14ac:dyDescent="0.25">
      <c r="A3182" s="1190">
        <v>1</v>
      </c>
      <c r="B3182" s="745"/>
      <c r="C3182" s="1117"/>
      <c r="D3182" s="1117"/>
      <c r="E3182" s="1117"/>
      <c r="F3182" s="1117"/>
      <c r="G3182" s="632"/>
      <c r="H3182" s="745"/>
      <c r="I3182" s="1117"/>
      <c r="J3182" s="632"/>
      <c r="K3182" s="1118"/>
    </row>
    <row r="3183" spans="1:11" x14ac:dyDescent="0.25">
      <c r="A3183" s="718">
        <v>2</v>
      </c>
      <c r="B3183" s="668"/>
      <c r="C3183" s="721"/>
      <c r="D3183" s="721"/>
      <c r="E3183" s="721"/>
      <c r="F3183" s="721"/>
      <c r="G3183" s="639"/>
      <c r="H3183" s="668"/>
      <c r="I3183" s="721"/>
      <c r="J3183" s="639"/>
      <c r="K3183" s="1124"/>
    </row>
    <row r="3184" spans="1:11" x14ac:dyDescent="0.25">
      <c r="A3184" s="718">
        <v>3</v>
      </c>
      <c r="B3184" s="668"/>
      <c r="C3184" s="721"/>
      <c r="D3184" s="721"/>
      <c r="E3184" s="721"/>
      <c r="F3184" s="721"/>
      <c r="G3184" s="639"/>
      <c r="H3184" s="668"/>
      <c r="I3184" s="721"/>
      <c r="J3184" s="639"/>
      <c r="K3184" s="1124"/>
    </row>
    <row r="3185" spans="1:11" x14ac:dyDescent="0.25">
      <c r="A3185" s="718">
        <v>4</v>
      </c>
      <c r="B3185" s="668"/>
      <c r="C3185" s="721"/>
      <c r="D3185" s="721"/>
      <c r="E3185" s="721"/>
      <c r="F3185" s="721"/>
      <c r="G3185" s="639"/>
      <c r="H3185" s="668"/>
      <c r="I3185" s="721"/>
      <c r="J3185" s="639"/>
      <c r="K3185" s="1124"/>
    </row>
    <row r="3186" spans="1:11" x14ac:dyDescent="0.25">
      <c r="A3186" s="718">
        <v>5</v>
      </c>
      <c r="B3186" s="668"/>
      <c r="C3186" s="721"/>
      <c r="D3186" s="721"/>
      <c r="E3186" s="721"/>
      <c r="F3186" s="721"/>
      <c r="G3186" s="639"/>
      <c r="H3186" s="668"/>
      <c r="I3186" s="721"/>
      <c r="J3186" s="639"/>
      <c r="K3186" s="1124"/>
    </row>
    <row r="3187" spans="1:11" ht="13.8" thickBot="1" x14ac:dyDescent="0.3">
      <c r="A3187" s="719">
        <v>6</v>
      </c>
      <c r="B3187" s="669"/>
      <c r="C3187" s="1137"/>
      <c r="D3187" s="1137"/>
      <c r="E3187" s="1137"/>
      <c r="F3187" s="1137"/>
      <c r="G3187" s="646"/>
      <c r="H3187" s="669"/>
      <c r="I3187" s="1137"/>
      <c r="J3187" s="646"/>
      <c r="K3187" s="1138"/>
    </row>
    <row r="3188" spans="1:11" x14ac:dyDescent="0.25">
      <c r="A3188" s="1190">
        <v>1</v>
      </c>
      <c r="B3188" s="745"/>
      <c r="C3188" s="1117"/>
      <c r="D3188" s="1117"/>
      <c r="E3188" s="1117"/>
      <c r="F3188" s="1117"/>
      <c r="G3188" s="632"/>
      <c r="H3188" s="745"/>
      <c r="I3188" s="1117"/>
      <c r="J3188" s="632"/>
      <c r="K3188" s="1118"/>
    </row>
    <row r="3189" spans="1:11" x14ac:dyDescent="0.25">
      <c r="A3189" s="718">
        <v>2</v>
      </c>
      <c r="B3189" s="668"/>
      <c r="C3189" s="721"/>
      <c r="D3189" s="721"/>
      <c r="E3189" s="721"/>
      <c r="F3189" s="721"/>
      <c r="G3189" s="639"/>
      <c r="H3189" s="668"/>
      <c r="I3189" s="721"/>
      <c r="J3189" s="639"/>
      <c r="K3189" s="1124"/>
    </row>
    <row r="3190" spans="1:11" ht="13.8" thickBot="1" x14ac:dyDescent="0.3">
      <c r="A3190" s="719">
        <v>3</v>
      </c>
      <c r="B3190" s="669"/>
      <c r="C3190" s="1137"/>
      <c r="D3190" s="1137"/>
      <c r="E3190" s="1137"/>
      <c r="F3190" s="1137"/>
      <c r="G3190" s="646"/>
      <c r="H3190" s="669"/>
      <c r="I3190" s="1137"/>
      <c r="J3190" s="646"/>
      <c r="K3190" s="1138"/>
    </row>
    <row r="3191" spans="1:11" ht="13.8" thickBot="1" x14ac:dyDescent="0.3">
      <c r="A3191" s="1186" t="s">
        <v>805</v>
      </c>
      <c r="B3191" s="1187"/>
      <c r="C3191" s="1188"/>
      <c r="D3191" s="1188"/>
      <c r="E3191" s="1188"/>
      <c r="F3191" s="1188"/>
      <c r="G3191" s="1189"/>
      <c r="H3191" s="1187"/>
      <c r="I3191" s="1188"/>
      <c r="J3191" s="1189"/>
      <c r="K3191" s="716"/>
    </row>
    <row r="3192" spans="1:11" x14ac:dyDescent="0.25">
      <c r="A3192" s="1190">
        <v>1</v>
      </c>
      <c r="B3192" s="745"/>
      <c r="C3192" s="1117"/>
      <c r="D3192" s="1117"/>
      <c r="E3192" s="1117"/>
      <c r="F3192" s="1117"/>
      <c r="G3192" s="632"/>
      <c r="H3192" s="745"/>
      <c r="I3192" s="1117"/>
      <c r="J3192" s="632"/>
      <c r="K3192" s="1118"/>
    </row>
    <row r="3193" spans="1:11" x14ac:dyDescent="0.25">
      <c r="A3193" s="718">
        <v>2</v>
      </c>
      <c r="B3193" s="668"/>
      <c r="C3193" s="721"/>
      <c r="D3193" s="721"/>
      <c r="E3193" s="721"/>
      <c r="F3193" s="721"/>
      <c r="G3193" s="639"/>
      <c r="H3193" s="668"/>
      <c r="I3193" s="721"/>
      <c r="J3193" s="639"/>
      <c r="K3193" s="1124"/>
    </row>
    <row r="3194" spans="1:11" x14ac:dyDescent="0.25">
      <c r="A3194" s="718">
        <v>3</v>
      </c>
      <c r="B3194" s="668"/>
      <c r="C3194" s="721"/>
      <c r="D3194" s="721"/>
      <c r="E3194" s="721"/>
      <c r="F3194" s="721"/>
      <c r="G3194" s="639"/>
      <c r="H3194" s="668"/>
      <c r="I3194" s="721"/>
      <c r="J3194" s="639"/>
      <c r="K3194" s="1124"/>
    </row>
    <row r="3195" spans="1:11" x14ac:dyDescent="0.25">
      <c r="A3195" s="718">
        <v>4</v>
      </c>
      <c r="B3195" s="668"/>
      <c r="C3195" s="721"/>
      <c r="D3195" s="721"/>
      <c r="E3195" s="721"/>
      <c r="F3195" s="721"/>
      <c r="G3195" s="639"/>
      <c r="H3195" s="668"/>
      <c r="I3195" s="721"/>
      <c r="J3195" s="639"/>
      <c r="K3195" s="1124"/>
    </row>
    <row r="3196" spans="1:11" x14ac:dyDescent="0.25">
      <c r="A3196" s="718">
        <v>5</v>
      </c>
      <c r="B3196" s="668"/>
      <c r="C3196" s="721"/>
      <c r="D3196" s="721"/>
      <c r="E3196" s="721"/>
      <c r="F3196" s="721"/>
      <c r="G3196" s="639"/>
      <c r="H3196" s="668"/>
      <c r="I3196" s="721"/>
      <c r="J3196" s="639"/>
      <c r="K3196" s="1124"/>
    </row>
    <row r="3197" spans="1:11" ht="13.8" thickBot="1" x14ac:dyDescent="0.3">
      <c r="A3197" s="719">
        <v>6</v>
      </c>
      <c r="B3197" s="669"/>
      <c r="C3197" s="1137"/>
      <c r="D3197" s="1137"/>
      <c r="E3197" s="1137"/>
      <c r="F3197" s="1137"/>
      <c r="G3197" s="646"/>
      <c r="H3197" s="669"/>
      <c r="I3197" s="1137"/>
      <c r="J3197" s="646"/>
      <c r="K3197" s="1138"/>
    </row>
    <row r="3198" spans="1:11" x14ac:dyDescent="0.25">
      <c r="A3198" s="1190">
        <v>1</v>
      </c>
      <c r="B3198" s="745"/>
      <c r="C3198" s="1117"/>
      <c r="D3198" s="1117"/>
      <c r="E3198" s="1117"/>
      <c r="F3198" s="1117"/>
      <c r="G3198" s="632"/>
      <c r="H3198" s="745"/>
      <c r="I3198" s="1117"/>
      <c r="J3198" s="632"/>
      <c r="K3198" s="1118"/>
    </row>
    <row r="3199" spans="1:11" x14ac:dyDescent="0.25">
      <c r="A3199" s="718">
        <v>2</v>
      </c>
      <c r="B3199" s="668"/>
      <c r="C3199" s="721"/>
      <c r="D3199" s="721"/>
      <c r="E3199" s="721"/>
      <c r="F3199" s="721"/>
      <c r="G3199" s="639"/>
      <c r="H3199" s="668"/>
      <c r="I3199" s="721"/>
      <c r="J3199" s="639"/>
      <c r="K3199" s="1124"/>
    </row>
    <row r="3200" spans="1:11" ht="13.8" thickBot="1" x14ac:dyDescent="0.3">
      <c r="A3200" s="719">
        <v>3</v>
      </c>
      <c r="B3200" s="669"/>
      <c r="C3200" s="1137"/>
      <c r="D3200" s="1137"/>
      <c r="E3200" s="1137"/>
      <c r="F3200" s="1137"/>
      <c r="G3200" s="646"/>
      <c r="H3200" s="669"/>
      <c r="I3200" s="1137"/>
      <c r="J3200" s="646"/>
      <c r="K3200" s="1138"/>
    </row>
    <row r="3201" spans="1:11" ht="13.8" thickBot="1" x14ac:dyDescent="0.3">
      <c r="A3201" s="1186" t="s">
        <v>806</v>
      </c>
      <c r="B3201" s="1187"/>
      <c r="C3201" s="1188"/>
      <c r="D3201" s="1188"/>
      <c r="E3201" s="1188"/>
      <c r="F3201" s="1188"/>
      <c r="G3201" s="1189"/>
      <c r="H3201" s="1187"/>
      <c r="I3201" s="1188"/>
      <c r="J3201" s="1189"/>
      <c r="K3201" s="716"/>
    </row>
    <row r="3202" spans="1:11" x14ac:dyDescent="0.25">
      <c r="A3202" s="1190">
        <v>1</v>
      </c>
      <c r="B3202" s="745"/>
      <c r="C3202" s="1117"/>
      <c r="D3202" s="1117"/>
      <c r="E3202" s="1117"/>
      <c r="F3202" s="1117"/>
      <c r="G3202" s="632"/>
      <c r="H3202" s="745"/>
      <c r="I3202" s="1117"/>
      <c r="J3202" s="632"/>
      <c r="K3202" s="1118"/>
    </row>
    <row r="3203" spans="1:11" x14ac:dyDescent="0.25">
      <c r="A3203" s="718">
        <v>2</v>
      </c>
      <c r="B3203" s="668"/>
      <c r="C3203" s="721"/>
      <c r="D3203" s="721"/>
      <c r="E3203" s="721"/>
      <c r="F3203" s="721"/>
      <c r="G3203" s="639"/>
      <c r="H3203" s="668"/>
      <c r="I3203" s="721"/>
      <c r="J3203" s="639"/>
      <c r="K3203" s="1124"/>
    </row>
    <row r="3204" spans="1:11" x14ac:dyDescent="0.25">
      <c r="A3204" s="718">
        <v>3</v>
      </c>
      <c r="B3204" s="668"/>
      <c r="C3204" s="721"/>
      <c r="D3204" s="721"/>
      <c r="E3204" s="721"/>
      <c r="F3204" s="721"/>
      <c r="G3204" s="639"/>
      <c r="H3204" s="668"/>
      <c r="I3204" s="721"/>
      <c r="J3204" s="639"/>
      <c r="K3204" s="1124"/>
    </row>
    <row r="3205" spans="1:11" x14ac:dyDescent="0.25">
      <c r="A3205" s="718">
        <v>4</v>
      </c>
      <c r="B3205" s="668"/>
      <c r="C3205" s="721"/>
      <c r="D3205" s="721"/>
      <c r="E3205" s="721"/>
      <c r="F3205" s="721"/>
      <c r="G3205" s="639"/>
      <c r="H3205" s="668"/>
      <c r="I3205" s="721"/>
      <c r="J3205" s="639"/>
      <c r="K3205" s="1124"/>
    </row>
    <row r="3206" spans="1:11" x14ac:dyDescent="0.25">
      <c r="A3206" s="718">
        <v>5</v>
      </c>
      <c r="B3206" s="668"/>
      <c r="C3206" s="721"/>
      <c r="D3206" s="721"/>
      <c r="E3206" s="721"/>
      <c r="F3206" s="721"/>
      <c r="G3206" s="639"/>
      <c r="H3206" s="668"/>
      <c r="I3206" s="721"/>
      <c r="J3206" s="639"/>
      <c r="K3206" s="1124"/>
    </row>
    <row r="3207" spans="1:11" ht="13.8" thickBot="1" x14ac:dyDescent="0.3">
      <c r="A3207" s="719">
        <v>6</v>
      </c>
      <c r="B3207" s="669"/>
      <c r="C3207" s="1137"/>
      <c r="D3207" s="1137"/>
      <c r="E3207" s="1137"/>
      <c r="F3207" s="1137"/>
      <c r="G3207" s="646"/>
      <c r="H3207" s="669"/>
      <c r="I3207" s="1137"/>
      <c r="J3207" s="646"/>
      <c r="K3207" s="1138"/>
    </row>
    <row r="3208" spans="1:11" x14ac:dyDescent="0.25">
      <c r="A3208" s="1190">
        <v>1</v>
      </c>
      <c r="B3208" s="745"/>
      <c r="C3208" s="1117"/>
      <c r="D3208" s="1117"/>
      <c r="E3208" s="1117"/>
      <c r="F3208" s="1117"/>
      <c r="G3208" s="632"/>
      <c r="H3208" s="745"/>
      <c r="I3208" s="1117"/>
      <c r="J3208" s="632"/>
      <c r="K3208" s="1118"/>
    </row>
    <row r="3209" spans="1:11" x14ac:dyDescent="0.25">
      <c r="A3209" s="718">
        <v>2</v>
      </c>
      <c r="B3209" s="668"/>
      <c r="C3209" s="721"/>
      <c r="D3209" s="721"/>
      <c r="E3209" s="721"/>
      <c r="F3209" s="721"/>
      <c r="G3209" s="639"/>
      <c r="H3209" s="668"/>
      <c r="I3209" s="721"/>
      <c r="J3209" s="639"/>
      <c r="K3209" s="1124"/>
    </row>
    <row r="3210" spans="1:11" ht="13.8" thickBot="1" x14ac:dyDescent="0.3">
      <c r="A3210" s="719">
        <v>3</v>
      </c>
      <c r="B3210" s="669"/>
      <c r="C3210" s="1137"/>
      <c r="D3210" s="1137"/>
      <c r="E3210" s="1137"/>
      <c r="F3210" s="1137"/>
      <c r="G3210" s="646"/>
      <c r="H3210" s="669"/>
      <c r="I3210" s="1137"/>
      <c r="J3210" s="646"/>
      <c r="K3210" s="1138"/>
    </row>
    <row r="3211" spans="1:11" ht="13.8" thickBot="1" x14ac:dyDescent="0.3">
      <c r="A3211" s="1186" t="s">
        <v>807</v>
      </c>
      <c r="B3211" s="1187"/>
      <c r="C3211" s="1188"/>
      <c r="D3211" s="1188"/>
      <c r="E3211" s="1188"/>
      <c r="F3211" s="1188"/>
      <c r="G3211" s="1189"/>
      <c r="H3211" s="1187"/>
      <c r="I3211" s="1188"/>
      <c r="J3211" s="1189"/>
      <c r="K3211" s="716"/>
    </row>
    <row r="3212" spans="1:11" x14ac:dyDescent="0.25">
      <c r="A3212" s="1190">
        <v>1</v>
      </c>
      <c r="B3212" s="745"/>
      <c r="C3212" s="1117"/>
      <c r="D3212" s="1117"/>
      <c r="E3212" s="1117"/>
      <c r="F3212" s="1117"/>
      <c r="G3212" s="632"/>
      <c r="H3212" s="745"/>
      <c r="I3212" s="1117"/>
      <c r="J3212" s="632"/>
      <c r="K3212" s="1118"/>
    </row>
    <row r="3213" spans="1:11" x14ac:dyDescent="0.25">
      <c r="A3213" s="718">
        <v>2</v>
      </c>
      <c r="B3213" s="668"/>
      <c r="C3213" s="721"/>
      <c r="D3213" s="721"/>
      <c r="E3213" s="721"/>
      <c r="F3213" s="721"/>
      <c r="G3213" s="639"/>
      <c r="H3213" s="668"/>
      <c r="I3213" s="721"/>
      <c r="J3213" s="639"/>
      <c r="K3213" s="1124"/>
    </row>
    <row r="3214" spans="1:11" x14ac:dyDescent="0.25">
      <c r="A3214" s="718">
        <v>3</v>
      </c>
      <c r="B3214" s="668"/>
      <c r="C3214" s="721"/>
      <c r="D3214" s="721"/>
      <c r="E3214" s="721"/>
      <c r="F3214" s="721"/>
      <c r="G3214" s="639"/>
      <c r="H3214" s="668"/>
      <c r="I3214" s="721"/>
      <c r="J3214" s="639"/>
      <c r="K3214" s="1124"/>
    </row>
    <row r="3215" spans="1:11" x14ac:dyDescent="0.25">
      <c r="A3215" s="718">
        <v>4</v>
      </c>
      <c r="B3215" s="668"/>
      <c r="C3215" s="721"/>
      <c r="D3215" s="721"/>
      <c r="E3215" s="721"/>
      <c r="F3215" s="721"/>
      <c r="G3215" s="639"/>
      <c r="H3215" s="668"/>
      <c r="I3215" s="721"/>
      <c r="J3215" s="639"/>
      <c r="K3215" s="1124"/>
    </row>
    <row r="3216" spans="1:11" x14ac:dyDescent="0.25">
      <c r="A3216" s="718">
        <v>5</v>
      </c>
      <c r="B3216" s="668"/>
      <c r="C3216" s="721"/>
      <c r="D3216" s="721"/>
      <c r="E3216" s="721"/>
      <c r="F3216" s="721"/>
      <c r="G3216" s="639"/>
      <c r="H3216" s="668"/>
      <c r="I3216" s="721"/>
      <c r="J3216" s="639"/>
      <c r="K3216" s="1124"/>
    </row>
    <row r="3217" spans="1:11" ht="13.8" thickBot="1" x14ac:dyDescent="0.3">
      <c r="A3217" s="719">
        <v>6</v>
      </c>
      <c r="B3217" s="669"/>
      <c r="C3217" s="1137"/>
      <c r="D3217" s="1137"/>
      <c r="E3217" s="1137"/>
      <c r="F3217" s="1137"/>
      <c r="G3217" s="646"/>
      <c r="H3217" s="669"/>
      <c r="I3217" s="1137"/>
      <c r="J3217" s="646"/>
      <c r="K3217" s="1138"/>
    </row>
    <row r="3218" spans="1:11" x14ac:dyDescent="0.25">
      <c r="A3218" s="1190">
        <v>1</v>
      </c>
      <c r="B3218" s="745"/>
      <c r="C3218" s="1117"/>
      <c r="D3218" s="1117"/>
      <c r="E3218" s="1117"/>
      <c r="F3218" s="1117"/>
      <c r="G3218" s="632"/>
      <c r="H3218" s="745"/>
      <c r="I3218" s="1117"/>
      <c r="J3218" s="632"/>
      <c r="K3218" s="1118"/>
    </row>
    <row r="3219" spans="1:11" x14ac:dyDescent="0.25">
      <c r="A3219" s="718">
        <v>2</v>
      </c>
      <c r="B3219" s="668"/>
      <c r="C3219" s="721"/>
      <c r="D3219" s="721"/>
      <c r="E3219" s="721"/>
      <c r="F3219" s="721"/>
      <c r="G3219" s="639"/>
      <c r="H3219" s="668"/>
      <c r="I3219" s="721"/>
      <c r="J3219" s="639"/>
      <c r="K3219" s="1124"/>
    </row>
    <row r="3220" spans="1:11" ht="13.8" thickBot="1" x14ac:dyDescent="0.3">
      <c r="A3220" s="719">
        <v>3</v>
      </c>
      <c r="B3220" s="669"/>
      <c r="C3220" s="1137"/>
      <c r="D3220" s="1137"/>
      <c r="E3220" s="1137"/>
      <c r="F3220" s="1137"/>
      <c r="G3220" s="646"/>
      <c r="H3220" s="669"/>
      <c r="I3220" s="1137"/>
      <c r="J3220" s="646"/>
      <c r="K3220" s="1138"/>
    </row>
    <row r="3221" spans="1:11" ht="13.8" thickBot="1" x14ac:dyDescent="0.3">
      <c r="A3221" s="1186" t="s">
        <v>808</v>
      </c>
      <c r="B3221" s="1187"/>
      <c r="C3221" s="1188"/>
      <c r="D3221" s="1188"/>
      <c r="E3221" s="1188"/>
      <c r="F3221" s="1188"/>
      <c r="G3221" s="1189"/>
      <c r="H3221" s="1187"/>
      <c r="I3221" s="1188"/>
      <c r="J3221" s="1189"/>
      <c r="K3221" s="716"/>
    </row>
    <row r="3222" spans="1:11" x14ac:dyDescent="0.25">
      <c r="A3222" s="1190">
        <v>1</v>
      </c>
      <c r="B3222" s="745"/>
      <c r="C3222" s="1117"/>
      <c r="D3222" s="1117"/>
      <c r="E3222" s="1117"/>
      <c r="F3222" s="1117"/>
      <c r="G3222" s="632"/>
      <c r="H3222" s="745"/>
      <c r="I3222" s="1117"/>
      <c r="J3222" s="632"/>
      <c r="K3222" s="1118"/>
    </row>
    <row r="3223" spans="1:11" x14ac:dyDescent="0.25">
      <c r="A3223" s="718">
        <v>2</v>
      </c>
      <c r="B3223" s="668"/>
      <c r="C3223" s="721"/>
      <c r="D3223" s="721"/>
      <c r="E3223" s="721"/>
      <c r="F3223" s="721"/>
      <c r="G3223" s="639"/>
      <c r="H3223" s="668"/>
      <c r="I3223" s="721"/>
      <c r="J3223" s="639"/>
      <c r="K3223" s="1124"/>
    </row>
    <row r="3224" spans="1:11" x14ac:dyDescent="0.25">
      <c r="A3224" s="718">
        <v>3</v>
      </c>
      <c r="B3224" s="668"/>
      <c r="C3224" s="721"/>
      <c r="D3224" s="721"/>
      <c r="E3224" s="721"/>
      <c r="F3224" s="721"/>
      <c r="G3224" s="639"/>
      <c r="H3224" s="668"/>
      <c r="I3224" s="721"/>
      <c r="J3224" s="639"/>
      <c r="K3224" s="1124"/>
    </row>
    <row r="3225" spans="1:11" x14ac:dyDescent="0.25">
      <c r="A3225" s="718">
        <v>4</v>
      </c>
      <c r="B3225" s="668"/>
      <c r="C3225" s="721"/>
      <c r="D3225" s="721"/>
      <c r="E3225" s="721"/>
      <c r="F3225" s="721"/>
      <c r="G3225" s="639"/>
      <c r="H3225" s="668"/>
      <c r="I3225" s="721"/>
      <c r="J3225" s="639"/>
      <c r="K3225" s="1124"/>
    </row>
    <row r="3226" spans="1:11" x14ac:dyDescent="0.25">
      <c r="A3226" s="718">
        <v>5</v>
      </c>
      <c r="B3226" s="668"/>
      <c r="C3226" s="721"/>
      <c r="D3226" s="721"/>
      <c r="E3226" s="721"/>
      <c r="F3226" s="721"/>
      <c r="G3226" s="639"/>
      <c r="H3226" s="668"/>
      <c r="I3226" s="721"/>
      <c r="J3226" s="639"/>
      <c r="K3226" s="1124"/>
    </row>
    <row r="3227" spans="1:11" ht="13.8" thickBot="1" x14ac:dyDescent="0.3">
      <c r="A3227" s="719">
        <v>6</v>
      </c>
      <c r="B3227" s="669"/>
      <c r="C3227" s="1137"/>
      <c r="D3227" s="1137"/>
      <c r="E3227" s="1137"/>
      <c r="F3227" s="1137"/>
      <c r="G3227" s="646"/>
      <c r="H3227" s="669"/>
      <c r="I3227" s="1137"/>
      <c r="J3227" s="646"/>
      <c r="K3227" s="1138"/>
    </row>
    <row r="3228" spans="1:11" x14ac:dyDescent="0.25">
      <c r="A3228" s="1190">
        <v>1</v>
      </c>
      <c r="B3228" s="745"/>
      <c r="C3228" s="1117"/>
      <c r="D3228" s="1117"/>
      <c r="E3228" s="1117"/>
      <c r="F3228" s="1117"/>
      <c r="G3228" s="632"/>
      <c r="H3228" s="745"/>
      <c r="I3228" s="1117"/>
      <c r="J3228" s="632"/>
      <c r="K3228" s="1118"/>
    </row>
    <row r="3229" spans="1:11" x14ac:dyDescent="0.25">
      <c r="A3229" s="718">
        <v>2</v>
      </c>
      <c r="B3229" s="668"/>
      <c r="C3229" s="721"/>
      <c r="D3229" s="721"/>
      <c r="E3229" s="721"/>
      <c r="F3229" s="721"/>
      <c r="G3229" s="639"/>
      <c r="H3229" s="668"/>
      <c r="I3229" s="721"/>
      <c r="J3229" s="639"/>
      <c r="K3229" s="1124"/>
    </row>
    <row r="3230" spans="1:11" ht="13.8" thickBot="1" x14ac:dyDescent="0.3">
      <c r="A3230" s="719">
        <v>3</v>
      </c>
      <c r="B3230" s="669"/>
      <c r="C3230" s="1137"/>
      <c r="D3230" s="1137"/>
      <c r="E3230" s="1137"/>
      <c r="F3230" s="1137"/>
      <c r="G3230" s="646"/>
      <c r="H3230" s="669"/>
      <c r="I3230" s="1137"/>
      <c r="J3230" s="646"/>
      <c r="K3230" s="1138"/>
    </row>
    <row r="3231" spans="1:11" ht="13.8" thickBot="1" x14ac:dyDescent="0.3">
      <c r="A3231" s="1186" t="s">
        <v>809</v>
      </c>
      <c r="B3231" s="1187"/>
      <c r="C3231" s="1188"/>
      <c r="D3231" s="1188"/>
      <c r="E3231" s="1188"/>
      <c r="F3231" s="1188"/>
      <c r="G3231" s="1189"/>
      <c r="H3231" s="1187"/>
      <c r="I3231" s="1188"/>
      <c r="J3231" s="1189"/>
      <c r="K3231" s="716"/>
    </row>
    <row r="3232" spans="1:11" x14ac:dyDescent="0.25">
      <c r="A3232" s="1190">
        <v>1</v>
      </c>
      <c r="B3232" s="745"/>
      <c r="C3232" s="1117"/>
      <c r="D3232" s="1117"/>
      <c r="E3232" s="1117"/>
      <c r="F3232" s="1117"/>
      <c r="G3232" s="632"/>
      <c r="H3232" s="745"/>
      <c r="I3232" s="1117"/>
      <c r="J3232" s="632"/>
      <c r="K3232" s="1118"/>
    </row>
    <row r="3233" spans="1:11" x14ac:dyDescent="0.25">
      <c r="A3233" s="718">
        <v>2</v>
      </c>
      <c r="B3233" s="668"/>
      <c r="C3233" s="721"/>
      <c r="D3233" s="721"/>
      <c r="E3233" s="721"/>
      <c r="F3233" s="721"/>
      <c r="G3233" s="639"/>
      <c r="H3233" s="668"/>
      <c r="I3233" s="721"/>
      <c r="J3233" s="639"/>
      <c r="K3233" s="1124"/>
    </row>
    <row r="3234" spans="1:11" x14ac:dyDescent="0.25">
      <c r="A3234" s="718">
        <v>3</v>
      </c>
      <c r="B3234" s="668"/>
      <c r="C3234" s="721"/>
      <c r="D3234" s="721"/>
      <c r="E3234" s="721"/>
      <c r="F3234" s="721"/>
      <c r="G3234" s="639"/>
      <c r="H3234" s="668"/>
      <c r="I3234" s="721"/>
      <c r="J3234" s="639"/>
      <c r="K3234" s="1124"/>
    </row>
    <row r="3235" spans="1:11" x14ac:dyDescent="0.25">
      <c r="A3235" s="718">
        <v>4</v>
      </c>
      <c r="B3235" s="668"/>
      <c r="C3235" s="721"/>
      <c r="D3235" s="721"/>
      <c r="E3235" s="721"/>
      <c r="F3235" s="721"/>
      <c r="G3235" s="639"/>
      <c r="H3235" s="668"/>
      <c r="I3235" s="721"/>
      <c r="J3235" s="639"/>
      <c r="K3235" s="1124"/>
    </row>
    <row r="3236" spans="1:11" x14ac:dyDescent="0.25">
      <c r="A3236" s="718">
        <v>5</v>
      </c>
      <c r="B3236" s="668"/>
      <c r="C3236" s="721"/>
      <c r="D3236" s="721"/>
      <c r="E3236" s="721"/>
      <c r="F3236" s="721"/>
      <c r="G3236" s="639"/>
      <c r="H3236" s="668"/>
      <c r="I3236" s="721"/>
      <c r="J3236" s="639"/>
      <c r="K3236" s="1124"/>
    </row>
    <row r="3237" spans="1:11" ht="13.8" thickBot="1" x14ac:dyDescent="0.3">
      <c r="A3237" s="719">
        <v>6</v>
      </c>
      <c r="B3237" s="669"/>
      <c r="C3237" s="1137"/>
      <c r="D3237" s="1137"/>
      <c r="E3237" s="1137"/>
      <c r="F3237" s="1137"/>
      <c r="G3237" s="646"/>
      <c r="H3237" s="669"/>
      <c r="I3237" s="1137"/>
      <c r="J3237" s="646"/>
      <c r="K3237" s="1138"/>
    </row>
    <row r="3238" spans="1:11" x14ac:dyDescent="0.25">
      <c r="A3238" s="1190">
        <v>1</v>
      </c>
      <c r="B3238" s="745"/>
      <c r="C3238" s="1117"/>
      <c r="D3238" s="1117"/>
      <c r="E3238" s="1117"/>
      <c r="F3238" s="1117"/>
      <c r="G3238" s="632"/>
      <c r="H3238" s="745"/>
      <c r="I3238" s="1117"/>
      <c r="J3238" s="632"/>
      <c r="K3238" s="1118"/>
    </row>
    <row r="3239" spans="1:11" x14ac:dyDescent="0.25">
      <c r="A3239" s="718">
        <v>2</v>
      </c>
      <c r="B3239" s="668"/>
      <c r="C3239" s="721"/>
      <c r="D3239" s="721"/>
      <c r="E3239" s="721"/>
      <c r="F3239" s="721"/>
      <c r="G3239" s="639"/>
      <c r="H3239" s="668"/>
      <c r="I3239" s="721"/>
      <c r="J3239" s="639"/>
      <c r="K3239" s="1124"/>
    </row>
    <row r="3240" spans="1:11" ht="13.8" thickBot="1" x14ac:dyDescent="0.3">
      <c r="A3240" s="719">
        <v>3</v>
      </c>
      <c r="B3240" s="669"/>
      <c r="C3240" s="1137"/>
      <c r="D3240" s="1137"/>
      <c r="E3240" s="1137"/>
      <c r="F3240" s="1137"/>
      <c r="G3240" s="646"/>
      <c r="H3240" s="669"/>
      <c r="I3240" s="1137"/>
      <c r="J3240" s="646"/>
      <c r="K3240" s="1138"/>
    </row>
    <row r="3241" spans="1:11" ht="13.8" thickBot="1" x14ac:dyDescent="0.3">
      <c r="A3241" s="1186" t="s">
        <v>810</v>
      </c>
      <c r="B3241" s="1187"/>
      <c r="C3241" s="1188"/>
      <c r="D3241" s="1188"/>
      <c r="E3241" s="1188"/>
      <c r="F3241" s="1188"/>
      <c r="G3241" s="1189"/>
      <c r="H3241" s="1187"/>
      <c r="I3241" s="1188"/>
      <c r="J3241" s="1189"/>
      <c r="K3241" s="716"/>
    </row>
    <row r="3242" spans="1:11" x14ac:dyDescent="0.25">
      <c r="A3242" s="1190">
        <v>1</v>
      </c>
      <c r="B3242" s="745"/>
      <c r="C3242" s="1117"/>
      <c r="D3242" s="1117"/>
      <c r="E3242" s="1117"/>
      <c r="F3242" s="1117"/>
      <c r="G3242" s="632"/>
      <c r="H3242" s="745"/>
      <c r="I3242" s="1117"/>
      <c r="J3242" s="632"/>
      <c r="K3242" s="1118"/>
    </row>
    <row r="3243" spans="1:11" x14ac:dyDescent="0.25">
      <c r="A3243" s="718">
        <v>2</v>
      </c>
      <c r="B3243" s="668"/>
      <c r="C3243" s="721"/>
      <c r="D3243" s="721"/>
      <c r="E3243" s="721"/>
      <c r="F3243" s="721"/>
      <c r="G3243" s="639"/>
      <c r="H3243" s="668"/>
      <c r="I3243" s="721"/>
      <c r="J3243" s="639"/>
      <c r="K3243" s="1124"/>
    </row>
    <row r="3244" spans="1:11" x14ac:dyDescent="0.25">
      <c r="A3244" s="718">
        <v>3</v>
      </c>
      <c r="B3244" s="668"/>
      <c r="C3244" s="721"/>
      <c r="D3244" s="721"/>
      <c r="E3244" s="721"/>
      <c r="F3244" s="721"/>
      <c r="G3244" s="639"/>
      <c r="H3244" s="668"/>
      <c r="I3244" s="721"/>
      <c r="J3244" s="639"/>
      <c r="K3244" s="1124"/>
    </row>
    <row r="3245" spans="1:11" x14ac:dyDescent="0.25">
      <c r="A3245" s="718">
        <v>4</v>
      </c>
      <c r="B3245" s="668"/>
      <c r="C3245" s="721"/>
      <c r="D3245" s="721"/>
      <c r="E3245" s="721"/>
      <c r="F3245" s="721"/>
      <c r="G3245" s="639"/>
      <c r="H3245" s="668"/>
      <c r="I3245" s="721"/>
      <c r="J3245" s="639"/>
      <c r="K3245" s="1124"/>
    </row>
    <row r="3246" spans="1:11" x14ac:dyDescent="0.25">
      <c r="A3246" s="718">
        <v>5</v>
      </c>
      <c r="B3246" s="668"/>
      <c r="C3246" s="721"/>
      <c r="D3246" s="721"/>
      <c r="E3246" s="721"/>
      <c r="F3246" s="721"/>
      <c r="G3246" s="639"/>
      <c r="H3246" s="668"/>
      <c r="I3246" s="721"/>
      <c r="J3246" s="639"/>
      <c r="K3246" s="1124"/>
    </row>
    <row r="3247" spans="1:11" ht="13.8" thickBot="1" x14ac:dyDescent="0.3">
      <c r="A3247" s="719">
        <v>6</v>
      </c>
      <c r="B3247" s="669"/>
      <c r="C3247" s="1137"/>
      <c r="D3247" s="1137"/>
      <c r="E3247" s="1137"/>
      <c r="F3247" s="1137"/>
      <c r="G3247" s="646"/>
      <c r="H3247" s="669"/>
      <c r="I3247" s="1137"/>
      <c r="J3247" s="646"/>
      <c r="K3247" s="1138"/>
    </row>
    <row r="3248" spans="1:11" x14ac:dyDescent="0.25">
      <c r="A3248" s="1190">
        <v>1</v>
      </c>
      <c r="B3248" s="745"/>
      <c r="C3248" s="1117"/>
      <c r="D3248" s="1117"/>
      <c r="E3248" s="1117"/>
      <c r="F3248" s="1117"/>
      <c r="G3248" s="632"/>
      <c r="H3248" s="745"/>
      <c r="I3248" s="1117"/>
      <c r="J3248" s="632"/>
      <c r="K3248" s="1118"/>
    </row>
    <row r="3249" spans="1:11" x14ac:dyDescent="0.25">
      <c r="A3249" s="718">
        <v>2</v>
      </c>
      <c r="B3249" s="668"/>
      <c r="C3249" s="721"/>
      <c r="D3249" s="721"/>
      <c r="E3249" s="721"/>
      <c r="F3249" s="721"/>
      <c r="G3249" s="639"/>
      <c r="H3249" s="668"/>
      <c r="I3249" s="721"/>
      <c r="J3249" s="639"/>
      <c r="K3249" s="1124"/>
    </row>
    <row r="3250" spans="1:11" ht="13.8" thickBot="1" x14ac:dyDescent="0.3">
      <c r="A3250" s="1191">
        <v>3</v>
      </c>
      <c r="B3250" s="1132"/>
      <c r="C3250" s="1133"/>
      <c r="D3250" s="1133"/>
      <c r="E3250" s="1133"/>
      <c r="F3250" s="1133"/>
      <c r="G3250" s="1134"/>
      <c r="H3250" s="1132"/>
      <c r="I3250" s="1133"/>
      <c r="J3250" s="1134"/>
      <c r="K3250" s="1147"/>
    </row>
    <row r="3251" spans="1:11" ht="13.8" thickBot="1" x14ac:dyDescent="0.3">
      <c r="A3251" s="1186" t="s">
        <v>811</v>
      </c>
      <c r="B3251" s="1187"/>
      <c r="C3251" s="1188"/>
      <c r="D3251" s="1188"/>
      <c r="E3251" s="1188"/>
      <c r="F3251" s="1188"/>
      <c r="G3251" s="1189"/>
      <c r="H3251" s="1187"/>
      <c r="I3251" s="1188"/>
      <c r="J3251" s="1189"/>
      <c r="K3251" s="716"/>
    </row>
    <row r="3252" spans="1:11" x14ac:dyDescent="0.25">
      <c r="A3252" s="1190">
        <v>1</v>
      </c>
      <c r="B3252" s="745"/>
      <c r="C3252" s="1117"/>
      <c r="D3252" s="1117"/>
      <c r="E3252" s="1117"/>
      <c r="F3252" s="1117"/>
      <c r="G3252" s="632"/>
      <c r="H3252" s="745"/>
      <c r="I3252" s="1117"/>
      <c r="J3252" s="632"/>
      <c r="K3252" s="1118"/>
    </row>
    <row r="3253" spans="1:11" x14ac:dyDescent="0.25">
      <c r="A3253" s="718">
        <v>2</v>
      </c>
      <c r="B3253" s="668"/>
      <c r="C3253" s="721"/>
      <c r="D3253" s="721"/>
      <c r="E3253" s="721"/>
      <c r="F3253" s="721"/>
      <c r="G3253" s="639"/>
      <c r="H3253" s="668"/>
      <c r="I3253" s="721"/>
      <c r="J3253" s="639"/>
      <c r="K3253" s="1124"/>
    </row>
    <row r="3254" spans="1:11" x14ac:dyDescent="0.25">
      <c r="A3254" s="718">
        <v>3</v>
      </c>
      <c r="B3254" s="668"/>
      <c r="C3254" s="721"/>
      <c r="D3254" s="721"/>
      <c r="E3254" s="721"/>
      <c r="F3254" s="721"/>
      <c r="G3254" s="639"/>
      <c r="H3254" s="668"/>
      <c r="I3254" s="721"/>
      <c r="J3254" s="639"/>
      <c r="K3254" s="1124"/>
    </row>
    <row r="3255" spans="1:11" x14ac:dyDescent="0.25">
      <c r="A3255" s="718">
        <v>4</v>
      </c>
      <c r="B3255" s="668"/>
      <c r="C3255" s="721"/>
      <c r="D3255" s="721"/>
      <c r="E3255" s="721"/>
      <c r="F3255" s="721"/>
      <c r="G3255" s="639"/>
      <c r="H3255" s="668"/>
      <c r="I3255" s="721"/>
      <c r="J3255" s="639"/>
      <c r="K3255" s="1124"/>
    </row>
    <row r="3256" spans="1:11" x14ac:dyDescent="0.25">
      <c r="A3256" s="718">
        <v>5</v>
      </c>
      <c r="B3256" s="668"/>
      <c r="C3256" s="721"/>
      <c r="D3256" s="721"/>
      <c r="E3256" s="721"/>
      <c r="F3256" s="721"/>
      <c r="G3256" s="639"/>
      <c r="H3256" s="668"/>
      <c r="I3256" s="721"/>
      <c r="J3256" s="639"/>
      <c r="K3256" s="1124"/>
    </row>
    <row r="3257" spans="1:11" ht="13.8" thickBot="1" x14ac:dyDescent="0.3">
      <c r="A3257" s="719">
        <v>6</v>
      </c>
      <c r="B3257" s="669"/>
      <c r="C3257" s="1137"/>
      <c r="D3257" s="1137"/>
      <c r="E3257" s="1137"/>
      <c r="F3257" s="1137"/>
      <c r="G3257" s="646"/>
      <c r="H3257" s="669"/>
      <c r="I3257" s="1137"/>
      <c r="J3257" s="646"/>
      <c r="K3257" s="1138"/>
    </row>
    <row r="3258" spans="1:11" x14ac:dyDescent="0.25">
      <c r="A3258" s="1190">
        <v>1</v>
      </c>
      <c r="B3258" s="745"/>
      <c r="C3258" s="1117"/>
      <c r="D3258" s="1117"/>
      <c r="E3258" s="1117"/>
      <c r="F3258" s="1117"/>
      <c r="G3258" s="632"/>
      <c r="H3258" s="745"/>
      <c r="I3258" s="1117"/>
      <c r="J3258" s="632"/>
      <c r="K3258" s="1118"/>
    </row>
    <row r="3259" spans="1:11" x14ac:dyDescent="0.25">
      <c r="A3259" s="718">
        <v>2</v>
      </c>
      <c r="B3259" s="668"/>
      <c r="C3259" s="721"/>
      <c r="D3259" s="721"/>
      <c r="E3259" s="721"/>
      <c r="F3259" s="721"/>
      <c r="G3259" s="639"/>
      <c r="H3259" s="668"/>
      <c r="I3259" s="721"/>
      <c r="J3259" s="639"/>
      <c r="K3259" s="1124"/>
    </row>
    <row r="3260" spans="1:11" ht="13.8" thickBot="1" x14ac:dyDescent="0.3">
      <c r="A3260" s="719">
        <v>3</v>
      </c>
      <c r="B3260" s="669"/>
      <c r="C3260" s="1137"/>
      <c r="D3260" s="1137"/>
      <c r="E3260" s="1137"/>
      <c r="F3260" s="1137"/>
      <c r="G3260" s="646"/>
      <c r="H3260" s="669"/>
      <c r="I3260" s="1137"/>
      <c r="J3260" s="646"/>
      <c r="K3260" s="1138"/>
    </row>
    <row r="3261" spans="1:11" ht="13.8" thickBot="1" x14ac:dyDescent="0.3">
      <c r="A3261" s="1186" t="s">
        <v>812</v>
      </c>
      <c r="B3261" s="1187"/>
      <c r="C3261" s="1188"/>
      <c r="D3261" s="1188"/>
      <c r="E3261" s="1188"/>
      <c r="F3261" s="1188"/>
      <c r="G3261" s="1189"/>
      <c r="H3261" s="1187"/>
      <c r="I3261" s="1188"/>
      <c r="J3261" s="1189"/>
      <c r="K3261" s="716"/>
    </row>
    <row r="3262" spans="1:11" x14ac:dyDescent="0.25">
      <c r="A3262" s="1190">
        <v>1</v>
      </c>
      <c r="B3262" s="745"/>
      <c r="C3262" s="1117"/>
      <c r="D3262" s="1117"/>
      <c r="E3262" s="1117"/>
      <c r="F3262" s="1117"/>
      <c r="G3262" s="632"/>
      <c r="H3262" s="745"/>
      <c r="I3262" s="1117"/>
      <c r="J3262" s="632"/>
      <c r="K3262" s="1118"/>
    </row>
    <row r="3263" spans="1:11" x14ac:dyDescent="0.25">
      <c r="A3263" s="718">
        <v>2</v>
      </c>
      <c r="B3263" s="668"/>
      <c r="C3263" s="721"/>
      <c r="D3263" s="721"/>
      <c r="E3263" s="721"/>
      <c r="F3263" s="721"/>
      <c r="G3263" s="639"/>
      <c r="H3263" s="668"/>
      <c r="I3263" s="721"/>
      <c r="J3263" s="639"/>
      <c r="K3263" s="1124"/>
    </row>
    <row r="3264" spans="1:11" x14ac:dyDescent="0.25">
      <c r="A3264" s="718">
        <v>3</v>
      </c>
      <c r="B3264" s="668"/>
      <c r="C3264" s="721"/>
      <c r="D3264" s="721"/>
      <c r="E3264" s="721"/>
      <c r="F3264" s="721"/>
      <c r="G3264" s="639"/>
      <c r="H3264" s="668"/>
      <c r="I3264" s="721"/>
      <c r="J3264" s="639"/>
      <c r="K3264" s="1124"/>
    </row>
    <row r="3265" spans="1:11" x14ac:dyDescent="0.25">
      <c r="A3265" s="718">
        <v>4</v>
      </c>
      <c r="B3265" s="668"/>
      <c r="C3265" s="721"/>
      <c r="D3265" s="721"/>
      <c r="E3265" s="721"/>
      <c r="F3265" s="721"/>
      <c r="G3265" s="639"/>
      <c r="H3265" s="668"/>
      <c r="I3265" s="721"/>
      <c r="J3265" s="639"/>
      <c r="K3265" s="1124"/>
    </row>
    <row r="3266" spans="1:11" x14ac:dyDescent="0.25">
      <c r="A3266" s="718">
        <v>5</v>
      </c>
      <c r="B3266" s="668"/>
      <c r="C3266" s="721"/>
      <c r="D3266" s="721"/>
      <c r="E3266" s="721"/>
      <c r="F3266" s="721"/>
      <c r="G3266" s="639"/>
      <c r="H3266" s="668"/>
      <c r="I3266" s="721"/>
      <c r="J3266" s="639"/>
      <c r="K3266" s="1124"/>
    </row>
    <row r="3267" spans="1:11" ht="13.8" thickBot="1" x14ac:dyDescent="0.3">
      <c r="A3267" s="719">
        <v>6</v>
      </c>
      <c r="B3267" s="669"/>
      <c r="C3267" s="1137"/>
      <c r="D3267" s="1137"/>
      <c r="E3267" s="1137"/>
      <c r="F3267" s="1137"/>
      <c r="G3267" s="646"/>
      <c r="H3267" s="669"/>
      <c r="I3267" s="1137"/>
      <c r="J3267" s="646"/>
      <c r="K3267" s="1138"/>
    </row>
    <row r="3268" spans="1:11" x14ac:dyDescent="0.25">
      <c r="A3268" s="1190">
        <v>1</v>
      </c>
      <c r="B3268" s="745"/>
      <c r="C3268" s="1117"/>
      <c r="D3268" s="1117"/>
      <c r="E3268" s="1117"/>
      <c r="F3268" s="1117"/>
      <c r="G3268" s="632"/>
      <c r="H3268" s="745"/>
      <c r="I3268" s="1117"/>
      <c r="J3268" s="632"/>
      <c r="K3268" s="1118"/>
    </row>
    <row r="3269" spans="1:11" x14ac:dyDescent="0.25">
      <c r="A3269" s="718">
        <v>2</v>
      </c>
      <c r="B3269" s="668"/>
      <c r="C3269" s="721"/>
      <c r="D3269" s="721"/>
      <c r="E3269" s="721"/>
      <c r="F3269" s="721"/>
      <c r="G3269" s="639"/>
      <c r="H3269" s="668"/>
      <c r="I3269" s="721"/>
      <c r="J3269" s="639"/>
      <c r="K3269" s="1124"/>
    </row>
    <row r="3270" spans="1:11" ht="13.8" thickBot="1" x14ac:dyDescent="0.3">
      <c r="A3270" s="719">
        <v>3</v>
      </c>
      <c r="B3270" s="669"/>
      <c r="C3270" s="1137"/>
      <c r="D3270" s="1137"/>
      <c r="E3270" s="1137"/>
      <c r="F3270" s="1137"/>
      <c r="G3270" s="646"/>
      <c r="H3270" s="669"/>
      <c r="I3270" s="1137"/>
      <c r="J3270" s="646"/>
      <c r="K3270" s="1138"/>
    </row>
    <row r="3271" spans="1:11" ht="13.8" thickBot="1" x14ac:dyDescent="0.3">
      <c r="A3271" s="1186" t="s">
        <v>813</v>
      </c>
      <c r="B3271" s="1187"/>
      <c r="C3271" s="1188"/>
      <c r="D3271" s="1188"/>
      <c r="E3271" s="1188"/>
      <c r="F3271" s="1188"/>
      <c r="G3271" s="1189"/>
      <c r="H3271" s="1187"/>
      <c r="I3271" s="1188"/>
      <c r="J3271" s="1189"/>
      <c r="K3271" s="716"/>
    </row>
    <row r="3272" spans="1:11" x14ac:dyDescent="0.25">
      <c r="A3272" s="1190">
        <v>1</v>
      </c>
      <c r="B3272" s="745"/>
      <c r="C3272" s="1117"/>
      <c r="D3272" s="1117"/>
      <c r="E3272" s="1117"/>
      <c r="F3272" s="1117"/>
      <c r="G3272" s="632"/>
      <c r="H3272" s="745"/>
      <c r="I3272" s="1117"/>
      <c r="J3272" s="632"/>
      <c r="K3272" s="1118"/>
    </row>
    <row r="3273" spans="1:11" x14ac:dyDescent="0.25">
      <c r="A3273" s="718">
        <v>2</v>
      </c>
      <c r="B3273" s="668"/>
      <c r="C3273" s="721"/>
      <c r="D3273" s="721"/>
      <c r="E3273" s="721"/>
      <c r="F3273" s="721"/>
      <c r="G3273" s="639"/>
      <c r="H3273" s="668"/>
      <c r="I3273" s="721"/>
      <c r="J3273" s="639"/>
      <c r="K3273" s="1124"/>
    </row>
    <row r="3274" spans="1:11" x14ac:dyDescent="0.25">
      <c r="A3274" s="718">
        <v>3</v>
      </c>
      <c r="B3274" s="668"/>
      <c r="C3274" s="721"/>
      <c r="D3274" s="721"/>
      <c r="E3274" s="721"/>
      <c r="F3274" s="721"/>
      <c r="G3274" s="639"/>
      <c r="H3274" s="668"/>
      <c r="I3274" s="721"/>
      <c r="J3274" s="639"/>
      <c r="K3274" s="1124"/>
    </row>
    <row r="3275" spans="1:11" x14ac:dyDescent="0.25">
      <c r="A3275" s="718">
        <v>4</v>
      </c>
      <c r="B3275" s="668"/>
      <c r="C3275" s="721"/>
      <c r="D3275" s="721"/>
      <c r="E3275" s="721"/>
      <c r="F3275" s="721"/>
      <c r="G3275" s="639"/>
      <c r="H3275" s="668"/>
      <c r="I3275" s="721"/>
      <c r="J3275" s="639"/>
      <c r="K3275" s="1124"/>
    </row>
    <row r="3276" spans="1:11" x14ac:dyDescent="0.25">
      <c r="A3276" s="718">
        <v>5</v>
      </c>
      <c r="B3276" s="668"/>
      <c r="C3276" s="721"/>
      <c r="D3276" s="721"/>
      <c r="E3276" s="721"/>
      <c r="F3276" s="721"/>
      <c r="G3276" s="639"/>
      <c r="H3276" s="668"/>
      <c r="I3276" s="721"/>
      <c r="J3276" s="639"/>
      <c r="K3276" s="1124"/>
    </row>
    <row r="3277" spans="1:11" ht="13.8" thickBot="1" x14ac:dyDescent="0.3">
      <c r="A3277" s="719">
        <v>6</v>
      </c>
      <c r="B3277" s="669"/>
      <c r="C3277" s="1137"/>
      <c r="D3277" s="1137"/>
      <c r="E3277" s="1137"/>
      <c r="F3277" s="1137"/>
      <c r="G3277" s="646"/>
      <c r="H3277" s="669"/>
      <c r="I3277" s="1137"/>
      <c r="J3277" s="646"/>
      <c r="K3277" s="1138"/>
    </row>
    <row r="3278" spans="1:11" x14ac:dyDescent="0.25">
      <c r="A3278" s="1190">
        <v>1</v>
      </c>
      <c r="B3278" s="745"/>
      <c r="C3278" s="1117"/>
      <c r="D3278" s="1117"/>
      <c r="E3278" s="1117"/>
      <c r="F3278" s="1117"/>
      <c r="G3278" s="632"/>
      <c r="H3278" s="745"/>
      <c r="I3278" s="1117"/>
      <c r="J3278" s="632"/>
      <c r="K3278" s="1118"/>
    </row>
    <row r="3279" spans="1:11" x14ac:dyDescent="0.25">
      <c r="A3279" s="718">
        <v>2</v>
      </c>
      <c r="B3279" s="668"/>
      <c r="C3279" s="721"/>
      <c r="D3279" s="721"/>
      <c r="E3279" s="721"/>
      <c r="F3279" s="721"/>
      <c r="G3279" s="639"/>
      <c r="H3279" s="668"/>
      <c r="I3279" s="721"/>
      <c r="J3279" s="639"/>
      <c r="K3279" s="1124"/>
    </row>
    <row r="3280" spans="1:11" ht="13.8" thickBot="1" x14ac:dyDescent="0.3">
      <c r="A3280" s="719">
        <v>3</v>
      </c>
      <c r="B3280" s="669"/>
      <c r="C3280" s="1137"/>
      <c r="D3280" s="1137"/>
      <c r="E3280" s="1137"/>
      <c r="F3280" s="1137"/>
      <c r="G3280" s="646"/>
      <c r="H3280" s="669"/>
      <c r="I3280" s="1137"/>
      <c r="J3280" s="646"/>
      <c r="K3280" s="1138"/>
    </row>
    <row r="3281" spans="1:11" ht="13.8" thickBot="1" x14ac:dyDescent="0.3">
      <c r="A3281" s="1186" t="s">
        <v>814</v>
      </c>
      <c r="B3281" s="1187"/>
      <c r="C3281" s="1188"/>
      <c r="D3281" s="1188"/>
      <c r="E3281" s="1188"/>
      <c r="F3281" s="1188"/>
      <c r="G3281" s="1189"/>
      <c r="H3281" s="1187"/>
      <c r="I3281" s="1188"/>
      <c r="J3281" s="1189"/>
      <c r="K3281" s="716"/>
    </row>
    <row r="3282" spans="1:11" x14ac:dyDescent="0.25">
      <c r="A3282" s="1190">
        <v>1</v>
      </c>
      <c r="B3282" s="745"/>
      <c r="C3282" s="1117"/>
      <c r="D3282" s="1117"/>
      <c r="E3282" s="1117"/>
      <c r="F3282" s="1117"/>
      <c r="G3282" s="632"/>
      <c r="H3282" s="745"/>
      <c r="I3282" s="1117"/>
      <c r="J3282" s="632"/>
      <c r="K3282" s="1118"/>
    </row>
    <row r="3283" spans="1:11" x14ac:dyDescent="0.25">
      <c r="A3283" s="718">
        <v>2</v>
      </c>
      <c r="B3283" s="668"/>
      <c r="C3283" s="721"/>
      <c r="D3283" s="721"/>
      <c r="E3283" s="721"/>
      <c r="F3283" s="721"/>
      <c r="G3283" s="639"/>
      <c r="H3283" s="668"/>
      <c r="I3283" s="721"/>
      <c r="J3283" s="639"/>
      <c r="K3283" s="1124"/>
    </row>
    <row r="3284" spans="1:11" x14ac:dyDescent="0.25">
      <c r="A3284" s="718">
        <v>3</v>
      </c>
      <c r="B3284" s="668"/>
      <c r="C3284" s="721"/>
      <c r="D3284" s="721"/>
      <c r="E3284" s="721"/>
      <c r="F3284" s="721"/>
      <c r="G3284" s="639"/>
      <c r="H3284" s="668"/>
      <c r="I3284" s="721"/>
      <c r="J3284" s="639"/>
      <c r="K3284" s="1124"/>
    </row>
    <row r="3285" spans="1:11" x14ac:dyDescent="0.25">
      <c r="A3285" s="718">
        <v>4</v>
      </c>
      <c r="B3285" s="668"/>
      <c r="C3285" s="721"/>
      <c r="D3285" s="721"/>
      <c r="E3285" s="721"/>
      <c r="F3285" s="721"/>
      <c r="G3285" s="639"/>
      <c r="H3285" s="668"/>
      <c r="I3285" s="721"/>
      <c r="J3285" s="639"/>
      <c r="K3285" s="1124"/>
    </row>
    <row r="3286" spans="1:11" x14ac:dyDescent="0.25">
      <c r="A3286" s="718">
        <v>5</v>
      </c>
      <c r="B3286" s="668"/>
      <c r="C3286" s="721"/>
      <c r="D3286" s="721"/>
      <c r="E3286" s="721"/>
      <c r="F3286" s="721"/>
      <c r="G3286" s="639"/>
      <c r="H3286" s="668"/>
      <c r="I3286" s="721"/>
      <c r="J3286" s="639"/>
      <c r="K3286" s="1124"/>
    </row>
    <row r="3287" spans="1:11" ht="13.8" thickBot="1" x14ac:dyDescent="0.3">
      <c r="A3287" s="719">
        <v>6</v>
      </c>
      <c r="B3287" s="669"/>
      <c r="C3287" s="1137"/>
      <c r="D3287" s="1137"/>
      <c r="E3287" s="1137"/>
      <c r="F3287" s="1137"/>
      <c r="G3287" s="646"/>
      <c r="H3287" s="669"/>
      <c r="I3287" s="1137"/>
      <c r="J3287" s="646"/>
      <c r="K3287" s="1138"/>
    </row>
    <row r="3288" spans="1:11" x14ac:dyDescent="0.25">
      <c r="A3288" s="1190">
        <v>1</v>
      </c>
      <c r="B3288" s="745"/>
      <c r="C3288" s="1117"/>
      <c r="D3288" s="1117"/>
      <c r="E3288" s="1117"/>
      <c r="F3288" s="1117"/>
      <c r="G3288" s="632"/>
      <c r="H3288" s="745"/>
      <c r="I3288" s="1117"/>
      <c r="J3288" s="632"/>
      <c r="K3288" s="1118"/>
    </row>
    <row r="3289" spans="1:11" x14ac:dyDescent="0.25">
      <c r="A3289" s="718">
        <v>2</v>
      </c>
      <c r="B3289" s="668"/>
      <c r="C3289" s="721"/>
      <c r="D3289" s="721"/>
      <c r="E3289" s="721"/>
      <c r="F3289" s="721"/>
      <c r="G3289" s="639"/>
      <c r="H3289" s="668"/>
      <c r="I3289" s="721"/>
      <c r="J3289" s="639"/>
      <c r="K3289" s="1124"/>
    </row>
    <row r="3290" spans="1:11" ht="13.8" thickBot="1" x14ac:dyDescent="0.3">
      <c r="A3290" s="719">
        <v>3</v>
      </c>
      <c r="B3290" s="669"/>
      <c r="C3290" s="1137"/>
      <c r="D3290" s="1137"/>
      <c r="E3290" s="1137"/>
      <c r="F3290" s="1137"/>
      <c r="G3290" s="646"/>
      <c r="H3290" s="669"/>
      <c r="I3290" s="1137"/>
      <c r="J3290" s="646"/>
      <c r="K3290" s="1138"/>
    </row>
    <row r="3291" spans="1:11" ht="13.8" thickBot="1" x14ac:dyDescent="0.3">
      <c r="A3291" s="1186" t="s">
        <v>815</v>
      </c>
      <c r="B3291" s="1187"/>
      <c r="C3291" s="1188"/>
      <c r="D3291" s="1188"/>
      <c r="E3291" s="1188"/>
      <c r="F3291" s="1188"/>
      <c r="G3291" s="1189"/>
      <c r="H3291" s="1187"/>
      <c r="I3291" s="1188"/>
      <c r="J3291" s="1189"/>
      <c r="K3291" s="716"/>
    </row>
    <row r="3292" spans="1:11" x14ac:dyDescent="0.25">
      <c r="A3292" s="1190">
        <v>1</v>
      </c>
      <c r="B3292" s="745"/>
      <c r="C3292" s="1117"/>
      <c r="D3292" s="1117"/>
      <c r="E3292" s="1117"/>
      <c r="F3292" s="1117"/>
      <c r="G3292" s="632"/>
      <c r="H3292" s="745"/>
      <c r="I3292" s="1117"/>
      <c r="J3292" s="632"/>
      <c r="K3292" s="1118"/>
    </row>
    <row r="3293" spans="1:11" x14ac:dyDescent="0.25">
      <c r="A3293" s="718">
        <v>2</v>
      </c>
      <c r="B3293" s="668"/>
      <c r="C3293" s="721"/>
      <c r="D3293" s="721"/>
      <c r="E3293" s="721"/>
      <c r="F3293" s="721"/>
      <c r="G3293" s="639"/>
      <c r="H3293" s="668"/>
      <c r="I3293" s="721"/>
      <c r="J3293" s="639"/>
      <c r="K3293" s="1124"/>
    </row>
    <row r="3294" spans="1:11" x14ac:dyDescent="0.25">
      <c r="A3294" s="718">
        <v>3</v>
      </c>
      <c r="B3294" s="668"/>
      <c r="C3294" s="721"/>
      <c r="D3294" s="721"/>
      <c r="E3294" s="721"/>
      <c r="F3294" s="721"/>
      <c r="G3294" s="639"/>
      <c r="H3294" s="668"/>
      <c r="I3294" s="721"/>
      <c r="J3294" s="639"/>
      <c r="K3294" s="1124"/>
    </row>
    <row r="3295" spans="1:11" x14ac:dyDescent="0.25">
      <c r="A3295" s="718">
        <v>4</v>
      </c>
      <c r="B3295" s="668"/>
      <c r="C3295" s="721"/>
      <c r="D3295" s="721"/>
      <c r="E3295" s="721"/>
      <c r="F3295" s="721"/>
      <c r="G3295" s="639"/>
      <c r="H3295" s="668"/>
      <c r="I3295" s="721"/>
      <c r="J3295" s="639"/>
      <c r="K3295" s="1124"/>
    </row>
    <row r="3296" spans="1:11" x14ac:dyDescent="0.25">
      <c r="A3296" s="718">
        <v>5</v>
      </c>
      <c r="B3296" s="668"/>
      <c r="C3296" s="721"/>
      <c r="D3296" s="721"/>
      <c r="E3296" s="721"/>
      <c r="F3296" s="721"/>
      <c r="G3296" s="639"/>
      <c r="H3296" s="668"/>
      <c r="I3296" s="721"/>
      <c r="J3296" s="639"/>
      <c r="K3296" s="1124"/>
    </row>
    <row r="3297" spans="1:11" ht="13.8" thickBot="1" x14ac:dyDescent="0.3">
      <c r="A3297" s="719">
        <v>6</v>
      </c>
      <c r="B3297" s="669"/>
      <c r="C3297" s="1137"/>
      <c r="D3297" s="1137"/>
      <c r="E3297" s="1137"/>
      <c r="F3297" s="1137"/>
      <c r="G3297" s="646"/>
      <c r="H3297" s="669"/>
      <c r="I3297" s="1137"/>
      <c r="J3297" s="646"/>
      <c r="K3297" s="1138"/>
    </row>
    <row r="3298" spans="1:11" x14ac:dyDescent="0.25">
      <c r="A3298" s="1190">
        <v>1</v>
      </c>
      <c r="B3298" s="745"/>
      <c r="C3298" s="1117"/>
      <c r="D3298" s="1117"/>
      <c r="E3298" s="1117"/>
      <c r="F3298" s="1117"/>
      <c r="G3298" s="632"/>
      <c r="H3298" s="745"/>
      <c r="I3298" s="1117"/>
      <c r="J3298" s="632"/>
      <c r="K3298" s="1118"/>
    </row>
    <row r="3299" spans="1:11" x14ac:dyDescent="0.25">
      <c r="A3299" s="718">
        <v>2</v>
      </c>
      <c r="B3299" s="668"/>
      <c r="C3299" s="721"/>
      <c r="D3299" s="721"/>
      <c r="E3299" s="721"/>
      <c r="F3299" s="721"/>
      <c r="G3299" s="639"/>
      <c r="H3299" s="668"/>
      <c r="I3299" s="721"/>
      <c r="J3299" s="639"/>
      <c r="K3299" s="1124"/>
    </row>
    <row r="3300" spans="1:11" ht="13.8" thickBot="1" x14ac:dyDescent="0.3">
      <c r="A3300" s="719">
        <v>3</v>
      </c>
      <c r="B3300" s="669"/>
      <c r="C3300" s="1137"/>
      <c r="D3300" s="1137"/>
      <c r="E3300" s="1137"/>
      <c r="F3300" s="1137"/>
      <c r="G3300" s="646"/>
      <c r="H3300" s="669"/>
      <c r="I3300" s="1137"/>
      <c r="J3300" s="646"/>
      <c r="K3300" s="1138"/>
    </row>
    <row r="3301" spans="1:11" ht="13.8" thickBot="1" x14ac:dyDescent="0.3">
      <c r="A3301" s="1186" t="s">
        <v>816</v>
      </c>
      <c r="B3301" s="1187"/>
      <c r="C3301" s="1188"/>
      <c r="D3301" s="1188"/>
      <c r="E3301" s="1188"/>
      <c r="F3301" s="1188"/>
      <c r="G3301" s="1189"/>
      <c r="H3301" s="1187"/>
      <c r="I3301" s="1188"/>
      <c r="J3301" s="1189"/>
      <c r="K3301" s="716"/>
    </row>
    <row r="3302" spans="1:11" x14ac:dyDescent="0.25">
      <c r="A3302" s="1190">
        <v>1</v>
      </c>
      <c r="B3302" s="745"/>
      <c r="C3302" s="1117"/>
      <c r="D3302" s="1117"/>
      <c r="E3302" s="1117"/>
      <c r="F3302" s="1117"/>
      <c r="G3302" s="632"/>
      <c r="H3302" s="745"/>
      <c r="I3302" s="1117"/>
      <c r="J3302" s="632"/>
      <c r="K3302" s="1118"/>
    </row>
    <row r="3303" spans="1:11" x14ac:dyDescent="0.25">
      <c r="A3303" s="718">
        <v>2</v>
      </c>
      <c r="B3303" s="668"/>
      <c r="C3303" s="721"/>
      <c r="D3303" s="721"/>
      <c r="E3303" s="721"/>
      <c r="F3303" s="721"/>
      <c r="G3303" s="639"/>
      <c r="H3303" s="668"/>
      <c r="I3303" s="721"/>
      <c r="J3303" s="639"/>
      <c r="K3303" s="1124"/>
    </row>
    <row r="3304" spans="1:11" x14ac:dyDescent="0.25">
      <c r="A3304" s="718">
        <v>3</v>
      </c>
      <c r="B3304" s="668"/>
      <c r="C3304" s="721"/>
      <c r="D3304" s="721"/>
      <c r="E3304" s="721"/>
      <c r="F3304" s="721"/>
      <c r="G3304" s="639"/>
      <c r="H3304" s="668"/>
      <c r="I3304" s="721"/>
      <c r="J3304" s="639"/>
      <c r="K3304" s="1124"/>
    </row>
    <row r="3305" spans="1:11" x14ac:dyDescent="0.25">
      <c r="A3305" s="718">
        <v>4</v>
      </c>
      <c r="B3305" s="668"/>
      <c r="C3305" s="721"/>
      <c r="D3305" s="721"/>
      <c r="E3305" s="721"/>
      <c r="F3305" s="721"/>
      <c r="G3305" s="639"/>
      <c r="H3305" s="668"/>
      <c r="I3305" s="721"/>
      <c r="J3305" s="639"/>
      <c r="K3305" s="1124"/>
    </row>
    <row r="3306" spans="1:11" x14ac:dyDescent="0.25">
      <c r="A3306" s="718">
        <v>5</v>
      </c>
      <c r="B3306" s="668"/>
      <c r="C3306" s="721"/>
      <c r="D3306" s="721"/>
      <c r="E3306" s="721"/>
      <c r="F3306" s="721"/>
      <c r="G3306" s="639"/>
      <c r="H3306" s="668"/>
      <c r="I3306" s="721"/>
      <c r="J3306" s="639"/>
      <c r="K3306" s="1124"/>
    </row>
    <row r="3307" spans="1:11" ht="13.8" thickBot="1" x14ac:dyDescent="0.3">
      <c r="A3307" s="719">
        <v>6</v>
      </c>
      <c r="B3307" s="669"/>
      <c r="C3307" s="1137"/>
      <c r="D3307" s="1137"/>
      <c r="E3307" s="1137"/>
      <c r="F3307" s="1137"/>
      <c r="G3307" s="646"/>
      <c r="H3307" s="669"/>
      <c r="I3307" s="1137"/>
      <c r="J3307" s="646"/>
      <c r="K3307" s="1138"/>
    </row>
    <row r="3308" spans="1:11" x14ac:dyDescent="0.25">
      <c r="A3308" s="1190">
        <v>1</v>
      </c>
      <c r="B3308" s="745"/>
      <c r="C3308" s="1117"/>
      <c r="D3308" s="1117"/>
      <c r="E3308" s="1117"/>
      <c r="F3308" s="1117"/>
      <c r="G3308" s="632"/>
      <c r="H3308" s="745"/>
      <c r="I3308" s="1117"/>
      <c r="J3308" s="632"/>
      <c r="K3308" s="1118"/>
    </row>
    <row r="3309" spans="1:11" x14ac:dyDescent="0.25">
      <c r="A3309" s="718">
        <v>2</v>
      </c>
      <c r="B3309" s="668"/>
      <c r="C3309" s="721"/>
      <c r="D3309" s="721"/>
      <c r="E3309" s="721"/>
      <c r="F3309" s="721"/>
      <c r="G3309" s="639"/>
      <c r="H3309" s="668"/>
      <c r="I3309" s="721"/>
      <c r="J3309" s="639"/>
      <c r="K3309" s="1124"/>
    </row>
    <row r="3310" spans="1:11" ht="13.8" thickBot="1" x14ac:dyDescent="0.3">
      <c r="A3310" s="719">
        <v>3</v>
      </c>
      <c r="B3310" s="669"/>
      <c r="C3310" s="1137"/>
      <c r="D3310" s="1137"/>
      <c r="E3310" s="1137"/>
      <c r="F3310" s="1137"/>
      <c r="G3310" s="646"/>
      <c r="H3310" s="669"/>
      <c r="I3310" s="1137"/>
      <c r="J3310" s="646"/>
      <c r="K3310" s="1138"/>
    </row>
    <row r="3311" spans="1:11" ht="13.8" thickBot="1" x14ac:dyDescent="0.3">
      <c r="A3311" s="1186" t="s">
        <v>817</v>
      </c>
      <c r="B3311" s="1187"/>
      <c r="C3311" s="1188"/>
      <c r="D3311" s="1188"/>
      <c r="E3311" s="1188"/>
      <c r="F3311" s="1188"/>
      <c r="G3311" s="1189"/>
      <c r="H3311" s="1187"/>
      <c r="I3311" s="1188"/>
      <c r="J3311" s="1189"/>
      <c r="K3311" s="716"/>
    </row>
    <row r="3312" spans="1:11" x14ac:dyDescent="0.25">
      <c r="A3312" s="1190">
        <v>1</v>
      </c>
      <c r="B3312" s="745"/>
      <c r="C3312" s="1117"/>
      <c r="D3312" s="1117"/>
      <c r="E3312" s="1117"/>
      <c r="F3312" s="1117"/>
      <c r="G3312" s="632"/>
      <c r="H3312" s="745"/>
      <c r="I3312" s="1117"/>
      <c r="J3312" s="632"/>
      <c r="K3312" s="1118"/>
    </row>
    <row r="3313" spans="1:11" x14ac:dyDescent="0.25">
      <c r="A3313" s="718">
        <v>2</v>
      </c>
      <c r="B3313" s="668"/>
      <c r="C3313" s="721"/>
      <c r="D3313" s="721"/>
      <c r="E3313" s="721"/>
      <c r="F3313" s="721"/>
      <c r="G3313" s="639"/>
      <c r="H3313" s="668"/>
      <c r="I3313" s="721"/>
      <c r="J3313" s="639"/>
      <c r="K3313" s="1124"/>
    </row>
    <row r="3314" spans="1:11" x14ac:dyDescent="0.25">
      <c r="A3314" s="718">
        <v>3</v>
      </c>
      <c r="B3314" s="668"/>
      <c r="C3314" s="721"/>
      <c r="D3314" s="721"/>
      <c r="E3314" s="721"/>
      <c r="F3314" s="721"/>
      <c r="G3314" s="639"/>
      <c r="H3314" s="668"/>
      <c r="I3314" s="721"/>
      <c r="J3314" s="639"/>
      <c r="K3314" s="1124"/>
    </row>
    <row r="3315" spans="1:11" x14ac:dyDescent="0.25">
      <c r="A3315" s="718">
        <v>4</v>
      </c>
      <c r="B3315" s="668"/>
      <c r="C3315" s="721"/>
      <c r="D3315" s="721"/>
      <c r="E3315" s="721"/>
      <c r="F3315" s="721"/>
      <c r="G3315" s="639"/>
      <c r="H3315" s="668"/>
      <c r="I3315" s="721"/>
      <c r="J3315" s="639"/>
      <c r="K3315" s="1124"/>
    </row>
    <row r="3316" spans="1:11" x14ac:dyDescent="0.25">
      <c r="A3316" s="718">
        <v>5</v>
      </c>
      <c r="B3316" s="668"/>
      <c r="C3316" s="721"/>
      <c r="D3316" s="721"/>
      <c r="E3316" s="721"/>
      <c r="F3316" s="721"/>
      <c r="G3316" s="639"/>
      <c r="H3316" s="668"/>
      <c r="I3316" s="721"/>
      <c r="J3316" s="639"/>
      <c r="K3316" s="1124"/>
    </row>
    <row r="3317" spans="1:11" ht="13.8" thickBot="1" x14ac:dyDescent="0.3">
      <c r="A3317" s="719">
        <v>6</v>
      </c>
      <c r="B3317" s="669"/>
      <c r="C3317" s="1137"/>
      <c r="D3317" s="1137"/>
      <c r="E3317" s="1137"/>
      <c r="F3317" s="1137"/>
      <c r="G3317" s="646"/>
      <c r="H3317" s="669"/>
      <c r="I3317" s="1137"/>
      <c r="J3317" s="646"/>
      <c r="K3317" s="1138"/>
    </row>
    <row r="3318" spans="1:11" x14ac:dyDescent="0.25">
      <c r="A3318" s="1190">
        <v>1</v>
      </c>
      <c r="B3318" s="745"/>
      <c r="C3318" s="1117"/>
      <c r="D3318" s="1117"/>
      <c r="E3318" s="1117"/>
      <c r="F3318" s="1117"/>
      <c r="G3318" s="632"/>
      <c r="H3318" s="745"/>
      <c r="I3318" s="1117"/>
      <c r="J3318" s="632"/>
      <c r="K3318" s="1118"/>
    </row>
    <row r="3319" spans="1:11" x14ac:dyDescent="0.25">
      <c r="A3319" s="718">
        <v>2</v>
      </c>
      <c r="B3319" s="668"/>
      <c r="C3319" s="721"/>
      <c r="D3319" s="721"/>
      <c r="E3319" s="721"/>
      <c r="F3319" s="721"/>
      <c r="G3319" s="639"/>
      <c r="H3319" s="668"/>
      <c r="I3319" s="721"/>
      <c r="J3319" s="639"/>
      <c r="K3319" s="1124"/>
    </row>
    <row r="3320" spans="1:11" ht="13.8" thickBot="1" x14ac:dyDescent="0.3">
      <c r="A3320" s="719">
        <v>3</v>
      </c>
      <c r="B3320" s="669"/>
      <c r="C3320" s="1137"/>
      <c r="D3320" s="1137"/>
      <c r="E3320" s="1137"/>
      <c r="F3320" s="1137"/>
      <c r="G3320" s="646"/>
      <c r="H3320" s="669"/>
      <c r="I3320" s="1137"/>
      <c r="J3320" s="646"/>
      <c r="K3320" s="1138"/>
    </row>
    <row r="3321" spans="1:11" ht="13.8" thickBot="1" x14ac:dyDescent="0.3">
      <c r="A3321" s="1186" t="s">
        <v>818</v>
      </c>
      <c r="B3321" s="1187"/>
      <c r="C3321" s="1188"/>
      <c r="D3321" s="1188"/>
      <c r="E3321" s="1188"/>
      <c r="F3321" s="1188"/>
      <c r="G3321" s="1189"/>
      <c r="H3321" s="1187"/>
      <c r="I3321" s="1188"/>
      <c r="J3321" s="1189"/>
      <c r="K3321" s="716"/>
    </row>
    <row r="3322" spans="1:11" x14ac:dyDescent="0.25">
      <c r="A3322" s="1190">
        <v>1</v>
      </c>
      <c r="B3322" s="745"/>
      <c r="C3322" s="1117"/>
      <c r="D3322" s="1117"/>
      <c r="E3322" s="1117"/>
      <c r="F3322" s="1117"/>
      <c r="G3322" s="632"/>
      <c r="H3322" s="745"/>
      <c r="I3322" s="1117"/>
      <c r="J3322" s="632"/>
      <c r="K3322" s="1118"/>
    </row>
    <row r="3323" spans="1:11" x14ac:dyDescent="0.25">
      <c r="A3323" s="718">
        <v>2</v>
      </c>
      <c r="B3323" s="668"/>
      <c r="C3323" s="721"/>
      <c r="D3323" s="721"/>
      <c r="E3323" s="721"/>
      <c r="F3323" s="721"/>
      <c r="G3323" s="639"/>
      <c r="H3323" s="668"/>
      <c r="I3323" s="721"/>
      <c r="J3323" s="639"/>
      <c r="K3323" s="1124"/>
    </row>
    <row r="3324" spans="1:11" x14ac:dyDescent="0.25">
      <c r="A3324" s="718">
        <v>3</v>
      </c>
      <c r="B3324" s="668"/>
      <c r="C3324" s="721"/>
      <c r="D3324" s="721"/>
      <c r="E3324" s="721"/>
      <c r="F3324" s="721"/>
      <c r="G3324" s="639"/>
      <c r="H3324" s="668"/>
      <c r="I3324" s="721"/>
      <c r="J3324" s="639"/>
      <c r="K3324" s="1124"/>
    </row>
    <row r="3325" spans="1:11" x14ac:dyDescent="0.25">
      <c r="A3325" s="718">
        <v>4</v>
      </c>
      <c r="B3325" s="668"/>
      <c r="C3325" s="721"/>
      <c r="D3325" s="721"/>
      <c r="E3325" s="721"/>
      <c r="F3325" s="721"/>
      <c r="G3325" s="639"/>
      <c r="H3325" s="668"/>
      <c r="I3325" s="721"/>
      <c r="J3325" s="639"/>
      <c r="K3325" s="1124"/>
    </row>
    <row r="3326" spans="1:11" x14ac:dyDescent="0.25">
      <c r="A3326" s="718">
        <v>5</v>
      </c>
      <c r="B3326" s="668"/>
      <c r="C3326" s="721"/>
      <c r="D3326" s="721"/>
      <c r="E3326" s="721"/>
      <c r="F3326" s="721"/>
      <c r="G3326" s="639"/>
      <c r="H3326" s="668"/>
      <c r="I3326" s="721"/>
      <c r="J3326" s="639"/>
      <c r="K3326" s="1124"/>
    </row>
    <row r="3327" spans="1:11" ht="13.8" thickBot="1" x14ac:dyDescent="0.3">
      <c r="A3327" s="719">
        <v>6</v>
      </c>
      <c r="B3327" s="669"/>
      <c r="C3327" s="1137"/>
      <c r="D3327" s="1137"/>
      <c r="E3327" s="1137"/>
      <c r="F3327" s="1137"/>
      <c r="G3327" s="646"/>
      <c r="H3327" s="669"/>
      <c r="I3327" s="1137"/>
      <c r="J3327" s="646"/>
      <c r="K3327" s="1138"/>
    </row>
    <row r="3328" spans="1:11" x14ac:dyDescent="0.25">
      <c r="A3328" s="1190">
        <v>1</v>
      </c>
      <c r="B3328" s="745"/>
      <c r="C3328" s="1117"/>
      <c r="D3328" s="1117"/>
      <c r="E3328" s="1117"/>
      <c r="F3328" s="1117"/>
      <c r="G3328" s="632"/>
      <c r="H3328" s="745"/>
      <c r="I3328" s="1117"/>
      <c r="J3328" s="632"/>
      <c r="K3328" s="1118"/>
    </row>
    <row r="3329" spans="1:11" x14ac:dyDescent="0.25">
      <c r="A3329" s="718">
        <v>2</v>
      </c>
      <c r="B3329" s="668"/>
      <c r="C3329" s="721"/>
      <c r="D3329" s="721"/>
      <c r="E3329" s="721"/>
      <c r="F3329" s="721"/>
      <c r="G3329" s="639"/>
      <c r="H3329" s="668"/>
      <c r="I3329" s="721"/>
      <c r="J3329" s="639"/>
      <c r="K3329" s="1124"/>
    </row>
    <row r="3330" spans="1:11" ht="13.8" thickBot="1" x14ac:dyDescent="0.3">
      <c r="A3330" s="719">
        <v>3</v>
      </c>
      <c r="B3330" s="669"/>
      <c r="C3330" s="1137"/>
      <c r="D3330" s="1137"/>
      <c r="E3330" s="1137"/>
      <c r="F3330" s="1137"/>
      <c r="G3330" s="646"/>
      <c r="H3330" s="669"/>
      <c r="I3330" s="1137"/>
      <c r="J3330" s="646"/>
      <c r="K3330" s="1138"/>
    </row>
    <row r="3331" spans="1:11" ht="13.8" thickBot="1" x14ac:dyDescent="0.3">
      <c r="A3331" s="1186" t="s">
        <v>819</v>
      </c>
      <c r="B3331" s="1187"/>
      <c r="C3331" s="1188"/>
      <c r="D3331" s="1188"/>
      <c r="E3331" s="1188"/>
      <c r="F3331" s="1188"/>
      <c r="G3331" s="1189"/>
      <c r="H3331" s="1187"/>
      <c r="I3331" s="1188"/>
      <c r="J3331" s="1189"/>
      <c r="K3331" s="716"/>
    </row>
    <row r="3332" spans="1:11" x14ac:dyDescent="0.25">
      <c r="A3332" s="1190">
        <v>1</v>
      </c>
      <c r="B3332" s="745"/>
      <c r="C3332" s="1117"/>
      <c r="D3332" s="1117"/>
      <c r="E3332" s="1117"/>
      <c r="F3332" s="1117"/>
      <c r="G3332" s="632"/>
      <c r="H3332" s="745"/>
      <c r="I3332" s="1117"/>
      <c r="J3332" s="632"/>
      <c r="K3332" s="1118"/>
    </row>
    <row r="3333" spans="1:11" x14ac:dyDescent="0.25">
      <c r="A3333" s="718">
        <v>2</v>
      </c>
      <c r="B3333" s="668"/>
      <c r="C3333" s="721"/>
      <c r="D3333" s="721"/>
      <c r="E3333" s="721"/>
      <c r="F3333" s="721"/>
      <c r="G3333" s="639"/>
      <c r="H3333" s="668"/>
      <c r="I3333" s="721"/>
      <c r="J3333" s="639"/>
      <c r="K3333" s="1124"/>
    </row>
    <row r="3334" spans="1:11" x14ac:dyDescent="0.25">
      <c r="A3334" s="718">
        <v>3</v>
      </c>
      <c r="B3334" s="668"/>
      <c r="C3334" s="721"/>
      <c r="D3334" s="721"/>
      <c r="E3334" s="721"/>
      <c r="F3334" s="721"/>
      <c r="G3334" s="639"/>
      <c r="H3334" s="668"/>
      <c r="I3334" s="721"/>
      <c r="J3334" s="639"/>
      <c r="K3334" s="1124"/>
    </row>
    <row r="3335" spans="1:11" x14ac:dyDescent="0.25">
      <c r="A3335" s="718">
        <v>4</v>
      </c>
      <c r="B3335" s="668"/>
      <c r="C3335" s="721"/>
      <c r="D3335" s="721"/>
      <c r="E3335" s="721"/>
      <c r="F3335" s="721"/>
      <c r="G3335" s="639"/>
      <c r="H3335" s="668"/>
      <c r="I3335" s="721"/>
      <c r="J3335" s="639"/>
      <c r="K3335" s="1124"/>
    </row>
    <row r="3336" spans="1:11" x14ac:dyDescent="0.25">
      <c r="A3336" s="718">
        <v>5</v>
      </c>
      <c r="B3336" s="668"/>
      <c r="C3336" s="721"/>
      <c r="D3336" s="721"/>
      <c r="E3336" s="721"/>
      <c r="F3336" s="721"/>
      <c r="G3336" s="639"/>
      <c r="H3336" s="668"/>
      <c r="I3336" s="721"/>
      <c r="J3336" s="639"/>
      <c r="K3336" s="1124"/>
    </row>
    <row r="3337" spans="1:11" ht="13.8" thickBot="1" x14ac:dyDescent="0.3">
      <c r="A3337" s="719">
        <v>6</v>
      </c>
      <c r="B3337" s="669"/>
      <c r="C3337" s="1137"/>
      <c r="D3337" s="1137"/>
      <c r="E3337" s="1137"/>
      <c r="F3337" s="1137"/>
      <c r="G3337" s="646"/>
      <c r="H3337" s="669"/>
      <c r="I3337" s="1137"/>
      <c r="J3337" s="646"/>
      <c r="K3337" s="1138"/>
    </row>
    <row r="3338" spans="1:11" x14ac:dyDescent="0.25">
      <c r="A3338" s="1190">
        <v>1</v>
      </c>
      <c r="B3338" s="745"/>
      <c r="C3338" s="1117"/>
      <c r="D3338" s="1117"/>
      <c r="E3338" s="1117"/>
      <c r="F3338" s="1117"/>
      <c r="G3338" s="632"/>
      <c r="H3338" s="745"/>
      <c r="I3338" s="1117"/>
      <c r="J3338" s="632"/>
      <c r="K3338" s="1118"/>
    </row>
    <row r="3339" spans="1:11" x14ac:dyDescent="0.25">
      <c r="A3339" s="718">
        <v>2</v>
      </c>
      <c r="B3339" s="668"/>
      <c r="C3339" s="721"/>
      <c r="D3339" s="721"/>
      <c r="E3339" s="721"/>
      <c r="F3339" s="721"/>
      <c r="G3339" s="639"/>
      <c r="H3339" s="668"/>
      <c r="I3339" s="721"/>
      <c r="J3339" s="639"/>
      <c r="K3339" s="1124"/>
    </row>
    <row r="3340" spans="1:11" ht="13.8" thickBot="1" x14ac:dyDescent="0.3">
      <c r="A3340" s="1191">
        <v>3</v>
      </c>
      <c r="B3340" s="1132"/>
      <c r="C3340" s="1133"/>
      <c r="D3340" s="1133"/>
      <c r="E3340" s="1133"/>
      <c r="F3340" s="1133"/>
      <c r="G3340" s="1134"/>
      <c r="H3340" s="1132"/>
      <c r="I3340" s="1133"/>
      <c r="J3340" s="1134"/>
      <c r="K3340" s="1147"/>
    </row>
    <row r="3341" spans="1:11" ht="13.8" thickBot="1" x14ac:dyDescent="0.3">
      <c r="A3341" s="1186" t="s">
        <v>820</v>
      </c>
      <c r="B3341" s="1187"/>
      <c r="C3341" s="1188"/>
      <c r="D3341" s="1188"/>
      <c r="E3341" s="1188"/>
      <c r="F3341" s="1188"/>
      <c r="G3341" s="1189"/>
      <c r="H3341" s="1187"/>
      <c r="I3341" s="1188"/>
      <c r="J3341" s="1189"/>
      <c r="K3341" s="716"/>
    </row>
    <row r="3342" spans="1:11" x14ac:dyDescent="0.25">
      <c r="A3342" s="1190">
        <v>1</v>
      </c>
      <c r="B3342" s="745"/>
      <c r="C3342" s="1117"/>
      <c r="D3342" s="1117"/>
      <c r="E3342" s="1117"/>
      <c r="F3342" s="1117"/>
      <c r="G3342" s="632"/>
      <c r="H3342" s="745"/>
      <c r="I3342" s="1117"/>
      <c r="J3342" s="632"/>
      <c r="K3342" s="1118"/>
    </row>
    <row r="3343" spans="1:11" x14ac:dyDescent="0.25">
      <c r="A3343" s="718">
        <v>2</v>
      </c>
      <c r="B3343" s="668"/>
      <c r="C3343" s="721"/>
      <c r="D3343" s="721"/>
      <c r="E3343" s="721"/>
      <c r="F3343" s="721"/>
      <c r="G3343" s="639"/>
      <c r="H3343" s="668"/>
      <c r="I3343" s="721"/>
      <c r="J3343" s="639"/>
      <c r="K3343" s="1124"/>
    </row>
    <row r="3344" spans="1:11" x14ac:dyDescent="0.25">
      <c r="A3344" s="718">
        <v>3</v>
      </c>
      <c r="B3344" s="668"/>
      <c r="C3344" s="721"/>
      <c r="D3344" s="721"/>
      <c r="E3344" s="721"/>
      <c r="F3344" s="721"/>
      <c r="G3344" s="639"/>
      <c r="H3344" s="668"/>
      <c r="I3344" s="721"/>
      <c r="J3344" s="639"/>
      <c r="K3344" s="1124"/>
    </row>
    <row r="3345" spans="1:11" x14ac:dyDescent="0.25">
      <c r="A3345" s="718">
        <v>4</v>
      </c>
      <c r="B3345" s="668"/>
      <c r="C3345" s="721"/>
      <c r="D3345" s="721"/>
      <c r="E3345" s="721"/>
      <c r="F3345" s="721"/>
      <c r="G3345" s="639"/>
      <c r="H3345" s="668"/>
      <c r="I3345" s="721"/>
      <c r="J3345" s="639"/>
      <c r="K3345" s="1124"/>
    </row>
    <row r="3346" spans="1:11" x14ac:dyDescent="0.25">
      <c r="A3346" s="718">
        <v>5</v>
      </c>
      <c r="B3346" s="668"/>
      <c r="C3346" s="721"/>
      <c r="D3346" s="721"/>
      <c r="E3346" s="721"/>
      <c r="F3346" s="721"/>
      <c r="G3346" s="639"/>
      <c r="H3346" s="668"/>
      <c r="I3346" s="721"/>
      <c r="J3346" s="639"/>
      <c r="K3346" s="1124"/>
    </row>
    <row r="3347" spans="1:11" ht="13.8" thickBot="1" x14ac:dyDescent="0.3">
      <c r="A3347" s="719">
        <v>6</v>
      </c>
      <c r="B3347" s="669"/>
      <c r="C3347" s="1137"/>
      <c r="D3347" s="1137"/>
      <c r="E3347" s="1137"/>
      <c r="F3347" s="1137"/>
      <c r="G3347" s="646"/>
      <c r="H3347" s="669"/>
      <c r="I3347" s="1137"/>
      <c r="J3347" s="646"/>
      <c r="K3347" s="1138"/>
    </row>
    <row r="3348" spans="1:11" x14ac:dyDescent="0.25">
      <c r="A3348" s="1190">
        <v>1</v>
      </c>
      <c r="B3348" s="745"/>
      <c r="C3348" s="1117"/>
      <c r="D3348" s="1117"/>
      <c r="E3348" s="1117"/>
      <c r="F3348" s="1117"/>
      <c r="G3348" s="632"/>
      <c r="H3348" s="745"/>
      <c r="I3348" s="1117"/>
      <c r="J3348" s="632"/>
      <c r="K3348" s="1118"/>
    </row>
    <row r="3349" spans="1:11" x14ac:dyDescent="0.25">
      <c r="A3349" s="718">
        <v>2</v>
      </c>
      <c r="B3349" s="668"/>
      <c r="C3349" s="721"/>
      <c r="D3349" s="721"/>
      <c r="E3349" s="721"/>
      <c r="F3349" s="721"/>
      <c r="G3349" s="639"/>
      <c r="H3349" s="668"/>
      <c r="I3349" s="721"/>
      <c r="J3349" s="639"/>
      <c r="K3349" s="1124"/>
    </row>
    <row r="3350" spans="1:11" ht="13.8" thickBot="1" x14ac:dyDescent="0.3">
      <c r="A3350" s="719">
        <v>3</v>
      </c>
      <c r="B3350" s="669"/>
      <c r="C3350" s="1137"/>
      <c r="D3350" s="1137"/>
      <c r="E3350" s="1137"/>
      <c r="F3350" s="1137"/>
      <c r="G3350" s="646"/>
      <c r="H3350" s="669"/>
      <c r="I3350" s="1137"/>
      <c r="J3350" s="646"/>
      <c r="K3350" s="1138"/>
    </row>
    <row r="3351" spans="1:11" ht="13.8" thickBot="1" x14ac:dyDescent="0.3">
      <c r="A3351" s="1186" t="s">
        <v>821</v>
      </c>
      <c r="B3351" s="1187"/>
      <c r="C3351" s="1188"/>
      <c r="D3351" s="1188"/>
      <c r="E3351" s="1188"/>
      <c r="F3351" s="1188"/>
      <c r="G3351" s="1189"/>
      <c r="H3351" s="1187"/>
      <c r="I3351" s="1188"/>
      <c r="J3351" s="1189"/>
      <c r="K3351" s="716"/>
    </row>
    <row r="3352" spans="1:11" x14ac:dyDescent="0.25">
      <c r="A3352" s="1190">
        <v>1</v>
      </c>
      <c r="B3352" s="745"/>
      <c r="C3352" s="1117"/>
      <c r="D3352" s="1117"/>
      <c r="E3352" s="1117"/>
      <c r="F3352" s="1117"/>
      <c r="G3352" s="632"/>
      <c r="H3352" s="745"/>
      <c r="I3352" s="1117"/>
      <c r="J3352" s="632"/>
      <c r="K3352" s="1118"/>
    </row>
    <row r="3353" spans="1:11" x14ac:dyDescent="0.25">
      <c r="A3353" s="718">
        <v>2</v>
      </c>
      <c r="B3353" s="668"/>
      <c r="C3353" s="721"/>
      <c r="D3353" s="721"/>
      <c r="E3353" s="721"/>
      <c r="F3353" s="721"/>
      <c r="G3353" s="639"/>
      <c r="H3353" s="668"/>
      <c r="I3353" s="721"/>
      <c r="J3353" s="639"/>
      <c r="K3353" s="1124"/>
    </row>
    <row r="3354" spans="1:11" x14ac:dyDescent="0.25">
      <c r="A3354" s="718">
        <v>3</v>
      </c>
      <c r="B3354" s="668"/>
      <c r="C3354" s="721"/>
      <c r="D3354" s="721"/>
      <c r="E3354" s="721"/>
      <c r="F3354" s="721"/>
      <c r="G3354" s="639"/>
      <c r="H3354" s="668"/>
      <c r="I3354" s="721"/>
      <c r="J3354" s="639"/>
      <c r="K3354" s="1124"/>
    </row>
    <row r="3355" spans="1:11" x14ac:dyDescent="0.25">
      <c r="A3355" s="718">
        <v>4</v>
      </c>
      <c r="B3355" s="668"/>
      <c r="C3355" s="721"/>
      <c r="D3355" s="721"/>
      <c r="E3355" s="721"/>
      <c r="F3355" s="721"/>
      <c r="G3355" s="639"/>
      <c r="H3355" s="668"/>
      <c r="I3355" s="721"/>
      <c r="J3355" s="639"/>
      <c r="K3355" s="1124"/>
    </row>
    <row r="3356" spans="1:11" x14ac:dyDescent="0.25">
      <c r="A3356" s="718">
        <v>5</v>
      </c>
      <c r="B3356" s="668"/>
      <c r="C3356" s="721"/>
      <c r="D3356" s="721"/>
      <c r="E3356" s="721"/>
      <c r="F3356" s="721"/>
      <c r="G3356" s="639"/>
      <c r="H3356" s="668"/>
      <c r="I3356" s="721"/>
      <c r="J3356" s="639"/>
      <c r="K3356" s="1124"/>
    </row>
    <row r="3357" spans="1:11" ht="13.8" thickBot="1" x14ac:dyDescent="0.3">
      <c r="A3357" s="719">
        <v>6</v>
      </c>
      <c r="B3357" s="669"/>
      <c r="C3357" s="1137"/>
      <c r="D3357" s="1137"/>
      <c r="E3357" s="1137"/>
      <c r="F3357" s="1137"/>
      <c r="G3357" s="646"/>
      <c r="H3357" s="669"/>
      <c r="I3357" s="1137"/>
      <c r="J3357" s="646"/>
      <c r="K3357" s="1138"/>
    </row>
    <row r="3358" spans="1:11" x14ac:dyDescent="0.25">
      <c r="A3358" s="1190">
        <v>1</v>
      </c>
      <c r="B3358" s="745"/>
      <c r="C3358" s="1117"/>
      <c r="D3358" s="1117"/>
      <c r="E3358" s="1117"/>
      <c r="F3358" s="1117"/>
      <c r="G3358" s="632"/>
      <c r="H3358" s="745"/>
      <c r="I3358" s="1117"/>
      <c r="J3358" s="632"/>
      <c r="K3358" s="1118"/>
    </row>
    <row r="3359" spans="1:11" x14ac:dyDescent="0.25">
      <c r="A3359" s="718">
        <v>2</v>
      </c>
      <c r="B3359" s="668"/>
      <c r="C3359" s="721"/>
      <c r="D3359" s="721"/>
      <c r="E3359" s="721"/>
      <c r="F3359" s="721"/>
      <c r="G3359" s="639"/>
      <c r="H3359" s="668"/>
      <c r="I3359" s="721"/>
      <c r="J3359" s="639"/>
      <c r="K3359" s="1124"/>
    </row>
    <row r="3360" spans="1:11" ht="13.8" thickBot="1" x14ac:dyDescent="0.3">
      <c r="A3360" s="719">
        <v>3</v>
      </c>
      <c r="B3360" s="669"/>
      <c r="C3360" s="1137"/>
      <c r="D3360" s="1137"/>
      <c r="E3360" s="1137"/>
      <c r="F3360" s="1137"/>
      <c r="G3360" s="646"/>
      <c r="H3360" s="669"/>
      <c r="I3360" s="1137"/>
      <c r="J3360" s="646"/>
      <c r="K3360" s="1138"/>
    </row>
    <row r="3361" spans="1:11" ht="13.8" thickBot="1" x14ac:dyDescent="0.3">
      <c r="A3361" s="1186" t="s">
        <v>822</v>
      </c>
      <c r="B3361" s="1187"/>
      <c r="C3361" s="1188"/>
      <c r="D3361" s="1188"/>
      <c r="E3361" s="1188"/>
      <c r="F3361" s="1188"/>
      <c r="G3361" s="1189"/>
      <c r="H3361" s="1187"/>
      <c r="I3361" s="1188"/>
      <c r="J3361" s="1189"/>
      <c r="K3361" s="716"/>
    </row>
    <row r="3362" spans="1:11" x14ac:dyDescent="0.25">
      <c r="A3362" s="1190">
        <v>1</v>
      </c>
      <c r="B3362" s="745"/>
      <c r="C3362" s="1117"/>
      <c r="D3362" s="1117"/>
      <c r="E3362" s="1117"/>
      <c r="F3362" s="1117"/>
      <c r="G3362" s="632"/>
      <c r="H3362" s="745"/>
      <c r="I3362" s="1117"/>
      <c r="J3362" s="632"/>
      <c r="K3362" s="1118"/>
    </row>
    <row r="3363" spans="1:11" x14ac:dyDescent="0.25">
      <c r="A3363" s="718">
        <v>2</v>
      </c>
      <c r="B3363" s="668"/>
      <c r="C3363" s="721"/>
      <c r="D3363" s="721"/>
      <c r="E3363" s="721"/>
      <c r="F3363" s="721"/>
      <c r="G3363" s="639"/>
      <c r="H3363" s="668"/>
      <c r="I3363" s="721"/>
      <c r="J3363" s="639"/>
      <c r="K3363" s="1124"/>
    </row>
    <row r="3364" spans="1:11" x14ac:dyDescent="0.25">
      <c r="A3364" s="718">
        <v>3</v>
      </c>
      <c r="B3364" s="668"/>
      <c r="C3364" s="721"/>
      <c r="D3364" s="721"/>
      <c r="E3364" s="721"/>
      <c r="F3364" s="721"/>
      <c r="G3364" s="639"/>
      <c r="H3364" s="668"/>
      <c r="I3364" s="721"/>
      <c r="J3364" s="639"/>
      <c r="K3364" s="1124"/>
    </row>
    <row r="3365" spans="1:11" x14ac:dyDescent="0.25">
      <c r="A3365" s="718">
        <v>4</v>
      </c>
      <c r="B3365" s="668"/>
      <c r="C3365" s="721"/>
      <c r="D3365" s="721"/>
      <c r="E3365" s="721"/>
      <c r="F3365" s="721"/>
      <c r="G3365" s="639"/>
      <c r="H3365" s="668"/>
      <c r="I3365" s="721"/>
      <c r="J3365" s="639"/>
      <c r="K3365" s="1124"/>
    </row>
    <row r="3366" spans="1:11" x14ac:dyDescent="0.25">
      <c r="A3366" s="718">
        <v>5</v>
      </c>
      <c r="B3366" s="668"/>
      <c r="C3366" s="721"/>
      <c r="D3366" s="721"/>
      <c r="E3366" s="721"/>
      <c r="F3366" s="721"/>
      <c r="G3366" s="639"/>
      <c r="H3366" s="668"/>
      <c r="I3366" s="721"/>
      <c r="J3366" s="639"/>
      <c r="K3366" s="1124"/>
    </row>
    <row r="3367" spans="1:11" ht="13.8" thickBot="1" x14ac:dyDescent="0.3">
      <c r="A3367" s="719">
        <v>6</v>
      </c>
      <c r="B3367" s="669"/>
      <c r="C3367" s="1137"/>
      <c r="D3367" s="1137"/>
      <c r="E3367" s="1137"/>
      <c r="F3367" s="1137"/>
      <c r="G3367" s="646"/>
      <c r="H3367" s="669"/>
      <c r="I3367" s="1137"/>
      <c r="J3367" s="646"/>
      <c r="K3367" s="1138"/>
    </row>
    <row r="3368" spans="1:11" x14ac:dyDescent="0.25">
      <c r="A3368" s="1190">
        <v>1</v>
      </c>
      <c r="B3368" s="745"/>
      <c r="C3368" s="1117"/>
      <c r="D3368" s="1117"/>
      <c r="E3368" s="1117"/>
      <c r="F3368" s="1117"/>
      <c r="G3368" s="632"/>
      <c r="H3368" s="745"/>
      <c r="I3368" s="1117"/>
      <c r="J3368" s="632"/>
      <c r="K3368" s="1118"/>
    </row>
    <row r="3369" spans="1:11" x14ac:dyDescent="0.25">
      <c r="A3369" s="718">
        <v>2</v>
      </c>
      <c r="B3369" s="668"/>
      <c r="C3369" s="721"/>
      <c r="D3369" s="721"/>
      <c r="E3369" s="721"/>
      <c r="F3369" s="721"/>
      <c r="G3369" s="639"/>
      <c r="H3369" s="668"/>
      <c r="I3369" s="721"/>
      <c r="J3369" s="639"/>
      <c r="K3369" s="1124"/>
    </row>
    <row r="3370" spans="1:11" ht="13.8" thickBot="1" x14ac:dyDescent="0.3">
      <c r="A3370" s="719">
        <v>3</v>
      </c>
      <c r="B3370" s="669"/>
      <c r="C3370" s="1137"/>
      <c r="D3370" s="1137"/>
      <c r="E3370" s="1137"/>
      <c r="F3370" s="1137"/>
      <c r="G3370" s="646"/>
      <c r="H3370" s="669"/>
      <c r="I3370" s="1137"/>
      <c r="J3370" s="646"/>
      <c r="K3370" s="1138"/>
    </row>
    <row r="3371" spans="1:11" ht="13.8" thickBot="1" x14ac:dyDescent="0.3">
      <c r="A3371" s="1186" t="s">
        <v>823</v>
      </c>
      <c r="B3371" s="1187"/>
      <c r="C3371" s="1188"/>
      <c r="D3371" s="1188"/>
      <c r="E3371" s="1188"/>
      <c r="F3371" s="1188"/>
      <c r="G3371" s="1189"/>
      <c r="H3371" s="1187"/>
      <c r="I3371" s="1188"/>
      <c r="J3371" s="1189"/>
      <c r="K3371" s="716"/>
    </row>
    <row r="3372" spans="1:11" x14ac:dyDescent="0.25">
      <c r="A3372" s="1190">
        <v>1</v>
      </c>
      <c r="B3372" s="745"/>
      <c r="C3372" s="1117"/>
      <c r="D3372" s="1117"/>
      <c r="E3372" s="1117"/>
      <c r="F3372" s="1117"/>
      <c r="G3372" s="632"/>
      <c r="H3372" s="745"/>
      <c r="I3372" s="1117"/>
      <c r="J3372" s="632"/>
      <c r="K3372" s="1118"/>
    </row>
    <row r="3373" spans="1:11" x14ac:dyDescent="0.25">
      <c r="A3373" s="718">
        <v>2</v>
      </c>
      <c r="B3373" s="668"/>
      <c r="C3373" s="721"/>
      <c r="D3373" s="721"/>
      <c r="E3373" s="721"/>
      <c r="F3373" s="721"/>
      <c r="G3373" s="639"/>
      <c r="H3373" s="668"/>
      <c r="I3373" s="721"/>
      <c r="J3373" s="639"/>
      <c r="K3373" s="1124"/>
    </row>
    <row r="3374" spans="1:11" x14ac:dyDescent="0.25">
      <c r="A3374" s="718">
        <v>3</v>
      </c>
      <c r="B3374" s="668"/>
      <c r="C3374" s="721"/>
      <c r="D3374" s="721"/>
      <c r="E3374" s="721"/>
      <c r="F3374" s="721"/>
      <c r="G3374" s="639"/>
      <c r="H3374" s="668"/>
      <c r="I3374" s="721"/>
      <c r="J3374" s="639"/>
      <c r="K3374" s="1124"/>
    </row>
    <row r="3375" spans="1:11" x14ac:dyDescent="0.25">
      <c r="A3375" s="718">
        <v>4</v>
      </c>
      <c r="B3375" s="668"/>
      <c r="C3375" s="721"/>
      <c r="D3375" s="721"/>
      <c r="E3375" s="721"/>
      <c r="F3375" s="721"/>
      <c r="G3375" s="639"/>
      <c r="H3375" s="668"/>
      <c r="I3375" s="721"/>
      <c r="J3375" s="639"/>
      <c r="K3375" s="1124"/>
    </row>
    <row r="3376" spans="1:11" x14ac:dyDescent="0.25">
      <c r="A3376" s="718">
        <v>5</v>
      </c>
      <c r="B3376" s="668"/>
      <c r="C3376" s="721"/>
      <c r="D3376" s="721"/>
      <c r="E3376" s="721"/>
      <c r="F3376" s="721"/>
      <c r="G3376" s="639"/>
      <c r="H3376" s="668"/>
      <c r="I3376" s="721"/>
      <c r="J3376" s="639"/>
      <c r="K3376" s="1124"/>
    </row>
    <row r="3377" spans="1:11" ht="13.8" thickBot="1" x14ac:dyDescent="0.3">
      <c r="A3377" s="719">
        <v>6</v>
      </c>
      <c r="B3377" s="669"/>
      <c r="C3377" s="1137"/>
      <c r="D3377" s="1137"/>
      <c r="E3377" s="1137"/>
      <c r="F3377" s="1137"/>
      <c r="G3377" s="646"/>
      <c r="H3377" s="669"/>
      <c r="I3377" s="1137"/>
      <c r="J3377" s="646"/>
      <c r="K3377" s="1138"/>
    </row>
    <row r="3378" spans="1:11" x14ac:dyDescent="0.25">
      <c r="A3378" s="1190">
        <v>1</v>
      </c>
      <c r="B3378" s="745"/>
      <c r="C3378" s="1117"/>
      <c r="D3378" s="1117"/>
      <c r="E3378" s="1117"/>
      <c r="F3378" s="1117"/>
      <c r="G3378" s="632"/>
      <c r="H3378" s="745"/>
      <c r="I3378" s="1117"/>
      <c r="J3378" s="632"/>
      <c r="K3378" s="1118"/>
    </row>
    <row r="3379" spans="1:11" x14ac:dyDescent="0.25">
      <c r="A3379" s="718">
        <v>2</v>
      </c>
      <c r="B3379" s="668"/>
      <c r="C3379" s="721"/>
      <c r="D3379" s="721"/>
      <c r="E3379" s="721"/>
      <c r="F3379" s="721"/>
      <c r="G3379" s="639"/>
      <c r="H3379" s="668"/>
      <c r="I3379" s="721"/>
      <c r="J3379" s="639"/>
      <c r="K3379" s="1124"/>
    </row>
    <row r="3380" spans="1:11" ht="13.8" thickBot="1" x14ac:dyDescent="0.3">
      <c r="A3380" s="719">
        <v>3</v>
      </c>
      <c r="B3380" s="669"/>
      <c r="C3380" s="1137"/>
      <c r="D3380" s="1137"/>
      <c r="E3380" s="1137"/>
      <c r="F3380" s="1137"/>
      <c r="G3380" s="646"/>
      <c r="H3380" s="669"/>
      <c r="I3380" s="1137"/>
      <c r="J3380" s="646"/>
      <c r="K3380" s="1138"/>
    </row>
    <row r="3381" spans="1:11" ht="13.8" thickBot="1" x14ac:dyDescent="0.3">
      <c r="A3381" s="1186" t="s">
        <v>824</v>
      </c>
      <c r="B3381" s="1187"/>
      <c r="C3381" s="1188"/>
      <c r="D3381" s="1188"/>
      <c r="E3381" s="1188"/>
      <c r="F3381" s="1188"/>
      <c r="G3381" s="1189"/>
      <c r="H3381" s="1187"/>
      <c r="I3381" s="1188"/>
      <c r="J3381" s="1189"/>
      <c r="K3381" s="716"/>
    </row>
    <row r="3382" spans="1:11" x14ac:dyDescent="0.25">
      <c r="A3382" s="1190">
        <v>1</v>
      </c>
      <c r="B3382" s="745"/>
      <c r="C3382" s="1117"/>
      <c r="D3382" s="1117"/>
      <c r="E3382" s="1117"/>
      <c r="F3382" s="1117"/>
      <c r="G3382" s="632"/>
      <c r="H3382" s="745"/>
      <c r="I3382" s="1117"/>
      <c r="J3382" s="632"/>
      <c r="K3382" s="1118"/>
    </row>
    <row r="3383" spans="1:11" x14ac:dyDescent="0.25">
      <c r="A3383" s="718">
        <v>2</v>
      </c>
      <c r="B3383" s="668"/>
      <c r="C3383" s="721"/>
      <c r="D3383" s="721"/>
      <c r="E3383" s="721"/>
      <c r="F3383" s="721"/>
      <c r="G3383" s="639"/>
      <c r="H3383" s="668"/>
      <c r="I3383" s="721"/>
      <c r="J3383" s="639"/>
      <c r="K3383" s="1124"/>
    </row>
    <row r="3384" spans="1:11" x14ac:dyDescent="0.25">
      <c r="A3384" s="718">
        <v>3</v>
      </c>
      <c r="B3384" s="668"/>
      <c r="C3384" s="721"/>
      <c r="D3384" s="721"/>
      <c r="E3384" s="721"/>
      <c r="F3384" s="721"/>
      <c r="G3384" s="639"/>
      <c r="H3384" s="668"/>
      <c r="I3384" s="721"/>
      <c r="J3384" s="639"/>
      <c r="K3384" s="1124"/>
    </row>
    <row r="3385" spans="1:11" x14ac:dyDescent="0.25">
      <c r="A3385" s="718">
        <v>4</v>
      </c>
      <c r="B3385" s="668"/>
      <c r="C3385" s="721"/>
      <c r="D3385" s="721"/>
      <c r="E3385" s="721"/>
      <c r="F3385" s="721"/>
      <c r="G3385" s="639"/>
      <c r="H3385" s="668"/>
      <c r="I3385" s="721"/>
      <c r="J3385" s="639"/>
      <c r="K3385" s="1124"/>
    </row>
    <row r="3386" spans="1:11" x14ac:dyDescent="0.25">
      <c r="A3386" s="718">
        <v>5</v>
      </c>
      <c r="B3386" s="668"/>
      <c r="C3386" s="721"/>
      <c r="D3386" s="721"/>
      <c r="E3386" s="721"/>
      <c r="F3386" s="721"/>
      <c r="G3386" s="639"/>
      <c r="H3386" s="668"/>
      <c r="I3386" s="721"/>
      <c r="J3386" s="639"/>
      <c r="K3386" s="1124"/>
    </row>
    <row r="3387" spans="1:11" ht="13.8" thickBot="1" x14ac:dyDescent="0.3">
      <c r="A3387" s="719">
        <v>6</v>
      </c>
      <c r="B3387" s="669"/>
      <c r="C3387" s="1137"/>
      <c r="D3387" s="1137"/>
      <c r="E3387" s="1137"/>
      <c r="F3387" s="1137"/>
      <c r="G3387" s="646"/>
      <c r="H3387" s="669"/>
      <c r="I3387" s="1137"/>
      <c r="J3387" s="646"/>
      <c r="K3387" s="1138"/>
    </row>
    <row r="3388" spans="1:11" x14ac:dyDescent="0.25">
      <c r="A3388" s="1190">
        <v>1</v>
      </c>
      <c r="B3388" s="745"/>
      <c r="C3388" s="1117"/>
      <c r="D3388" s="1117"/>
      <c r="E3388" s="1117"/>
      <c r="F3388" s="1117"/>
      <c r="G3388" s="632"/>
      <c r="H3388" s="745"/>
      <c r="I3388" s="1117"/>
      <c r="J3388" s="632"/>
      <c r="K3388" s="1118"/>
    </row>
    <row r="3389" spans="1:11" x14ac:dyDescent="0.25">
      <c r="A3389" s="718">
        <v>2</v>
      </c>
      <c r="B3389" s="668"/>
      <c r="C3389" s="721"/>
      <c r="D3389" s="721"/>
      <c r="E3389" s="721"/>
      <c r="F3389" s="721"/>
      <c r="G3389" s="639"/>
      <c r="H3389" s="668"/>
      <c r="I3389" s="721"/>
      <c r="J3389" s="639"/>
      <c r="K3389" s="1124"/>
    </row>
    <row r="3390" spans="1:11" ht="13.8" thickBot="1" x14ac:dyDescent="0.3">
      <c r="A3390" s="719">
        <v>3</v>
      </c>
      <c r="B3390" s="669"/>
      <c r="C3390" s="1137"/>
      <c r="D3390" s="1137"/>
      <c r="E3390" s="1137"/>
      <c r="F3390" s="1137"/>
      <c r="G3390" s="646"/>
      <c r="H3390" s="669"/>
      <c r="I3390" s="1137"/>
      <c r="J3390" s="646"/>
      <c r="K3390" s="1138"/>
    </row>
    <row r="3391" spans="1:11" ht="13.8" thickBot="1" x14ac:dyDescent="0.3">
      <c r="A3391" s="1186" t="s">
        <v>825</v>
      </c>
      <c r="B3391" s="1187"/>
      <c r="C3391" s="1188"/>
      <c r="D3391" s="1188"/>
      <c r="E3391" s="1188"/>
      <c r="F3391" s="1188"/>
      <c r="G3391" s="1189"/>
      <c r="H3391" s="1187"/>
      <c r="I3391" s="1188"/>
      <c r="J3391" s="1189"/>
      <c r="K3391" s="716"/>
    </row>
    <row r="3392" spans="1:11" x14ac:dyDescent="0.25">
      <c r="A3392" s="1190">
        <v>1</v>
      </c>
      <c r="B3392" s="745"/>
      <c r="C3392" s="1117"/>
      <c r="D3392" s="1117"/>
      <c r="E3392" s="1117"/>
      <c r="F3392" s="1117"/>
      <c r="G3392" s="632"/>
      <c r="H3392" s="745"/>
      <c r="I3392" s="1117"/>
      <c r="J3392" s="632"/>
      <c r="K3392" s="1118"/>
    </row>
    <row r="3393" spans="1:11" x14ac:dyDescent="0.25">
      <c r="A3393" s="718">
        <v>2</v>
      </c>
      <c r="B3393" s="668"/>
      <c r="C3393" s="721"/>
      <c r="D3393" s="721"/>
      <c r="E3393" s="721"/>
      <c r="F3393" s="721"/>
      <c r="G3393" s="639"/>
      <c r="H3393" s="668"/>
      <c r="I3393" s="721"/>
      <c r="J3393" s="639"/>
      <c r="K3393" s="1124"/>
    </row>
    <row r="3394" spans="1:11" x14ac:dyDescent="0.25">
      <c r="A3394" s="718">
        <v>3</v>
      </c>
      <c r="B3394" s="668"/>
      <c r="C3394" s="721"/>
      <c r="D3394" s="721"/>
      <c r="E3394" s="721"/>
      <c r="F3394" s="721"/>
      <c r="G3394" s="639"/>
      <c r="H3394" s="668"/>
      <c r="I3394" s="721"/>
      <c r="J3394" s="639"/>
      <c r="K3394" s="1124"/>
    </row>
    <row r="3395" spans="1:11" x14ac:dyDescent="0.25">
      <c r="A3395" s="718">
        <v>4</v>
      </c>
      <c r="B3395" s="668"/>
      <c r="C3395" s="721"/>
      <c r="D3395" s="721"/>
      <c r="E3395" s="721"/>
      <c r="F3395" s="721"/>
      <c r="G3395" s="639"/>
      <c r="H3395" s="668"/>
      <c r="I3395" s="721"/>
      <c r="J3395" s="639"/>
      <c r="K3395" s="1124"/>
    </row>
    <row r="3396" spans="1:11" x14ac:dyDescent="0.25">
      <c r="A3396" s="718">
        <v>5</v>
      </c>
      <c r="B3396" s="668"/>
      <c r="C3396" s="721"/>
      <c r="D3396" s="721"/>
      <c r="E3396" s="721"/>
      <c r="F3396" s="721"/>
      <c r="G3396" s="639"/>
      <c r="H3396" s="668"/>
      <c r="I3396" s="721"/>
      <c r="J3396" s="639"/>
      <c r="K3396" s="1124"/>
    </row>
    <row r="3397" spans="1:11" ht="13.8" thickBot="1" x14ac:dyDescent="0.3">
      <c r="A3397" s="719">
        <v>6</v>
      </c>
      <c r="B3397" s="669"/>
      <c r="C3397" s="1137"/>
      <c r="D3397" s="1137"/>
      <c r="E3397" s="1137"/>
      <c r="F3397" s="1137"/>
      <c r="G3397" s="646"/>
      <c r="H3397" s="669"/>
      <c r="I3397" s="1137"/>
      <c r="J3397" s="646"/>
      <c r="K3397" s="1138"/>
    </row>
    <row r="3398" spans="1:11" x14ac:dyDescent="0.25">
      <c r="A3398" s="1190">
        <v>1</v>
      </c>
      <c r="B3398" s="745"/>
      <c r="C3398" s="1117"/>
      <c r="D3398" s="1117"/>
      <c r="E3398" s="1117"/>
      <c r="F3398" s="1117"/>
      <c r="G3398" s="632"/>
      <c r="H3398" s="745"/>
      <c r="I3398" s="1117"/>
      <c r="J3398" s="632"/>
      <c r="K3398" s="1118"/>
    </row>
    <row r="3399" spans="1:11" x14ac:dyDescent="0.25">
      <c r="A3399" s="718">
        <v>2</v>
      </c>
      <c r="B3399" s="668"/>
      <c r="C3399" s="721"/>
      <c r="D3399" s="721"/>
      <c r="E3399" s="721"/>
      <c r="F3399" s="721"/>
      <c r="G3399" s="639"/>
      <c r="H3399" s="668"/>
      <c r="I3399" s="721"/>
      <c r="J3399" s="639"/>
      <c r="K3399" s="1124"/>
    </row>
    <row r="3400" spans="1:11" ht="13.8" thickBot="1" x14ac:dyDescent="0.3">
      <c r="A3400" s="719">
        <v>3</v>
      </c>
      <c r="B3400" s="669"/>
      <c r="C3400" s="1137"/>
      <c r="D3400" s="1137"/>
      <c r="E3400" s="1137"/>
      <c r="F3400" s="1137"/>
      <c r="G3400" s="646"/>
      <c r="H3400" s="669"/>
      <c r="I3400" s="1137"/>
      <c r="J3400" s="646"/>
      <c r="K3400" s="1138"/>
    </row>
    <row r="3401" spans="1:11" ht="13.8" thickBot="1" x14ac:dyDescent="0.3">
      <c r="A3401" s="1186" t="s">
        <v>826</v>
      </c>
      <c r="B3401" s="1187"/>
      <c r="C3401" s="1188"/>
      <c r="D3401" s="1188"/>
      <c r="E3401" s="1188"/>
      <c r="F3401" s="1188"/>
      <c r="G3401" s="1189"/>
      <c r="H3401" s="1187"/>
      <c r="I3401" s="1188"/>
      <c r="J3401" s="1189"/>
      <c r="K3401" s="716"/>
    </row>
    <row r="3402" spans="1:11" x14ac:dyDescent="0.25">
      <c r="A3402" s="1190">
        <v>1</v>
      </c>
      <c r="B3402" s="745"/>
      <c r="C3402" s="1117"/>
      <c r="D3402" s="1117"/>
      <c r="E3402" s="1117"/>
      <c r="F3402" s="1117"/>
      <c r="G3402" s="632"/>
      <c r="H3402" s="745"/>
      <c r="I3402" s="1117"/>
      <c r="J3402" s="632"/>
      <c r="K3402" s="1118"/>
    </row>
    <row r="3403" spans="1:11" x14ac:dyDescent="0.25">
      <c r="A3403" s="718">
        <v>2</v>
      </c>
      <c r="B3403" s="668"/>
      <c r="C3403" s="721"/>
      <c r="D3403" s="721"/>
      <c r="E3403" s="721"/>
      <c r="F3403" s="721"/>
      <c r="G3403" s="639"/>
      <c r="H3403" s="668"/>
      <c r="I3403" s="721"/>
      <c r="J3403" s="639"/>
      <c r="K3403" s="1124"/>
    </row>
    <row r="3404" spans="1:11" x14ac:dyDescent="0.25">
      <c r="A3404" s="718">
        <v>3</v>
      </c>
      <c r="B3404" s="668"/>
      <c r="C3404" s="721"/>
      <c r="D3404" s="721"/>
      <c r="E3404" s="721"/>
      <c r="F3404" s="721"/>
      <c r="G3404" s="639"/>
      <c r="H3404" s="668"/>
      <c r="I3404" s="721"/>
      <c r="J3404" s="639"/>
      <c r="K3404" s="1124"/>
    </row>
    <row r="3405" spans="1:11" x14ac:dyDescent="0.25">
      <c r="A3405" s="718">
        <v>4</v>
      </c>
      <c r="B3405" s="668"/>
      <c r="C3405" s="721"/>
      <c r="D3405" s="721"/>
      <c r="E3405" s="721"/>
      <c r="F3405" s="721"/>
      <c r="G3405" s="639"/>
      <c r="H3405" s="668"/>
      <c r="I3405" s="721"/>
      <c r="J3405" s="639"/>
      <c r="K3405" s="1124"/>
    </row>
    <row r="3406" spans="1:11" x14ac:dyDescent="0.25">
      <c r="A3406" s="718">
        <v>5</v>
      </c>
      <c r="B3406" s="668"/>
      <c r="C3406" s="721"/>
      <c r="D3406" s="721"/>
      <c r="E3406" s="721"/>
      <c r="F3406" s="721"/>
      <c r="G3406" s="639"/>
      <c r="H3406" s="668"/>
      <c r="I3406" s="721"/>
      <c r="J3406" s="639"/>
      <c r="K3406" s="1124"/>
    </row>
    <row r="3407" spans="1:11" ht="13.8" thickBot="1" x14ac:dyDescent="0.3">
      <c r="A3407" s="719">
        <v>6</v>
      </c>
      <c r="B3407" s="669"/>
      <c r="C3407" s="1137"/>
      <c r="D3407" s="1137"/>
      <c r="E3407" s="1137"/>
      <c r="F3407" s="1137"/>
      <c r="G3407" s="646"/>
      <c r="H3407" s="669"/>
      <c r="I3407" s="1137"/>
      <c r="J3407" s="646"/>
      <c r="K3407" s="1138"/>
    </row>
    <row r="3408" spans="1:11" x14ac:dyDescent="0.25">
      <c r="A3408" s="1190">
        <v>1</v>
      </c>
      <c r="B3408" s="745"/>
      <c r="C3408" s="1117"/>
      <c r="D3408" s="1117"/>
      <c r="E3408" s="1117"/>
      <c r="F3408" s="1117"/>
      <c r="G3408" s="632"/>
      <c r="H3408" s="745"/>
      <c r="I3408" s="1117"/>
      <c r="J3408" s="632"/>
      <c r="K3408" s="1118"/>
    </row>
    <row r="3409" spans="1:11" x14ac:dyDescent="0.25">
      <c r="A3409" s="718">
        <v>2</v>
      </c>
      <c r="B3409" s="668"/>
      <c r="C3409" s="721"/>
      <c r="D3409" s="721"/>
      <c r="E3409" s="721"/>
      <c r="F3409" s="721"/>
      <c r="G3409" s="639"/>
      <c r="H3409" s="668"/>
      <c r="I3409" s="721"/>
      <c r="J3409" s="639"/>
      <c r="K3409" s="1124"/>
    </row>
    <row r="3410" spans="1:11" ht="13.8" thickBot="1" x14ac:dyDescent="0.3">
      <c r="A3410" s="1191">
        <v>3</v>
      </c>
      <c r="B3410" s="1132"/>
      <c r="C3410" s="1133"/>
      <c r="D3410" s="1133"/>
      <c r="E3410" s="1133"/>
      <c r="F3410" s="1133"/>
      <c r="G3410" s="1134"/>
      <c r="H3410" s="1132"/>
      <c r="I3410" s="1133"/>
      <c r="J3410" s="1134"/>
      <c r="K3410" s="1147"/>
    </row>
    <row r="3411" spans="1:11" ht="13.8" thickBot="1" x14ac:dyDescent="0.3">
      <c r="A3411" s="1186" t="s">
        <v>827</v>
      </c>
      <c r="B3411" s="1187"/>
      <c r="C3411" s="1188"/>
      <c r="D3411" s="1188"/>
      <c r="E3411" s="1188"/>
      <c r="F3411" s="1188"/>
      <c r="G3411" s="1189"/>
      <c r="H3411" s="1187"/>
      <c r="I3411" s="1188"/>
      <c r="J3411" s="1189"/>
      <c r="K3411" s="716"/>
    </row>
    <row r="3412" spans="1:11" x14ac:dyDescent="0.25">
      <c r="A3412" s="1190">
        <v>1</v>
      </c>
      <c r="B3412" s="745"/>
      <c r="C3412" s="1117"/>
      <c r="D3412" s="1117"/>
      <c r="E3412" s="1117"/>
      <c r="F3412" s="1117"/>
      <c r="G3412" s="632"/>
      <c r="H3412" s="745"/>
      <c r="I3412" s="1117"/>
      <c r="J3412" s="632"/>
      <c r="K3412" s="1118"/>
    </row>
    <row r="3413" spans="1:11" x14ac:dyDescent="0.25">
      <c r="A3413" s="718">
        <v>2</v>
      </c>
      <c r="B3413" s="668"/>
      <c r="C3413" s="721"/>
      <c r="D3413" s="721"/>
      <c r="E3413" s="721"/>
      <c r="F3413" s="721"/>
      <c r="G3413" s="639"/>
      <c r="H3413" s="668"/>
      <c r="I3413" s="721"/>
      <c r="J3413" s="639"/>
      <c r="K3413" s="1124"/>
    </row>
    <row r="3414" spans="1:11" x14ac:dyDescent="0.25">
      <c r="A3414" s="718">
        <v>3</v>
      </c>
      <c r="B3414" s="668"/>
      <c r="C3414" s="721"/>
      <c r="D3414" s="721"/>
      <c r="E3414" s="721"/>
      <c r="F3414" s="721"/>
      <c r="G3414" s="639"/>
      <c r="H3414" s="668"/>
      <c r="I3414" s="721"/>
      <c r="J3414" s="639"/>
      <c r="K3414" s="1124"/>
    </row>
    <row r="3415" spans="1:11" x14ac:dyDescent="0.25">
      <c r="A3415" s="718">
        <v>4</v>
      </c>
      <c r="B3415" s="668"/>
      <c r="C3415" s="721"/>
      <c r="D3415" s="721"/>
      <c r="E3415" s="721"/>
      <c r="F3415" s="721"/>
      <c r="G3415" s="639"/>
      <c r="H3415" s="668"/>
      <c r="I3415" s="721"/>
      <c r="J3415" s="639"/>
      <c r="K3415" s="1124"/>
    </row>
    <row r="3416" spans="1:11" x14ac:dyDescent="0.25">
      <c r="A3416" s="718">
        <v>5</v>
      </c>
      <c r="B3416" s="668"/>
      <c r="C3416" s="721"/>
      <c r="D3416" s="721"/>
      <c r="E3416" s="721"/>
      <c r="F3416" s="721"/>
      <c r="G3416" s="639"/>
      <c r="H3416" s="668"/>
      <c r="I3416" s="721"/>
      <c r="J3416" s="639"/>
      <c r="K3416" s="1124"/>
    </row>
    <row r="3417" spans="1:11" ht="13.8" thickBot="1" x14ac:dyDescent="0.3">
      <c r="A3417" s="719">
        <v>6</v>
      </c>
      <c r="B3417" s="669"/>
      <c r="C3417" s="1137"/>
      <c r="D3417" s="1137"/>
      <c r="E3417" s="1137"/>
      <c r="F3417" s="1137"/>
      <c r="G3417" s="646"/>
      <c r="H3417" s="669"/>
      <c r="I3417" s="1137"/>
      <c r="J3417" s="646"/>
      <c r="K3417" s="1138"/>
    </row>
    <row r="3418" spans="1:11" x14ac:dyDescent="0.25">
      <c r="A3418" s="1190">
        <v>1</v>
      </c>
      <c r="B3418" s="745"/>
      <c r="C3418" s="1117"/>
      <c r="D3418" s="1117"/>
      <c r="E3418" s="1117"/>
      <c r="F3418" s="1117"/>
      <c r="G3418" s="632"/>
      <c r="H3418" s="745"/>
      <c r="I3418" s="1117"/>
      <c r="J3418" s="632"/>
      <c r="K3418" s="1118"/>
    </row>
    <row r="3419" spans="1:11" x14ac:dyDescent="0.25">
      <c r="A3419" s="718">
        <v>2</v>
      </c>
      <c r="B3419" s="668"/>
      <c r="C3419" s="721"/>
      <c r="D3419" s="721"/>
      <c r="E3419" s="721"/>
      <c r="F3419" s="721"/>
      <c r="G3419" s="639"/>
      <c r="H3419" s="668"/>
      <c r="I3419" s="721"/>
      <c r="J3419" s="639"/>
      <c r="K3419" s="1124"/>
    </row>
    <row r="3420" spans="1:11" ht="13.8" thickBot="1" x14ac:dyDescent="0.3">
      <c r="A3420" s="719">
        <v>3</v>
      </c>
      <c r="B3420" s="669"/>
      <c r="C3420" s="1137"/>
      <c r="D3420" s="1137"/>
      <c r="E3420" s="1137"/>
      <c r="F3420" s="1137"/>
      <c r="G3420" s="646"/>
      <c r="H3420" s="669"/>
      <c r="I3420" s="1137"/>
      <c r="J3420" s="646"/>
      <c r="K3420" s="1138"/>
    </row>
    <row r="3421" spans="1:11" ht="13.8" thickBot="1" x14ac:dyDescent="0.3">
      <c r="A3421" s="1186" t="s">
        <v>828</v>
      </c>
      <c r="B3421" s="1187"/>
      <c r="C3421" s="1188"/>
      <c r="D3421" s="1188"/>
      <c r="E3421" s="1188"/>
      <c r="F3421" s="1188"/>
      <c r="G3421" s="1189"/>
      <c r="H3421" s="1187"/>
      <c r="I3421" s="1188"/>
      <c r="J3421" s="1189"/>
      <c r="K3421" s="716"/>
    </row>
    <row r="3422" spans="1:11" x14ac:dyDescent="0.25">
      <c r="A3422" s="1190">
        <v>1</v>
      </c>
      <c r="B3422" s="745"/>
      <c r="C3422" s="1117"/>
      <c r="D3422" s="1117"/>
      <c r="E3422" s="1117"/>
      <c r="F3422" s="1117"/>
      <c r="G3422" s="632"/>
      <c r="H3422" s="745"/>
      <c r="I3422" s="1117"/>
      <c r="J3422" s="632"/>
      <c r="K3422" s="1118"/>
    </row>
    <row r="3423" spans="1:11" x14ac:dyDescent="0.25">
      <c r="A3423" s="718">
        <v>2</v>
      </c>
      <c r="B3423" s="668"/>
      <c r="C3423" s="721"/>
      <c r="D3423" s="721"/>
      <c r="E3423" s="721"/>
      <c r="F3423" s="721"/>
      <c r="G3423" s="639"/>
      <c r="H3423" s="668"/>
      <c r="I3423" s="721"/>
      <c r="J3423" s="639"/>
      <c r="K3423" s="1124"/>
    </row>
    <row r="3424" spans="1:11" x14ac:dyDescent="0.25">
      <c r="A3424" s="718">
        <v>3</v>
      </c>
      <c r="B3424" s="668"/>
      <c r="C3424" s="721"/>
      <c r="D3424" s="721"/>
      <c r="E3424" s="721"/>
      <c r="F3424" s="721"/>
      <c r="G3424" s="639"/>
      <c r="H3424" s="668"/>
      <c r="I3424" s="721"/>
      <c r="J3424" s="639"/>
      <c r="K3424" s="1124"/>
    </row>
    <row r="3425" spans="1:11" x14ac:dyDescent="0.25">
      <c r="A3425" s="718">
        <v>4</v>
      </c>
      <c r="B3425" s="668"/>
      <c r="C3425" s="721"/>
      <c r="D3425" s="721"/>
      <c r="E3425" s="721"/>
      <c r="F3425" s="721"/>
      <c r="G3425" s="639"/>
      <c r="H3425" s="668"/>
      <c r="I3425" s="721"/>
      <c r="J3425" s="639"/>
      <c r="K3425" s="1124"/>
    </row>
    <row r="3426" spans="1:11" x14ac:dyDescent="0.25">
      <c r="A3426" s="718">
        <v>5</v>
      </c>
      <c r="B3426" s="668"/>
      <c r="C3426" s="721"/>
      <c r="D3426" s="721"/>
      <c r="E3426" s="721"/>
      <c r="F3426" s="721"/>
      <c r="G3426" s="639"/>
      <c r="H3426" s="668"/>
      <c r="I3426" s="721"/>
      <c r="J3426" s="639"/>
      <c r="K3426" s="1124"/>
    </row>
    <row r="3427" spans="1:11" ht="13.8" thickBot="1" x14ac:dyDescent="0.3">
      <c r="A3427" s="719">
        <v>6</v>
      </c>
      <c r="B3427" s="669"/>
      <c r="C3427" s="1137"/>
      <c r="D3427" s="1137"/>
      <c r="E3427" s="1137"/>
      <c r="F3427" s="1137"/>
      <c r="G3427" s="646"/>
      <c r="H3427" s="669"/>
      <c r="I3427" s="1137"/>
      <c r="J3427" s="646"/>
      <c r="K3427" s="1138"/>
    </row>
    <row r="3428" spans="1:11" x14ac:dyDescent="0.25">
      <c r="A3428" s="1190">
        <v>1</v>
      </c>
      <c r="B3428" s="745"/>
      <c r="C3428" s="1117"/>
      <c r="D3428" s="1117"/>
      <c r="E3428" s="1117"/>
      <c r="F3428" s="1117"/>
      <c r="G3428" s="632"/>
      <c r="H3428" s="745"/>
      <c r="I3428" s="1117"/>
      <c r="J3428" s="632"/>
      <c r="K3428" s="1118"/>
    </row>
    <row r="3429" spans="1:11" x14ac:dyDescent="0.25">
      <c r="A3429" s="718">
        <v>2</v>
      </c>
      <c r="B3429" s="668"/>
      <c r="C3429" s="721"/>
      <c r="D3429" s="721"/>
      <c r="E3429" s="721"/>
      <c r="F3429" s="721"/>
      <c r="G3429" s="639"/>
      <c r="H3429" s="668"/>
      <c r="I3429" s="721"/>
      <c r="J3429" s="639"/>
      <c r="K3429" s="1124"/>
    </row>
    <row r="3430" spans="1:11" ht="13.8" thickBot="1" x14ac:dyDescent="0.3">
      <c r="A3430" s="719">
        <v>3</v>
      </c>
      <c r="B3430" s="669"/>
      <c r="C3430" s="1137"/>
      <c r="D3430" s="1137"/>
      <c r="E3430" s="1137"/>
      <c r="F3430" s="1137"/>
      <c r="G3430" s="646"/>
      <c r="H3430" s="669"/>
      <c r="I3430" s="1137"/>
      <c r="J3430" s="646"/>
      <c r="K3430" s="1138"/>
    </row>
    <row r="3431" spans="1:11" ht="13.8" thickBot="1" x14ac:dyDescent="0.3">
      <c r="A3431" s="1186" t="s">
        <v>829</v>
      </c>
      <c r="B3431" s="1187"/>
      <c r="C3431" s="1188"/>
      <c r="D3431" s="1188"/>
      <c r="E3431" s="1188"/>
      <c r="F3431" s="1188"/>
      <c r="G3431" s="1189"/>
      <c r="H3431" s="1187"/>
      <c r="I3431" s="1188"/>
      <c r="J3431" s="1189"/>
      <c r="K3431" s="716"/>
    </row>
    <row r="3432" spans="1:11" x14ac:dyDescent="0.25">
      <c r="A3432" s="1190">
        <v>1</v>
      </c>
      <c r="B3432" s="745"/>
      <c r="C3432" s="1117"/>
      <c r="D3432" s="1117"/>
      <c r="E3432" s="1117"/>
      <c r="F3432" s="1117"/>
      <c r="G3432" s="632"/>
      <c r="H3432" s="745"/>
      <c r="I3432" s="1117"/>
      <c r="J3432" s="632"/>
      <c r="K3432" s="1118"/>
    </row>
    <row r="3433" spans="1:11" x14ac:dyDescent="0.25">
      <c r="A3433" s="718">
        <v>2</v>
      </c>
      <c r="B3433" s="668"/>
      <c r="C3433" s="721"/>
      <c r="D3433" s="721"/>
      <c r="E3433" s="721"/>
      <c r="F3433" s="721"/>
      <c r="G3433" s="639"/>
      <c r="H3433" s="668"/>
      <c r="I3433" s="721"/>
      <c r="J3433" s="639"/>
      <c r="K3433" s="1124"/>
    </row>
    <row r="3434" spans="1:11" x14ac:dyDescent="0.25">
      <c r="A3434" s="718">
        <v>3</v>
      </c>
      <c r="B3434" s="668"/>
      <c r="C3434" s="721"/>
      <c r="D3434" s="721"/>
      <c r="E3434" s="721"/>
      <c r="F3434" s="721"/>
      <c r="G3434" s="639"/>
      <c r="H3434" s="668"/>
      <c r="I3434" s="721"/>
      <c r="J3434" s="639"/>
      <c r="K3434" s="1124"/>
    </row>
    <row r="3435" spans="1:11" x14ac:dyDescent="0.25">
      <c r="A3435" s="718">
        <v>4</v>
      </c>
      <c r="B3435" s="668"/>
      <c r="C3435" s="721"/>
      <c r="D3435" s="721"/>
      <c r="E3435" s="721"/>
      <c r="F3435" s="721"/>
      <c r="G3435" s="639"/>
      <c r="H3435" s="668"/>
      <c r="I3435" s="721"/>
      <c r="J3435" s="639"/>
      <c r="K3435" s="1124"/>
    </row>
    <row r="3436" spans="1:11" x14ac:dyDescent="0.25">
      <c r="A3436" s="718">
        <v>5</v>
      </c>
      <c r="B3436" s="668"/>
      <c r="C3436" s="721"/>
      <c r="D3436" s="721"/>
      <c r="E3436" s="721"/>
      <c r="F3436" s="721"/>
      <c r="G3436" s="639"/>
      <c r="H3436" s="668"/>
      <c r="I3436" s="721"/>
      <c r="J3436" s="639"/>
      <c r="K3436" s="1124"/>
    </row>
    <row r="3437" spans="1:11" ht="13.8" thickBot="1" x14ac:dyDescent="0.3">
      <c r="A3437" s="719">
        <v>6</v>
      </c>
      <c r="B3437" s="669"/>
      <c r="C3437" s="1137"/>
      <c r="D3437" s="1137"/>
      <c r="E3437" s="1137"/>
      <c r="F3437" s="1137"/>
      <c r="G3437" s="646"/>
      <c r="H3437" s="669"/>
      <c r="I3437" s="1137"/>
      <c r="J3437" s="646"/>
      <c r="K3437" s="1138"/>
    </row>
    <row r="3438" spans="1:11" x14ac:dyDescent="0.25">
      <c r="A3438" s="1190">
        <v>1</v>
      </c>
      <c r="B3438" s="745"/>
      <c r="C3438" s="1117"/>
      <c r="D3438" s="1117"/>
      <c r="E3438" s="1117"/>
      <c r="F3438" s="1117"/>
      <c r="G3438" s="632"/>
      <c r="H3438" s="745"/>
      <c r="I3438" s="1117"/>
      <c r="J3438" s="632"/>
      <c r="K3438" s="1118"/>
    </row>
    <row r="3439" spans="1:11" x14ac:dyDescent="0.25">
      <c r="A3439" s="718">
        <v>2</v>
      </c>
      <c r="B3439" s="668"/>
      <c r="C3439" s="721"/>
      <c r="D3439" s="721"/>
      <c r="E3439" s="721"/>
      <c r="F3439" s="721"/>
      <c r="G3439" s="639"/>
      <c r="H3439" s="668"/>
      <c r="I3439" s="721"/>
      <c r="J3439" s="639"/>
      <c r="K3439" s="1124"/>
    </row>
    <row r="3440" spans="1:11" ht="13.8" thickBot="1" x14ac:dyDescent="0.3">
      <c r="A3440" s="719">
        <v>3</v>
      </c>
      <c r="B3440" s="669"/>
      <c r="C3440" s="1137"/>
      <c r="D3440" s="1137"/>
      <c r="E3440" s="1137"/>
      <c r="F3440" s="1137"/>
      <c r="G3440" s="646"/>
      <c r="H3440" s="669"/>
      <c r="I3440" s="1137"/>
      <c r="J3440" s="646"/>
      <c r="K3440" s="1138"/>
    </row>
    <row r="3441" spans="1:11" ht="13.8" thickBot="1" x14ac:dyDescent="0.3">
      <c r="A3441" s="1186" t="s">
        <v>830</v>
      </c>
      <c r="B3441" s="1187"/>
      <c r="C3441" s="1188"/>
      <c r="D3441" s="1188"/>
      <c r="E3441" s="1188"/>
      <c r="F3441" s="1188"/>
      <c r="G3441" s="1189"/>
      <c r="H3441" s="1187"/>
      <c r="I3441" s="1188"/>
      <c r="J3441" s="1189"/>
      <c r="K3441" s="716"/>
    </row>
    <row r="3442" spans="1:11" x14ac:dyDescent="0.25">
      <c r="A3442" s="1190">
        <v>1</v>
      </c>
      <c r="B3442" s="745"/>
      <c r="C3442" s="1117"/>
      <c r="D3442" s="1117"/>
      <c r="E3442" s="1117"/>
      <c r="F3442" s="1117"/>
      <c r="G3442" s="632"/>
      <c r="H3442" s="745"/>
      <c r="I3442" s="1117"/>
      <c r="J3442" s="632"/>
      <c r="K3442" s="1118"/>
    </row>
    <row r="3443" spans="1:11" x14ac:dyDescent="0.25">
      <c r="A3443" s="718">
        <v>2</v>
      </c>
      <c r="B3443" s="668"/>
      <c r="C3443" s="721"/>
      <c r="D3443" s="721"/>
      <c r="E3443" s="721"/>
      <c r="F3443" s="721"/>
      <c r="G3443" s="639"/>
      <c r="H3443" s="668"/>
      <c r="I3443" s="721"/>
      <c r="J3443" s="639"/>
      <c r="K3443" s="1124"/>
    </row>
    <row r="3444" spans="1:11" x14ac:dyDescent="0.25">
      <c r="A3444" s="718">
        <v>3</v>
      </c>
      <c r="B3444" s="668"/>
      <c r="C3444" s="721"/>
      <c r="D3444" s="721"/>
      <c r="E3444" s="721"/>
      <c r="F3444" s="721"/>
      <c r="G3444" s="639"/>
      <c r="H3444" s="668"/>
      <c r="I3444" s="721"/>
      <c r="J3444" s="639"/>
      <c r="K3444" s="1124"/>
    </row>
    <row r="3445" spans="1:11" x14ac:dyDescent="0.25">
      <c r="A3445" s="718">
        <v>4</v>
      </c>
      <c r="B3445" s="668"/>
      <c r="C3445" s="721"/>
      <c r="D3445" s="721"/>
      <c r="E3445" s="721"/>
      <c r="F3445" s="721"/>
      <c r="G3445" s="639"/>
      <c r="H3445" s="668"/>
      <c r="I3445" s="721"/>
      <c r="J3445" s="639"/>
      <c r="K3445" s="1124"/>
    </row>
    <row r="3446" spans="1:11" x14ac:dyDescent="0.25">
      <c r="A3446" s="718">
        <v>5</v>
      </c>
      <c r="B3446" s="668"/>
      <c r="C3446" s="721"/>
      <c r="D3446" s="721"/>
      <c r="E3446" s="721"/>
      <c r="F3446" s="721"/>
      <c r="G3446" s="639"/>
      <c r="H3446" s="668"/>
      <c r="I3446" s="721"/>
      <c r="J3446" s="639"/>
      <c r="K3446" s="1124"/>
    </row>
    <row r="3447" spans="1:11" ht="13.8" thickBot="1" x14ac:dyDescent="0.3">
      <c r="A3447" s="719">
        <v>6</v>
      </c>
      <c r="B3447" s="669"/>
      <c r="C3447" s="1137"/>
      <c r="D3447" s="1137"/>
      <c r="E3447" s="1137"/>
      <c r="F3447" s="1137"/>
      <c r="G3447" s="646"/>
      <c r="H3447" s="669"/>
      <c r="I3447" s="1137"/>
      <c r="J3447" s="646"/>
      <c r="K3447" s="1138"/>
    </row>
    <row r="3448" spans="1:11" x14ac:dyDescent="0.25">
      <c r="A3448" s="1190">
        <v>1</v>
      </c>
      <c r="B3448" s="745"/>
      <c r="C3448" s="1117"/>
      <c r="D3448" s="1117"/>
      <c r="E3448" s="1117"/>
      <c r="F3448" s="1117"/>
      <c r="G3448" s="632"/>
      <c r="H3448" s="745"/>
      <c r="I3448" s="1117"/>
      <c r="J3448" s="632"/>
      <c r="K3448" s="1118"/>
    </row>
    <row r="3449" spans="1:11" x14ac:dyDescent="0.25">
      <c r="A3449" s="718">
        <v>2</v>
      </c>
      <c r="B3449" s="668"/>
      <c r="C3449" s="721"/>
      <c r="D3449" s="721"/>
      <c r="E3449" s="721"/>
      <c r="F3449" s="721"/>
      <c r="G3449" s="639"/>
      <c r="H3449" s="668"/>
      <c r="I3449" s="721"/>
      <c r="J3449" s="639"/>
      <c r="K3449" s="1124"/>
    </row>
    <row r="3450" spans="1:11" ht="13.8" thickBot="1" x14ac:dyDescent="0.3">
      <c r="A3450" s="1191">
        <v>3</v>
      </c>
      <c r="B3450" s="1132"/>
      <c r="C3450" s="1133"/>
      <c r="D3450" s="1133"/>
      <c r="E3450" s="1133"/>
      <c r="F3450" s="1133"/>
      <c r="G3450" s="1134"/>
      <c r="H3450" s="1132"/>
      <c r="I3450" s="1133"/>
      <c r="J3450" s="1134"/>
      <c r="K3450" s="1147"/>
    </row>
    <row r="3451" spans="1:11" ht="13.8" thickBot="1" x14ac:dyDescent="0.3">
      <c r="A3451" s="1186" t="s">
        <v>831</v>
      </c>
      <c r="B3451" s="1187"/>
      <c r="C3451" s="1188"/>
      <c r="D3451" s="1188"/>
      <c r="E3451" s="1188"/>
      <c r="F3451" s="1188"/>
      <c r="G3451" s="1189"/>
      <c r="H3451" s="1187"/>
      <c r="I3451" s="1188"/>
      <c r="J3451" s="1189"/>
      <c r="K3451" s="716"/>
    </row>
    <row r="3452" spans="1:11" x14ac:dyDescent="0.25">
      <c r="A3452" s="1190">
        <v>1</v>
      </c>
      <c r="B3452" s="745"/>
      <c r="C3452" s="1117"/>
      <c r="D3452" s="1117"/>
      <c r="E3452" s="1117"/>
      <c r="F3452" s="1117"/>
      <c r="G3452" s="632"/>
      <c r="H3452" s="745"/>
      <c r="I3452" s="1117"/>
      <c r="J3452" s="632"/>
      <c r="K3452" s="1118"/>
    </row>
    <row r="3453" spans="1:11" x14ac:dyDescent="0.25">
      <c r="A3453" s="718">
        <v>2</v>
      </c>
      <c r="B3453" s="668"/>
      <c r="C3453" s="721"/>
      <c r="D3453" s="721"/>
      <c r="E3453" s="721"/>
      <c r="F3453" s="721"/>
      <c r="G3453" s="639"/>
      <c r="H3453" s="668"/>
      <c r="I3453" s="721"/>
      <c r="J3453" s="639"/>
      <c r="K3453" s="1124"/>
    </row>
    <row r="3454" spans="1:11" x14ac:dyDescent="0.25">
      <c r="A3454" s="718">
        <v>3</v>
      </c>
      <c r="B3454" s="668"/>
      <c r="C3454" s="721"/>
      <c r="D3454" s="721"/>
      <c r="E3454" s="721"/>
      <c r="F3454" s="721"/>
      <c r="G3454" s="639"/>
      <c r="H3454" s="668"/>
      <c r="I3454" s="721"/>
      <c r="J3454" s="639"/>
      <c r="K3454" s="1124"/>
    </row>
    <row r="3455" spans="1:11" x14ac:dyDescent="0.25">
      <c r="A3455" s="718">
        <v>4</v>
      </c>
      <c r="B3455" s="668"/>
      <c r="C3455" s="721"/>
      <c r="D3455" s="721"/>
      <c r="E3455" s="721"/>
      <c r="F3455" s="721"/>
      <c r="G3455" s="639"/>
      <c r="H3455" s="668"/>
      <c r="I3455" s="721"/>
      <c r="J3455" s="639"/>
      <c r="K3455" s="1124"/>
    </row>
    <row r="3456" spans="1:11" x14ac:dyDescent="0.25">
      <c r="A3456" s="718">
        <v>5</v>
      </c>
      <c r="B3456" s="668"/>
      <c r="C3456" s="721"/>
      <c r="D3456" s="721"/>
      <c r="E3456" s="721"/>
      <c r="F3456" s="721"/>
      <c r="G3456" s="639"/>
      <c r="H3456" s="668"/>
      <c r="I3456" s="721"/>
      <c r="J3456" s="639"/>
      <c r="K3456" s="1124"/>
    </row>
    <row r="3457" spans="1:11" ht="13.8" thickBot="1" x14ac:dyDescent="0.3">
      <c r="A3457" s="719">
        <v>6</v>
      </c>
      <c r="B3457" s="669"/>
      <c r="C3457" s="1137"/>
      <c r="D3457" s="1137"/>
      <c r="E3457" s="1137"/>
      <c r="F3457" s="1137"/>
      <c r="G3457" s="646"/>
      <c r="H3457" s="669"/>
      <c r="I3457" s="1137"/>
      <c r="J3457" s="646"/>
      <c r="K3457" s="1138"/>
    </row>
    <row r="3458" spans="1:11" x14ac:dyDescent="0.25">
      <c r="A3458" s="1190">
        <v>1</v>
      </c>
      <c r="B3458" s="745"/>
      <c r="C3458" s="1117"/>
      <c r="D3458" s="1117"/>
      <c r="E3458" s="1117"/>
      <c r="F3458" s="1117"/>
      <c r="G3458" s="632"/>
      <c r="H3458" s="745"/>
      <c r="I3458" s="1117"/>
      <c r="J3458" s="632"/>
      <c r="K3458" s="1118"/>
    </row>
    <row r="3459" spans="1:11" x14ac:dyDescent="0.25">
      <c r="A3459" s="718">
        <v>2</v>
      </c>
      <c r="B3459" s="668"/>
      <c r="C3459" s="721"/>
      <c r="D3459" s="721"/>
      <c r="E3459" s="721"/>
      <c r="F3459" s="721"/>
      <c r="G3459" s="639"/>
      <c r="H3459" s="668"/>
      <c r="I3459" s="721"/>
      <c r="J3459" s="639"/>
      <c r="K3459" s="1124"/>
    </row>
    <row r="3460" spans="1:11" ht="13.8" thickBot="1" x14ac:dyDescent="0.3">
      <c r="A3460" s="719">
        <v>3</v>
      </c>
      <c r="B3460" s="669"/>
      <c r="C3460" s="1137"/>
      <c r="D3460" s="1137"/>
      <c r="E3460" s="1137"/>
      <c r="F3460" s="1137"/>
      <c r="G3460" s="646"/>
      <c r="H3460" s="669"/>
      <c r="I3460" s="1137"/>
      <c r="J3460" s="646"/>
      <c r="K3460" s="1138"/>
    </row>
    <row r="3461" spans="1:11" ht="13.8" thickBot="1" x14ac:dyDescent="0.3">
      <c r="A3461" s="1186" t="s">
        <v>832</v>
      </c>
      <c r="B3461" s="1187"/>
      <c r="C3461" s="1188"/>
      <c r="D3461" s="1188"/>
      <c r="E3461" s="1188"/>
      <c r="F3461" s="1188"/>
      <c r="G3461" s="1189"/>
      <c r="H3461" s="1187"/>
      <c r="I3461" s="1188"/>
      <c r="J3461" s="1189"/>
      <c r="K3461" s="716"/>
    </row>
    <row r="3462" spans="1:11" x14ac:dyDescent="0.25">
      <c r="A3462" s="1190">
        <v>1</v>
      </c>
      <c r="B3462" s="745"/>
      <c r="C3462" s="1117"/>
      <c r="D3462" s="1117"/>
      <c r="E3462" s="1117"/>
      <c r="F3462" s="1117"/>
      <c r="G3462" s="632"/>
      <c r="H3462" s="745"/>
      <c r="I3462" s="1117"/>
      <c r="J3462" s="632"/>
      <c r="K3462" s="1118"/>
    </row>
    <row r="3463" spans="1:11" x14ac:dyDescent="0.25">
      <c r="A3463" s="718">
        <v>2</v>
      </c>
      <c r="B3463" s="668"/>
      <c r="C3463" s="721"/>
      <c r="D3463" s="721"/>
      <c r="E3463" s="721"/>
      <c r="F3463" s="721"/>
      <c r="G3463" s="639"/>
      <c r="H3463" s="668"/>
      <c r="I3463" s="721"/>
      <c r="J3463" s="639"/>
      <c r="K3463" s="1124"/>
    </row>
    <row r="3464" spans="1:11" x14ac:dyDescent="0.25">
      <c r="A3464" s="718">
        <v>3</v>
      </c>
      <c r="B3464" s="668"/>
      <c r="C3464" s="721"/>
      <c r="D3464" s="721"/>
      <c r="E3464" s="721"/>
      <c r="F3464" s="721"/>
      <c r="G3464" s="639"/>
      <c r="H3464" s="668"/>
      <c r="I3464" s="721"/>
      <c r="J3464" s="639"/>
      <c r="K3464" s="1124"/>
    </row>
    <row r="3465" spans="1:11" x14ac:dyDescent="0.25">
      <c r="A3465" s="718">
        <v>4</v>
      </c>
      <c r="B3465" s="668"/>
      <c r="C3465" s="721"/>
      <c r="D3465" s="721"/>
      <c r="E3465" s="721"/>
      <c r="F3465" s="721"/>
      <c r="G3465" s="639"/>
      <c r="H3465" s="668"/>
      <c r="I3465" s="721"/>
      <c r="J3465" s="639"/>
      <c r="K3465" s="1124"/>
    </row>
    <row r="3466" spans="1:11" x14ac:dyDescent="0.25">
      <c r="A3466" s="718">
        <v>5</v>
      </c>
      <c r="B3466" s="668"/>
      <c r="C3466" s="721"/>
      <c r="D3466" s="721"/>
      <c r="E3466" s="721"/>
      <c r="F3466" s="721"/>
      <c r="G3466" s="639"/>
      <c r="H3466" s="668"/>
      <c r="I3466" s="721"/>
      <c r="J3466" s="639"/>
      <c r="K3466" s="1124"/>
    </row>
    <row r="3467" spans="1:11" ht="13.8" thickBot="1" x14ac:dyDescent="0.3">
      <c r="A3467" s="719">
        <v>6</v>
      </c>
      <c r="B3467" s="669"/>
      <c r="C3467" s="1137"/>
      <c r="D3467" s="1137"/>
      <c r="E3467" s="1137"/>
      <c r="F3467" s="1137"/>
      <c r="G3467" s="646"/>
      <c r="H3467" s="669"/>
      <c r="I3467" s="1137"/>
      <c r="J3467" s="646"/>
      <c r="K3467" s="1138"/>
    </row>
    <row r="3468" spans="1:11" x14ac:dyDescent="0.25">
      <c r="A3468" s="1190">
        <v>1</v>
      </c>
      <c r="B3468" s="745"/>
      <c r="C3468" s="1117"/>
      <c r="D3468" s="1117"/>
      <c r="E3468" s="1117"/>
      <c r="F3468" s="1117"/>
      <c r="G3468" s="632"/>
      <c r="H3468" s="745"/>
      <c r="I3468" s="1117"/>
      <c r="J3468" s="632"/>
      <c r="K3468" s="1118"/>
    </row>
    <row r="3469" spans="1:11" x14ac:dyDescent="0.25">
      <c r="A3469" s="718">
        <v>2</v>
      </c>
      <c r="B3469" s="668"/>
      <c r="C3469" s="721"/>
      <c r="D3469" s="721"/>
      <c r="E3469" s="721"/>
      <c r="F3469" s="721"/>
      <c r="G3469" s="639"/>
      <c r="H3469" s="668"/>
      <c r="I3469" s="721"/>
      <c r="J3469" s="639"/>
      <c r="K3469" s="1124"/>
    </row>
    <row r="3470" spans="1:11" ht="13.8" thickBot="1" x14ac:dyDescent="0.3">
      <c r="A3470" s="719">
        <v>3</v>
      </c>
      <c r="B3470" s="669"/>
      <c r="C3470" s="1137"/>
      <c r="D3470" s="1137"/>
      <c r="E3470" s="1137"/>
      <c r="F3470" s="1137"/>
      <c r="G3470" s="646"/>
      <c r="H3470" s="669"/>
      <c r="I3470" s="1137"/>
      <c r="J3470" s="646"/>
      <c r="K3470" s="1138"/>
    </row>
    <row r="3471" spans="1:11" ht="13.8" thickBot="1" x14ac:dyDescent="0.3">
      <c r="A3471" s="1186" t="s">
        <v>833</v>
      </c>
      <c r="B3471" s="1187"/>
      <c r="C3471" s="1188"/>
      <c r="D3471" s="1188"/>
      <c r="E3471" s="1188"/>
      <c r="F3471" s="1188"/>
      <c r="G3471" s="1189"/>
      <c r="H3471" s="1187"/>
      <c r="I3471" s="1188"/>
      <c r="J3471" s="1189"/>
      <c r="K3471" s="716"/>
    </row>
    <row r="3472" spans="1:11" x14ac:dyDescent="0.25">
      <c r="A3472" s="1190">
        <v>1</v>
      </c>
      <c r="B3472" s="745"/>
      <c r="C3472" s="1117"/>
      <c r="D3472" s="1117"/>
      <c r="E3472" s="1117"/>
      <c r="F3472" s="1117"/>
      <c r="G3472" s="632"/>
      <c r="H3472" s="745"/>
      <c r="I3472" s="1117"/>
      <c r="J3472" s="632"/>
      <c r="K3472" s="1118"/>
    </row>
    <row r="3473" spans="1:11" x14ac:dyDescent="0.25">
      <c r="A3473" s="718">
        <v>2</v>
      </c>
      <c r="B3473" s="668"/>
      <c r="C3473" s="721"/>
      <c r="D3473" s="721"/>
      <c r="E3473" s="721"/>
      <c r="F3473" s="721"/>
      <c r="G3473" s="639"/>
      <c r="H3473" s="668"/>
      <c r="I3473" s="721"/>
      <c r="J3473" s="639"/>
      <c r="K3473" s="1124"/>
    </row>
    <row r="3474" spans="1:11" x14ac:dyDescent="0.25">
      <c r="A3474" s="718">
        <v>3</v>
      </c>
      <c r="B3474" s="668"/>
      <c r="C3474" s="721"/>
      <c r="D3474" s="721"/>
      <c r="E3474" s="721"/>
      <c r="F3474" s="721"/>
      <c r="G3474" s="639"/>
      <c r="H3474" s="668"/>
      <c r="I3474" s="721"/>
      <c r="J3474" s="639"/>
      <c r="K3474" s="1124"/>
    </row>
    <row r="3475" spans="1:11" x14ac:dyDescent="0.25">
      <c r="A3475" s="718">
        <v>4</v>
      </c>
      <c r="B3475" s="668"/>
      <c r="C3475" s="721"/>
      <c r="D3475" s="721"/>
      <c r="E3475" s="721"/>
      <c r="F3475" s="721"/>
      <c r="G3475" s="639"/>
      <c r="H3475" s="668"/>
      <c r="I3475" s="721"/>
      <c r="J3475" s="639"/>
      <c r="K3475" s="1124"/>
    </row>
    <row r="3476" spans="1:11" x14ac:dyDescent="0.25">
      <c r="A3476" s="718">
        <v>5</v>
      </c>
      <c r="B3476" s="668"/>
      <c r="C3476" s="721"/>
      <c r="D3476" s="721"/>
      <c r="E3476" s="721"/>
      <c r="F3476" s="721"/>
      <c r="G3476" s="639"/>
      <c r="H3476" s="668"/>
      <c r="I3476" s="721"/>
      <c r="J3476" s="639"/>
      <c r="K3476" s="1124"/>
    </row>
    <row r="3477" spans="1:11" ht="13.8" thickBot="1" x14ac:dyDescent="0.3">
      <c r="A3477" s="719">
        <v>6</v>
      </c>
      <c r="B3477" s="669"/>
      <c r="C3477" s="1137"/>
      <c r="D3477" s="1137"/>
      <c r="E3477" s="1137"/>
      <c r="F3477" s="1137"/>
      <c r="G3477" s="646"/>
      <c r="H3477" s="669"/>
      <c r="I3477" s="1137"/>
      <c r="J3477" s="646"/>
      <c r="K3477" s="1138"/>
    </row>
    <row r="3478" spans="1:11" x14ac:dyDescent="0.25">
      <c r="A3478" s="1190">
        <v>1</v>
      </c>
      <c r="B3478" s="745"/>
      <c r="C3478" s="1117"/>
      <c r="D3478" s="1117"/>
      <c r="E3478" s="1117"/>
      <c r="F3478" s="1117"/>
      <c r="G3478" s="632"/>
      <c r="H3478" s="745"/>
      <c r="I3478" s="1117"/>
      <c r="J3478" s="632"/>
      <c r="K3478" s="1118"/>
    </row>
    <row r="3479" spans="1:11" x14ac:dyDescent="0.25">
      <c r="A3479" s="718">
        <v>2</v>
      </c>
      <c r="B3479" s="668"/>
      <c r="C3479" s="721"/>
      <c r="D3479" s="721"/>
      <c r="E3479" s="721"/>
      <c r="F3479" s="721"/>
      <c r="G3479" s="639"/>
      <c r="H3479" s="668"/>
      <c r="I3479" s="721"/>
      <c r="J3479" s="639"/>
      <c r="K3479" s="1124"/>
    </row>
    <row r="3480" spans="1:11" ht="13.8" thickBot="1" x14ac:dyDescent="0.3">
      <c r="A3480" s="719">
        <v>3</v>
      </c>
      <c r="B3480" s="669"/>
      <c r="C3480" s="1137"/>
      <c r="D3480" s="1137"/>
      <c r="E3480" s="1137"/>
      <c r="F3480" s="1137"/>
      <c r="G3480" s="646"/>
      <c r="H3480" s="669"/>
      <c r="I3480" s="1137"/>
      <c r="J3480" s="646"/>
      <c r="K3480" s="1138"/>
    </row>
    <row r="3481" spans="1:11" ht="13.8" thickBot="1" x14ac:dyDescent="0.3">
      <c r="A3481" s="1186" t="s">
        <v>834</v>
      </c>
      <c r="B3481" s="1187"/>
      <c r="C3481" s="1188"/>
      <c r="D3481" s="1188"/>
      <c r="E3481" s="1188"/>
      <c r="F3481" s="1188"/>
      <c r="G3481" s="1189"/>
      <c r="H3481" s="1187"/>
      <c r="I3481" s="1188"/>
      <c r="J3481" s="1189"/>
      <c r="K3481" s="716"/>
    </row>
    <row r="3482" spans="1:11" x14ac:dyDescent="0.25">
      <c r="A3482" s="1190">
        <v>1</v>
      </c>
      <c r="B3482" s="745"/>
      <c r="C3482" s="1117"/>
      <c r="D3482" s="1117"/>
      <c r="E3482" s="1117"/>
      <c r="F3482" s="1117"/>
      <c r="G3482" s="632"/>
      <c r="H3482" s="745"/>
      <c r="I3482" s="1117"/>
      <c r="J3482" s="632"/>
      <c r="K3482" s="1118"/>
    </row>
    <row r="3483" spans="1:11" x14ac:dyDescent="0.25">
      <c r="A3483" s="718">
        <v>2</v>
      </c>
      <c r="B3483" s="668"/>
      <c r="C3483" s="721"/>
      <c r="D3483" s="721"/>
      <c r="E3483" s="721"/>
      <c r="F3483" s="721"/>
      <c r="G3483" s="639"/>
      <c r="H3483" s="668"/>
      <c r="I3483" s="721"/>
      <c r="J3483" s="639"/>
      <c r="K3483" s="1124"/>
    </row>
    <row r="3484" spans="1:11" x14ac:dyDescent="0.25">
      <c r="A3484" s="718">
        <v>3</v>
      </c>
      <c r="B3484" s="668"/>
      <c r="C3484" s="721"/>
      <c r="D3484" s="721"/>
      <c r="E3484" s="721"/>
      <c r="F3484" s="721"/>
      <c r="G3484" s="639"/>
      <c r="H3484" s="668"/>
      <c r="I3484" s="721"/>
      <c r="J3484" s="639"/>
      <c r="K3484" s="1124"/>
    </row>
    <row r="3485" spans="1:11" x14ac:dyDescent="0.25">
      <c r="A3485" s="718">
        <v>4</v>
      </c>
      <c r="B3485" s="668"/>
      <c r="C3485" s="721"/>
      <c r="D3485" s="721"/>
      <c r="E3485" s="721"/>
      <c r="F3485" s="721"/>
      <c r="G3485" s="639"/>
      <c r="H3485" s="668"/>
      <c r="I3485" s="721"/>
      <c r="J3485" s="639"/>
      <c r="K3485" s="1124"/>
    </row>
    <row r="3486" spans="1:11" x14ac:dyDescent="0.25">
      <c r="A3486" s="718">
        <v>5</v>
      </c>
      <c r="B3486" s="668"/>
      <c r="C3486" s="721"/>
      <c r="D3486" s="721"/>
      <c r="E3486" s="721"/>
      <c r="F3486" s="721"/>
      <c r="G3486" s="639"/>
      <c r="H3486" s="668"/>
      <c r="I3486" s="721"/>
      <c r="J3486" s="639"/>
      <c r="K3486" s="1124"/>
    </row>
    <row r="3487" spans="1:11" ht="13.8" thickBot="1" x14ac:dyDescent="0.3">
      <c r="A3487" s="719">
        <v>6</v>
      </c>
      <c r="B3487" s="669"/>
      <c r="C3487" s="1137"/>
      <c r="D3487" s="1137"/>
      <c r="E3487" s="1137"/>
      <c r="F3487" s="1137"/>
      <c r="G3487" s="646"/>
      <c r="H3487" s="669"/>
      <c r="I3487" s="1137"/>
      <c r="J3487" s="646"/>
      <c r="K3487" s="1138"/>
    </row>
    <row r="3488" spans="1:11" x14ac:dyDescent="0.25">
      <c r="A3488" s="1190">
        <v>1</v>
      </c>
      <c r="B3488" s="745"/>
      <c r="C3488" s="1117"/>
      <c r="D3488" s="1117"/>
      <c r="E3488" s="1117"/>
      <c r="F3488" s="1117"/>
      <c r="G3488" s="632"/>
      <c r="H3488" s="745"/>
      <c r="I3488" s="1117"/>
      <c r="J3488" s="632"/>
      <c r="K3488" s="1118"/>
    </row>
    <row r="3489" spans="1:11" x14ac:dyDescent="0.25">
      <c r="A3489" s="718">
        <v>2</v>
      </c>
      <c r="B3489" s="668"/>
      <c r="C3489" s="721"/>
      <c r="D3489" s="721"/>
      <c r="E3489" s="721"/>
      <c r="F3489" s="721"/>
      <c r="G3489" s="639"/>
      <c r="H3489" s="668"/>
      <c r="I3489" s="721"/>
      <c r="J3489" s="639"/>
      <c r="K3489" s="1124"/>
    </row>
    <row r="3490" spans="1:11" ht="13.8" thickBot="1" x14ac:dyDescent="0.3">
      <c r="A3490" s="1191">
        <v>3</v>
      </c>
      <c r="B3490" s="1132"/>
      <c r="C3490" s="1133"/>
      <c r="D3490" s="1133"/>
      <c r="E3490" s="1133"/>
      <c r="F3490" s="1133"/>
      <c r="G3490" s="1134"/>
      <c r="H3490" s="1132"/>
      <c r="I3490" s="1133"/>
      <c r="J3490" s="1134"/>
      <c r="K3490" s="1147"/>
    </row>
    <row r="3491" spans="1:11" ht="13.8" thickBot="1" x14ac:dyDescent="0.3">
      <c r="A3491" s="1186" t="s">
        <v>835</v>
      </c>
      <c r="B3491" s="1187"/>
      <c r="C3491" s="1188"/>
      <c r="D3491" s="1188"/>
      <c r="E3491" s="1188"/>
      <c r="F3491" s="1188"/>
      <c r="G3491" s="1189"/>
      <c r="H3491" s="1187"/>
      <c r="I3491" s="1188"/>
      <c r="J3491" s="1189"/>
      <c r="K3491" s="716"/>
    </row>
    <row r="3492" spans="1:11" x14ac:dyDescent="0.25">
      <c r="A3492" s="1190">
        <v>1</v>
      </c>
      <c r="B3492" s="745"/>
      <c r="C3492" s="1117"/>
      <c r="D3492" s="1117"/>
      <c r="E3492" s="1117"/>
      <c r="F3492" s="1117"/>
      <c r="G3492" s="632"/>
      <c r="H3492" s="745"/>
      <c r="I3492" s="1117"/>
      <c r="J3492" s="632"/>
      <c r="K3492" s="1118"/>
    </row>
    <row r="3493" spans="1:11" x14ac:dyDescent="0.25">
      <c r="A3493" s="718">
        <v>2</v>
      </c>
      <c r="B3493" s="668"/>
      <c r="C3493" s="721"/>
      <c r="D3493" s="721"/>
      <c r="E3493" s="721"/>
      <c r="F3493" s="721"/>
      <c r="G3493" s="639"/>
      <c r="H3493" s="668"/>
      <c r="I3493" s="721"/>
      <c r="J3493" s="639"/>
      <c r="K3493" s="1124"/>
    </row>
    <row r="3494" spans="1:11" x14ac:dyDescent="0.25">
      <c r="A3494" s="718">
        <v>3</v>
      </c>
      <c r="B3494" s="668"/>
      <c r="C3494" s="721"/>
      <c r="D3494" s="721"/>
      <c r="E3494" s="721"/>
      <c r="F3494" s="721"/>
      <c r="G3494" s="639"/>
      <c r="H3494" s="668"/>
      <c r="I3494" s="721"/>
      <c r="J3494" s="639"/>
      <c r="K3494" s="1124"/>
    </row>
    <row r="3495" spans="1:11" x14ac:dyDescent="0.25">
      <c r="A3495" s="718">
        <v>4</v>
      </c>
      <c r="B3495" s="668"/>
      <c r="C3495" s="721"/>
      <c r="D3495" s="721"/>
      <c r="E3495" s="721"/>
      <c r="F3495" s="721"/>
      <c r="G3495" s="639"/>
      <c r="H3495" s="668"/>
      <c r="I3495" s="721"/>
      <c r="J3495" s="639"/>
      <c r="K3495" s="1124"/>
    </row>
    <row r="3496" spans="1:11" x14ac:dyDescent="0.25">
      <c r="A3496" s="718">
        <v>5</v>
      </c>
      <c r="B3496" s="668"/>
      <c r="C3496" s="721"/>
      <c r="D3496" s="721"/>
      <c r="E3496" s="721"/>
      <c r="F3496" s="721"/>
      <c r="G3496" s="639"/>
      <c r="H3496" s="668"/>
      <c r="I3496" s="721"/>
      <c r="J3496" s="639"/>
      <c r="K3496" s="1124"/>
    </row>
    <row r="3497" spans="1:11" ht="13.8" thickBot="1" x14ac:dyDescent="0.3">
      <c r="A3497" s="719">
        <v>6</v>
      </c>
      <c r="B3497" s="669"/>
      <c r="C3497" s="1137"/>
      <c r="D3497" s="1137"/>
      <c r="E3497" s="1137"/>
      <c r="F3497" s="1137"/>
      <c r="G3497" s="646"/>
      <c r="H3497" s="669"/>
      <c r="I3497" s="1137"/>
      <c r="J3497" s="646"/>
      <c r="K3497" s="1138"/>
    </row>
    <row r="3498" spans="1:11" x14ac:dyDescent="0.25">
      <c r="A3498" s="1190">
        <v>1</v>
      </c>
      <c r="B3498" s="745"/>
      <c r="C3498" s="1117"/>
      <c r="D3498" s="1117"/>
      <c r="E3498" s="1117"/>
      <c r="F3498" s="1117"/>
      <c r="G3498" s="632"/>
      <c r="H3498" s="745"/>
      <c r="I3498" s="1117"/>
      <c r="J3498" s="632"/>
      <c r="K3498" s="1118"/>
    </row>
    <row r="3499" spans="1:11" x14ac:dyDescent="0.25">
      <c r="A3499" s="718">
        <v>2</v>
      </c>
      <c r="B3499" s="668"/>
      <c r="C3499" s="721"/>
      <c r="D3499" s="721"/>
      <c r="E3499" s="721"/>
      <c r="F3499" s="721"/>
      <c r="G3499" s="639"/>
      <c r="H3499" s="668"/>
      <c r="I3499" s="721"/>
      <c r="J3499" s="639"/>
      <c r="K3499" s="1124"/>
    </row>
    <row r="3500" spans="1:11" ht="13.8" thickBot="1" x14ac:dyDescent="0.3">
      <c r="A3500" s="719">
        <v>3</v>
      </c>
      <c r="B3500" s="669"/>
      <c r="C3500" s="1137"/>
      <c r="D3500" s="1137"/>
      <c r="E3500" s="1137"/>
      <c r="F3500" s="1137"/>
      <c r="G3500" s="646"/>
      <c r="H3500" s="669"/>
      <c r="I3500" s="1137"/>
      <c r="J3500" s="646"/>
      <c r="K3500" s="1138"/>
    </row>
    <row r="3501" spans="1:11" ht="13.8" thickBot="1" x14ac:dyDescent="0.3">
      <c r="A3501" s="1186" t="s">
        <v>836</v>
      </c>
      <c r="B3501" s="1187"/>
      <c r="C3501" s="1188"/>
      <c r="D3501" s="1188"/>
      <c r="E3501" s="1188"/>
      <c r="F3501" s="1188"/>
      <c r="G3501" s="1189"/>
      <c r="H3501" s="1187"/>
      <c r="I3501" s="1188"/>
      <c r="J3501" s="1189"/>
      <c r="K3501" s="716"/>
    </row>
    <row r="3502" spans="1:11" x14ac:dyDescent="0.25">
      <c r="A3502" s="1190">
        <v>1</v>
      </c>
      <c r="B3502" s="745"/>
      <c r="C3502" s="1117"/>
      <c r="D3502" s="1117"/>
      <c r="E3502" s="1117"/>
      <c r="F3502" s="1117"/>
      <c r="G3502" s="632"/>
      <c r="H3502" s="745"/>
      <c r="I3502" s="1117"/>
      <c r="J3502" s="632"/>
      <c r="K3502" s="1118"/>
    </row>
    <row r="3503" spans="1:11" x14ac:dyDescent="0.25">
      <c r="A3503" s="718">
        <v>2</v>
      </c>
      <c r="B3503" s="668"/>
      <c r="C3503" s="721"/>
      <c r="D3503" s="721"/>
      <c r="E3503" s="721"/>
      <c r="F3503" s="721"/>
      <c r="G3503" s="639"/>
      <c r="H3503" s="668"/>
      <c r="I3503" s="721"/>
      <c r="J3503" s="639"/>
      <c r="K3503" s="1124"/>
    </row>
    <row r="3504" spans="1:11" x14ac:dyDescent="0.25">
      <c r="A3504" s="718">
        <v>3</v>
      </c>
      <c r="B3504" s="668"/>
      <c r="C3504" s="721"/>
      <c r="D3504" s="721"/>
      <c r="E3504" s="721"/>
      <c r="F3504" s="721"/>
      <c r="G3504" s="639"/>
      <c r="H3504" s="668"/>
      <c r="I3504" s="721"/>
      <c r="J3504" s="639"/>
      <c r="K3504" s="1124"/>
    </row>
    <row r="3505" spans="1:11" x14ac:dyDescent="0.25">
      <c r="A3505" s="718">
        <v>4</v>
      </c>
      <c r="B3505" s="668"/>
      <c r="C3505" s="721"/>
      <c r="D3505" s="721"/>
      <c r="E3505" s="721"/>
      <c r="F3505" s="721"/>
      <c r="G3505" s="639"/>
      <c r="H3505" s="668"/>
      <c r="I3505" s="721"/>
      <c r="J3505" s="639"/>
      <c r="K3505" s="1124"/>
    </row>
    <row r="3506" spans="1:11" x14ac:dyDescent="0.25">
      <c r="A3506" s="718">
        <v>5</v>
      </c>
      <c r="B3506" s="668"/>
      <c r="C3506" s="721"/>
      <c r="D3506" s="721"/>
      <c r="E3506" s="721"/>
      <c r="F3506" s="721"/>
      <c r="G3506" s="639"/>
      <c r="H3506" s="668"/>
      <c r="I3506" s="721"/>
      <c r="J3506" s="639"/>
      <c r="K3506" s="1124"/>
    </row>
    <row r="3507" spans="1:11" ht="13.8" thickBot="1" x14ac:dyDescent="0.3">
      <c r="A3507" s="719">
        <v>6</v>
      </c>
      <c r="B3507" s="669"/>
      <c r="C3507" s="1137"/>
      <c r="D3507" s="1137"/>
      <c r="E3507" s="1137"/>
      <c r="F3507" s="1137"/>
      <c r="G3507" s="646"/>
      <c r="H3507" s="669"/>
      <c r="I3507" s="1137"/>
      <c r="J3507" s="646"/>
      <c r="K3507" s="1138"/>
    </row>
    <row r="3508" spans="1:11" x14ac:dyDescent="0.25">
      <c r="A3508" s="1190">
        <v>1</v>
      </c>
      <c r="B3508" s="745"/>
      <c r="C3508" s="1117"/>
      <c r="D3508" s="1117"/>
      <c r="E3508" s="1117"/>
      <c r="F3508" s="1117"/>
      <c r="G3508" s="632"/>
      <c r="H3508" s="745"/>
      <c r="I3508" s="1117"/>
      <c r="J3508" s="632"/>
      <c r="K3508" s="1118"/>
    </row>
    <row r="3509" spans="1:11" x14ac:dyDescent="0.25">
      <c r="A3509" s="718">
        <v>2</v>
      </c>
      <c r="B3509" s="668"/>
      <c r="C3509" s="721"/>
      <c r="D3509" s="721"/>
      <c r="E3509" s="721"/>
      <c r="F3509" s="721"/>
      <c r="G3509" s="639"/>
      <c r="H3509" s="668"/>
      <c r="I3509" s="721"/>
      <c r="J3509" s="639"/>
      <c r="K3509" s="1124"/>
    </row>
    <row r="3510" spans="1:11" ht="13.8" thickBot="1" x14ac:dyDescent="0.3">
      <c r="A3510" s="719">
        <v>3</v>
      </c>
      <c r="B3510" s="669"/>
      <c r="C3510" s="1137"/>
      <c r="D3510" s="1137"/>
      <c r="E3510" s="1137"/>
      <c r="F3510" s="1137"/>
      <c r="G3510" s="646"/>
      <c r="H3510" s="669"/>
      <c r="I3510" s="1137"/>
      <c r="J3510" s="646"/>
      <c r="K3510" s="1138"/>
    </row>
    <row r="3511" spans="1:11" ht="13.8" thickBot="1" x14ac:dyDescent="0.3">
      <c r="A3511" s="1186" t="s">
        <v>837</v>
      </c>
      <c r="B3511" s="1187"/>
      <c r="C3511" s="1188"/>
      <c r="D3511" s="1188"/>
      <c r="E3511" s="1188"/>
      <c r="F3511" s="1188"/>
      <c r="G3511" s="1189"/>
      <c r="H3511" s="1187"/>
      <c r="I3511" s="1188"/>
      <c r="J3511" s="1189"/>
      <c r="K3511" s="716"/>
    </row>
    <row r="3512" spans="1:11" x14ac:dyDescent="0.25">
      <c r="A3512" s="1190">
        <v>1</v>
      </c>
      <c r="B3512" s="745"/>
      <c r="C3512" s="1117"/>
      <c r="D3512" s="1117"/>
      <c r="E3512" s="1117"/>
      <c r="F3512" s="1117"/>
      <c r="G3512" s="632"/>
      <c r="H3512" s="745"/>
      <c r="I3512" s="1117"/>
      <c r="J3512" s="632"/>
      <c r="K3512" s="1118"/>
    </row>
    <row r="3513" spans="1:11" x14ac:dyDescent="0.25">
      <c r="A3513" s="718">
        <v>2</v>
      </c>
      <c r="B3513" s="668"/>
      <c r="C3513" s="721"/>
      <c r="D3513" s="721"/>
      <c r="E3513" s="721"/>
      <c r="F3513" s="721"/>
      <c r="G3513" s="639"/>
      <c r="H3513" s="668"/>
      <c r="I3513" s="721"/>
      <c r="J3513" s="639"/>
      <c r="K3513" s="1124"/>
    </row>
    <row r="3514" spans="1:11" x14ac:dyDescent="0.25">
      <c r="A3514" s="718">
        <v>3</v>
      </c>
      <c r="B3514" s="668"/>
      <c r="C3514" s="721"/>
      <c r="D3514" s="721"/>
      <c r="E3514" s="721"/>
      <c r="F3514" s="721"/>
      <c r="G3514" s="639"/>
      <c r="H3514" s="668"/>
      <c r="I3514" s="721"/>
      <c r="J3514" s="639"/>
      <c r="K3514" s="1124"/>
    </row>
    <row r="3515" spans="1:11" x14ac:dyDescent="0.25">
      <c r="A3515" s="718">
        <v>4</v>
      </c>
      <c r="B3515" s="668"/>
      <c r="C3515" s="721"/>
      <c r="D3515" s="721"/>
      <c r="E3515" s="721"/>
      <c r="F3515" s="721"/>
      <c r="G3515" s="639"/>
      <c r="H3515" s="668"/>
      <c r="I3515" s="721"/>
      <c r="J3515" s="639"/>
      <c r="K3515" s="1124"/>
    </row>
    <row r="3516" spans="1:11" x14ac:dyDescent="0.25">
      <c r="A3516" s="718">
        <v>5</v>
      </c>
      <c r="B3516" s="668"/>
      <c r="C3516" s="721"/>
      <c r="D3516" s="721"/>
      <c r="E3516" s="721"/>
      <c r="F3516" s="721"/>
      <c r="G3516" s="639"/>
      <c r="H3516" s="668"/>
      <c r="I3516" s="721"/>
      <c r="J3516" s="639"/>
      <c r="K3516" s="1124"/>
    </row>
    <row r="3517" spans="1:11" ht="13.8" thickBot="1" x14ac:dyDescent="0.3">
      <c r="A3517" s="719">
        <v>6</v>
      </c>
      <c r="B3517" s="669"/>
      <c r="C3517" s="1137"/>
      <c r="D3517" s="1137"/>
      <c r="E3517" s="1137"/>
      <c r="F3517" s="1137"/>
      <c r="G3517" s="646"/>
      <c r="H3517" s="669"/>
      <c r="I3517" s="1137"/>
      <c r="J3517" s="646"/>
      <c r="K3517" s="1138"/>
    </row>
    <row r="3518" spans="1:11" x14ac:dyDescent="0.25">
      <c r="A3518" s="1190">
        <v>1</v>
      </c>
      <c r="B3518" s="745"/>
      <c r="C3518" s="1117"/>
      <c r="D3518" s="1117"/>
      <c r="E3518" s="1117"/>
      <c r="F3518" s="1117"/>
      <c r="G3518" s="632"/>
      <c r="H3518" s="745"/>
      <c r="I3518" s="1117"/>
      <c r="J3518" s="632"/>
      <c r="K3518" s="1118"/>
    </row>
    <row r="3519" spans="1:11" x14ac:dyDescent="0.25">
      <c r="A3519" s="718">
        <v>2</v>
      </c>
      <c r="B3519" s="668"/>
      <c r="C3519" s="721"/>
      <c r="D3519" s="721"/>
      <c r="E3519" s="721"/>
      <c r="F3519" s="721"/>
      <c r="G3519" s="639"/>
      <c r="H3519" s="668"/>
      <c r="I3519" s="721"/>
      <c r="J3519" s="639"/>
      <c r="K3519" s="1124"/>
    </row>
    <row r="3520" spans="1:11" ht="13.8" thickBot="1" x14ac:dyDescent="0.3">
      <c r="A3520" s="719">
        <v>3</v>
      </c>
      <c r="B3520" s="669"/>
      <c r="C3520" s="1137"/>
      <c r="D3520" s="1137"/>
      <c r="E3520" s="1137"/>
      <c r="F3520" s="1137"/>
      <c r="G3520" s="646"/>
      <c r="H3520" s="669"/>
      <c r="I3520" s="1137"/>
      <c r="J3520" s="646"/>
      <c r="K3520" s="1138"/>
    </row>
    <row r="3521" spans="1:11" ht="13.8" thickBot="1" x14ac:dyDescent="0.3">
      <c r="A3521" s="1186" t="s">
        <v>838</v>
      </c>
      <c r="B3521" s="1187"/>
      <c r="C3521" s="1188"/>
      <c r="D3521" s="1188"/>
      <c r="E3521" s="1188"/>
      <c r="F3521" s="1188"/>
      <c r="G3521" s="1189"/>
      <c r="H3521" s="1187"/>
      <c r="I3521" s="1188"/>
      <c r="J3521" s="1189"/>
      <c r="K3521" s="716"/>
    </row>
    <row r="3522" spans="1:11" x14ac:dyDescent="0.25">
      <c r="A3522" s="1190">
        <v>1</v>
      </c>
      <c r="B3522" s="745"/>
      <c r="C3522" s="1117"/>
      <c r="D3522" s="1117"/>
      <c r="E3522" s="1117"/>
      <c r="F3522" s="1117"/>
      <c r="G3522" s="632"/>
      <c r="H3522" s="745"/>
      <c r="I3522" s="1117"/>
      <c r="J3522" s="632"/>
      <c r="K3522" s="1118"/>
    </row>
    <row r="3523" spans="1:11" x14ac:dyDescent="0.25">
      <c r="A3523" s="718">
        <v>2</v>
      </c>
      <c r="B3523" s="668"/>
      <c r="C3523" s="721"/>
      <c r="D3523" s="721"/>
      <c r="E3523" s="721"/>
      <c r="F3523" s="721"/>
      <c r="G3523" s="639"/>
      <c r="H3523" s="668"/>
      <c r="I3523" s="721"/>
      <c r="J3523" s="639"/>
      <c r="K3523" s="1124"/>
    </row>
    <row r="3524" spans="1:11" x14ac:dyDescent="0.25">
      <c r="A3524" s="718">
        <v>3</v>
      </c>
      <c r="B3524" s="668"/>
      <c r="C3524" s="721"/>
      <c r="D3524" s="721"/>
      <c r="E3524" s="721"/>
      <c r="F3524" s="721"/>
      <c r="G3524" s="639"/>
      <c r="H3524" s="668"/>
      <c r="I3524" s="721"/>
      <c r="J3524" s="639"/>
      <c r="K3524" s="1124"/>
    </row>
    <row r="3525" spans="1:11" x14ac:dyDescent="0.25">
      <c r="A3525" s="718">
        <v>4</v>
      </c>
      <c r="B3525" s="668"/>
      <c r="C3525" s="721"/>
      <c r="D3525" s="721"/>
      <c r="E3525" s="721"/>
      <c r="F3525" s="721"/>
      <c r="G3525" s="639"/>
      <c r="H3525" s="668"/>
      <c r="I3525" s="721"/>
      <c r="J3525" s="639"/>
      <c r="K3525" s="1124"/>
    </row>
    <row r="3526" spans="1:11" x14ac:dyDescent="0.25">
      <c r="A3526" s="718">
        <v>5</v>
      </c>
      <c r="B3526" s="668"/>
      <c r="C3526" s="721"/>
      <c r="D3526" s="721"/>
      <c r="E3526" s="721"/>
      <c r="F3526" s="721"/>
      <c r="G3526" s="639"/>
      <c r="H3526" s="668"/>
      <c r="I3526" s="721"/>
      <c r="J3526" s="639"/>
      <c r="K3526" s="1124"/>
    </row>
    <row r="3527" spans="1:11" ht="13.8" thickBot="1" x14ac:dyDescent="0.3">
      <c r="A3527" s="719">
        <v>6</v>
      </c>
      <c r="B3527" s="669"/>
      <c r="C3527" s="1137"/>
      <c r="D3527" s="1137"/>
      <c r="E3527" s="1137"/>
      <c r="F3527" s="1137"/>
      <c r="G3527" s="646"/>
      <c r="H3527" s="669"/>
      <c r="I3527" s="1137"/>
      <c r="J3527" s="646"/>
      <c r="K3527" s="1138"/>
    </row>
    <row r="3528" spans="1:11" x14ac:dyDescent="0.25">
      <c r="A3528" s="1190">
        <v>1</v>
      </c>
      <c r="B3528" s="745"/>
      <c r="C3528" s="1117"/>
      <c r="D3528" s="1117"/>
      <c r="E3528" s="1117"/>
      <c r="F3528" s="1117"/>
      <c r="G3528" s="632"/>
      <c r="H3528" s="745"/>
      <c r="I3528" s="1117"/>
      <c r="J3528" s="632"/>
      <c r="K3528" s="1118"/>
    </row>
    <row r="3529" spans="1:11" x14ac:dyDescent="0.25">
      <c r="A3529" s="718">
        <v>2</v>
      </c>
      <c r="B3529" s="668"/>
      <c r="C3529" s="721"/>
      <c r="D3529" s="721"/>
      <c r="E3529" s="721"/>
      <c r="F3529" s="721"/>
      <c r="G3529" s="639"/>
      <c r="H3529" s="668"/>
      <c r="I3529" s="721"/>
      <c r="J3529" s="639"/>
      <c r="K3529" s="1124"/>
    </row>
    <row r="3530" spans="1:11" ht="13.8" thickBot="1" x14ac:dyDescent="0.3">
      <c r="A3530" s="1191">
        <v>3</v>
      </c>
      <c r="B3530" s="1132"/>
      <c r="C3530" s="1133"/>
      <c r="D3530" s="1133"/>
      <c r="E3530" s="1133"/>
      <c r="F3530" s="1133"/>
      <c r="G3530" s="1134"/>
      <c r="H3530" s="1132"/>
      <c r="I3530" s="1133"/>
      <c r="J3530" s="1134"/>
      <c r="K3530" s="1147"/>
    </row>
    <row r="3531" spans="1:11" ht="13.8" thickBot="1" x14ac:dyDescent="0.3">
      <c r="A3531" s="1186" t="s">
        <v>839</v>
      </c>
      <c r="B3531" s="1187"/>
      <c r="C3531" s="1188"/>
      <c r="D3531" s="1188"/>
      <c r="E3531" s="1188"/>
      <c r="F3531" s="1188"/>
      <c r="G3531" s="1189"/>
      <c r="H3531" s="1187"/>
      <c r="I3531" s="1188"/>
      <c r="J3531" s="1189"/>
      <c r="K3531" s="716"/>
    </row>
    <row r="3532" spans="1:11" x14ac:dyDescent="0.25">
      <c r="A3532" s="1190">
        <v>1</v>
      </c>
      <c r="B3532" s="745"/>
      <c r="C3532" s="1117"/>
      <c r="D3532" s="1117"/>
      <c r="E3532" s="1117"/>
      <c r="F3532" s="1117"/>
      <c r="G3532" s="632"/>
      <c r="H3532" s="745"/>
      <c r="I3532" s="1117"/>
      <c r="J3532" s="632"/>
      <c r="K3532" s="1118"/>
    </row>
    <row r="3533" spans="1:11" x14ac:dyDescent="0.25">
      <c r="A3533" s="718">
        <v>2</v>
      </c>
      <c r="B3533" s="668"/>
      <c r="C3533" s="721"/>
      <c r="D3533" s="721"/>
      <c r="E3533" s="721"/>
      <c r="F3533" s="721"/>
      <c r="G3533" s="639"/>
      <c r="H3533" s="668"/>
      <c r="I3533" s="721"/>
      <c r="J3533" s="639"/>
      <c r="K3533" s="1124"/>
    </row>
    <row r="3534" spans="1:11" x14ac:dyDescent="0.25">
      <c r="A3534" s="718">
        <v>3</v>
      </c>
      <c r="B3534" s="668"/>
      <c r="C3534" s="721"/>
      <c r="D3534" s="721"/>
      <c r="E3534" s="721"/>
      <c r="F3534" s="721"/>
      <c r="G3534" s="639"/>
      <c r="H3534" s="668"/>
      <c r="I3534" s="721"/>
      <c r="J3534" s="639"/>
      <c r="K3534" s="1124"/>
    </row>
    <row r="3535" spans="1:11" x14ac:dyDescent="0.25">
      <c r="A3535" s="718">
        <v>4</v>
      </c>
      <c r="B3535" s="668"/>
      <c r="C3535" s="721"/>
      <c r="D3535" s="721"/>
      <c r="E3535" s="721"/>
      <c r="F3535" s="721"/>
      <c r="G3535" s="639"/>
      <c r="H3535" s="668"/>
      <c r="I3535" s="721"/>
      <c r="J3535" s="639"/>
      <c r="K3535" s="1124"/>
    </row>
    <row r="3536" spans="1:11" x14ac:dyDescent="0.25">
      <c r="A3536" s="718">
        <v>5</v>
      </c>
      <c r="B3536" s="668"/>
      <c r="C3536" s="721"/>
      <c r="D3536" s="721"/>
      <c r="E3536" s="721"/>
      <c r="F3536" s="721"/>
      <c r="G3536" s="639"/>
      <c r="H3536" s="668"/>
      <c r="I3536" s="721"/>
      <c r="J3536" s="639"/>
      <c r="K3536" s="1124"/>
    </row>
    <row r="3537" spans="1:11" ht="13.8" thickBot="1" x14ac:dyDescent="0.3">
      <c r="A3537" s="719">
        <v>6</v>
      </c>
      <c r="B3537" s="669"/>
      <c r="C3537" s="1137"/>
      <c r="D3537" s="1137"/>
      <c r="E3537" s="1137"/>
      <c r="F3537" s="1137"/>
      <c r="G3537" s="646"/>
      <c r="H3537" s="669"/>
      <c r="I3537" s="1137"/>
      <c r="J3537" s="646"/>
      <c r="K3537" s="1138"/>
    </row>
    <row r="3538" spans="1:11" x14ac:dyDescent="0.25">
      <c r="A3538" s="1190">
        <v>1</v>
      </c>
      <c r="B3538" s="745"/>
      <c r="C3538" s="1117"/>
      <c r="D3538" s="1117"/>
      <c r="E3538" s="1117"/>
      <c r="F3538" s="1117"/>
      <c r="G3538" s="632"/>
      <c r="H3538" s="745"/>
      <c r="I3538" s="1117"/>
      <c r="J3538" s="632"/>
      <c r="K3538" s="1118"/>
    </row>
    <row r="3539" spans="1:11" x14ac:dyDescent="0.25">
      <c r="A3539" s="718">
        <v>2</v>
      </c>
      <c r="B3539" s="668"/>
      <c r="C3539" s="721"/>
      <c r="D3539" s="721"/>
      <c r="E3539" s="721"/>
      <c r="F3539" s="721"/>
      <c r="G3539" s="639"/>
      <c r="H3539" s="668"/>
      <c r="I3539" s="721"/>
      <c r="J3539" s="639"/>
      <c r="K3539" s="1124"/>
    </row>
    <row r="3540" spans="1:11" ht="13.8" thickBot="1" x14ac:dyDescent="0.3">
      <c r="A3540" s="719">
        <v>3</v>
      </c>
      <c r="B3540" s="669"/>
      <c r="C3540" s="1137"/>
      <c r="D3540" s="1137"/>
      <c r="E3540" s="1137"/>
      <c r="F3540" s="1137"/>
      <c r="G3540" s="646"/>
      <c r="H3540" s="669"/>
      <c r="I3540" s="1137"/>
      <c r="J3540" s="646"/>
      <c r="K3540" s="1138"/>
    </row>
    <row r="3541" spans="1:11" ht="13.8" thickBot="1" x14ac:dyDescent="0.3">
      <c r="A3541" s="1186" t="s">
        <v>840</v>
      </c>
      <c r="B3541" s="1187"/>
      <c r="C3541" s="1188"/>
      <c r="D3541" s="1188"/>
      <c r="E3541" s="1188"/>
      <c r="F3541" s="1188"/>
      <c r="G3541" s="1189"/>
      <c r="H3541" s="1187"/>
      <c r="I3541" s="1188"/>
      <c r="J3541" s="1189"/>
      <c r="K3541" s="716"/>
    </row>
    <row r="3542" spans="1:11" x14ac:dyDescent="0.25">
      <c r="A3542" s="1190">
        <v>1</v>
      </c>
      <c r="B3542" s="745"/>
      <c r="C3542" s="1117"/>
      <c r="D3542" s="1117"/>
      <c r="E3542" s="1117"/>
      <c r="F3542" s="1117"/>
      <c r="G3542" s="632"/>
      <c r="H3542" s="745"/>
      <c r="I3542" s="1117"/>
      <c r="J3542" s="632"/>
      <c r="K3542" s="1118"/>
    </row>
    <row r="3543" spans="1:11" x14ac:dyDescent="0.25">
      <c r="A3543" s="718">
        <v>2</v>
      </c>
      <c r="B3543" s="668"/>
      <c r="C3543" s="721"/>
      <c r="D3543" s="721"/>
      <c r="E3543" s="721"/>
      <c r="F3543" s="721"/>
      <c r="G3543" s="639"/>
      <c r="H3543" s="668"/>
      <c r="I3543" s="721"/>
      <c r="J3543" s="639"/>
      <c r="K3543" s="1124"/>
    </row>
    <row r="3544" spans="1:11" x14ac:dyDescent="0.25">
      <c r="A3544" s="718">
        <v>3</v>
      </c>
      <c r="B3544" s="668"/>
      <c r="C3544" s="721"/>
      <c r="D3544" s="721"/>
      <c r="E3544" s="721"/>
      <c r="F3544" s="721"/>
      <c r="G3544" s="639"/>
      <c r="H3544" s="668"/>
      <c r="I3544" s="721"/>
      <c r="J3544" s="639"/>
      <c r="K3544" s="1124"/>
    </row>
    <row r="3545" spans="1:11" x14ac:dyDescent="0.25">
      <c r="A3545" s="718">
        <v>4</v>
      </c>
      <c r="B3545" s="668"/>
      <c r="C3545" s="721"/>
      <c r="D3545" s="721"/>
      <c r="E3545" s="721"/>
      <c r="F3545" s="721"/>
      <c r="G3545" s="639"/>
      <c r="H3545" s="668"/>
      <c r="I3545" s="721"/>
      <c r="J3545" s="639"/>
      <c r="K3545" s="1124"/>
    </row>
    <row r="3546" spans="1:11" x14ac:dyDescent="0.25">
      <c r="A3546" s="718">
        <v>5</v>
      </c>
      <c r="B3546" s="668"/>
      <c r="C3546" s="721"/>
      <c r="D3546" s="721"/>
      <c r="E3546" s="721"/>
      <c r="F3546" s="721"/>
      <c r="G3546" s="639"/>
      <c r="H3546" s="668"/>
      <c r="I3546" s="721"/>
      <c r="J3546" s="639"/>
      <c r="K3546" s="1124"/>
    </row>
    <row r="3547" spans="1:11" ht="13.8" thickBot="1" x14ac:dyDescent="0.3">
      <c r="A3547" s="719">
        <v>6</v>
      </c>
      <c r="B3547" s="669"/>
      <c r="C3547" s="1137"/>
      <c r="D3547" s="1137"/>
      <c r="E3547" s="1137"/>
      <c r="F3547" s="1137"/>
      <c r="G3547" s="646"/>
      <c r="H3547" s="669"/>
      <c r="I3547" s="1137"/>
      <c r="J3547" s="646"/>
      <c r="K3547" s="1138"/>
    </row>
    <row r="3548" spans="1:11" x14ac:dyDescent="0.25">
      <c r="A3548" s="1190">
        <v>1</v>
      </c>
      <c r="B3548" s="745"/>
      <c r="C3548" s="1117"/>
      <c r="D3548" s="1117"/>
      <c r="E3548" s="1117"/>
      <c r="F3548" s="1117"/>
      <c r="G3548" s="632"/>
      <c r="H3548" s="745"/>
      <c r="I3548" s="1117"/>
      <c r="J3548" s="632"/>
      <c r="K3548" s="1118"/>
    </row>
    <row r="3549" spans="1:11" x14ac:dyDescent="0.25">
      <c r="A3549" s="718">
        <v>2</v>
      </c>
      <c r="B3549" s="668"/>
      <c r="C3549" s="721"/>
      <c r="D3549" s="721"/>
      <c r="E3549" s="721"/>
      <c r="F3549" s="721"/>
      <c r="G3549" s="639"/>
      <c r="H3549" s="668"/>
      <c r="I3549" s="721"/>
      <c r="J3549" s="639"/>
      <c r="K3549" s="1124"/>
    </row>
    <row r="3550" spans="1:11" ht="13.8" thickBot="1" x14ac:dyDescent="0.3">
      <c r="A3550" s="719">
        <v>3</v>
      </c>
      <c r="B3550" s="669"/>
      <c r="C3550" s="1137"/>
      <c r="D3550" s="1137"/>
      <c r="E3550" s="1137"/>
      <c r="F3550" s="1137"/>
      <c r="G3550" s="646"/>
      <c r="H3550" s="669"/>
      <c r="I3550" s="1137"/>
      <c r="J3550" s="646"/>
      <c r="K3550" s="1138"/>
    </row>
    <row r="3551" spans="1:11" ht="13.8" thickBot="1" x14ac:dyDescent="0.3">
      <c r="A3551" s="1186" t="s">
        <v>841</v>
      </c>
      <c r="B3551" s="1187"/>
      <c r="C3551" s="1188"/>
      <c r="D3551" s="1188"/>
      <c r="E3551" s="1188"/>
      <c r="F3551" s="1188"/>
      <c r="G3551" s="1189"/>
      <c r="H3551" s="1187"/>
      <c r="I3551" s="1188"/>
      <c r="J3551" s="1189"/>
      <c r="K3551" s="716"/>
    </row>
    <row r="3552" spans="1:11" x14ac:dyDescent="0.25">
      <c r="A3552" s="1190">
        <v>1</v>
      </c>
      <c r="B3552" s="745"/>
      <c r="C3552" s="1117"/>
      <c r="D3552" s="1117"/>
      <c r="E3552" s="1117"/>
      <c r="F3552" s="1117"/>
      <c r="G3552" s="632"/>
      <c r="H3552" s="745"/>
      <c r="I3552" s="1117"/>
      <c r="J3552" s="632"/>
      <c r="K3552" s="1118"/>
    </row>
    <row r="3553" spans="1:11" x14ac:dyDescent="0.25">
      <c r="A3553" s="718">
        <v>2</v>
      </c>
      <c r="B3553" s="668"/>
      <c r="C3553" s="721"/>
      <c r="D3553" s="721"/>
      <c r="E3553" s="721"/>
      <c r="F3553" s="721"/>
      <c r="G3553" s="639"/>
      <c r="H3553" s="668"/>
      <c r="I3553" s="721"/>
      <c r="J3553" s="639"/>
      <c r="K3553" s="1124"/>
    </row>
    <row r="3554" spans="1:11" x14ac:dyDescent="0.25">
      <c r="A3554" s="718">
        <v>3</v>
      </c>
      <c r="B3554" s="668"/>
      <c r="C3554" s="721"/>
      <c r="D3554" s="721"/>
      <c r="E3554" s="721"/>
      <c r="F3554" s="721"/>
      <c r="G3554" s="639"/>
      <c r="H3554" s="668"/>
      <c r="I3554" s="721"/>
      <c r="J3554" s="639"/>
      <c r="K3554" s="1124"/>
    </row>
    <row r="3555" spans="1:11" x14ac:dyDescent="0.25">
      <c r="A3555" s="718">
        <v>4</v>
      </c>
      <c r="B3555" s="668"/>
      <c r="C3555" s="721"/>
      <c r="D3555" s="721"/>
      <c r="E3555" s="721"/>
      <c r="F3555" s="721"/>
      <c r="G3555" s="639"/>
      <c r="H3555" s="668"/>
      <c r="I3555" s="721"/>
      <c r="J3555" s="639"/>
      <c r="K3555" s="1124"/>
    </row>
    <row r="3556" spans="1:11" x14ac:dyDescent="0.25">
      <c r="A3556" s="718">
        <v>5</v>
      </c>
      <c r="B3556" s="668"/>
      <c r="C3556" s="721"/>
      <c r="D3556" s="721"/>
      <c r="E3556" s="721"/>
      <c r="F3556" s="721"/>
      <c r="G3556" s="639"/>
      <c r="H3556" s="668"/>
      <c r="I3556" s="721"/>
      <c r="J3556" s="639"/>
      <c r="K3556" s="1124"/>
    </row>
    <row r="3557" spans="1:11" ht="13.8" thickBot="1" x14ac:dyDescent="0.3">
      <c r="A3557" s="719">
        <v>6</v>
      </c>
      <c r="B3557" s="669"/>
      <c r="C3557" s="1137"/>
      <c r="D3557" s="1137"/>
      <c r="E3557" s="1137"/>
      <c r="F3557" s="1137"/>
      <c r="G3557" s="646"/>
      <c r="H3557" s="669"/>
      <c r="I3557" s="1137"/>
      <c r="J3557" s="646"/>
      <c r="K3557" s="1138"/>
    </row>
    <row r="3558" spans="1:11" x14ac:dyDescent="0.25">
      <c r="A3558" s="1190">
        <v>1</v>
      </c>
      <c r="B3558" s="745"/>
      <c r="C3558" s="1117"/>
      <c r="D3558" s="1117"/>
      <c r="E3558" s="1117"/>
      <c r="F3558" s="1117"/>
      <c r="G3558" s="632"/>
      <c r="H3558" s="745"/>
      <c r="I3558" s="1117"/>
      <c r="J3558" s="632"/>
      <c r="K3558" s="1118"/>
    </row>
    <row r="3559" spans="1:11" x14ac:dyDescent="0.25">
      <c r="A3559" s="718">
        <v>2</v>
      </c>
      <c r="B3559" s="668"/>
      <c r="C3559" s="721"/>
      <c r="D3559" s="721"/>
      <c r="E3559" s="721"/>
      <c r="F3559" s="721"/>
      <c r="G3559" s="639"/>
      <c r="H3559" s="668"/>
      <c r="I3559" s="721"/>
      <c r="J3559" s="639"/>
      <c r="K3559" s="1124"/>
    </row>
    <row r="3560" spans="1:11" ht="13.8" thickBot="1" x14ac:dyDescent="0.3">
      <c r="A3560" s="719">
        <v>3</v>
      </c>
      <c r="B3560" s="669"/>
      <c r="C3560" s="1137"/>
      <c r="D3560" s="1137"/>
      <c r="E3560" s="1137"/>
      <c r="F3560" s="1137"/>
      <c r="G3560" s="646"/>
      <c r="H3560" s="669"/>
      <c r="I3560" s="1137"/>
      <c r="J3560" s="646"/>
      <c r="K3560" s="1138"/>
    </row>
    <row r="3561" spans="1:11" ht="13.8" thickBot="1" x14ac:dyDescent="0.3">
      <c r="A3561" s="1186" t="s">
        <v>842</v>
      </c>
      <c r="B3561" s="1187"/>
      <c r="C3561" s="1188"/>
      <c r="D3561" s="1188"/>
      <c r="E3561" s="1188"/>
      <c r="F3561" s="1188"/>
      <c r="G3561" s="1189"/>
      <c r="H3561" s="1187"/>
      <c r="I3561" s="1188"/>
      <c r="J3561" s="1189"/>
      <c r="K3561" s="716"/>
    </row>
    <row r="3562" spans="1:11" x14ac:dyDescent="0.25">
      <c r="A3562" s="1190">
        <v>1</v>
      </c>
      <c r="B3562" s="745"/>
      <c r="C3562" s="1117"/>
      <c r="D3562" s="1117"/>
      <c r="E3562" s="1117"/>
      <c r="F3562" s="1117"/>
      <c r="G3562" s="632"/>
      <c r="H3562" s="745"/>
      <c r="I3562" s="1117"/>
      <c r="J3562" s="632"/>
      <c r="K3562" s="1118"/>
    </row>
    <row r="3563" spans="1:11" x14ac:dyDescent="0.25">
      <c r="A3563" s="718">
        <v>2</v>
      </c>
      <c r="B3563" s="668"/>
      <c r="C3563" s="721"/>
      <c r="D3563" s="721"/>
      <c r="E3563" s="721"/>
      <c r="F3563" s="721"/>
      <c r="G3563" s="639"/>
      <c r="H3563" s="668"/>
      <c r="I3563" s="721"/>
      <c r="J3563" s="639"/>
      <c r="K3563" s="1124"/>
    </row>
    <row r="3564" spans="1:11" x14ac:dyDescent="0.25">
      <c r="A3564" s="718">
        <v>3</v>
      </c>
      <c r="B3564" s="668"/>
      <c r="C3564" s="721"/>
      <c r="D3564" s="721"/>
      <c r="E3564" s="721"/>
      <c r="F3564" s="721"/>
      <c r="G3564" s="639"/>
      <c r="H3564" s="668"/>
      <c r="I3564" s="721"/>
      <c r="J3564" s="639"/>
      <c r="K3564" s="1124"/>
    </row>
    <row r="3565" spans="1:11" x14ac:dyDescent="0.25">
      <c r="A3565" s="718">
        <v>4</v>
      </c>
      <c r="B3565" s="668"/>
      <c r="C3565" s="721"/>
      <c r="D3565" s="721"/>
      <c r="E3565" s="721"/>
      <c r="F3565" s="721"/>
      <c r="G3565" s="639"/>
      <c r="H3565" s="668"/>
      <c r="I3565" s="721"/>
      <c r="J3565" s="639"/>
      <c r="K3565" s="1124"/>
    </row>
    <row r="3566" spans="1:11" x14ac:dyDescent="0.25">
      <c r="A3566" s="718">
        <v>5</v>
      </c>
      <c r="B3566" s="668"/>
      <c r="C3566" s="721"/>
      <c r="D3566" s="721"/>
      <c r="E3566" s="721"/>
      <c r="F3566" s="721"/>
      <c r="G3566" s="639"/>
      <c r="H3566" s="668"/>
      <c r="I3566" s="721"/>
      <c r="J3566" s="639"/>
      <c r="K3566" s="1124"/>
    </row>
    <row r="3567" spans="1:11" ht="13.8" thickBot="1" x14ac:dyDescent="0.3">
      <c r="A3567" s="719">
        <v>6</v>
      </c>
      <c r="B3567" s="669"/>
      <c r="C3567" s="1137"/>
      <c r="D3567" s="1137"/>
      <c r="E3567" s="1137"/>
      <c r="F3567" s="1137"/>
      <c r="G3567" s="646"/>
      <c r="H3567" s="669"/>
      <c r="I3567" s="1137"/>
      <c r="J3567" s="646"/>
      <c r="K3567" s="1138"/>
    </row>
    <row r="3568" spans="1:11" x14ac:dyDescent="0.25">
      <c r="A3568" s="1190">
        <v>1</v>
      </c>
      <c r="B3568" s="745"/>
      <c r="C3568" s="1117"/>
      <c r="D3568" s="1117"/>
      <c r="E3568" s="1117"/>
      <c r="F3568" s="1117"/>
      <c r="G3568" s="632"/>
      <c r="H3568" s="745"/>
      <c r="I3568" s="1117"/>
      <c r="J3568" s="632"/>
      <c r="K3568" s="1118"/>
    </row>
    <row r="3569" spans="1:11" x14ac:dyDescent="0.25">
      <c r="A3569" s="718">
        <v>2</v>
      </c>
      <c r="B3569" s="668"/>
      <c r="C3569" s="721"/>
      <c r="D3569" s="721"/>
      <c r="E3569" s="721"/>
      <c r="F3569" s="721"/>
      <c r="G3569" s="639"/>
      <c r="H3569" s="668"/>
      <c r="I3569" s="721"/>
      <c r="J3569" s="639"/>
      <c r="K3569" s="1124"/>
    </row>
    <row r="3570" spans="1:11" ht="13.8" thickBot="1" x14ac:dyDescent="0.3">
      <c r="A3570" s="719">
        <v>3</v>
      </c>
      <c r="B3570" s="669"/>
      <c r="C3570" s="1137"/>
      <c r="D3570" s="1137"/>
      <c r="E3570" s="1137"/>
      <c r="F3570" s="1137"/>
      <c r="G3570" s="646"/>
      <c r="H3570" s="669"/>
      <c r="I3570" s="1137"/>
      <c r="J3570" s="646"/>
      <c r="K3570" s="1138"/>
    </row>
    <row r="3571" spans="1:11" ht="13.8" thickBot="1" x14ac:dyDescent="0.3">
      <c r="A3571" s="1186" t="s">
        <v>843</v>
      </c>
      <c r="B3571" s="1187"/>
      <c r="C3571" s="1188"/>
      <c r="D3571" s="1188"/>
      <c r="E3571" s="1188"/>
      <c r="F3571" s="1188"/>
      <c r="G3571" s="1189"/>
      <c r="H3571" s="1187"/>
      <c r="I3571" s="1188"/>
      <c r="J3571" s="1189"/>
      <c r="K3571" s="716"/>
    </row>
    <row r="3572" spans="1:11" x14ac:dyDescent="0.25">
      <c r="A3572" s="1190">
        <v>1</v>
      </c>
      <c r="B3572" s="745"/>
      <c r="C3572" s="1117"/>
      <c r="D3572" s="1117"/>
      <c r="E3572" s="1117"/>
      <c r="F3572" s="1117"/>
      <c r="G3572" s="632"/>
      <c r="H3572" s="745"/>
      <c r="I3572" s="1117"/>
      <c r="J3572" s="632"/>
      <c r="K3572" s="1118"/>
    </row>
    <row r="3573" spans="1:11" x14ac:dyDescent="0.25">
      <c r="A3573" s="718">
        <v>2</v>
      </c>
      <c r="B3573" s="668"/>
      <c r="C3573" s="721"/>
      <c r="D3573" s="721"/>
      <c r="E3573" s="721"/>
      <c r="F3573" s="721"/>
      <c r="G3573" s="639"/>
      <c r="H3573" s="668"/>
      <c r="I3573" s="721"/>
      <c r="J3573" s="639"/>
      <c r="K3573" s="1124"/>
    </row>
    <row r="3574" spans="1:11" x14ac:dyDescent="0.25">
      <c r="A3574" s="718">
        <v>3</v>
      </c>
      <c r="B3574" s="668"/>
      <c r="C3574" s="721"/>
      <c r="D3574" s="721"/>
      <c r="E3574" s="721"/>
      <c r="F3574" s="721"/>
      <c r="G3574" s="639"/>
      <c r="H3574" s="668"/>
      <c r="I3574" s="721"/>
      <c r="J3574" s="639"/>
      <c r="K3574" s="1124"/>
    </row>
    <row r="3575" spans="1:11" x14ac:dyDescent="0.25">
      <c r="A3575" s="718">
        <v>4</v>
      </c>
      <c r="B3575" s="668"/>
      <c r="C3575" s="721"/>
      <c r="D3575" s="721"/>
      <c r="E3575" s="721"/>
      <c r="F3575" s="721"/>
      <c r="G3575" s="639"/>
      <c r="H3575" s="668"/>
      <c r="I3575" s="721"/>
      <c r="J3575" s="639"/>
      <c r="K3575" s="1124"/>
    </row>
    <row r="3576" spans="1:11" x14ac:dyDescent="0.25">
      <c r="A3576" s="718">
        <v>5</v>
      </c>
      <c r="B3576" s="668"/>
      <c r="C3576" s="721"/>
      <c r="D3576" s="721"/>
      <c r="E3576" s="721"/>
      <c r="F3576" s="721"/>
      <c r="G3576" s="639"/>
      <c r="H3576" s="668"/>
      <c r="I3576" s="721"/>
      <c r="J3576" s="639"/>
      <c r="K3576" s="1124"/>
    </row>
    <row r="3577" spans="1:11" ht="13.8" thickBot="1" x14ac:dyDescent="0.3">
      <c r="A3577" s="719">
        <v>6</v>
      </c>
      <c r="B3577" s="669"/>
      <c r="C3577" s="1137"/>
      <c r="D3577" s="1137"/>
      <c r="E3577" s="1137"/>
      <c r="F3577" s="1137"/>
      <c r="G3577" s="646"/>
      <c r="H3577" s="669"/>
      <c r="I3577" s="1137"/>
      <c r="J3577" s="646"/>
      <c r="K3577" s="1138"/>
    </row>
    <row r="3578" spans="1:11" x14ac:dyDescent="0.25">
      <c r="A3578" s="1190">
        <v>1</v>
      </c>
      <c r="B3578" s="745"/>
      <c r="C3578" s="1117"/>
      <c r="D3578" s="1117"/>
      <c r="E3578" s="1117"/>
      <c r="F3578" s="1117"/>
      <c r="G3578" s="632"/>
      <c r="H3578" s="745"/>
      <c r="I3578" s="1117"/>
      <c r="J3578" s="632"/>
      <c r="K3578" s="1118"/>
    </row>
    <row r="3579" spans="1:11" x14ac:dyDescent="0.25">
      <c r="A3579" s="718">
        <v>2</v>
      </c>
      <c r="B3579" s="668"/>
      <c r="C3579" s="721"/>
      <c r="D3579" s="721"/>
      <c r="E3579" s="721"/>
      <c r="F3579" s="721"/>
      <c r="G3579" s="639"/>
      <c r="H3579" s="668"/>
      <c r="I3579" s="721"/>
      <c r="J3579" s="639"/>
      <c r="K3579" s="1124"/>
    </row>
    <row r="3580" spans="1:11" ht="13.8" thickBot="1" x14ac:dyDescent="0.3">
      <c r="A3580" s="719">
        <v>3</v>
      </c>
      <c r="B3580" s="669"/>
      <c r="C3580" s="1137"/>
      <c r="D3580" s="1137"/>
      <c r="E3580" s="1137"/>
      <c r="F3580" s="1137"/>
      <c r="G3580" s="646"/>
      <c r="H3580" s="669"/>
      <c r="I3580" s="1137"/>
      <c r="J3580" s="646"/>
      <c r="K3580" s="1138"/>
    </row>
    <row r="3581" spans="1:11" ht="13.8" thickBot="1" x14ac:dyDescent="0.3">
      <c r="A3581" s="1186" t="s">
        <v>844</v>
      </c>
      <c r="B3581" s="1187"/>
      <c r="C3581" s="1188"/>
      <c r="D3581" s="1188"/>
      <c r="E3581" s="1188"/>
      <c r="F3581" s="1188"/>
      <c r="G3581" s="1189"/>
      <c r="H3581" s="1187"/>
      <c r="I3581" s="1188"/>
      <c r="J3581" s="1189"/>
      <c r="K3581" s="716"/>
    </row>
    <row r="3582" spans="1:11" x14ac:dyDescent="0.25">
      <c r="A3582" s="1190">
        <v>1</v>
      </c>
      <c r="B3582" s="745"/>
      <c r="C3582" s="1117"/>
      <c r="D3582" s="1117"/>
      <c r="E3582" s="1117"/>
      <c r="F3582" s="1117"/>
      <c r="G3582" s="632"/>
      <c r="H3582" s="745"/>
      <c r="I3582" s="1117"/>
      <c r="J3582" s="632"/>
      <c r="K3582" s="1118"/>
    </row>
    <row r="3583" spans="1:11" x14ac:dyDescent="0.25">
      <c r="A3583" s="718">
        <v>2</v>
      </c>
      <c r="B3583" s="668"/>
      <c r="C3583" s="721"/>
      <c r="D3583" s="721"/>
      <c r="E3583" s="721"/>
      <c r="F3583" s="721"/>
      <c r="G3583" s="639"/>
      <c r="H3583" s="668"/>
      <c r="I3583" s="721"/>
      <c r="J3583" s="639"/>
      <c r="K3583" s="1124"/>
    </row>
    <row r="3584" spans="1:11" x14ac:dyDescent="0.25">
      <c r="A3584" s="718">
        <v>3</v>
      </c>
      <c r="B3584" s="668"/>
      <c r="C3584" s="721"/>
      <c r="D3584" s="721"/>
      <c r="E3584" s="721"/>
      <c r="F3584" s="721"/>
      <c r="G3584" s="639"/>
      <c r="H3584" s="668"/>
      <c r="I3584" s="721"/>
      <c r="J3584" s="639"/>
      <c r="K3584" s="1124"/>
    </row>
    <row r="3585" spans="1:11" x14ac:dyDescent="0.25">
      <c r="A3585" s="718">
        <v>4</v>
      </c>
      <c r="B3585" s="668"/>
      <c r="C3585" s="721"/>
      <c r="D3585" s="721"/>
      <c r="E3585" s="721"/>
      <c r="F3585" s="721"/>
      <c r="G3585" s="639"/>
      <c r="H3585" s="668"/>
      <c r="I3585" s="721"/>
      <c r="J3585" s="639"/>
      <c r="K3585" s="1124"/>
    </row>
    <row r="3586" spans="1:11" x14ac:dyDescent="0.25">
      <c r="A3586" s="718">
        <v>5</v>
      </c>
      <c r="B3586" s="668"/>
      <c r="C3586" s="721"/>
      <c r="D3586" s="721"/>
      <c r="E3586" s="721"/>
      <c r="F3586" s="721"/>
      <c r="G3586" s="639"/>
      <c r="H3586" s="668"/>
      <c r="I3586" s="721"/>
      <c r="J3586" s="639"/>
      <c r="K3586" s="1124"/>
    </row>
    <row r="3587" spans="1:11" ht="13.8" thickBot="1" x14ac:dyDescent="0.3">
      <c r="A3587" s="719">
        <v>6</v>
      </c>
      <c r="B3587" s="669"/>
      <c r="C3587" s="1137"/>
      <c r="D3587" s="1137"/>
      <c r="E3587" s="1137"/>
      <c r="F3587" s="1137"/>
      <c r="G3587" s="646"/>
      <c r="H3587" s="669"/>
      <c r="I3587" s="1137"/>
      <c r="J3587" s="646"/>
      <c r="K3587" s="1138"/>
    </row>
    <row r="3588" spans="1:11" x14ac:dyDescent="0.25">
      <c r="A3588" s="1190">
        <v>1</v>
      </c>
      <c r="B3588" s="745"/>
      <c r="C3588" s="1117"/>
      <c r="D3588" s="1117"/>
      <c r="E3588" s="1117"/>
      <c r="F3588" s="1117"/>
      <c r="G3588" s="632"/>
      <c r="H3588" s="745"/>
      <c r="I3588" s="1117"/>
      <c r="J3588" s="632"/>
      <c r="K3588" s="1118"/>
    </row>
    <row r="3589" spans="1:11" x14ac:dyDescent="0.25">
      <c r="A3589" s="718">
        <v>2</v>
      </c>
      <c r="B3589" s="668"/>
      <c r="C3589" s="721"/>
      <c r="D3589" s="721"/>
      <c r="E3589" s="721"/>
      <c r="F3589" s="721"/>
      <c r="G3589" s="639"/>
      <c r="H3589" s="668"/>
      <c r="I3589" s="721"/>
      <c r="J3589" s="639"/>
      <c r="K3589" s="1124"/>
    </row>
    <row r="3590" spans="1:11" ht="13.8" thickBot="1" x14ac:dyDescent="0.3">
      <c r="A3590" s="1191">
        <v>3</v>
      </c>
      <c r="B3590" s="1132"/>
      <c r="C3590" s="1133"/>
      <c r="D3590" s="1133"/>
      <c r="E3590" s="1133"/>
      <c r="F3590" s="1133"/>
      <c r="G3590" s="1134"/>
      <c r="H3590" s="1132"/>
      <c r="I3590" s="1133"/>
      <c r="J3590" s="1134"/>
      <c r="K3590" s="1147"/>
    </row>
    <row r="3591" spans="1:11" ht="13.8" thickBot="1" x14ac:dyDescent="0.3">
      <c r="A3591" s="1186" t="s">
        <v>845</v>
      </c>
      <c r="B3591" s="1187"/>
      <c r="C3591" s="1188"/>
      <c r="D3591" s="1188"/>
      <c r="E3591" s="1188"/>
      <c r="F3591" s="1188"/>
      <c r="G3591" s="1189"/>
      <c r="H3591" s="1187"/>
      <c r="I3591" s="1188"/>
      <c r="J3591" s="1189"/>
      <c r="K3591" s="716"/>
    </row>
    <row r="3592" spans="1:11" x14ac:dyDescent="0.25">
      <c r="A3592" s="1190">
        <v>1</v>
      </c>
      <c r="B3592" s="745"/>
      <c r="C3592" s="1117"/>
      <c r="D3592" s="1117"/>
      <c r="E3592" s="1117"/>
      <c r="F3592" s="1117"/>
      <c r="G3592" s="632"/>
      <c r="H3592" s="745"/>
      <c r="I3592" s="1117"/>
      <c r="J3592" s="632"/>
      <c r="K3592" s="1118"/>
    </row>
    <row r="3593" spans="1:11" x14ac:dyDescent="0.25">
      <c r="A3593" s="718">
        <v>2</v>
      </c>
      <c r="B3593" s="668"/>
      <c r="C3593" s="721"/>
      <c r="D3593" s="721"/>
      <c r="E3593" s="721"/>
      <c r="F3593" s="721"/>
      <c r="G3593" s="639"/>
      <c r="H3593" s="668"/>
      <c r="I3593" s="721"/>
      <c r="J3593" s="639"/>
      <c r="K3593" s="1124"/>
    </row>
    <row r="3594" spans="1:11" x14ac:dyDescent="0.25">
      <c r="A3594" s="718">
        <v>3</v>
      </c>
      <c r="B3594" s="668"/>
      <c r="C3594" s="721"/>
      <c r="D3594" s="721"/>
      <c r="E3594" s="721"/>
      <c r="F3594" s="721"/>
      <c r="G3594" s="639"/>
      <c r="H3594" s="668"/>
      <c r="I3594" s="721"/>
      <c r="J3594" s="639"/>
      <c r="K3594" s="1124"/>
    </row>
    <row r="3595" spans="1:11" x14ac:dyDescent="0.25">
      <c r="A3595" s="718">
        <v>4</v>
      </c>
      <c r="B3595" s="668"/>
      <c r="C3595" s="721"/>
      <c r="D3595" s="721"/>
      <c r="E3595" s="721"/>
      <c r="F3595" s="721"/>
      <c r="G3595" s="639"/>
      <c r="H3595" s="668"/>
      <c r="I3595" s="721"/>
      <c r="J3595" s="639"/>
      <c r="K3595" s="1124"/>
    </row>
    <row r="3596" spans="1:11" x14ac:dyDescent="0.25">
      <c r="A3596" s="718">
        <v>5</v>
      </c>
      <c r="B3596" s="668"/>
      <c r="C3596" s="721"/>
      <c r="D3596" s="721"/>
      <c r="E3596" s="721"/>
      <c r="F3596" s="721"/>
      <c r="G3596" s="639"/>
      <c r="H3596" s="668"/>
      <c r="I3596" s="721"/>
      <c r="J3596" s="639"/>
      <c r="K3596" s="1124"/>
    </row>
    <row r="3597" spans="1:11" ht="13.8" thickBot="1" x14ac:dyDescent="0.3">
      <c r="A3597" s="719">
        <v>6</v>
      </c>
      <c r="B3597" s="669"/>
      <c r="C3597" s="1137"/>
      <c r="D3597" s="1137"/>
      <c r="E3597" s="1137"/>
      <c r="F3597" s="1137"/>
      <c r="G3597" s="646"/>
      <c r="H3597" s="669"/>
      <c r="I3597" s="1137"/>
      <c r="J3597" s="646"/>
      <c r="K3597" s="1138"/>
    </row>
    <row r="3598" spans="1:11" x14ac:dyDescent="0.25">
      <c r="A3598" s="1190">
        <v>1</v>
      </c>
      <c r="B3598" s="745"/>
      <c r="C3598" s="1117"/>
      <c r="D3598" s="1117"/>
      <c r="E3598" s="1117"/>
      <c r="F3598" s="1117"/>
      <c r="G3598" s="632"/>
      <c r="H3598" s="745"/>
      <c r="I3598" s="1117"/>
      <c r="J3598" s="632"/>
      <c r="K3598" s="1118"/>
    </row>
    <row r="3599" spans="1:11" x14ac:dyDescent="0.25">
      <c r="A3599" s="718">
        <v>2</v>
      </c>
      <c r="B3599" s="668"/>
      <c r="C3599" s="721"/>
      <c r="D3599" s="721"/>
      <c r="E3599" s="721"/>
      <c r="F3599" s="721"/>
      <c r="G3599" s="639"/>
      <c r="H3599" s="668"/>
      <c r="I3599" s="721"/>
      <c r="J3599" s="639"/>
      <c r="K3599" s="1124"/>
    </row>
    <row r="3600" spans="1:11" ht="13.8" thickBot="1" x14ac:dyDescent="0.3">
      <c r="A3600" s="719">
        <v>3</v>
      </c>
      <c r="B3600" s="669"/>
      <c r="C3600" s="1137"/>
      <c r="D3600" s="1137"/>
      <c r="E3600" s="1137"/>
      <c r="F3600" s="1137"/>
      <c r="G3600" s="646"/>
      <c r="H3600" s="669"/>
      <c r="I3600" s="1137"/>
      <c r="J3600" s="646"/>
      <c r="K3600" s="1138"/>
    </row>
    <row r="3601" spans="1:11" ht="13.8" thickBot="1" x14ac:dyDescent="0.3">
      <c r="A3601" s="1186" t="s">
        <v>846</v>
      </c>
      <c r="B3601" s="1187"/>
      <c r="C3601" s="1188"/>
      <c r="D3601" s="1188"/>
      <c r="E3601" s="1188"/>
      <c r="F3601" s="1188"/>
      <c r="G3601" s="1189"/>
      <c r="H3601" s="1187"/>
      <c r="I3601" s="1188"/>
      <c r="J3601" s="1189"/>
      <c r="K3601" s="716"/>
    </row>
    <row r="3602" spans="1:11" x14ac:dyDescent="0.25">
      <c r="A3602" s="1190">
        <v>1</v>
      </c>
      <c r="B3602" s="745"/>
      <c r="C3602" s="1117"/>
      <c r="D3602" s="1117"/>
      <c r="E3602" s="1117"/>
      <c r="F3602" s="1117"/>
      <c r="G3602" s="632"/>
      <c r="H3602" s="745"/>
      <c r="I3602" s="1117"/>
      <c r="J3602" s="632"/>
      <c r="K3602" s="1118"/>
    </row>
    <row r="3603" spans="1:11" x14ac:dyDescent="0.25">
      <c r="A3603" s="718">
        <v>2</v>
      </c>
      <c r="B3603" s="668"/>
      <c r="C3603" s="721"/>
      <c r="D3603" s="721"/>
      <c r="E3603" s="721"/>
      <c r="F3603" s="721"/>
      <c r="G3603" s="639"/>
      <c r="H3603" s="668"/>
      <c r="I3603" s="721"/>
      <c r="J3603" s="639"/>
      <c r="K3603" s="1124"/>
    </row>
    <row r="3604" spans="1:11" x14ac:dyDescent="0.25">
      <c r="A3604" s="718">
        <v>3</v>
      </c>
      <c r="B3604" s="668"/>
      <c r="C3604" s="721"/>
      <c r="D3604" s="721"/>
      <c r="E3604" s="721"/>
      <c r="F3604" s="721"/>
      <c r="G3604" s="639"/>
      <c r="H3604" s="668"/>
      <c r="I3604" s="721"/>
      <c r="J3604" s="639"/>
      <c r="K3604" s="1124"/>
    </row>
    <row r="3605" spans="1:11" x14ac:dyDescent="0.25">
      <c r="A3605" s="718">
        <v>4</v>
      </c>
      <c r="B3605" s="668"/>
      <c r="C3605" s="721"/>
      <c r="D3605" s="721"/>
      <c r="E3605" s="721"/>
      <c r="F3605" s="721"/>
      <c r="G3605" s="639"/>
      <c r="H3605" s="668"/>
      <c r="I3605" s="721"/>
      <c r="J3605" s="639"/>
      <c r="K3605" s="1124"/>
    </row>
    <row r="3606" spans="1:11" x14ac:dyDescent="0.25">
      <c r="A3606" s="718">
        <v>5</v>
      </c>
      <c r="B3606" s="668"/>
      <c r="C3606" s="721"/>
      <c r="D3606" s="721"/>
      <c r="E3606" s="721"/>
      <c r="F3606" s="721"/>
      <c r="G3606" s="639"/>
      <c r="H3606" s="668"/>
      <c r="I3606" s="721"/>
      <c r="J3606" s="639"/>
      <c r="K3606" s="1124"/>
    </row>
    <row r="3607" spans="1:11" ht="13.8" thickBot="1" x14ac:dyDescent="0.3">
      <c r="A3607" s="719">
        <v>6</v>
      </c>
      <c r="B3607" s="669"/>
      <c r="C3607" s="1137"/>
      <c r="D3607" s="1137"/>
      <c r="E3607" s="1137"/>
      <c r="F3607" s="1137"/>
      <c r="G3607" s="646"/>
      <c r="H3607" s="669"/>
      <c r="I3607" s="1137"/>
      <c r="J3607" s="646"/>
      <c r="K3607" s="1138"/>
    </row>
    <row r="3608" spans="1:11" x14ac:dyDescent="0.25">
      <c r="A3608" s="1190">
        <v>1</v>
      </c>
      <c r="B3608" s="745"/>
      <c r="C3608" s="1117"/>
      <c r="D3608" s="1117"/>
      <c r="E3608" s="1117"/>
      <c r="F3608" s="1117"/>
      <c r="G3608" s="632"/>
      <c r="H3608" s="745"/>
      <c r="I3608" s="1117"/>
      <c r="J3608" s="632"/>
      <c r="K3608" s="1118"/>
    </row>
    <row r="3609" spans="1:11" x14ac:dyDescent="0.25">
      <c r="A3609" s="718">
        <v>2</v>
      </c>
      <c r="B3609" s="668"/>
      <c r="C3609" s="721"/>
      <c r="D3609" s="721"/>
      <c r="E3609" s="721"/>
      <c r="F3609" s="721"/>
      <c r="G3609" s="639"/>
      <c r="H3609" s="668"/>
      <c r="I3609" s="721"/>
      <c r="J3609" s="639"/>
      <c r="K3609" s="1124"/>
    </row>
    <row r="3610" spans="1:11" ht="13.8" thickBot="1" x14ac:dyDescent="0.3">
      <c r="A3610" s="719">
        <v>3</v>
      </c>
      <c r="B3610" s="669"/>
      <c r="C3610" s="1137"/>
      <c r="D3610" s="1137"/>
      <c r="E3610" s="1137"/>
      <c r="F3610" s="1137"/>
      <c r="G3610" s="646"/>
      <c r="H3610" s="669"/>
      <c r="I3610" s="1137"/>
      <c r="J3610" s="646"/>
      <c r="K3610" s="1138"/>
    </row>
    <row r="3611" spans="1:11" ht="13.8" thickBot="1" x14ac:dyDescent="0.3">
      <c r="A3611" s="1186" t="s">
        <v>847</v>
      </c>
      <c r="B3611" s="1187"/>
      <c r="C3611" s="1188"/>
      <c r="D3611" s="1188"/>
      <c r="E3611" s="1188"/>
      <c r="F3611" s="1188"/>
      <c r="G3611" s="1189"/>
      <c r="H3611" s="1187"/>
      <c r="I3611" s="1188"/>
      <c r="J3611" s="1189"/>
      <c r="K3611" s="716"/>
    </row>
    <row r="3612" spans="1:11" x14ac:dyDescent="0.25">
      <c r="A3612" s="1190">
        <v>1</v>
      </c>
      <c r="B3612" s="745"/>
      <c r="C3612" s="1117"/>
      <c r="D3612" s="1117"/>
      <c r="E3612" s="1117"/>
      <c r="F3612" s="1117"/>
      <c r="G3612" s="632"/>
      <c r="H3612" s="745"/>
      <c r="I3612" s="1117"/>
      <c r="J3612" s="632"/>
      <c r="K3612" s="1118"/>
    </row>
    <row r="3613" spans="1:11" x14ac:dyDescent="0.25">
      <c r="A3613" s="718">
        <v>2</v>
      </c>
      <c r="B3613" s="668"/>
      <c r="C3613" s="721"/>
      <c r="D3613" s="721"/>
      <c r="E3613" s="721"/>
      <c r="F3613" s="721"/>
      <c r="G3613" s="639"/>
      <c r="H3613" s="668"/>
      <c r="I3613" s="721"/>
      <c r="J3613" s="639"/>
      <c r="K3613" s="1124"/>
    </row>
    <row r="3614" spans="1:11" x14ac:dyDescent="0.25">
      <c r="A3614" s="718">
        <v>3</v>
      </c>
      <c r="B3614" s="668"/>
      <c r="C3614" s="721"/>
      <c r="D3614" s="721"/>
      <c r="E3614" s="721"/>
      <c r="F3614" s="721"/>
      <c r="G3614" s="639"/>
      <c r="H3614" s="668"/>
      <c r="I3614" s="721"/>
      <c r="J3614" s="639"/>
      <c r="K3614" s="1124"/>
    </row>
    <row r="3615" spans="1:11" x14ac:dyDescent="0.25">
      <c r="A3615" s="718">
        <v>4</v>
      </c>
      <c r="B3615" s="668"/>
      <c r="C3615" s="721"/>
      <c r="D3615" s="721"/>
      <c r="E3615" s="721"/>
      <c r="F3615" s="721"/>
      <c r="G3615" s="639"/>
      <c r="H3615" s="668"/>
      <c r="I3615" s="721"/>
      <c r="J3615" s="639"/>
      <c r="K3615" s="1124"/>
    </row>
    <row r="3616" spans="1:11" x14ac:dyDescent="0.25">
      <c r="A3616" s="718">
        <v>5</v>
      </c>
      <c r="B3616" s="668"/>
      <c r="C3616" s="721"/>
      <c r="D3616" s="721"/>
      <c r="E3616" s="721"/>
      <c r="F3616" s="721"/>
      <c r="G3616" s="639"/>
      <c r="H3616" s="668"/>
      <c r="I3616" s="721"/>
      <c r="J3616" s="639"/>
      <c r="K3616" s="1124"/>
    </row>
    <row r="3617" spans="1:11" ht="13.8" thickBot="1" x14ac:dyDescent="0.3">
      <c r="A3617" s="719">
        <v>6</v>
      </c>
      <c r="B3617" s="669"/>
      <c r="C3617" s="1137"/>
      <c r="D3617" s="1137"/>
      <c r="E3617" s="1137"/>
      <c r="F3617" s="1137"/>
      <c r="G3617" s="646"/>
      <c r="H3617" s="669"/>
      <c r="I3617" s="1137"/>
      <c r="J3617" s="646"/>
      <c r="K3617" s="1138"/>
    </row>
    <row r="3618" spans="1:11" x14ac:dyDescent="0.25">
      <c r="A3618" s="1190">
        <v>1</v>
      </c>
      <c r="B3618" s="745"/>
      <c r="C3618" s="1117"/>
      <c r="D3618" s="1117"/>
      <c r="E3618" s="1117"/>
      <c r="F3618" s="1117"/>
      <c r="G3618" s="632"/>
      <c r="H3618" s="745"/>
      <c r="I3618" s="1117"/>
      <c r="J3618" s="632"/>
      <c r="K3618" s="1118"/>
    </row>
    <row r="3619" spans="1:11" x14ac:dyDescent="0.25">
      <c r="A3619" s="718">
        <v>2</v>
      </c>
      <c r="B3619" s="668"/>
      <c r="C3619" s="721"/>
      <c r="D3619" s="721"/>
      <c r="E3619" s="721"/>
      <c r="F3619" s="721"/>
      <c r="G3619" s="639"/>
      <c r="H3619" s="668"/>
      <c r="I3619" s="721"/>
      <c r="J3619" s="639"/>
      <c r="K3619" s="1124"/>
    </row>
    <row r="3620" spans="1:11" ht="13.8" thickBot="1" x14ac:dyDescent="0.3">
      <c r="A3620" s="719">
        <v>3</v>
      </c>
      <c r="B3620" s="669"/>
      <c r="C3620" s="1137"/>
      <c r="D3620" s="1137"/>
      <c r="E3620" s="1137"/>
      <c r="F3620" s="1137"/>
      <c r="G3620" s="646"/>
      <c r="H3620" s="669"/>
      <c r="I3620" s="1137"/>
      <c r="J3620" s="646"/>
      <c r="K3620" s="1138"/>
    </row>
    <row r="3621" spans="1:11" ht="13.8" thickBot="1" x14ac:dyDescent="0.3">
      <c r="A3621" s="1186" t="s">
        <v>848</v>
      </c>
      <c r="B3621" s="1187"/>
      <c r="C3621" s="1188"/>
      <c r="D3621" s="1188"/>
      <c r="E3621" s="1188"/>
      <c r="F3621" s="1188"/>
      <c r="G3621" s="1189"/>
      <c r="H3621" s="1187"/>
      <c r="I3621" s="1188"/>
      <c r="J3621" s="1189"/>
      <c r="K3621" s="716"/>
    </row>
    <row r="3622" spans="1:11" x14ac:dyDescent="0.25">
      <c r="A3622" s="1190">
        <v>1</v>
      </c>
      <c r="B3622" s="745"/>
      <c r="C3622" s="1117"/>
      <c r="D3622" s="1117"/>
      <c r="E3622" s="1117"/>
      <c r="F3622" s="1117"/>
      <c r="G3622" s="632"/>
      <c r="H3622" s="745"/>
      <c r="I3622" s="1117"/>
      <c r="J3622" s="632"/>
      <c r="K3622" s="1118"/>
    </row>
    <row r="3623" spans="1:11" x14ac:dyDescent="0.25">
      <c r="A3623" s="718">
        <v>2</v>
      </c>
      <c r="B3623" s="668"/>
      <c r="C3623" s="721"/>
      <c r="D3623" s="721"/>
      <c r="E3623" s="721"/>
      <c r="F3623" s="721"/>
      <c r="G3623" s="639"/>
      <c r="H3623" s="668"/>
      <c r="I3623" s="721"/>
      <c r="J3623" s="639"/>
      <c r="K3623" s="1124"/>
    </row>
    <row r="3624" spans="1:11" x14ac:dyDescent="0.25">
      <c r="A3624" s="718">
        <v>3</v>
      </c>
      <c r="B3624" s="668"/>
      <c r="C3624" s="721"/>
      <c r="D3624" s="721"/>
      <c r="E3624" s="721"/>
      <c r="F3624" s="721"/>
      <c r="G3624" s="639"/>
      <c r="H3624" s="668"/>
      <c r="I3624" s="721"/>
      <c r="J3624" s="639"/>
      <c r="K3624" s="1124"/>
    </row>
    <row r="3625" spans="1:11" x14ac:dyDescent="0.25">
      <c r="A3625" s="718">
        <v>4</v>
      </c>
      <c r="B3625" s="668"/>
      <c r="C3625" s="721"/>
      <c r="D3625" s="721"/>
      <c r="E3625" s="721"/>
      <c r="F3625" s="721"/>
      <c r="G3625" s="639"/>
      <c r="H3625" s="668"/>
      <c r="I3625" s="721"/>
      <c r="J3625" s="639"/>
      <c r="K3625" s="1124"/>
    </row>
    <row r="3626" spans="1:11" x14ac:dyDescent="0.25">
      <c r="A3626" s="718">
        <v>5</v>
      </c>
      <c r="B3626" s="668"/>
      <c r="C3626" s="721"/>
      <c r="D3626" s="721"/>
      <c r="E3626" s="721"/>
      <c r="F3626" s="721"/>
      <c r="G3626" s="639"/>
      <c r="H3626" s="668"/>
      <c r="I3626" s="721"/>
      <c r="J3626" s="639"/>
      <c r="K3626" s="1124"/>
    </row>
    <row r="3627" spans="1:11" ht="13.8" thickBot="1" x14ac:dyDescent="0.3">
      <c r="A3627" s="719">
        <v>6</v>
      </c>
      <c r="B3627" s="669"/>
      <c r="C3627" s="1137"/>
      <c r="D3627" s="1137"/>
      <c r="E3627" s="1137"/>
      <c r="F3627" s="1137"/>
      <c r="G3627" s="646"/>
      <c r="H3627" s="669"/>
      <c r="I3627" s="1137"/>
      <c r="J3627" s="646"/>
      <c r="K3627" s="1138"/>
    </row>
    <row r="3628" spans="1:11" x14ac:dyDescent="0.25">
      <c r="A3628" s="1190">
        <v>1</v>
      </c>
      <c r="B3628" s="745"/>
      <c r="C3628" s="1117"/>
      <c r="D3628" s="1117"/>
      <c r="E3628" s="1117"/>
      <c r="F3628" s="1117"/>
      <c r="G3628" s="632"/>
      <c r="H3628" s="745"/>
      <c r="I3628" s="1117"/>
      <c r="J3628" s="632"/>
      <c r="K3628" s="1118"/>
    </row>
    <row r="3629" spans="1:11" x14ac:dyDescent="0.25">
      <c r="A3629" s="718">
        <v>2</v>
      </c>
      <c r="B3629" s="668"/>
      <c r="C3629" s="721"/>
      <c r="D3629" s="721"/>
      <c r="E3629" s="721"/>
      <c r="F3629" s="721"/>
      <c r="G3629" s="639"/>
      <c r="H3629" s="668"/>
      <c r="I3629" s="721"/>
      <c r="J3629" s="639"/>
      <c r="K3629" s="1124"/>
    </row>
    <row r="3630" spans="1:11" ht="13.8" thickBot="1" x14ac:dyDescent="0.3">
      <c r="A3630" s="1191">
        <v>3</v>
      </c>
      <c r="B3630" s="1132"/>
      <c r="C3630" s="1133"/>
      <c r="D3630" s="1133"/>
      <c r="E3630" s="1133"/>
      <c r="F3630" s="1133"/>
      <c r="G3630" s="1134"/>
      <c r="H3630" s="1132"/>
      <c r="I3630" s="1133"/>
      <c r="J3630" s="1134"/>
      <c r="K3630" s="1147"/>
    </row>
    <row r="3631" spans="1:11" ht="13.8" thickBot="1" x14ac:dyDescent="0.3">
      <c r="A3631" s="1186" t="s">
        <v>849</v>
      </c>
      <c r="B3631" s="1187"/>
      <c r="C3631" s="1188"/>
      <c r="D3631" s="1188"/>
      <c r="E3631" s="1188"/>
      <c r="F3631" s="1188"/>
      <c r="G3631" s="1189"/>
      <c r="H3631" s="1187"/>
      <c r="I3631" s="1188"/>
      <c r="J3631" s="1189"/>
      <c r="K3631" s="716"/>
    </row>
    <row r="3632" spans="1:11" x14ac:dyDescent="0.25">
      <c r="A3632" s="1190">
        <v>1</v>
      </c>
      <c r="B3632" s="745"/>
      <c r="C3632" s="1117"/>
      <c r="D3632" s="1117"/>
      <c r="E3632" s="1117"/>
      <c r="F3632" s="1117"/>
      <c r="G3632" s="632"/>
      <c r="H3632" s="745"/>
      <c r="I3632" s="1117"/>
      <c r="J3632" s="632"/>
      <c r="K3632" s="1118"/>
    </row>
    <row r="3633" spans="1:11" x14ac:dyDescent="0.25">
      <c r="A3633" s="718">
        <v>2</v>
      </c>
      <c r="B3633" s="668"/>
      <c r="C3633" s="721"/>
      <c r="D3633" s="721"/>
      <c r="E3633" s="721"/>
      <c r="F3633" s="721"/>
      <c r="G3633" s="639"/>
      <c r="H3633" s="668"/>
      <c r="I3633" s="721"/>
      <c r="J3633" s="639"/>
      <c r="K3633" s="1124"/>
    </row>
    <row r="3634" spans="1:11" x14ac:dyDescent="0.25">
      <c r="A3634" s="718">
        <v>3</v>
      </c>
      <c r="B3634" s="668"/>
      <c r="C3634" s="721"/>
      <c r="D3634" s="721"/>
      <c r="E3634" s="721"/>
      <c r="F3634" s="721"/>
      <c r="G3634" s="639"/>
      <c r="H3634" s="668"/>
      <c r="I3634" s="721"/>
      <c r="J3634" s="639"/>
      <c r="K3634" s="1124"/>
    </row>
    <row r="3635" spans="1:11" x14ac:dyDescent="0.25">
      <c r="A3635" s="718">
        <v>4</v>
      </c>
      <c r="B3635" s="668"/>
      <c r="C3635" s="721"/>
      <c r="D3635" s="721"/>
      <c r="E3635" s="721"/>
      <c r="F3635" s="721"/>
      <c r="G3635" s="639"/>
      <c r="H3635" s="668"/>
      <c r="I3635" s="721"/>
      <c r="J3635" s="639"/>
      <c r="K3635" s="1124"/>
    </row>
    <row r="3636" spans="1:11" x14ac:dyDescent="0.25">
      <c r="A3636" s="718">
        <v>5</v>
      </c>
      <c r="B3636" s="668"/>
      <c r="C3636" s="721"/>
      <c r="D3636" s="721"/>
      <c r="E3636" s="721"/>
      <c r="F3636" s="721"/>
      <c r="G3636" s="639"/>
      <c r="H3636" s="668"/>
      <c r="I3636" s="721"/>
      <c r="J3636" s="639"/>
      <c r="K3636" s="1124"/>
    </row>
    <row r="3637" spans="1:11" ht="13.8" thickBot="1" x14ac:dyDescent="0.3">
      <c r="A3637" s="719">
        <v>6</v>
      </c>
      <c r="B3637" s="669"/>
      <c r="C3637" s="1137"/>
      <c r="D3637" s="1137"/>
      <c r="E3637" s="1137"/>
      <c r="F3637" s="1137"/>
      <c r="G3637" s="646"/>
      <c r="H3637" s="669"/>
      <c r="I3637" s="1137"/>
      <c r="J3637" s="646"/>
      <c r="K3637" s="1138"/>
    </row>
    <row r="3638" spans="1:11" x14ac:dyDescent="0.25">
      <c r="A3638" s="1190">
        <v>1</v>
      </c>
      <c r="B3638" s="745"/>
      <c r="C3638" s="1117"/>
      <c r="D3638" s="1117"/>
      <c r="E3638" s="1117"/>
      <c r="F3638" s="1117"/>
      <c r="G3638" s="632"/>
      <c r="H3638" s="745"/>
      <c r="I3638" s="1117"/>
      <c r="J3638" s="632"/>
      <c r="K3638" s="1118"/>
    </row>
    <row r="3639" spans="1:11" x14ac:dyDescent="0.25">
      <c r="A3639" s="718">
        <v>2</v>
      </c>
      <c r="B3639" s="668"/>
      <c r="C3639" s="721"/>
      <c r="D3639" s="721"/>
      <c r="E3639" s="721"/>
      <c r="F3639" s="721"/>
      <c r="G3639" s="639"/>
      <c r="H3639" s="668"/>
      <c r="I3639" s="721"/>
      <c r="J3639" s="639"/>
      <c r="K3639" s="1124"/>
    </row>
    <row r="3640" spans="1:11" ht="13.8" thickBot="1" x14ac:dyDescent="0.3">
      <c r="A3640" s="719">
        <v>3</v>
      </c>
      <c r="B3640" s="669"/>
      <c r="C3640" s="1137"/>
      <c r="D3640" s="1137"/>
      <c r="E3640" s="1137"/>
      <c r="F3640" s="1137"/>
      <c r="G3640" s="646"/>
      <c r="H3640" s="669"/>
      <c r="I3640" s="1137"/>
      <c r="J3640" s="646"/>
      <c r="K3640" s="1138"/>
    </row>
    <row r="3641" spans="1:11" ht="13.8" thickBot="1" x14ac:dyDescent="0.3">
      <c r="A3641" s="1186" t="s">
        <v>850</v>
      </c>
      <c r="B3641" s="1187"/>
      <c r="C3641" s="1188"/>
      <c r="D3641" s="1188"/>
      <c r="E3641" s="1188"/>
      <c r="F3641" s="1188"/>
      <c r="G3641" s="1189"/>
      <c r="H3641" s="1187"/>
      <c r="I3641" s="1188"/>
      <c r="J3641" s="1189"/>
      <c r="K3641" s="716"/>
    </row>
    <row r="3642" spans="1:11" x14ac:dyDescent="0.25">
      <c r="A3642" s="1190">
        <v>1</v>
      </c>
      <c r="B3642" s="745"/>
      <c r="C3642" s="1117"/>
      <c r="D3642" s="1117"/>
      <c r="E3642" s="1117"/>
      <c r="F3642" s="1117"/>
      <c r="G3642" s="632"/>
      <c r="H3642" s="745"/>
      <c r="I3642" s="1117"/>
      <c r="J3642" s="632"/>
      <c r="K3642" s="1118"/>
    </row>
    <row r="3643" spans="1:11" x14ac:dyDescent="0.25">
      <c r="A3643" s="718">
        <v>2</v>
      </c>
      <c r="B3643" s="668"/>
      <c r="C3643" s="721"/>
      <c r="D3643" s="721"/>
      <c r="E3643" s="721"/>
      <c r="F3643" s="721"/>
      <c r="G3643" s="639"/>
      <c r="H3643" s="668"/>
      <c r="I3643" s="721"/>
      <c r="J3643" s="639"/>
      <c r="K3643" s="1124"/>
    </row>
    <row r="3644" spans="1:11" x14ac:dyDescent="0.25">
      <c r="A3644" s="718">
        <v>3</v>
      </c>
      <c r="B3644" s="668"/>
      <c r="C3644" s="721"/>
      <c r="D3644" s="721"/>
      <c r="E3644" s="721"/>
      <c r="F3644" s="721"/>
      <c r="G3644" s="639"/>
      <c r="H3644" s="668"/>
      <c r="I3644" s="721"/>
      <c r="J3644" s="639"/>
      <c r="K3644" s="1124"/>
    </row>
    <row r="3645" spans="1:11" x14ac:dyDescent="0.25">
      <c r="A3645" s="718">
        <v>4</v>
      </c>
      <c r="B3645" s="668"/>
      <c r="C3645" s="721"/>
      <c r="D3645" s="721"/>
      <c r="E3645" s="721"/>
      <c r="F3645" s="721"/>
      <c r="G3645" s="639"/>
      <c r="H3645" s="668"/>
      <c r="I3645" s="721"/>
      <c r="J3645" s="639"/>
      <c r="K3645" s="1124"/>
    </row>
    <row r="3646" spans="1:11" x14ac:dyDescent="0.25">
      <c r="A3646" s="718">
        <v>5</v>
      </c>
      <c r="B3646" s="668"/>
      <c r="C3646" s="721"/>
      <c r="D3646" s="721"/>
      <c r="E3646" s="721"/>
      <c r="F3646" s="721"/>
      <c r="G3646" s="639"/>
      <c r="H3646" s="668"/>
      <c r="I3646" s="721"/>
      <c r="J3646" s="639"/>
      <c r="K3646" s="1124"/>
    </row>
    <row r="3647" spans="1:11" ht="13.8" thickBot="1" x14ac:dyDescent="0.3">
      <c r="A3647" s="719">
        <v>6</v>
      </c>
      <c r="B3647" s="669"/>
      <c r="C3647" s="1137"/>
      <c r="D3647" s="1137"/>
      <c r="E3647" s="1137"/>
      <c r="F3647" s="1137"/>
      <c r="G3647" s="646"/>
      <c r="H3647" s="669"/>
      <c r="I3647" s="1137"/>
      <c r="J3647" s="646"/>
      <c r="K3647" s="1138"/>
    </row>
    <row r="3648" spans="1:11" x14ac:dyDescent="0.25">
      <c r="A3648" s="1190">
        <v>1</v>
      </c>
      <c r="B3648" s="745"/>
      <c r="C3648" s="1117"/>
      <c r="D3648" s="1117"/>
      <c r="E3648" s="1117"/>
      <c r="F3648" s="1117"/>
      <c r="G3648" s="632"/>
      <c r="H3648" s="745"/>
      <c r="I3648" s="1117"/>
      <c r="J3648" s="632"/>
      <c r="K3648" s="1118"/>
    </row>
    <row r="3649" spans="1:11" x14ac:dyDescent="0.25">
      <c r="A3649" s="718">
        <v>2</v>
      </c>
      <c r="B3649" s="668"/>
      <c r="C3649" s="721"/>
      <c r="D3649" s="721"/>
      <c r="E3649" s="721"/>
      <c r="F3649" s="721"/>
      <c r="G3649" s="639"/>
      <c r="H3649" s="668"/>
      <c r="I3649" s="721"/>
      <c r="J3649" s="639"/>
      <c r="K3649" s="1124"/>
    </row>
    <row r="3650" spans="1:11" ht="13.8" thickBot="1" x14ac:dyDescent="0.3">
      <c r="A3650" s="719">
        <v>3</v>
      </c>
      <c r="B3650" s="669"/>
      <c r="C3650" s="1137"/>
      <c r="D3650" s="1137"/>
      <c r="E3650" s="1137"/>
      <c r="F3650" s="1137"/>
      <c r="G3650" s="646"/>
      <c r="H3650" s="669"/>
      <c r="I3650" s="1137"/>
      <c r="J3650" s="646"/>
      <c r="K3650" s="1138"/>
    </row>
    <row r="3651" spans="1:11" ht="13.8" thickBot="1" x14ac:dyDescent="0.3">
      <c r="A3651" s="1186" t="s">
        <v>851</v>
      </c>
      <c r="B3651" s="1187"/>
      <c r="C3651" s="1188"/>
      <c r="D3651" s="1188"/>
      <c r="E3651" s="1188"/>
      <c r="F3651" s="1188"/>
      <c r="G3651" s="1189"/>
      <c r="H3651" s="1187"/>
      <c r="I3651" s="1188"/>
      <c r="J3651" s="1189"/>
      <c r="K3651" s="716"/>
    </row>
    <row r="3652" spans="1:11" x14ac:dyDescent="0.25">
      <c r="A3652" s="1190">
        <v>1</v>
      </c>
      <c r="B3652" s="745"/>
      <c r="C3652" s="1117"/>
      <c r="D3652" s="1117"/>
      <c r="E3652" s="1117"/>
      <c r="F3652" s="1117"/>
      <c r="G3652" s="632"/>
      <c r="H3652" s="745"/>
      <c r="I3652" s="1117"/>
      <c r="J3652" s="632"/>
      <c r="K3652" s="1118"/>
    </row>
    <row r="3653" spans="1:11" x14ac:dyDescent="0.25">
      <c r="A3653" s="718">
        <v>2</v>
      </c>
      <c r="B3653" s="668"/>
      <c r="C3653" s="721"/>
      <c r="D3653" s="721"/>
      <c r="E3653" s="721"/>
      <c r="F3653" s="721"/>
      <c r="G3653" s="639"/>
      <c r="H3653" s="668"/>
      <c r="I3653" s="721"/>
      <c r="J3653" s="639"/>
      <c r="K3653" s="1124"/>
    </row>
    <row r="3654" spans="1:11" x14ac:dyDescent="0.25">
      <c r="A3654" s="718">
        <v>3</v>
      </c>
      <c r="B3654" s="668"/>
      <c r="C3654" s="721"/>
      <c r="D3654" s="721"/>
      <c r="E3654" s="721"/>
      <c r="F3654" s="721"/>
      <c r="G3654" s="639"/>
      <c r="H3654" s="668"/>
      <c r="I3654" s="721"/>
      <c r="J3654" s="639"/>
      <c r="K3654" s="1124"/>
    </row>
    <row r="3655" spans="1:11" x14ac:dyDescent="0.25">
      <c r="A3655" s="718">
        <v>4</v>
      </c>
      <c r="B3655" s="668"/>
      <c r="C3655" s="721"/>
      <c r="D3655" s="721"/>
      <c r="E3655" s="721"/>
      <c r="F3655" s="721"/>
      <c r="G3655" s="639"/>
      <c r="H3655" s="668"/>
      <c r="I3655" s="721"/>
      <c r="J3655" s="639"/>
      <c r="K3655" s="1124"/>
    </row>
    <row r="3656" spans="1:11" x14ac:dyDescent="0.25">
      <c r="A3656" s="718">
        <v>5</v>
      </c>
      <c r="B3656" s="668"/>
      <c r="C3656" s="721"/>
      <c r="D3656" s="721"/>
      <c r="E3656" s="721"/>
      <c r="F3656" s="721"/>
      <c r="G3656" s="639"/>
      <c r="H3656" s="668"/>
      <c r="I3656" s="721"/>
      <c r="J3656" s="639"/>
      <c r="K3656" s="1124"/>
    </row>
    <row r="3657" spans="1:11" ht="13.8" thickBot="1" x14ac:dyDescent="0.3">
      <c r="A3657" s="719">
        <v>6</v>
      </c>
      <c r="B3657" s="669"/>
      <c r="C3657" s="1137"/>
      <c r="D3657" s="1137"/>
      <c r="E3657" s="1137"/>
      <c r="F3657" s="1137"/>
      <c r="G3657" s="646"/>
      <c r="H3657" s="669"/>
      <c r="I3657" s="1137"/>
      <c r="J3657" s="646"/>
      <c r="K3657" s="1138"/>
    </row>
    <row r="3658" spans="1:11" x14ac:dyDescent="0.25">
      <c r="A3658" s="1190">
        <v>1</v>
      </c>
      <c r="B3658" s="745"/>
      <c r="C3658" s="1117"/>
      <c r="D3658" s="1117"/>
      <c r="E3658" s="1117"/>
      <c r="F3658" s="1117"/>
      <c r="G3658" s="632"/>
      <c r="H3658" s="745"/>
      <c r="I3658" s="1117"/>
      <c r="J3658" s="632"/>
      <c r="K3658" s="1118"/>
    </row>
    <row r="3659" spans="1:11" x14ac:dyDescent="0.25">
      <c r="A3659" s="718">
        <v>2</v>
      </c>
      <c r="B3659" s="668"/>
      <c r="C3659" s="721"/>
      <c r="D3659" s="721"/>
      <c r="E3659" s="721"/>
      <c r="F3659" s="721"/>
      <c r="G3659" s="639"/>
      <c r="H3659" s="668"/>
      <c r="I3659" s="721"/>
      <c r="J3659" s="639"/>
      <c r="K3659" s="1124"/>
    </row>
    <row r="3660" spans="1:11" ht="13.8" thickBot="1" x14ac:dyDescent="0.3">
      <c r="A3660" s="719">
        <v>3</v>
      </c>
      <c r="B3660" s="669"/>
      <c r="C3660" s="1137"/>
      <c r="D3660" s="1137"/>
      <c r="E3660" s="1137"/>
      <c r="F3660" s="1137"/>
      <c r="G3660" s="646"/>
      <c r="H3660" s="669"/>
      <c r="I3660" s="1137"/>
      <c r="J3660" s="646"/>
      <c r="K3660" s="1138"/>
    </row>
    <row r="3661" spans="1:11" ht="13.8" thickBot="1" x14ac:dyDescent="0.3">
      <c r="A3661" s="1186" t="s">
        <v>852</v>
      </c>
      <c r="B3661" s="1187"/>
      <c r="C3661" s="1188"/>
      <c r="D3661" s="1188"/>
      <c r="E3661" s="1188"/>
      <c r="F3661" s="1188"/>
      <c r="G3661" s="1189"/>
      <c r="H3661" s="1187"/>
      <c r="I3661" s="1188"/>
      <c r="J3661" s="1189"/>
      <c r="K3661" s="716"/>
    </row>
    <row r="3662" spans="1:11" x14ac:dyDescent="0.25">
      <c r="A3662" s="1190">
        <v>1</v>
      </c>
      <c r="B3662" s="745"/>
      <c r="C3662" s="1117"/>
      <c r="D3662" s="1117"/>
      <c r="E3662" s="1117"/>
      <c r="F3662" s="1117"/>
      <c r="G3662" s="632"/>
      <c r="H3662" s="745"/>
      <c r="I3662" s="1117"/>
      <c r="J3662" s="632"/>
      <c r="K3662" s="1118"/>
    </row>
    <row r="3663" spans="1:11" x14ac:dyDescent="0.25">
      <c r="A3663" s="718">
        <v>2</v>
      </c>
      <c r="B3663" s="668"/>
      <c r="C3663" s="721"/>
      <c r="D3663" s="721"/>
      <c r="E3663" s="721"/>
      <c r="F3663" s="721"/>
      <c r="G3663" s="639"/>
      <c r="H3663" s="668"/>
      <c r="I3663" s="721"/>
      <c r="J3663" s="639"/>
      <c r="K3663" s="1124"/>
    </row>
    <row r="3664" spans="1:11" x14ac:dyDescent="0.25">
      <c r="A3664" s="718">
        <v>3</v>
      </c>
      <c r="B3664" s="668"/>
      <c r="C3664" s="721"/>
      <c r="D3664" s="721"/>
      <c r="E3664" s="721"/>
      <c r="F3664" s="721"/>
      <c r="G3664" s="639"/>
      <c r="H3664" s="668"/>
      <c r="I3664" s="721"/>
      <c r="J3664" s="639"/>
      <c r="K3664" s="1124"/>
    </row>
    <row r="3665" spans="1:11" x14ac:dyDescent="0.25">
      <c r="A3665" s="718">
        <v>4</v>
      </c>
      <c r="B3665" s="668"/>
      <c r="C3665" s="721"/>
      <c r="D3665" s="721"/>
      <c r="E3665" s="721"/>
      <c r="F3665" s="721"/>
      <c r="G3665" s="639"/>
      <c r="H3665" s="668"/>
      <c r="I3665" s="721"/>
      <c r="J3665" s="639"/>
      <c r="K3665" s="1124"/>
    </row>
    <row r="3666" spans="1:11" x14ac:dyDescent="0.25">
      <c r="A3666" s="718">
        <v>5</v>
      </c>
      <c r="B3666" s="668"/>
      <c r="C3666" s="721"/>
      <c r="D3666" s="721"/>
      <c r="E3666" s="721"/>
      <c r="F3666" s="721"/>
      <c r="G3666" s="639"/>
      <c r="H3666" s="668"/>
      <c r="I3666" s="721"/>
      <c r="J3666" s="639"/>
      <c r="K3666" s="1124"/>
    </row>
    <row r="3667" spans="1:11" ht="13.8" thickBot="1" x14ac:dyDescent="0.3">
      <c r="A3667" s="719">
        <v>6</v>
      </c>
      <c r="B3667" s="669"/>
      <c r="C3667" s="1137"/>
      <c r="D3667" s="1137"/>
      <c r="E3667" s="1137"/>
      <c r="F3667" s="1137"/>
      <c r="G3667" s="646"/>
      <c r="H3667" s="669"/>
      <c r="I3667" s="1137"/>
      <c r="J3667" s="646"/>
      <c r="K3667" s="1138"/>
    </row>
    <row r="3668" spans="1:11" x14ac:dyDescent="0.25">
      <c r="A3668" s="1190">
        <v>1</v>
      </c>
      <c r="B3668" s="745"/>
      <c r="C3668" s="1117"/>
      <c r="D3668" s="1117"/>
      <c r="E3668" s="1117"/>
      <c r="F3668" s="1117"/>
      <c r="G3668" s="632"/>
      <c r="H3668" s="745"/>
      <c r="I3668" s="1117"/>
      <c r="J3668" s="632"/>
      <c r="K3668" s="1118"/>
    </row>
    <row r="3669" spans="1:11" x14ac:dyDescent="0.25">
      <c r="A3669" s="718">
        <v>2</v>
      </c>
      <c r="B3669" s="668"/>
      <c r="C3669" s="721"/>
      <c r="D3669" s="721"/>
      <c r="E3669" s="721"/>
      <c r="F3669" s="721"/>
      <c r="G3669" s="639"/>
      <c r="H3669" s="668"/>
      <c r="I3669" s="721"/>
      <c r="J3669" s="639"/>
      <c r="K3669" s="1124"/>
    </row>
    <row r="3670" spans="1:11" ht="13.8" thickBot="1" x14ac:dyDescent="0.3">
      <c r="A3670" s="719">
        <v>3</v>
      </c>
      <c r="B3670" s="669"/>
      <c r="C3670" s="1137"/>
      <c r="D3670" s="1137"/>
      <c r="E3670" s="1137"/>
      <c r="F3670" s="1137"/>
      <c r="G3670" s="646"/>
      <c r="H3670" s="669"/>
      <c r="I3670" s="1137"/>
      <c r="J3670" s="646"/>
      <c r="K3670" s="1138"/>
    </row>
    <row r="3671" spans="1:11" ht="13.8" thickBot="1" x14ac:dyDescent="0.3">
      <c r="A3671" s="1186" t="s">
        <v>853</v>
      </c>
      <c r="B3671" s="1187"/>
      <c r="C3671" s="1188"/>
      <c r="D3671" s="1188"/>
      <c r="E3671" s="1188"/>
      <c r="F3671" s="1188"/>
      <c r="G3671" s="1189"/>
      <c r="H3671" s="1187"/>
      <c r="I3671" s="1188"/>
      <c r="J3671" s="1189"/>
      <c r="K3671" s="716"/>
    </row>
    <row r="3672" spans="1:11" x14ac:dyDescent="0.25">
      <c r="A3672" s="1190">
        <v>1</v>
      </c>
      <c r="B3672" s="745"/>
      <c r="C3672" s="1117"/>
      <c r="D3672" s="1117"/>
      <c r="E3672" s="1117"/>
      <c r="F3672" s="1117"/>
      <c r="G3672" s="632"/>
      <c r="H3672" s="745"/>
      <c r="I3672" s="1117"/>
      <c r="J3672" s="632"/>
      <c r="K3672" s="1118"/>
    </row>
    <row r="3673" spans="1:11" x14ac:dyDescent="0.25">
      <c r="A3673" s="718">
        <v>2</v>
      </c>
      <c r="B3673" s="668"/>
      <c r="C3673" s="721"/>
      <c r="D3673" s="721"/>
      <c r="E3673" s="721"/>
      <c r="F3673" s="721"/>
      <c r="G3673" s="639"/>
      <c r="H3673" s="668"/>
      <c r="I3673" s="721"/>
      <c r="J3673" s="639"/>
      <c r="K3673" s="1124"/>
    </row>
    <row r="3674" spans="1:11" x14ac:dyDescent="0.25">
      <c r="A3674" s="718">
        <v>3</v>
      </c>
      <c r="B3674" s="668"/>
      <c r="C3674" s="721"/>
      <c r="D3674" s="721"/>
      <c r="E3674" s="721"/>
      <c r="F3674" s="721"/>
      <c r="G3674" s="639"/>
      <c r="H3674" s="668"/>
      <c r="I3674" s="721"/>
      <c r="J3674" s="639"/>
      <c r="K3674" s="1124"/>
    </row>
    <row r="3675" spans="1:11" x14ac:dyDescent="0.25">
      <c r="A3675" s="718">
        <v>4</v>
      </c>
      <c r="B3675" s="668"/>
      <c r="C3675" s="721"/>
      <c r="D3675" s="721"/>
      <c r="E3675" s="721"/>
      <c r="F3675" s="721"/>
      <c r="G3675" s="639"/>
      <c r="H3675" s="668"/>
      <c r="I3675" s="721"/>
      <c r="J3675" s="639"/>
      <c r="K3675" s="1124"/>
    </row>
    <row r="3676" spans="1:11" x14ac:dyDescent="0.25">
      <c r="A3676" s="718">
        <v>5</v>
      </c>
      <c r="B3676" s="668"/>
      <c r="C3676" s="721"/>
      <c r="D3676" s="721"/>
      <c r="E3676" s="721"/>
      <c r="F3676" s="721"/>
      <c r="G3676" s="639"/>
      <c r="H3676" s="668"/>
      <c r="I3676" s="721"/>
      <c r="J3676" s="639"/>
      <c r="K3676" s="1124"/>
    </row>
    <row r="3677" spans="1:11" ht="13.8" thickBot="1" x14ac:dyDescent="0.3">
      <c r="A3677" s="719">
        <v>6</v>
      </c>
      <c r="B3677" s="669"/>
      <c r="C3677" s="1137"/>
      <c r="D3677" s="1137"/>
      <c r="E3677" s="1137"/>
      <c r="F3677" s="1137"/>
      <c r="G3677" s="646"/>
      <c r="H3677" s="669"/>
      <c r="I3677" s="1137"/>
      <c r="J3677" s="646"/>
      <c r="K3677" s="1138"/>
    </row>
    <row r="3678" spans="1:11" x14ac:dyDescent="0.25">
      <c r="A3678" s="1190">
        <v>1</v>
      </c>
      <c r="B3678" s="745"/>
      <c r="C3678" s="1117"/>
      <c r="D3678" s="1117"/>
      <c r="E3678" s="1117"/>
      <c r="F3678" s="1117"/>
      <c r="G3678" s="632"/>
      <c r="H3678" s="745"/>
      <c r="I3678" s="1117"/>
      <c r="J3678" s="632"/>
      <c r="K3678" s="1118"/>
    </row>
    <row r="3679" spans="1:11" x14ac:dyDescent="0.25">
      <c r="A3679" s="718">
        <v>2</v>
      </c>
      <c r="B3679" s="668"/>
      <c r="C3679" s="721"/>
      <c r="D3679" s="721"/>
      <c r="E3679" s="721"/>
      <c r="F3679" s="721"/>
      <c r="G3679" s="639"/>
      <c r="H3679" s="668"/>
      <c r="I3679" s="721"/>
      <c r="J3679" s="639"/>
      <c r="K3679" s="1124"/>
    </row>
    <row r="3680" spans="1:11" ht="13.8" thickBot="1" x14ac:dyDescent="0.3">
      <c r="A3680" s="1191">
        <v>3</v>
      </c>
      <c r="B3680" s="1132"/>
      <c r="C3680" s="1133"/>
      <c r="D3680" s="1133"/>
      <c r="E3680" s="1133"/>
      <c r="F3680" s="1133"/>
      <c r="G3680" s="1134"/>
      <c r="H3680" s="1132"/>
      <c r="I3680" s="1133"/>
      <c r="J3680" s="1134"/>
      <c r="K3680" s="1147"/>
    </row>
    <row r="3681" spans="1:11" ht="13.8" thickBot="1" x14ac:dyDescent="0.3">
      <c r="A3681" s="1186" t="s">
        <v>854</v>
      </c>
      <c r="B3681" s="1187"/>
      <c r="C3681" s="1188"/>
      <c r="D3681" s="1188"/>
      <c r="E3681" s="1188"/>
      <c r="F3681" s="1188"/>
      <c r="G3681" s="1189"/>
      <c r="H3681" s="1187"/>
      <c r="I3681" s="1188"/>
      <c r="J3681" s="1189"/>
      <c r="K3681" s="716"/>
    </row>
    <row r="3682" spans="1:11" x14ac:dyDescent="0.25">
      <c r="A3682" s="1190">
        <v>1</v>
      </c>
      <c r="B3682" s="745"/>
      <c r="C3682" s="1117"/>
      <c r="D3682" s="1117"/>
      <c r="E3682" s="1117"/>
      <c r="F3682" s="1117"/>
      <c r="G3682" s="632"/>
      <c r="H3682" s="745"/>
      <c r="I3682" s="1117"/>
      <c r="J3682" s="632"/>
      <c r="K3682" s="1118"/>
    </row>
    <row r="3683" spans="1:11" x14ac:dyDescent="0.25">
      <c r="A3683" s="718">
        <v>2</v>
      </c>
      <c r="B3683" s="668"/>
      <c r="C3683" s="721"/>
      <c r="D3683" s="721"/>
      <c r="E3683" s="721"/>
      <c r="F3683" s="721"/>
      <c r="G3683" s="639"/>
      <c r="H3683" s="668"/>
      <c r="I3683" s="721"/>
      <c r="J3683" s="639"/>
      <c r="K3683" s="1124"/>
    </row>
    <row r="3684" spans="1:11" x14ac:dyDescent="0.25">
      <c r="A3684" s="718">
        <v>3</v>
      </c>
      <c r="B3684" s="668"/>
      <c r="C3684" s="721"/>
      <c r="D3684" s="721"/>
      <c r="E3684" s="721"/>
      <c r="F3684" s="721"/>
      <c r="G3684" s="639"/>
      <c r="H3684" s="668"/>
      <c r="I3684" s="721"/>
      <c r="J3684" s="639"/>
      <c r="K3684" s="1124"/>
    </row>
    <row r="3685" spans="1:11" x14ac:dyDescent="0.25">
      <c r="A3685" s="718">
        <v>4</v>
      </c>
      <c r="B3685" s="668"/>
      <c r="C3685" s="721"/>
      <c r="D3685" s="721"/>
      <c r="E3685" s="721"/>
      <c r="F3685" s="721"/>
      <c r="G3685" s="639"/>
      <c r="H3685" s="668"/>
      <c r="I3685" s="721"/>
      <c r="J3685" s="639"/>
      <c r="K3685" s="1124"/>
    </row>
    <row r="3686" spans="1:11" x14ac:dyDescent="0.25">
      <c r="A3686" s="718">
        <v>5</v>
      </c>
      <c r="B3686" s="668"/>
      <c r="C3686" s="721"/>
      <c r="D3686" s="721"/>
      <c r="E3686" s="721"/>
      <c r="F3686" s="721"/>
      <c r="G3686" s="639"/>
      <c r="H3686" s="668"/>
      <c r="I3686" s="721"/>
      <c r="J3686" s="639"/>
      <c r="K3686" s="1124"/>
    </row>
    <row r="3687" spans="1:11" ht="13.8" thickBot="1" x14ac:dyDescent="0.3">
      <c r="A3687" s="719">
        <v>6</v>
      </c>
      <c r="B3687" s="669"/>
      <c r="C3687" s="1137"/>
      <c r="D3687" s="1137"/>
      <c r="E3687" s="1137"/>
      <c r="F3687" s="1137"/>
      <c r="G3687" s="646"/>
      <c r="H3687" s="669"/>
      <c r="I3687" s="1137"/>
      <c r="J3687" s="646"/>
      <c r="K3687" s="1138"/>
    </row>
    <row r="3688" spans="1:11" x14ac:dyDescent="0.25">
      <c r="A3688" s="1190">
        <v>1</v>
      </c>
      <c r="B3688" s="745"/>
      <c r="C3688" s="1117"/>
      <c r="D3688" s="1117"/>
      <c r="E3688" s="1117"/>
      <c r="F3688" s="1117"/>
      <c r="G3688" s="632"/>
      <c r="H3688" s="745"/>
      <c r="I3688" s="1117"/>
      <c r="J3688" s="632"/>
      <c r="K3688" s="1118"/>
    </row>
    <row r="3689" spans="1:11" x14ac:dyDescent="0.25">
      <c r="A3689" s="718">
        <v>2</v>
      </c>
      <c r="B3689" s="668"/>
      <c r="C3689" s="721"/>
      <c r="D3689" s="721"/>
      <c r="E3689" s="721"/>
      <c r="F3689" s="721"/>
      <c r="G3689" s="639"/>
      <c r="H3689" s="668"/>
      <c r="I3689" s="721"/>
      <c r="J3689" s="639"/>
      <c r="K3689" s="1124"/>
    </row>
    <row r="3690" spans="1:11" ht="13.8" thickBot="1" x14ac:dyDescent="0.3">
      <c r="A3690" s="719">
        <v>3</v>
      </c>
      <c r="B3690" s="669"/>
      <c r="C3690" s="1137"/>
      <c r="D3690" s="1137"/>
      <c r="E3690" s="1137"/>
      <c r="F3690" s="1137"/>
      <c r="G3690" s="646"/>
      <c r="H3690" s="669"/>
      <c r="I3690" s="1137"/>
      <c r="J3690" s="646"/>
      <c r="K3690" s="1138"/>
    </row>
    <row r="3691" spans="1:11" ht="13.8" thickBot="1" x14ac:dyDescent="0.3">
      <c r="A3691" s="1186" t="s">
        <v>855</v>
      </c>
      <c r="B3691" s="1187"/>
      <c r="C3691" s="1188"/>
      <c r="D3691" s="1188"/>
      <c r="E3691" s="1188"/>
      <c r="F3691" s="1188"/>
      <c r="G3691" s="1189"/>
      <c r="H3691" s="1187"/>
      <c r="I3691" s="1188"/>
      <c r="J3691" s="1189"/>
      <c r="K3691" s="716"/>
    </row>
    <row r="3692" spans="1:11" x14ac:dyDescent="0.25">
      <c r="A3692" s="1190">
        <v>1</v>
      </c>
      <c r="B3692" s="745"/>
      <c r="C3692" s="1117"/>
      <c r="D3692" s="1117"/>
      <c r="E3692" s="1117"/>
      <c r="F3692" s="1117"/>
      <c r="G3692" s="632"/>
      <c r="H3692" s="745"/>
      <c r="I3692" s="1117"/>
      <c r="J3692" s="632"/>
      <c r="K3692" s="1118"/>
    </row>
    <row r="3693" spans="1:11" x14ac:dyDescent="0.25">
      <c r="A3693" s="718">
        <v>2</v>
      </c>
      <c r="B3693" s="668"/>
      <c r="C3693" s="721"/>
      <c r="D3693" s="721"/>
      <c r="E3693" s="721"/>
      <c r="F3693" s="721"/>
      <c r="G3693" s="639"/>
      <c r="H3693" s="668"/>
      <c r="I3693" s="721"/>
      <c r="J3693" s="639"/>
      <c r="K3693" s="1124"/>
    </row>
    <row r="3694" spans="1:11" x14ac:dyDescent="0.25">
      <c r="A3694" s="718">
        <v>3</v>
      </c>
      <c r="B3694" s="668"/>
      <c r="C3694" s="721"/>
      <c r="D3694" s="721"/>
      <c r="E3694" s="721"/>
      <c r="F3694" s="721"/>
      <c r="G3694" s="639"/>
      <c r="H3694" s="668"/>
      <c r="I3694" s="721"/>
      <c r="J3694" s="639"/>
      <c r="K3694" s="1124"/>
    </row>
    <row r="3695" spans="1:11" x14ac:dyDescent="0.25">
      <c r="A3695" s="718">
        <v>4</v>
      </c>
      <c r="B3695" s="668"/>
      <c r="C3695" s="721"/>
      <c r="D3695" s="721"/>
      <c r="E3695" s="721"/>
      <c r="F3695" s="721"/>
      <c r="G3695" s="639"/>
      <c r="H3695" s="668"/>
      <c r="I3695" s="721"/>
      <c r="J3695" s="639"/>
      <c r="K3695" s="1124"/>
    </row>
    <row r="3696" spans="1:11" x14ac:dyDescent="0.25">
      <c r="A3696" s="718">
        <v>5</v>
      </c>
      <c r="B3696" s="668"/>
      <c r="C3696" s="721"/>
      <c r="D3696" s="721"/>
      <c r="E3696" s="721"/>
      <c r="F3696" s="721"/>
      <c r="G3696" s="639"/>
      <c r="H3696" s="668"/>
      <c r="I3696" s="721"/>
      <c r="J3696" s="639"/>
      <c r="K3696" s="1124"/>
    </row>
    <row r="3697" spans="1:11" ht="13.8" thickBot="1" x14ac:dyDescent="0.3">
      <c r="A3697" s="719">
        <v>6</v>
      </c>
      <c r="B3697" s="669"/>
      <c r="C3697" s="1137"/>
      <c r="D3697" s="1137"/>
      <c r="E3697" s="1137"/>
      <c r="F3697" s="1137"/>
      <c r="G3697" s="646"/>
      <c r="H3697" s="669"/>
      <c r="I3697" s="1137"/>
      <c r="J3697" s="646"/>
      <c r="K3697" s="1138"/>
    </row>
    <row r="3698" spans="1:11" x14ac:dyDescent="0.25">
      <c r="A3698" s="1190">
        <v>1</v>
      </c>
      <c r="B3698" s="745"/>
      <c r="C3698" s="1117"/>
      <c r="D3698" s="1117"/>
      <c r="E3698" s="1117"/>
      <c r="F3698" s="1117"/>
      <c r="G3698" s="632"/>
      <c r="H3698" s="745"/>
      <c r="I3698" s="1117"/>
      <c r="J3698" s="632"/>
      <c r="K3698" s="1118"/>
    </row>
    <row r="3699" spans="1:11" x14ac:dyDescent="0.25">
      <c r="A3699" s="718">
        <v>2</v>
      </c>
      <c r="B3699" s="668"/>
      <c r="C3699" s="721"/>
      <c r="D3699" s="721"/>
      <c r="E3699" s="721"/>
      <c r="F3699" s="721"/>
      <c r="G3699" s="639"/>
      <c r="H3699" s="668"/>
      <c r="I3699" s="721"/>
      <c r="J3699" s="639"/>
      <c r="K3699" s="1124"/>
    </row>
    <row r="3700" spans="1:11" ht="13.8" thickBot="1" x14ac:dyDescent="0.3">
      <c r="A3700" s="719">
        <v>3</v>
      </c>
      <c r="B3700" s="669"/>
      <c r="C3700" s="1137"/>
      <c r="D3700" s="1137"/>
      <c r="E3700" s="1137"/>
      <c r="F3700" s="1137"/>
      <c r="G3700" s="646"/>
      <c r="H3700" s="669"/>
      <c r="I3700" s="1137"/>
      <c r="J3700" s="646"/>
      <c r="K3700" s="1138"/>
    </row>
    <row r="3701" spans="1:11" ht="13.8" thickBot="1" x14ac:dyDescent="0.3">
      <c r="A3701" s="1186" t="s">
        <v>856</v>
      </c>
      <c r="B3701" s="1187"/>
      <c r="C3701" s="1188"/>
      <c r="D3701" s="1188"/>
      <c r="E3701" s="1188"/>
      <c r="F3701" s="1188"/>
      <c r="G3701" s="1189"/>
      <c r="H3701" s="1187"/>
      <c r="I3701" s="1188"/>
      <c r="J3701" s="1189"/>
      <c r="K3701" s="716"/>
    </row>
    <row r="3702" spans="1:11" x14ac:dyDescent="0.25">
      <c r="A3702" s="1190">
        <v>1</v>
      </c>
      <c r="B3702" s="745"/>
      <c r="C3702" s="1117"/>
      <c r="D3702" s="1117"/>
      <c r="E3702" s="1117"/>
      <c r="F3702" s="1117"/>
      <c r="G3702" s="632"/>
      <c r="H3702" s="745"/>
      <c r="I3702" s="1117"/>
      <c r="J3702" s="632"/>
      <c r="K3702" s="1118"/>
    </row>
    <row r="3703" spans="1:11" x14ac:dyDescent="0.25">
      <c r="A3703" s="718">
        <v>2</v>
      </c>
      <c r="B3703" s="668"/>
      <c r="C3703" s="721"/>
      <c r="D3703" s="721"/>
      <c r="E3703" s="721"/>
      <c r="F3703" s="721"/>
      <c r="G3703" s="639"/>
      <c r="H3703" s="668"/>
      <c r="I3703" s="721"/>
      <c r="J3703" s="639"/>
      <c r="K3703" s="1124"/>
    </row>
    <row r="3704" spans="1:11" x14ac:dyDescent="0.25">
      <c r="A3704" s="718">
        <v>3</v>
      </c>
      <c r="B3704" s="668"/>
      <c r="C3704" s="721"/>
      <c r="D3704" s="721"/>
      <c r="E3704" s="721"/>
      <c r="F3704" s="721"/>
      <c r="G3704" s="639"/>
      <c r="H3704" s="668"/>
      <c r="I3704" s="721"/>
      <c r="J3704" s="639"/>
      <c r="K3704" s="1124"/>
    </row>
    <row r="3705" spans="1:11" x14ac:dyDescent="0.25">
      <c r="A3705" s="718">
        <v>4</v>
      </c>
      <c r="B3705" s="668"/>
      <c r="C3705" s="721"/>
      <c r="D3705" s="721"/>
      <c r="E3705" s="721"/>
      <c r="F3705" s="721"/>
      <c r="G3705" s="639"/>
      <c r="H3705" s="668"/>
      <c r="I3705" s="721"/>
      <c r="J3705" s="639"/>
      <c r="K3705" s="1124"/>
    </row>
    <row r="3706" spans="1:11" x14ac:dyDescent="0.25">
      <c r="A3706" s="718">
        <v>5</v>
      </c>
      <c r="B3706" s="668"/>
      <c r="C3706" s="721"/>
      <c r="D3706" s="721"/>
      <c r="E3706" s="721"/>
      <c r="F3706" s="721"/>
      <c r="G3706" s="639"/>
      <c r="H3706" s="668"/>
      <c r="I3706" s="721"/>
      <c r="J3706" s="639"/>
      <c r="K3706" s="1124"/>
    </row>
    <row r="3707" spans="1:11" ht="13.8" thickBot="1" x14ac:dyDescent="0.3">
      <c r="A3707" s="719">
        <v>6</v>
      </c>
      <c r="B3707" s="669"/>
      <c r="C3707" s="1137"/>
      <c r="D3707" s="1137"/>
      <c r="E3707" s="1137"/>
      <c r="F3707" s="1137"/>
      <c r="G3707" s="646"/>
      <c r="H3707" s="669"/>
      <c r="I3707" s="1137"/>
      <c r="J3707" s="646"/>
      <c r="K3707" s="1138"/>
    </row>
    <row r="3708" spans="1:11" x14ac:dyDescent="0.25">
      <c r="A3708" s="1190">
        <v>1</v>
      </c>
      <c r="B3708" s="745"/>
      <c r="C3708" s="1117"/>
      <c r="D3708" s="1117"/>
      <c r="E3708" s="1117"/>
      <c r="F3708" s="1117"/>
      <c r="G3708" s="632"/>
      <c r="H3708" s="745"/>
      <c r="I3708" s="1117"/>
      <c r="J3708" s="632"/>
      <c r="K3708" s="1118"/>
    </row>
    <row r="3709" spans="1:11" x14ac:dyDescent="0.25">
      <c r="A3709" s="718">
        <v>2</v>
      </c>
      <c r="B3709" s="668"/>
      <c r="C3709" s="721"/>
      <c r="D3709" s="721"/>
      <c r="E3709" s="721"/>
      <c r="F3709" s="721"/>
      <c r="G3709" s="639"/>
      <c r="H3709" s="668"/>
      <c r="I3709" s="721"/>
      <c r="J3709" s="639"/>
      <c r="K3709" s="1124"/>
    </row>
    <row r="3710" spans="1:11" ht="13.8" thickBot="1" x14ac:dyDescent="0.3">
      <c r="A3710" s="719">
        <v>3</v>
      </c>
      <c r="B3710" s="669"/>
      <c r="C3710" s="1137"/>
      <c r="D3710" s="1137"/>
      <c r="E3710" s="1137"/>
      <c r="F3710" s="1137"/>
      <c r="G3710" s="646"/>
      <c r="H3710" s="669"/>
      <c r="I3710" s="1137"/>
      <c r="J3710" s="646"/>
      <c r="K3710" s="1138"/>
    </row>
    <row r="3711" spans="1:11" ht="13.8" thickBot="1" x14ac:dyDescent="0.3">
      <c r="A3711" s="1186" t="s">
        <v>857</v>
      </c>
      <c r="B3711" s="1187"/>
      <c r="C3711" s="1188"/>
      <c r="D3711" s="1188"/>
      <c r="E3711" s="1188"/>
      <c r="F3711" s="1188"/>
      <c r="G3711" s="1189"/>
      <c r="H3711" s="1187"/>
      <c r="I3711" s="1188"/>
      <c r="J3711" s="1189"/>
      <c r="K3711" s="716"/>
    </row>
    <row r="3712" spans="1:11" x14ac:dyDescent="0.25">
      <c r="A3712" s="1190">
        <v>1</v>
      </c>
      <c r="B3712" s="745"/>
      <c r="C3712" s="1117"/>
      <c r="D3712" s="1117"/>
      <c r="E3712" s="1117"/>
      <c r="F3712" s="1117"/>
      <c r="G3712" s="632"/>
      <c r="H3712" s="745"/>
      <c r="I3712" s="1117"/>
      <c r="J3712" s="632"/>
      <c r="K3712" s="1118"/>
    </row>
    <row r="3713" spans="1:11" x14ac:dyDescent="0.25">
      <c r="A3713" s="718">
        <v>2</v>
      </c>
      <c r="B3713" s="668"/>
      <c r="C3713" s="721"/>
      <c r="D3713" s="721"/>
      <c r="E3713" s="721"/>
      <c r="F3713" s="721"/>
      <c r="G3713" s="639"/>
      <c r="H3713" s="668"/>
      <c r="I3713" s="721"/>
      <c r="J3713" s="639"/>
      <c r="K3713" s="1124"/>
    </row>
    <row r="3714" spans="1:11" x14ac:dyDescent="0.25">
      <c r="A3714" s="718">
        <v>3</v>
      </c>
      <c r="B3714" s="668"/>
      <c r="C3714" s="721"/>
      <c r="D3714" s="721"/>
      <c r="E3714" s="721"/>
      <c r="F3714" s="721"/>
      <c r="G3714" s="639"/>
      <c r="H3714" s="668"/>
      <c r="I3714" s="721"/>
      <c r="J3714" s="639"/>
      <c r="K3714" s="1124"/>
    </row>
    <row r="3715" spans="1:11" x14ac:dyDescent="0.25">
      <c r="A3715" s="718">
        <v>4</v>
      </c>
      <c r="B3715" s="668"/>
      <c r="C3715" s="721"/>
      <c r="D3715" s="721"/>
      <c r="E3715" s="721"/>
      <c r="F3715" s="721"/>
      <c r="G3715" s="639"/>
      <c r="H3715" s="668"/>
      <c r="I3715" s="721"/>
      <c r="J3715" s="639"/>
      <c r="K3715" s="1124"/>
    </row>
    <row r="3716" spans="1:11" x14ac:dyDescent="0.25">
      <c r="A3716" s="718">
        <v>5</v>
      </c>
      <c r="B3716" s="668"/>
      <c r="C3716" s="721"/>
      <c r="D3716" s="721"/>
      <c r="E3716" s="721"/>
      <c r="F3716" s="721"/>
      <c r="G3716" s="639"/>
      <c r="H3716" s="668"/>
      <c r="I3716" s="721"/>
      <c r="J3716" s="639"/>
      <c r="K3716" s="1124"/>
    </row>
    <row r="3717" spans="1:11" ht="13.8" thickBot="1" x14ac:dyDescent="0.3">
      <c r="A3717" s="719">
        <v>6</v>
      </c>
      <c r="B3717" s="669"/>
      <c r="C3717" s="1137"/>
      <c r="D3717" s="1137"/>
      <c r="E3717" s="1137"/>
      <c r="F3717" s="1137"/>
      <c r="G3717" s="646"/>
      <c r="H3717" s="669"/>
      <c r="I3717" s="1137"/>
      <c r="J3717" s="646"/>
      <c r="K3717" s="1138"/>
    </row>
    <row r="3718" spans="1:11" x14ac:dyDescent="0.25">
      <c r="A3718" s="1190">
        <v>1</v>
      </c>
      <c r="B3718" s="745"/>
      <c r="C3718" s="1117"/>
      <c r="D3718" s="1117"/>
      <c r="E3718" s="1117"/>
      <c r="F3718" s="1117"/>
      <c r="G3718" s="632"/>
      <c r="H3718" s="745"/>
      <c r="I3718" s="1117"/>
      <c r="J3718" s="632"/>
      <c r="K3718" s="1118"/>
    </row>
    <row r="3719" spans="1:11" x14ac:dyDescent="0.25">
      <c r="A3719" s="718">
        <v>2</v>
      </c>
      <c r="B3719" s="668"/>
      <c r="C3719" s="721"/>
      <c r="D3719" s="721"/>
      <c r="E3719" s="721"/>
      <c r="F3719" s="721"/>
      <c r="G3719" s="639"/>
      <c r="H3719" s="668"/>
      <c r="I3719" s="721"/>
      <c r="J3719" s="639"/>
      <c r="K3719" s="1124"/>
    </row>
    <row r="3720" spans="1:11" ht="13.8" thickBot="1" x14ac:dyDescent="0.3">
      <c r="A3720" s="1191">
        <v>3</v>
      </c>
      <c r="B3720" s="1132"/>
      <c r="C3720" s="1133"/>
      <c r="D3720" s="1133"/>
      <c r="E3720" s="1133"/>
      <c r="F3720" s="1133"/>
      <c r="G3720" s="1134"/>
      <c r="H3720" s="1132"/>
      <c r="I3720" s="1133"/>
      <c r="J3720" s="1134"/>
      <c r="K3720" s="1147"/>
    </row>
    <row r="3721" spans="1:11" ht="13.8" thickBot="1" x14ac:dyDescent="0.3">
      <c r="A3721" s="1186" t="s">
        <v>858</v>
      </c>
      <c r="B3721" s="1187"/>
      <c r="C3721" s="1188"/>
      <c r="D3721" s="1188"/>
      <c r="E3721" s="1188"/>
      <c r="F3721" s="1188"/>
      <c r="G3721" s="1189"/>
      <c r="H3721" s="1187"/>
      <c r="I3721" s="1188"/>
      <c r="J3721" s="1189"/>
      <c r="K3721" s="716"/>
    </row>
    <row r="3722" spans="1:11" x14ac:dyDescent="0.25">
      <c r="A3722" s="1190">
        <v>1</v>
      </c>
      <c r="B3722" s="745"/>
      <c r="C3722" s="1117"/>
      <c r="D3722" s="1117"/>
      <c r="E3722" s="1117"/>
      <c r="F3722" s="1117"/>
      <c r="G3722" s="632"/>
      <c r="H3722" s="745"/>
      <c r="I3722" s="1117"/>
      <c r="J3722" s="632"/>
      <c r="K3722" s="1118"/>
    </row>
    <row r="3723" spans="1:11" x14ac:dyDescent="0.25">
      <c r="A3723" s="718">
        <v>2</v>
      </c>
      <c r="B3723" s="668"/>
      <c r="C3723" s="721"/>
      <c r="D3723" s="721"/>
      <c r="E3723" s="721"/>
      <c r="F3723" s="721"/>
      <c r="G3723" s="639"/>
      <c r="H3723" s="668"/>
      <c r="I3723" s="721"/>
      <c r="J3723" s="639"/>
      <c r="K3723" s="1124"/>
    </row>
    <row r="3724" spans="1:11" x14ac:dyDescent="0.25">
      <c r="A3724" s="718">
        <v>3</v>
      </c>
      <c r="B3724" s="668"/>
      <c r="C3724" s="721"/>
      <c r="D3724" s="721"/>
      <c r="E3724" s="721"/>
      <c r="F3724" s="721"/>
      <c r="G3724" s="639"/>
      <c r="H3724" s="668"/>
      <c r="I3724" s="721"/>
      <c r="J3724" s="639"/>
      <c r="K3724" s="1124"/>
    </row>
    <row r="3725" spans="1:11" x14ac:dyDescent="0.25">
      <c r="A3725" s="718">
        <v>4</v>
      </c>
      <c r="B3725" s="668"/>
      <c r="C3725" s="721"/>
      <c r="D3725" s="721"/>
      <c r="E3725" s="721"/>
      <c r="F3725" s="721"/>
      <c r="G3725" s="639"/>
      <c r="H3725" s="668"/>
      <c r="I3725" s="721"/>
      <c r="J3725" s="639"/>
      <c r="K3725" s="1124"/>
    </row>
    <row r="3726" spans="1:11" x14ac:dyDescent="0.25">
      <c r="A3726" s="718">
        <v>5</v>
      </c>
      <c r="B3726" s="668"/>
      <c r="C3726" s="721"/>
      <c r="D3726" s="721"/>
      <c r="E3726" s="721"/>
      <c r="F3726" s="721"/>
      <c r="G3726" s="639"/>
      <c r="H3726" s="668"/>
      <c r="I3726" s="721"/>
      <c r="J3726" s="639"/>
      <c r="K3726" s="1124"/>
    </row>
    <row r="3727" spans="1:11" ht="13.8" thickBot="1" x14ac:dyDescent="0.3">
      <c r="A3727" s="719">
        <v>6</v>
      </c>
      <c r="B3727" s="669"/>
      <c r="C3727" s="1137"/>
      <c r="D3727" s="1137"/>
      <c r="E3727" s="1137"/>
      <c r="F3727" s="1137"/>
      <c r="G3727" s="646"/>
      <c r="H3727" s="669"/>
      <c r="I3727" s="1137"/>
      <c r="J3727" s="646"/>
      <c r="K3727" s="1138"/>
    </row>
    <row r="3728" spans="1:11" x14ac:dyDescent="0.25">
      <c r="A3728" s="1190">
        <v>1</v>
      </c>
      <c r="B3728" s="745"/>
      <c r="C3728" s="1117"/>
      <c r="D3728" s="1117"/>
      <c r="E3728" s="1117"/>
      <c r="F3728" s="1117"/>
      <c r="G3728" s="632"/>
      <c r="H3728" s="745"/>
      <c r="I3728" s="1117"/>
      <c r="J3728" s="632"/>
      <c r="K3728" s="1118"/>
    </row>
    <row r="3729" spans="1:11" x14ac:dyDescent="0.25">
      <c r="A3729" s="718">
        <v>2</v>
      </c>
      <c r="B3729" s="668"/>
      <c r="C3729" s="721"/>
      <c r="D3729" s="721"/>
      <c r="E3729" s="721"/>
      <c r="F3729" s="721"/>
      <c r="G3729" s="639"/>
      <c r="H3729" s="668"/>
      <c r="I3729" s="721"/>
      <c r="J3729" s="639"/>
      <c r="K3729" s="1124"/>
    </row>
    <row r="3730" spans="1:11" ht="13.8" thickBot="1" x14ac:dyDescent="0.3">
      <c r="A3730" s="719">
        <v>3</v>
      </c>
      <c r="B3730" s="669"/>
      <c r="C3730" s="1137"/>
      <c r="D3730" s="1137"/>
      <c r="E3730" s="1137"/>
      <c r="F3730" s="1137"/>
      <c r="G3730" s="646"/>
      <c r="H3730" s="669"/>
      <c r="I3730" s="1137"/>
      <c r="J3730" s="646"/>
      <c r="K3730" s="1138"/>
    </row>
    <row r="3731" spans="1:11" ht="13.8" thickBot="1" x14ac:dyDescent="0.3">
      <c r="A3731" s="1186" t="s">
        <v>859</v>
      </c>
      <c r="B3731" s="1187"/>
      <c r="C3731" s="1188"/>
      <c r="D3731" s="1188"/>
      <c r="E3731" s="1188"/>
      <c r="F3731" s="1188"/>
      <c r="G3731" s="1189"/>
      <c r="H3731" s="1187"/>
      <c r="I3731" s="1188"/>
      <c r="J3731" s="1189"/>
      <c r="K3731" s="716"/>
    </row>
    <row r="3732" spans="1:11" x14ac:dyDescent="0.25">
      <c r="A3732" s="1190">
        <v>1</v>
      </c>
      <c r="B3732" s="745"/>
      <c r="C3732" s="1117"/>
      <c r="D3732" s="1117"/>
      <c r="E3732" s="1117"/>
      <c r="F3732" s="1117"/>
      <c r="G3732" s="632"/>
      <c r="H3732" s="745"/>
      <c r="I3732" s="1117"/>
      <c r="J3732" s="632"/>
      <c r="K3732" s="1118"/>
    </row>
    <row r="3733" spans="1:11" x14ac:dyDescent="0.25">
      <c r="A3733" s="718">
        <v>2</v>
      </c>
      <c r="B3733" s="668"/>
      <c r="C3733" s="721"/>
      <c r="D3733" s="721"/>
      <c r="E3733" s="721"/>
      <c r="F3733" s="721"/>
      <c r="G3733" s="639"/>
      <c r="H3733" s="668"/>
      <c r="I3733" s="721"/>
      <c r="J3733" s="639"/>
      <c r="K3733" s="1124"/>
    </row>
    <row r="3734" spans="1:11" x14ac:dyDescent="0.25">
      <c r="A3734" s="718">
        <v>3</v>
      </c>
      <c r="B3734" s="668"/>
      <c r="C3734" s="721"/>
      <c r="D3734" s="721"/>
      <c r="E3734" s="721"/>
      <c r="F3734" s="721"/>
      <c r="G3734" s="639"/>
      <c r="H3734" s="668"/>
      <c r="I3734" s="721"/>
      <c r="J3734" s="639"/>
      <c r="K3734" s="1124"/>
    </row>
    <row r="3735" spans="1:11" x14ac:dyDescent="0.25">
      <c r="A3735" s="718">
        <v>4</v>
      </c>
      <c r="B3735" s="668"/>
      <c r="C3735" s="721"/>
      <c r="D3735" s="721"/>
      <c r="E3735" s="721"/>
      <c r="F3735" s="721"/>
      <c r="G3735" s="639"/>
      <c r="H3735" s="668"/>
      <c r="I3735" s="721"/>
      <c r="J3735" s="639"/>
      <c r="K3735" s="1124"/>
    </row>
    <row r="3736" spans="1:11" x14ac:dyDescent="0.25">
      <c r="A3736" s="718">
        <v>5</v>
      </c>
      <c r="B3736" s="668"/>
      <c r="C3736" s="721"/>
      <c r="D3736" s="721"/>
      <c r="E3736" s="721"/>
      <c r="F3736" s="721"/>
      <c r="G3736" s="639"/>
      <c r="H3736" s="668"/>
      <c r="I3736" s="721"/>
      <c r="J3736" s="639"/>
      <c r="K3736" s="1124"/>
    </row>
    <row r="3737" spans="1:11" ht="13.8" thickBot="1" x14ac:dyDescent="0.3">
      <c r="A3737" s="719">
        <v>6</v>
      </c>
      <c r="B3737" s="669"/>
      <c r="C3737" s="1137"/>
      <c r="D3737" s="1137"/>
      <c r="E3737" s="1137"/>
      <c r="F3737" s="1137"/>
      <c r="G3737" s="646"/>
      <c r="H3737" s="669"/>
      <c r="I3737" s="1137"/>
      <c r="J3737" s="646"/>
      <c r="K3737" s="1138"/>
    </row>
    <row r="3738" spans="1:11" x14ac:dyDescent="0.25">
      <c r="A3738" s="1190">
        <v>1</v>
      </c>
      <c r="B3738" s="745"/>
      <c r="C3738" s="1117"/>
      <c r="D3738" s="1117"/>
      <c r="E3738" s="1117"/>
      <c r="F3738" s="1117"/>
      <c r="G3738" s="632"/>
      <c r="H3738" s="745"/>
      <c r="I3738" s="1117"/>
      <c r="J3738" s="632"/>
      <c r="K3738" s="1118"/>
    </row>
    <row r="3739" spans="1:11" x14ac:dyDescent="0.25">
      <c r="A3739" s="718">
        <v>2</v>
      </c>
      <c r="B3739" s="668"/>
      <c r="C3739" s="721"/>
      <c r="D3739" s="721"/>
      <c r="E3739" s="721"/>
      <c r="F3739" s="721"/>
      <c r="G3739" s="639"/>
      <c r="H3739" s="668"/>
      <c r="I3739" s="721"/>
      <c r="J3739" s="639"/>
      <c r="K3739" s="1124"/>
    </row>
    <row r="3740" spans="1:11" ht="13.8" thickBot="1" x14ac:dyDescent="0.3">
      <c r="A3740" s="719">
        <v>3</v>
      </c>
      <c r="B3740" s="669"/>
      <c r="C3740" s="1137"/>
      <c r="D3740" s="1137"/>
      <c r="E3740" s="1137"/>
      <c r="F3740" s="1137"/>
      <c r="G3740" s="646"/>
      <c r="H3740" s="669"/>
      <c r="I3740" s="1137"/>
      <c r="J3740" s="646"/>
      <c r="K3740" s="1138"/>
    </row>
    <row r="3741" spans="1:11" ht="13.8" thickBot="1" x14ac:dyDescent="0.3">
      <c r="A3741" s="1186" t="s">
        <v>860</v>
      </c>
      <c r="B3741" s="1187"/>
      <c r="C3741" s="1188"/>
      <c r="D3741" s="1188"/>
      <c r="E3741" s="1188"/>
      <c r="F3741" s="1188"/>
      <c r="G3741" s="1189"/>
      <c r="H3741" s="1187"/>
      <c r="I3741" s="1188"/>
      <c r="J3741" s="1189"/>
      <c r="K3741" s="716"/>
    </row>
    <row r="3742" spans="1:11" x14ac:dyDescent="0.25">
      <c r="A3742" s="1190">
        <v>1</v>
      </c>
      <c r="B3742" s="745"/>
      <c r="C3742" s="1117"/>
      <c r="D3742" s="1117"/>
      <c r="E3742" s="1117"/>
      <c r="F3742" s="1117"/>
      <c r="G3742" s="632"/>
      <c r="H3742" s="745"/>
      <c r="I3742" s="1117"/>
      <c r="J3742" s="632"/>
      <c r="K3742" s="1118"/>
    </row>
    <row r="3743" spans="1:11" x14ac:dyDescent="0.25">
      <c r="A3743" s="718">
        <v>2</v>
      </c>
      <c r="B3743" s="668"/>
      <c r="C3743" s="721"/>
      <c r="D3743" s="721"/>
      <c r="E3743" s="721"/>
      <c r="F3743" s="721"/>
      <c r="G3743" s="639"/>
      <c r="H3743" s="668"/>
      <c r="I3743" s="721"/>
      <c r="J3743" s="639"/>
      <c r="K3743" s="1124"/>
    </row>
    <row r="3744" spans="1:11" x14ac:dyDescent="0.25">
      <c r="A3744" s="718">
        <v>3</v>
      </c>
      <c r="B3744" s="668"/>
      <c r="C3744" s="721"/>
      <c r="D3744" s="721"/>
      <c r="E3744" s="721"/>
      <c r="F3744" s="721"/>
      <c r="G3744" s="639"/>
      <c r="H3744" s="668"/>
      <c r="I3744" s="721"/>
      <c r="J3744" s="639"/>
      <c r="K3744" s="1124"/>
    </row>
    <row r="3745" spans="1:11" x14ac:dyDescent="0.25">
      <c r="A3745" s="718">
        <v>4</v>
      </c>
      <c r="B3745" s="668"/>
      <c r="C3745" s="721"/>
      <c r="D3745" s="721"/>
      <c r="E3745" s="721"/>
      <c r="F3745" s="721"/>
      <c r="G3745" s="639"/>
      <c r="H3745" s="668"/>
      <c r="I3745" s="721"/>
      <c r="J3745" s="639"/>
      <c r="K3745" s="1124"/>
    </row>
    <row r="3746" spans="1:11" x14ac:dyDescent="0.25">
      <c r="A3746" s="718">
        <v>5</v>
      </c>
      <c r="B3746" s="668"/>
      <c r="C3746" s="721"/>
      <c r="D3746" s="721"/>
      <c r="E3746" s="721"/>
      <c r="F3746" s="721"/>
      <c r="G3746" s="639"/>
      <c r="H3746" s="668"/>
      <c r="I3746" s="721"/>
      <c r="J3746" s="639"/>
      <c r="K3746" s="1124"/>
    </row>
    <row r="3747" spans="1:11" ht="13.8" thickBot="1" x14ac:dyDescent="0.3">
      <c r="A3747" s="719">
        <v>6</v>
      </c>
      <c r="B3747" s="669"/>
      <c r="C3747" s="1137"/>
      <c r="D3747" s="1137"/>
      <c r="E3747" s="1137"/>
      <c r="F3747" s="1137"/>
      <c r="G3747" s="646"/>
      <c r="H3747" s="669"/>
      <c r="I3747" s="1137"/>
      <c r="J3747" s="646"/>
      <c r="K3747" s="1138"/>
    </row>
    <row r="3748" spans="1:11" x14ac:dyDescent="0.25">
      <c r="A3748" s="1190">
        <v>1</v>
      </c>
      <c r="B3748" s="745"/>
      <c r="C3748" s="1117"/>
      <c r="D3748" s="1117"/>
      <c r="E3748" s="1117"/>
      <c r="F3748" s="1117"/>
      <c r="G3748" s="632"/>
      <c r="H3748" s="745"/>
      <c r="I3748" s="1117"/>
      <c r="J3748" s="632"/>
      <c r="K3748" s="1118"/>
    </row>
    <row r="3749" spans="1:11" x14ac:dyDescent="0.25">
      <c r="A3749" s="718">
        <v>2</v>
      </c>
      <c r="B3749" s="668"/>
      <c r="C3749" s="721"/>
      <c r="D3749" s="721"/>
      <c r="E3749" s="721"/>
      <c r="F3749" s="721"/>
      <c r="G3749" s="639"/>
      <c r="H3749" s="668"/>
      <c r="I3749" s="721"/>
      <c r="J3749" s="639"/>
      <c r="K3749" s="1124"/>
    </row>
    <row r="3750" spans="1:11" ht="13.8" thickBot="1" x14ac:dyDescent="0.3">
      <c r="A3750" s="719">
        <v>3</v>
      </c>
      <c r="B3750" s="669"/>
      <c r="C3750" s="1137"/>
      <c r="D3750" s="1137"/>
      <c r="E3750" s="1137"/>
      <c r="F3750" s="1137"/>
      <c r="G3750" s="646"/>
      <c r="H3750" s="669"/>
      <c r="I3750" s="1137"/>
      <c r="J3750" s="646"/>
      <c r="K3750" s="1138"/>
    </row>
    <row r="3751" spans="1:11" ht="13.8" thickBot="1" x14ac:dyDescent="0.3">
      <c r="A3751" s="1186" t="s">
        <v>861</v>
      </c>
      <c r="B3751" s="1187"/>
      <c r="C3751" s="1188"/>
      <c r="D3751" s="1188"/>
      <c r="E3751" s="1188"/>
      <c r="F3751" s="1188"/>
      <c r="G3751" s="1189"/>
      <c r="H3751" s="1187"/>
      <c r="I3751" s="1188"/>
      <c r="J3751" s="1189"/>
      <c r="K3751" s="716"/>
    </row>
    <row r="3752" spans="1:11" x14ac:dyDescent="0.25">
      <c r="A3752" s="1190">
        <v>1</v>
      </c>
      <c r="B3752" s="745"/>
      <c r="C3752" s="1117"/>
      <c r="D3752" s="1117"/>
      <c r="E3752" s="1117"/>
      <c r="F3752" s="1117"/>
      <c r="G3752" s="632"/>
      <c r="H3752" s="745"/>
      <c r="I3752" s="1117"/>
      <c r="J3752" s="632"/>
      <c r="K3752" s="1118"/>
    </row>
    <row r="3753" spans="1:11" x14ac:dyDescent="0.25">
      <c r="A3753" s="718">
        <v>2</v>
      </c>
      <c r="B3753" s="668"/>
      <c r="C3753" s="721"/>
      <c r="D3753" s="721"/>
      <c r="E3753" s="721"/>
      <c r="F3753" s="721"/>
      <c r="G3753" s="639"/>
      <c r="H3753" s="668"/>
      <c r="I3753" s="721"/>
      <c r="J3753" s="639"/>
      <c r="K3753" s="1124"/>
    </row>
    <row r="3754" spans="1:11" x14ac:dyDescent="0.25">
      <c r="A3754" s="718">
        <v>3</v>
      </c>
      <c r="B3754" s="668"/>
      <c r="C3754" s="721"/>
      <c r="D3754" s="721"/>
      <c r="E3754" s="721"/>
      <c r="F3754" s="721"/>
      <c r="G3754" s="639"/>
      <c r="H3754" s="668"/>
      <c r="I3754" s="721"/>
      <c r="J3754" s="639"/>
      <c r="K3754" s="1124"/>
    </row>
    <row r="3755" spans="1:11" x14ac:dyDescent="0.25">
      <c r="A3755" s="718">
        <v>4</v>
      </c>
      <c r="B3755" s="668"/>
      <c r="C3755" s="721"/>
      <c r="D3755" s="721"/>
      <c r="E3755" s="721"/>
      <c r="F3755" s="721"/>
      <c r="G3755" s="639"/>
      <c r="H3755" s="668"/>
      <c r="I3755" s="721"/>
      <c r="J3755" s="639"/>
      <c r="K3755" s="1124"/>
    </row>
    <row r="3756" spans="1:11" x14ac:dyDescent="0.25">
      <c r="A3756" s="718">
        <v>5</v>
      </c>
      <c r="B3756" s="668"/>
      <c r="C3756" s="721"/>
      <c r="D3756" s="721"/>
      <c r="E3756" s="721"/>
      <c r="F3756" s="721"/>
      <c r="G3756" s="639"/>
      <c r="H3756" s="668"/>
      <c r="I3756" s="721"/>
      <c r="J3756" s="639"/>
      <c r="K3756" s="1124"/>
    </row>
    <row r="3757" spans="1:11" ht="13.8" thickBot="1" x14ac:dyDescent="0.3">
      <c r="A3757" s="719">
        <v>6</v>
      </c>
      <c r="B3757" s="669"/>
      <c r="C3757" s="1137"/>
      <c r="D3757" s="1137"/>
      <c r="E3757" s="1137"/>
      <c r="F3757" s="1137"/>
      <c r="G3757" s="646"/>
      <c r="H3757" s="669"/>
      <c r="I3757" s="1137"/>
      <c r="J3757" s="646"/>
      <c r="K3757" s="1138"/>
    </row>
    <row r="3758" spans="1:11" x14ac:dyDescent="0.25">
      <c r="A3758" s="1190">
        <v>1</v>
      </c>
      <c r="B3758" s="745"/>
      <c r="C3758" s="1117"/>
      <c r="D3758" s="1117"/>
      <c r="E3758" s="1117"/>
      <c r="F3758" s="1117"/>
      <c r="G3758" s="632"/>
      <c r="H3758" s="745"/>
      <c r="I3758" s="1117"/>
      <c r="J3758" s="632"/>
      <c r="K3758" s="1118"/>
    </row>
    <row r="3759" spans="1:11" x14ac:dyDescent="0.25">
      <c r="A3759" s="718">
        <v>2</v>
      </c>
      <c r="B3759" s="668"/>
      <c r="C3759" s="721"/>
      <c r="D3759" s="721"/>
      <c r="E3759" s="721"/>
      <c r="F3759" s="721"/>
      <c r="G3759" s="639"/>
      <c r="H3759" s="668"/>
      <c r="I3759" s="721"/>
      <c r="J3759" s="639"/>
      <c r="K3759" s="1124"/>
    </row>
    <row r="3760" spans="1:11" ht="13.8" thickBot="1" x14ac:dyDescent="0.3">
      <c r="A3760" s="1191">
        <v>3</v>
      </c>
      <c r="B3760" s="1132"/>
      <c r="C3760" s="1133"/>
      <c r="D3760" s="1133"/>
      <c r="E3760" s="1133"/>
      <c r="F3760" s="1133"/>
      <c r="G3760" s="1134"/>
      <c r="H3760" s="1132"/>
      <c r="I3760" s="1133"/>
      <c r="J3760" s="1134"/>
      <c r="K3760" s="1147"/>
    </row>
    <row r="3761" spans="1:11" ht="13.8" thickBot="1" x14ac:dyDescent="0.3">
      <c r="A3761" s="1186" t="s">
        <v>862</v>
      </c>
      <c r="B3761" s="1187"/>
      <c r="C3761" s="1188"/>
      <c r="D3761" s="1188"/>
      <c r="E3761" s="1188"/>
      <c r="F3761" s="1188"/>
      <c r="G3761" s="1189"/>
      <c r="H3761" s="1187"/>
      <c r="I3761" s="1188"/>
      <c r="J3761" s="1189"/>
      <c r="K3761" s="716"/>
    </row>
    <row r="3762" spans="1:11" x14ac:dyDescent="0.25">
      <c r="A3762" s="1190">
        <v>1</v>
      </c>
      <c r="B3762" s="745"/>
      <c r="C3762" s="1117"/>
      <c r="D3762" s="1117"/>
      <c r="E3762" s="1117"/>
      <c r="F3762" s="1117"/>
      <c r="G3762" s="632"/>
      <c r="H3762" s="745"/>
      <c r="I3762" s="1117"/>
      <c r="J3762" s="632"/>
      <c r="K3762" s="1118"/>
    </row>
    <row r="3763" spans="1:11" x14ac:dyDescent="0.25">
      <c r="A3763" s="718">
        <v>2</v>
      </c>
      <c r="B3763" s="668"/>
      <c r="C3763" s="721"/>
      <c r="D3763" s="721"/>
      <c r="E3763" s="721"/>
      <c r="F3763" s="721"/>
      <c r="G3763" s="639"/>
      <c r="H3763" s="668"/>
      <c r="I3763" s="721"/>
      <c r="J3763" s="639"/>
      <c r="K3763" s="1124"/>
    </row>
    <row r="3764" spans="1:11" x14ac:dyDescent="0.25">
      <c r="A3764" s="718">
        <v>3</v>
      </c>
      <c r="B3764" s="668"/>
      <c r="C3764" s="721"/>
      <c r="D3764" s="721"/>
      <c r="E3764" s="721"/>
      <c r="F3764" s="721"/>
      <c r="G3764" s="639"/>
      <c r="H3764" s="668"/>
      <c r="I3764" s="721"/>
      <c r="J3764" s="639"/>
      <c r="K3764" s="1124"/>
    </row>
    <row r="3765" spans="1:11" x14ac:dyDescent="0.25">
      <c r="A3765" s="718">
        <v>4</v>
      </c>
      <c r="B3765" s="668"/>
      <c r="C3765" s="721"/>
      <c r="D3765" s="721"/>
      <c r="E3765" s="721"/>
      <c r="F3765" s="721"/>
      <c r="G3765" s="639"/>
      <c r="H3765" s="668"/>
      <c r="I3765" s="721"/>
      <c r="J3765" s="639"/>
      <c r="K3765" s="1124"/>
    </row>
    <row r="3766" spans="1:11" x14ac:dyDescent="0.25">
      <c r="A3766" s="718">
        <v>5</v>
      </c>
      <c r="B3766" s="668"/>
      <c r="C3766" s="721"/>
      <c r="D3766" s="721"/>
      <c r="E3766" s="721"/>
      <c r="F3766" s="721"/>
      <c r="G3766" s="639"/>
      <c r="H3766" s="668"/>
      <c r="I3766" s="721"/>
      <c r="J3766" s="639"/>
      <c r="K3766" s="1124"/>
    </row>
    <row r="3767" spans="1:11" ht="13.8" thickBot="1" x14ac:dyDescent="0.3">
      <c r="A3767" s="719">
        <v>6</v>
      </c>
      <c r="B3767" s="669"/>
      <c r="C3767" s="1137"/>
      <c r="D3767" s="1137"/>
      <c r="E3767" s="1137"/>
      <c r="F3767" s="1137"/>
      <c r="G3767" s="646"/>
      <c r="H3767" s="669"/>
      <c r="I3767" s="1137"/>
      <c r="J3767" s="646"/>
      <c r="K3767" s="1138"/>
    </row>
    <row r="3768" spans="1:11" x14ac:dyDescent="0.25">
      <c r="A3768" s="1190">
        <v>1</v>
      </c>
      <c r="B3768" s="745"/>
      <c r="C3768" s="1117"/>
      <c r="D3768" s="1117"/>
      <c r="E3768" s="1117"/>
      <c r="F3768" s="1117"/>
      <c r="G3768" s="632"/>
      <c r="H3768" s="745"/>
      <c r="I3768" s="1117"/>
      <c r="J3768" s="632"/>
      <c r="K3768" s="1118"/>
    </row>
    <row r="3769" spans="1:11" x14ac:dyDescent="0.25">
      <c r="A3769" s="718">
        <v>2</v>
      </c>
      <c r="B3769" s="668"/>
      <c r="C3769" s="721"/>
      <c r="D3769" s="721"/>
      <c r="E3769" s="721"/>
      <c r="F3769" s="721"/>
      <c r="G3769" s="639"/>
      <c r="H3769" s="668"/>
      <c r="I3769" s="721"/>
      <c r="J3769" s="639"/>
      <c r="K3769" s="1124"/>
    </row>
    <row r="3770" spans="1:11" ht="13.8" thickBot="1" x14ac:dyDescent="0.3">
      <c r="A3770" s="719">
        <v>3</v>
      </c>
      <c r="B3770" s="669"/>
      <c r="C3770" s="1137"/>
      <c r="D3770" s="1137"/>
      <c r="E3770" s="1137"/>
      <c r="F3770" s="1137"/>
      <c r="G3770" s="646"/>
      <c r="H3770" s="669"/>
      <c r="I3770" s="1137"/>
      <c r="J3770" s="646"/>
      <c r="K3770" s="1138"/>
    </row>
    <row r="3771" spans="1:11" ht="13.8" thickBot="1" x14ac:dyDescent="0.3">
      <c r="A3771" s="1186" t="s">
        <v>863</v>
      </c>
      <c r="B3771" s="1187"/>
      <c r="C3771" s="1188"/>
      <c r="D3771" s="1188"/>
      <c r="E3771" s="1188"/>
      <c r="F3771" s="1188"/>
      <c r="G3771" s="1189"/>
      <c r="H3771" s="1187"/>
      <c r="I3771" s="1188"/>
      <c r="J3771" s="1189"/>
      <c r="K3771" s="716"/>
    </row>
    <row r="3772" spans="1:11" x14ac:dyDescent="0.25">
      <c r="A3772" s="1190">
        <v>1</v>
      </c>
      <c r="B3772" s="745"/>
      <c r="C3772" s="1117"/>
      <c r="D3772" s="1117"/>
      <c r="E3772" s="1117"/>
      <c r="F3772" s="1117"/>
      <c r="G3772" s="632"/>
      <c r="H3772" s="745"/>
      <c r="I3772" s="1117"/>
      <c r="J3772" s="632"/>
      <c r="K3772" s="1118"/>
    </row>
    <row r="3773" spans="1:11" x14ac:dyDescent="0.25">
      <c r="A3773" s="718">
        <v>2</v>
      </c>
      <c r="B3773" s="668"/>
      <c r="C3773" s="721"/>
      <c r="D3773" s="721"/>
      <c r="E3773" s="721"/>
      <c r="F3773" s="721"/>
      <c r="G3773" s="639"/>
      <c r="H3773" s="668"/>
      <c r="I3773" s="721"/>
      <c r="J3773" s="639"/>
      <c r="K3773" s="1124"/>
    </row>
    <row r="3774" spans="1:11" x14ac:dyDescent="0.25">
      <c r="A3774" s="718">
        <v>3</v>
      </c>
      <c r="B3774" s="668"/>
      <c r="C3774" s="721"/>
      <c r="D3774" s="721"/>
      <c r="E3774" s="721"/>
      <c r="F3774" s="721"/>
      <c r="G3774" s="639"/>
      <c r="H3774" s="668"/>
      <c r="I3774" s="721"/>
      <c r="J3774" s="639"/>
      <c r="K3774" s="1124"/>
    </row>
    <row r="3775" spans="1:11" x14ac:dyDescent="0.25">
      <c r="A3775" s="718">
        <v>4</v>
      </c>
      <c r="B3775" s="668"/>
      <c r="C3775" s="721"/>
      <c r="D3775" s="721"/>
      <c r="E3775" s="721"/>
      <c r="F3775" s="721"/>
      <c r="G3775" s="639"/>
      <c r="H3775" s="668"/>
      <c r="I3775" s="721"/>
      <c r="J3775" s="639"/>
      <c r="K3775" s="1124"/>
    </row>
    <row r="3776" spans="1:11" x14ac:dyDescent="0.25">
      <c r="A3776" s="718">
        <v>5</v>
      </c>
      <c r="B3776" s="668"/>
      <c r="C3776" s="721"/>
      <c r="D3776" s="721"/>
      <c r="E3776" s="721"/>
      <c r="F3776" s="721"/>
      <c r="G3776" s="639"/>
      <c r="H3776" s="668"/>
      <c r="I3776" s="721"/>
      <c r="J3776" s="639"/>
      <c r="K3776" s="1124"/>
    </row>
    <row r="3777" spans="1:11" ht="13.8" thickBot="1" x14ac:dyDescent="0.3">
      <c r="A3777" s="719">
        <v>6</v>
      </c>
      <c r="B3777" s="669"/>
      <c r="C3777" s="1137"/>
      <c r="D3777" s="1137"/>
      <c r="E3777" s="1137"/>
      <c r="F3777" s="1137"/>
      <c r="G3777" s="646"/>
      <c r="H3777" s="669"/>
      <c r="I3777" s="1137"/>
      <c r="J3777" s="646"/>
      <c r="K3777" s="1138"/>
    </row>
    <row r="3778" spans="1:11" x14ac:dyDescent="0.25">
      <c r="A3778" s="1190">
        <v>1</v>
      </c>
      <c r="B3778" s="745"/>
      <c r="C3778" s="1117"/>
      <c r="D3778" s="1117"/>
      <c r="E3778" s="1117"/>
      <c r="F3778" s="1117"/>
      <c r="G3778" s="632"/>
      <c r="H3778" s="745"/>
      <c r="I3778" s="1117"/>
      <c r="J3778" s="632"/>
      <c r="K3778" s="1118"/>
    </row>
    <row r="3779" spans="1:11" x14ac:dyDescent="0.25">
      <c r="A3779" s="718">
        <v>2</v>
      </c>
      <c r="B3779" s="668"/>
      <c r="C3779" s="721"/>
      <c r="D3779" s="721"/>
      <c r="E3779" s="721"/>
      <c r="F3779" s="721"/>
      <c r="G3779" s="639"/>
      <c r="H3779" s="668"/>
      <c r="I3779" s="721"/>
      <c r="J3779" s="639"/>
      <c r="K3779" s="1124"/>
    </row>
    <row r="3780" spans="1:11" ht="13.8" thickBot="1" x14ac:dyDescent="0.3">
      <c r="A3780" s="719">
        <v>3</v>
      </c>
      <c r="B3780" s="669"/>
      <c r="C3780" s="1137"/>
      <c r="D3780" s="1137"/>
      <c r="E3780" s="1137"/>
      <c r="F3780" s="1137"/>
      <c r="G3780" s="646"/>
      <c r="H3780" s="669"/>
      <c r="I3780" s="1137"/>
      <c r="J3780" s="646"/>
      <c r="K3780" s="1138"/>
    </row>
    <row r="3781" spans="1:11" ht="13.8" thickBot="1" x14ac:dyDescent="0.3">
      <c r="A3781" s="1186" t="s">
        <v>864</v>
      </c>
      <c r="B3781" s="1187"/>
      <c r="C3781" s="1188"/>
      <c r="D3781" s="1188"/>
      <c r="E3781" s="1188"/>
      <c r="F3781" s="1188"/>
      <c r="G3781" s="1189"/>
      <c r="H3781" s="1187"/>
      <c r="I3781" s="1188"/>
      <c r="J3781" s="1189"/>
      <c r="K3781" s="716"/>
    </row>
    <row r="3782" spans="1:11" x14ac:dyDescent="0.25">
      <c r="A3782" s="1190">
        <v>1</v>
      </c>
      <c r="B3782" s="745"/>
      <c r="C3782" s="1117"/>
      <c r="D3782" s="1117"/>
      <c r="E3782" s="1117"/>
      <c r="F3782" s="1117"/>
      <c r="G3782" s="632"/>
      <c r="H3782" s="745"/>
      <c r="I3782" s="1117"/>
      <c r="J3782" s="632"/>
      <c r="K3782" s="1118"/>
    </row>
    <row r="3783" spans="1:11" x14ac:dyDescent="0.25">
      <c r="A3783" s="718">
        <v>2</v>
      </c>
      <c r="B3783" s="668"/>
      <c r="C3783" s="721"/>
      <c r="D3783" s="721"/>
      <c r="E3783" s="721"/>
      <c r="F3783" s="721"/>
      <c r="G3783" s="639"/>
      <c r="H3783" s="668"/>
      <c r="I3783" s="721"/>
      <c r="J3783" s="639"/>
      <c r="K3783" s="1124"/>
    </row>
    <row r="3784" spans="1:11" x14ac:dyDescent="0.25">
      <c r="A3784" s="718">
        <v>3</v>
      </c>
      <c r="B3784" s="668"/>
      <c r="C3784" s="721"/>
      <c r="D3784" s="721"/>
      <c r="E3784" s="721"/>
      <c r="F3784" s="721"/>
      <c r="G3784" s="639"/>
      <c r="H3784" s="668"/>
      <c r="I3784" s="721"/>
      <c r="J3784" s="639"/>
      <c r="K3784" s="1124"/>
    </row>
    <row r="3785" spans="1:11" x14ac:dyDescent="0.25">
      <c r="A3785" s="718">
        <v>4</v>
      </c>
      <c r="B3785" s="668"/>
      <c r="C3785" s="721"/>
      <c r="D3785" s="721"/>
      <c r="E3785" s="721"/>
      <c r="F3785" s="721"/>
      <c r="G3785" s="639"/>
      <c r="H3785" s="668"/>
      <c r="I3785" s="721"/>
      <c r="J3785" s="639"/>
      <c r="K3785" s="1124"/>
    </row>
    <row r="3786" spans="1:11" x14ac:dyDescent="0.25">
      <c r="A3786" s="718">
        <v>5</v>
      </c>
      <c r="B3786" s="668"/>
      <c r="C3786" s="721"/>
      <c r="D3786" s="721"/>
      <c r="E3786" s="721"/>
      <c r="F3786" s="721"/>
      <c r="G3786" s="639"/>
      <c r="H3786" s="668"/>
      <c r="I3786" s="721"/>
      <c r="J3786" s="639"/>
      <c r="K3786" s="1124"/>
    </row>
    <row r="3787" spans="1:11" ht="13.8" thickBot="1" x14ac:dyDescent="0.3">
      <c r="A3787" s="719">
        <v>6</v>
      </c>
      <c r="B3787" s="669"/>
      <c r="C3787" s="1137"/>
      <c r="D3787" s="1137"/>
      <c r="E3787" s="1137"/>
      <c r="F3787" s="1137"/>
      <c r="G3787" s="646"/>
      <c r="H3787" s="669"/>
      <c r="I3787" s="1137"/>
      <c r="J3787" s="646"/>
      <c r="K3787" s="1138"/>
    </row>
    <row r="3788" spans="1:11" x14ac:dyDescent="0.25">
      <c r="A3788" s="1190">
        <v>1</v>
      </c>
      <c r="B3788" s="745"/>
      <c r="C3788" s="1117"/>
      <c r="D3788" s="1117"/>
      <c r="E3788" s="1117"/>
      <c r="F3788" s="1117"/>
      <c r="G3788" s="632"/>
      <c r="H3788" s="745"/>
      <c r="I3788" s="1117"/>
      <c r="J3788" s="632"/>
      <c r="K3788" s="1118"/>
    </row>
    <row r="3789" spans="1:11" x14ac:dyDescent="0.25">
      <c r="A3789" s="718">
        <v>2</v>
      </c>
      <c r="B3789" s="668"/>
      <c r="C3789" s="721"/>
      <c r="D3789" s="721"/>
      <c r="E3789" s="721"/>
      <c r="F3789" s="721"/>
      <c r="G3789" s="639"/>
      <c r="H3789" s="668"/>
      <c r="I3789" s="721"/>
      <c r="J3789" s="639"/>
      <c r="K3789" s="1124"/>
    </row>
    <row r="3790" spans="1:11" ht="13.8" thickBot="1" x14ac:dyDescent="0.3">
      <c r="A3790" s="719">
        <v>3</v>
      </c>
      <c r="B3790" s="669"/>
      <c r="C3790" s="1137"/>
      <c r="D3790" s="1137"/>
      <c r="E3790" s="1137"/>
      <c r="F3790" s="1137"/>
      <c r="G3790" s="646"/>
      <c r="H3790" s="669"/>
      <c r="I3790" s="1137"/>
      <c r="J3790" s="646"/>
      <c r="K3790" s="1138"/>
    </row>
    <row r="3791" spans="1:11" ht="13.8" thickBot="1" x14ac:dyDescent="0.3">
      <c r="A3791" s="1186" t="s">
        <v>865</v>
      </c>
      <c r="B3791" s="1187"/>
      <c r="C3791" s="1188"/>
      <c r="D3791" s="1188"/>
      <c r="E3791" s="1188"/>
      <c r="F3791" s="1188"/>
      <c r="G3791" s="1189"/>
      <c r="H3791" s="1187"/>
      <c r="I3791" s="1188"/>
      <c r="J3791" s="1189"/>
      <c r="K3791" s="716"/>
    </row>
    <row r="3792" spans="1:11" x14ac:dyDescent="0.25">
      <c r="A3792" s="1190">
        <v>1</v>
      </c>
      <c r="B3792" s="745"/>
      <c r="C3792" s="1117"/>
      <c r="D3792" s="1117"/>
      <c r="E3792" s="1117"/>
      <c r="F3792" s="1117"/>
      <c r="G3792" s="632"/>
      <c r="H3792" s="745"/>
      <c r="I3792" s="1117"/>
      <c r="J3792" s="632"/>
      <c r="K3792" s="1118"/>
    </row>
    <row r="3793" spans="1:11" x14ac:dyDescent="0.25">
      <c r="A3793" s="718">
        <v>2</v>
      </c>
      <c r="B3793" s="668"/>
      <c r="C3793" s="721"/>
      <c r="D3793" s="721"/>
      <c r="E3793" s="721"/>
      <c r="F3793" s="721"/>
      <c r="G3793" s="639"/>
      <c r="H3793" s="668"/>
      <c r="I3793" s="721"/>
      <c r="J3793" s="639"/>
      <c r="K3793" s="1124"/>
    </row>
    <row r="3794" spans="1:11" x14ac:dyDescent="0.25">
      <c r="A3794" s="718">
        <v>3</v>
      </c>
      <c r="B3794" s="668"/>
      <c r="C3794" s="721"/>
      <c r="D3794" s="721"/>
      <c r="E3794" s="721"/>
      <c r="F3794" s="721"/>
      <c r="G3794" s="639"/>
      <c r="H3794" s="668"/>
      <c r="I3794" s="721"/>
      <c r="J3794" s="639"/>
      <c r="K3794" s="1124"/>
    </row>
    <row r="3795" spans="1:11" x14ac:dyDescent="0.25">
      <c r="A3795" s="718">
        <v>4</v>
      </c>
      <c r="B3795" s="668"/>
      <c r="C3795" s="721"/>
      <c r="D3795" s="721"/>
      <c r="E3795" s="721"/>
      <c r="F3795" s="721"/>
      <c r="G3795" s="639"/>
      <c r="H3795" s="668"/>
      <c r="I3795" s="721"/>
      <c r="J3795" s="639"/>
      <c r="K3795" s="1124"/>
    </row>
    <row r="3796" spans="1:11" x14ac:dyDescent="0.25">
      <c r="A3796" s="718">
        <v>5</v>
      </c>
      <c r="B3796" s="668"/>
      <c r="C3796" s="721"/>
      <c r="D3796" s="721"/>
      <c r="E3796" s="721"/>
      <c r="F3796" s="721"/>
      <c r="G3796" s="639"/>
      <c r="H3796" s="668"/>
      <c r="I3796" s="721"/>
      <c r="J3796" s="639"/>
      <c r="K3796" s="1124"/>
    </row>
    <row r="3797" spans="1:11" ht="13.8" thickBot="1" x14ac:dyDescent="0.3">
      <c r="A3797" s="719">
        <v>6</v>
      </c>
      <c r="B3797" s="669"/>
      <c r="C3797" s="1137"/>
      <c r="D3797" s="1137"/>
      <c r="E3797" s="1137"/>
      <c r="F3797" s="1137"/>
      <c r="G3797" s="646"/>
      <c r="H3797" s="669"/>
      <c r="I3797" s="1137"/>
      <c r="J3797" s="646"/>
      <c r="K3797" s="1138"/>
    </row>
    <row r="3798" spans="1:11" x14ac:dyDescent="0.25">
      <c r="A3798" s="1190">
        <v>1</v>
      </c>
      <c r="B3798" s="745"/>
      <c r="C3798" s="1117"/>
      <c r="D3798" s="1117"/>
      <c r="E3798" s="1117"/>
      <c r="F3798" s="1117"/>
      <c r="G3798" s="632"/>
      <c r="H3798" s="745"/>
      <c r="I3798" s="1117"/>
      <c r="J3798" s="632"/>
      <c r="K3798" s="1118"/>
    </row>
    <row r="3799" spans="1:11" x14ac:dyDescent="0.25">
      <c r="A3799" s="718">
        <v>2</v>
      </c>
      <c r="B3799" s="668"/>
      <c r="C3799" s="721"/>
      <c r="D3799" s="721"/>
      <c r="E3799" s="721"/>
      <c r="F3799" s="721"/>
      <c r="G3799" s="639"/>
      <c r="H3799" s="668"/>
      <c r="I3799" s="721"/>
      <c r="J3799" s="639"/>
      <c r="K3799" s="1124"/>
    </row>
    <row r="3800" spans="1:11" ht="13.8" thickBot="1" x14ac:dyDescent="0.3">
      <c r="A3800" s="1191">
        <v>3</v>
      </c>
      <c r="B3800" s="1132"/>
      <c r="C3800" s="1133"/>
      <c r="D3800" s="1133"/>
      <c r="E3800" s="1133"/>
      <c r="F3800" s="1133"/>
      <c r="G3800" s="1134"/>
      <c r="H3800" s="1132"/>
      <c r="I3800" s="1133"/>
      <c r="J3800" s="1134"/>
      <c r="K3800" s="1147"/>
    </row>
    <row r="3801" spans="1:11" ht="13.8" thickBot="1" x14ac:dyDescent="0.3">
      <c r="A3801" s="1186" t="s">
        <v>866</v>
      </c>
      <c r="B3801" s="1187"/>
      <c r="C3801" s="1188"/>
      <c r="D3801" s="1188"/>
      <c r="E3801" s="1188"/>
      <c r="F3801" s="1188"/>
      <c r="G3801" s="1189"/>
      <c r="H3801" s="1187"/>
      <c r="I3801" s="1188"/>
      <c r="J3801" s="1189"/>
      <c r="K3801" s="716"/>
    </row>
    <row r="3802" spans="1:11" x14ac:dyDescent="0.25">
      <c r="A3802" s="1190">
        <v>1</v>
      </c>
      <c r="B3802" s="745"/>
      <c r="C3802" s="1117"/>
      <c r="D3802" s="1117"/>
      <c r="E3802" s="1117"/>
      <c r="F3802" s="1117"/>
      <c r="G3802" s="632"/>
      <c r="H3802" s="745"/>
      <c r="I3802" s="1117"/>
      <c r="J3802" s="632"/>
      <c r="K3802" s="1118"/>
    </row>
    <row r="3803" spans="1:11" x14ac:dyDescent="0.25">
      <c r="A3803" s="718">
        <v>2</v>
      </c>
      <c r="B3803" s="668"/>
      <c r="C3803" s="721"/>
      <c r="D3803" s="721"/>
      <c r="E3803" s="721"/>
      <c r="F3803" s="721"/>
      <c r="G3803" s="639"/>
      <c r="H3803" s="668"/>
      <c r="I3803" s="721"/>
      <c r="J3803" s="639"/>
      <c r="K3803" s="1124"/>
    </row>
    <row r="3804" spans="1:11" x14ac:dyDescent="0.25">
      <c r="A3804" s="718">
        <v>3</v>
      </c>
      <c r="B3804" s="668"/>
      <c r="C3804" s="721"/>
      <c r="D3804" s="721"/>
      <c r="E3804" s="721"/>
      <c r="F3804" s="721"/>
      <c r="G3804" s="639"/>
      <c r="H3804" s="668"/>
      <c r="I3804" s="721"/>
      <c r="J3804" s="639"/>
      <c r="K3804" s="1124"/>
    </row>
    <row r="3805" spans="1:11" x14ac:dyDescent="0.25">
      <c r="A3805" s="718">
        <v>4</v>
      </c>
      <c r="B3805" s="668"/>
      <c r="C3805" s="721"/>
      <c r="D3805" s="721"/>
      <c r="E3805" s="721"/>
      <c r="F3805" s="721"/>
      <c r="G3805" s="639"/>
      <c r="H3805" s="668"/>
      <c r="I3805" s="721"/>
      <c r="J3805" s="639"/>
      <c r="K3805" s="1124"/>
    </row>
    <row r="3806" spans="1:11" x14ac:dyDescent="0.25">
      <c r="A3806" s="718">
        <v>5</v>
      </c>
      <c r="B3806" s="668"/>
      <c r="C3806" s="721"/>
      <c r="D3806" s="721"/>
      <c r="E3806" s="721"/>
      <c r="F3806" s="721"/>
      <c r="G3806" s="639"/>
      <c r="H3806" s="668"/>
      <c r="I3806" s="721"/>
      <c r="J3806" s="639"/>
      <c r="K3806" s="1124"/>
    </row>
    <row r="3807" spans="1:11" ht="13.8" thickBot="1" x14ac:dyDescent="0.3">
      <c r="A3807" s="719">
        <v>6</v>
      </c>
      <c r="B3807" s="669"/>
      <c r="C3807" s="1137"/>
      <c r="D3807" s="1137"/>
      <c r="E3807" s="1137"/>
      <c r="F3807" s="1137"/>
      <c r="G3807" s="646"/>
      <c r="H3807" s="669"/>
      <c r="I3807" s="1137"/>
      <c r="J3807" s="646"/>
      <c r="K3807" s="1138"/>
    </row>
    <row r="3808" spans="1:11" x14ac:dyDescent="0.25">
      <c r="A3808" s="1190">
        <v>1</v>
      </c>
      <c r="B3808" s="745"/>
      <c r="C3808" s="1117"/>
      <c r="D3808" s="1117"/>
      <c r="E3808" s="1117"/>
      <c r="F3808" s="1117"/>
      <c r="G3808" s="632"/>
      <c r="H3808" s="745"/>
      <c r="I3808" s="1117"/>
      <c r="J3808" s="632"/>
      <c r="K3808" s="1118"/>
    </row>
    <row r="3809" spans="1:11" x14ac:dyDescent="0.25">
      <c r="A3809" s="718">
        <v>2</v>
      </c>
      <c r="B3809" s="668"/>
      <c r="C3809" s="721"/>
      <c r="D3809" s="721"/>
      <c r="E3809" s="721"/>
      <c r="F3809" s="721"/>
      <c r="G3809" s="639"/>
      <c r="H3809" s="668"/>
      <c r="I3809" s="721"/>
      <c r="J3809" s="639"/>
      <c r="K3809" s="1124"/>
    </row>
    <row r="3810" spans="1:11" ht="13.8" thickBot="1" x14ac:dyDescent="0.3">
      <c r="A3810" s="719">
        <v>3</v>
      </c>
      <c r="B3810" s="669"/>
      <c r="C3810" s="1137"/>
      <c r="D3810" s="1137"/>
      <c r="E3810" s="1137"/>
      <c r="F3810" s="1137"/>
      <c r="G3810" s="646"/>
      <c r="H3810" s="669"/>
      <c r="I3810" s="1137"/>
      <c r="J3810" s="646"/>
      <c r="K3810" s="1138"/>
    </row>
    <row r="3811" spans="1:11" ht="13.8" thickBot="1" x14ac:dyDescent="0.3">
      <c r="A3811" s="1186" t="s">
        <v>867</v>
      </c>
      <c r="B3811" s="1187"/>
      <c r="C3811" s="1188"/>
      <c r="D3811" s="1188"/>
      <c r="E3811" s="1188"/>
      <c r="F3811" s="1188"/>
      <c r="G3811" s="1189"/>
      <c r="H3811" s="1187"/>
      <c r="I3811" s="1188"/>
      <c r="J3811" s="1189"/>
      <c r="K3811" s="716"/>
    </row>
    <row r="3812" spans="1:11" x14ac:dyDescent="0.25">
      <c r="A3812" s="1190">
        <v>1</v>
      </c>
      <c r="B3812" s="745"/>
      <c r="C3812" s="1117"/>
      <c r="D3812" s="1117"/>
      <c r="E3812" s="1117"/>
      <c r="F3812" s="1117"/>
      <c r="G3812" s="632"/>
      <c r="H3812" s="745"/>
      <c r="I3812" s="1117"/>
      <c r="J3812" s="632"/>
      <c r="K3812" s="1118"/>
    </row>
    <row r="3813" spans="1:11" x14ac:dyDescent="0.25">
      <c r="A3813" s="718">
        <v>2</v>
      </c>
      <c r="B3813" s="668"/>
      <c r="C3813" s="721"/>
      <c r="D3813" s="721"/>
      <c r="E3813" s="721"/>
      <c r="F3813" s="721"/>
      <c r="G3813" s="639"/>
      <c r="H3813" s="668"/>
      <c r="I3813" s="721"/>
      <c r="J3813" s="639"/>
      <c r="K3813" s="1124"/>
    </row>
    <row r="3814" spans="1:11" x14ac:dyDescent="0.25">
      <c r="A3814" s="718">
        <v>3</v>
      </c>
      <c r="B3814" s="668"/>
      <c r="C3814" s="721"/>
      <c r="D3814" s="721"/>
      <c r="E3814" s="721"/>
      <c r="F3814" s="721"/>
      <c r="G3814" s="639"/>
      <c r="H3814" s="668"/>
      <c r="I3814" s="721"/>
      <c r="J3814" s="639"/>
      <c r="K3814" s="1124"/>
    </row>
    <row r="3815" spans="1:11" x14ac:dyDescent="0.25">
      <c r="A3815" s="718">
        <v>4</v>
      </c>
      <c r="B3815" s="668"/>
      <c r="C3815" s="721"/>
      <c r="D3815" s="721"/>
      <c r="E3815" s="721"/>
      <c r="F3815" s="721"/>
      <c r="G3815" s="639"/>
      <c r="H3815" s="668"/>
      <c r="I3815" s="721"/>
      <c r="J3815" s="639"/>
      <c r="K3815" s="1124"/>
    </row>
    <row r="3816" spans="1:11" x14ac:dyDescent="0.25">
      <c r="A3816" s="718">
        <v>5</v>
      </c>
      <c r="B3816" s="668"/>
      <c r="C3816" s="721"/>
      <c r="D3816" s="721"/>
      <c r="E3816" s="721"/>
      <c r="F3816" s="721"/>
      <c r="G3816" s="639"/>
      <c r="H3816" s="668"/>
      <c r="I3816" s="721"/>
      <c r="J3816" s="639"/>
      <c r="K3816" s="1124"/>
    </row>
    <row r="3817" spans="1:11" ht="13.8" thickBot="1" x14ac:dyDescent="0.3">
      <c r="A3817" s="719">
        <v>6</v>
      </c>
      <c r="B3817" s="669"/>
      <c r="C3817" s="1137"/>
      <c r="D3817" s="1137"/>
      <c r="E3817" s="1137"/>
      <c r="F3817" s="1137"/>
      <c r="G3817" s="646"/>
      <c r="H3817" s="669"/>
      <c r="I3817" s="1137"/>
      <c r="J3817" s="646"/>
      <c r="K3817" s="1138"/>
    </row>
    <row r="3818" spans="1:11" x14ac:dyDescent="0.25">
      <c r="A3818" s="1190">
        <v>1</v>
      </c>
      <c r="B3818" s="745"/>
      <c r="C3818" s="1117"/>
      <c r="D3818" s="1117"/>
      <c r="E3818" s="1117"/>
      <c r="F3818" s="1117"/>
      <c r="G3818" s="632"/>
      <c r="H3818" s="745"/>
      <c r="I3818" s="1117"/>
      <c r="J3818" s="632"/>
      <c r="K3818" s="1118"/>
    </row>
    <row r="3819" spans="1:11" x14ac:dyDescent="0.25">
      <c r="A3819" s="718">
        <v>2</v>
      </c>
      <c r="B3819" s="668"/>
      <c r="C3819" s="721"/>
      <c r="D3819" s="721"/>
      <c r="E3819" s="721"/>
      <c r="F3819" s="721"/>
      <c r="G3819" s="639"/>
      <c r="H3819" s="668"/>
      <c r="I3819" s="721"/>
      <c r="J3819" s="639"/>
      <c r="K3819" s="1124"/>
    </row>
    <row r="3820" spans="1:11" ht="13.8" thickBot="1" x14ac:dyDescent="0.3">
      <c r="A3820" s="719">
        <v>3</v>
      </c>
      <c r="B3820" s="669"/>
      <c r="C3820" s="1137"/>
      <c r="D3820" s="1137"/>
      <c r="E3820" s="1137"/>
      <c r="F3820" s="1137"/>
      <c r="G3820" s="646"/>
      <c r="H3820" s="669"/>
      <c r="I3820" s="1137"/>
      <c r="J3820" s="646"/>
      <c r="K3820" s="1138"/>
    </row>
    <row r="3821" spans="1:11" ht="13.8" thickBot="1" x14ac:dyDescent="0.3">
      <c r="A3821" s="1186" t="s">
        <v>868</v>
      </c>
      <c r="B3821" s="1187"/>
      <c r="C3821" s="1188"/>
      <c r="D3821" s="1188"/>
      <c r="E3821" s="1188"/>
      <c r="F3821" s="1188"/>
      <c r="G3821" s="1189"/>
      <c r="H3821" s="1187"/>
      <c r="I3821" s="1188"/>
      <c r="J3821" s="1189"/>
      <c r="K3821" s="716"/>
    </row>
    <row r="3822" spans="1:11" x14ac:dyDescent="0.25">
      <c r="A3822" s="1190">
        <v>1</v>
      </c>
      <c r="B3822" s="745"/>
      <c r="C3822" s="1117"/>
      <c r="D3822" s="1117"/>
      <c r="E3822" s="1117"/>
      <c r="F3822" s="1117"/>
      <c r="G3822" s="632"/>
      <c r="H3822" s="745"/>
      <c r="I3822" s="1117"/>
      <c r="J3822" s="632"/>
      <c r="K3822" s="1118"/>
    </row>
    <row r="3823" spans="1:11" x14ac:dyDescent="0.25">
      <c r="A3823" s="718">
        <v>2</v>
      </c>
      <c r="B3823" s="668"/>
      <c r="C3823" s="721"/>
      <c r="D3823" s="721"/>
      <c r="E3823" s="721"/>
      <c r="F3823" s="721"/>
      <c r="G3823" s="639"/>
      <c r="H3823" s="668"/>
      <c r="I3823" s="721"/>
      <c r="J3823" s="639"/>
      <c r="K3823" s="1124"/>
    </row>
    <row r="3824" spans="1:11" x14ac:dyDescent="0.25">
      <c r="A3824" s="718">
        <v>3</v>
      </c>
      <c r="B3824" s="668"/>
      <c r="C3824" s="721"/>
      <c r="D3824" s="721"/>
      <c r="E3824" s="721"/>
      <c r="F3824" s="721"/>
      <c r="G3824" s="639"/>
      <c r="H3824" s="668"/>
      <c r="I3824" s="721"/>
      <c r="J3824" s="639"/>
      <c r="K3824" s="1124"/>
    </row>
    <row r="3825" spans="1:11" x14ac:dyDescent="0.25">
      <c r="A3825" s="718">
        <v>4</v>
      </c>
      <c r="B3825" s="668"/>
      <c r="C3825" s="721"/>
      <c r="D3825" s="721"/>
      <c r="E3825" s="721"/>
      <c r="F3825" s="721"/>
      <c r="G3825" s="639"/>
      <c r="H3825" s="668"/>
      <c r="I3825" s="721"/>
      <c r="J3825" s="639"/>
      <c r="K3825" s="1124"/>
    </row>
    <row r="3826" spans="1:11" x14ac:dyDescent="0.25">
      <c r="A3826" s="718">
        <v>5</v>
      </c>
      <c r="B3826" s="668"/>
      <c r="C3826" s="721"/>
      <c r="D3826" s="721"/>
      <c r="E3826" s="721"/>
      <c r="F3826" s="721"/>
      <c r="G3826" s="639"/>
      <c r="H3826" s="668"/>
      <c r="I3826" s="721"/>
      <c r="J3826" s="639"/>
      <c r="K3826" s="1124"/>
    </row>
    <row r="3827" spans="1:11" ht="13.8" thickBot="1" x14ac:dyDescent="0.3">
      <c r="A3827" s="719">
        <v>6</v>
      </c>
      <c r="B3827" s="669"/>
      <c r="C3827" s="1137"/>
      <c r="D3827" s="1137"/>
      <c r="E3827" s="1137"/>
      <c r="F3827" s="1137"/>
      <c r="G3827" s="646"/>
      <c r="H3827" s="669"/>
      <c r="I3827" s="1137"/>
      <c r="J3827" s="646"/>
      <c r="K3827" s="1138"/>
    </row>
    <row r="3828" spans="1:11" x14ac:dyDescent="0.25">
      <c r="A3828" s="1190">
        <v>1</v>
      </c>
      <c r="B3828" s="745"/>
      <c r="C3828" s="1117"/>
      <c r="D3828" s="1117"/>
      <c r="E3828" s="1117"/>
      <c r="F3828" s="1117"/>
      <c r="G3828" s="632"/>
      <c r="H3828" s="745"/>
      <c r="I3828" s="1117"/>
      <c r="J3828" s="632"/>
      <c r="K3828" s="1118"/>
    </row>
    <row r="3829" spans="1:11" x14ac:dyDescent="0.25">
      <c r="A3829" s="718">
        <v>2</v>
      </c>
      <c r="B3829" s="668"/>
      <c r="C3829" s="721"/>
      <c r="D3829" s="721"/>
      <c r="E3829" s="721"/>
      <c r="F3829" s="721"/>
      <c r="G3829" s="639"/>
      <c r="H3829" s="668"/>
      <c r="I3829" s="721"/>
      <c r="J3829" s="639"/>
      <c r="K3829" s="1124"/>
    </row>
    <row r="3830" spans="1:11" ht="13.8" thickBot="1" x14ac:dyDescent="0.3">
      <c r="A3830" s="719">
        <v>3</v>
      </c>
      <c r="B3830" s="669"/>
      <c r="C3830" s="1137"/>
      <c r="D3830" s="1137"/>
      <c r="E3830" s="1137"/>
      <c r="F3830" s="1137"/>
      <c r="G3830" s="646"/>
      <c r="H3830" s="669"/>
      <c r="I3830" s="1137"/>
      <c r="J3830" s="646"/>
      <c r="K3830" s="1138"/>
    </row>
    <row r="3831" spans="1:11" ht="13.8" thickBot="1" x14ac:dyDescent="0.3">
      <c r="A3831" s="1186" t="s">
        <v>869</v>
      </c>
      <c r="B3831" s="1187"/>
      <c r="C3831" s="1188"/>
      <c r="D3831" s="1188"/>
      <c r="E3831" s="1188"/>
      <c r="F3831" s="1188"/>
      <c r="G3831" s="1189"/>
      <c r="H3831" s="1187"/>
      <c r="I3831" s="1188"/>
      <c r="J3831" s="1189"/>
      <c r="K3831" s="716"/>
    </row>
    <row r="3832" spans="1:11" x14ac:dyDescent="0.25">
      <c r="A3832" s="1190">
        <v>1</v>
      </c>
      <c r="B3832" s="745"/>
      <c r="C3832" s="1117"/>
      <c r="D3832" s="1117"/>
      <c r="E3832" s="1117"/>
      <c r="F3832" s="1117"/>
      <c r="G3832" s="632"/>
      <c r="H3832" s="745"/>
      <c r="I3832" s="1117"/>
      <c r="J3832" s="632"/>
      <c r="K3832" s="1118"/>
    </row>
    <row r="3833" spans="1:11" x14ac:dyDescent="0.25">
      <c r="A3833" s="718">
        <v>2</v>
      </c>
      <c r="B3833" s="668"/>
      <c r="C3833" s="721"/>
      <c r="D3833" s="721"/>
      <c r="E3833" s="721"/>
      <c r="F3833" s="721"/>
      <c r="G3833" s="639"/>
      <c r="H3833" s="668"/>
      <c r="I3833" s="721"/>
      <c r="J3833" s="639"/>
      <c r="K3833" s="1124"/>
    </row>
    <row r="3834" spans="1:11" x14ac:dyDescent="0.25">
      <c r="A3834" s="718">
        <v>3</v>
      </c>
      <c r="B3834" s="668"/>
      <c r="C3834" s="721"/>
      <c r="D3834" s="721"/>
      <c r="E3834" s="721"/>
      <c r="F3834" s="721"/>
      <c r="G3834" s="639"/>
      <c r="H3834" s="668"/>
      <c r="I3834" s="721"/>
      <c r="J3834" s="639"/>
      <c r="K3834" s="1124"/>
    </row>
    <row r="3835" spans="1:11" x14ac:dyDescent="0.25">
      <c r="A3835" s="718">
        <v>4</v>
      </c>
      <c r="B3835" s="668"/>
      <c r="C3835" s="721"/>
      <c r="D3835" s="721"/>
      <c r="E3835" s="721"/>
      <c r="F3835" s="721"/>
      <c r="G3835" s="639"/>
      <c r="H3835" s="668"/>
      <c r="I3835" s="721"/>
      <c r="J3835" s="639"/>
      <c r="K3835" s="1124"/>
    </row>
    <row r="3836" spans="1:11" x14ac:dyDescent="0.25">
      <c r="A3836" s="718">
        <v>5</v>
      </c>
      <c r="B3836" s="668"/>
      <c r="C3836" s="721"/>
      <c r="D3836" s="721"/>
      <c r="E3836" s="721"/>
      <c r="F3836" s="721"/>
      <c r="G3836" s="639"/>
      <c r="H3836" s="668"/>
      <c r="I3836" s="721"/>
      <c r="J3836" s="639"/>
      <c r="K3836" s="1124"/>
    </row>
    <row r="3837" spans="1:11" ht="13.8" thickBot="1" x14ac:dyDescent="0.3">
      <c r="A3837" s="719">
        <v>6</v>
      </c>
      <c r="B3837" s="669"/>
      <c r="C3837" s="1137"/>
      <c r="D3837" s="1137"/>
      <c r="E3837" s="1137"/>
      <c r="F3837" s="1137"/>
      <c r="G3837" s="646"/>
      <c r="H3837" s="669"/>
      <c r="I3837" s="1137"/>
      <c r="J3837" s="646"/>
      <c r="K3837" s="1138"/>
    </row>
    <row r="3838" spans="1:11" x14ac:dyDescent="0.25">
      <c r="A3838" s="1190">
        <v>1</v>
      </c>
      <c r="B3838" s="745"/>
      <c r="C3838" s="1117"/>
      <c r="D3838" s="1117"/>
      <c r="E3838" s="1117"/>
      <c r="F3838" s="1117"/>
      <c r="G3838" s="632"/>
      <c r="H3838" s="745"/>
      <c r="I3838" s="1117"/>
      <c r="J3838" s="632"/>
      <c r="K3838" s="1118"/>
    </row>
    <row r="3839" spans="1:11" x14ac:dyDescent="0.25">
      <c r="A3839" s="718">
        <v>2</v>
      </c>
      <c r="B3839" s="668"/>
      <c r="C3839" s="721"/>
      <c r="D3839" s="721"/>
      <c r="E3839" s="721"/>
      <c r="F3839" s="721"/>
      <c r="G3839" s="639"/>
      <c r="H3839" s="668"/>
      <c r="I3839" s="721"/>
      <c r="J3839" s="639"/>
      <c r="K3839" s="1124"/>
    </row>
    <row r="3840" spans="1:11" ht="13.8" thickBot="1" x14ac:dyDescent="0.3">
      <c r="A3840" s="1191">
        <v>3</v>
      </c>
      <c r="B3840" s="1132"/>
      <c r="C3840" s="1133"/>
      <c r="D3840" s="1133"/>
      <c r="E3840" s="1133"/>
      <c r="F3840" s="1133"/>
      <c r="G3840" s="1134"/>
      <c r="H3840" s="1132"/>
      <c r="I3840" s="1133"/>
      <c r="J3840" s="1134"/>
      <c r="K3840" s="1147"/>
    </row>
    <row r="3841" spans="1:11" ht="13.8" thickBot="1" x14ac:dyDescent="0.3">
      <c r="A3841" s="1186" t="s">
        <v>870</v>
      </c>
      <c r="B3841" s="1187"/>
      <c r="C3841" s="1188"/>
      <c r="D3841" s="1188"/>
      <c r="E3841" s="1188"/>
      <c r="F3841" s="1188"/>
      <c r="G3841" s="1189"/>
      <c r="H3841" s="1187"/>
      <c r="I3841" s="1188"/>
      <c r="J3841" s="1189"/>
      <c r="K3841" s="716"/>
    </row>
    <row r="3842" spans="1:11" x14ac:dyDescent="0.25">
      <c r="A3842" s="1190">
        <v>1</v>
      </c>
      <c r="B3842" s="745"/>
      <c r="C3842" s="1117"/>
      <c r="D3842" s="1117"/>
      <c r="E3842" s="1117"/>
      <c r="F3842" s="1117"/>
      <c r="G3842" s="632"/>
      <c r="H3842" s="745"/>
      <c r="I3842" s="1117"/>
      <c r="J3842" s="632"/>
      <c r="K3842" s="1118"/>
    </row>
    <row r="3843" spans="1:11" x14ac:dyDescent="0.25">
      <c r="A3843" s="718">
        <v>2</v>
      </c>
      <c r="B3843" s="668"/>
      <c r="C3843" s="721"/>
      <c r="D3843" s="721"/>
      <c r="E3843" s="721"/>
      <c r="F3843" s="721"/>
      <c r="G3843" s="639"/>
      <c r="H3843" s="668"/>
      <c r="I3843" s="721"/>
      <c r="J3843" s="639"/>
      <c r="K3843" s="1124"/>
    </row>
    <row r="3844" spans="1:11" x14ac:dyDescent="0.25">
      <c r="A3844" s="718">
        <v>3</v>
      </c>
      <c r="B3844" s="668"/>
      <c r="C3844" s="721"/>
      <c r="D3844" s="721"/>
      <c r="E3844" s="721"/>
      <c r="F3844" s="721"/>
      <c r="G3844" s="639"/>
      <c r="H3844" s="668"/>
      <c r="I3844" s="721"/>
      <c r="J3844" s="639"/>
      <c r="K3844" s="1124"/>
    </row>
    <row r="3845" spans="1:11" x14ac:dyDescent="0.25">
      <c r="A3845" s="718">
        <v>4</v>
      </c>
      <c r="B3845" s="668"/>
      <c r="C3845" s="721"/>
      <c r="D3845" s="721"/>
      <c r="E3845" s="721"/>
      <c r="F3845" s="721"/>
      <c r="G3845" s="639"/>
      <c r="H3845" s="668"/>
      <c r="I3845" s="721"/>
      <c r="J3845" s="639"/>
      <c r="K3845" s="1124"/>
    </row>
    <row r="3846" spans="1:11" x14ac:dyDescent="0.25">
      <c r="A3846" s="718">
        <v>5</v>
      </c>
      <c r="B3846" s="668"/>
      <c r="C3846" s="721"/>
      <c r="D3846" s="721"/>
      <c r="E3846" s="721"/>
      <c r="F3846" s="721"/>
      <c r="G3846" s="639"/>
      <c r="H3846" s="668"/>
      <c r="I3846" s="721"/>
      <c r="J3846" s="639"/>
      <c r="K3846" s="1124"/>
    </row>
    <row r="3847" spans="1:11" ht="13.8" thickBot="1" x14ac:dyDescent="0.3">
      <c r="A3847" s="719">
        <v>6</v>
      </c>
      <c r="B3847" s="669"/>
      <c r="C3847" s="1137"/>
      <c r="D3847" s="1137"/>
      <c r="E3847" s="1137"/>
      <c r="F3847" s="1137"/>
      <c r="G3847" s="646"/>
      <c r="H3847" s="669"/>
      <c r="I3847" s="1137"/>
      <c r="J3847" s="646"/>
      <c r="K3847" s="1138"/>
    </row>
    <row r="3848" spans="1:11" x14ac:dyDescent="0.25">
      <c r="A3848" s="1190">
        <v>1</v>
      </c>
      <c r="B3848" s="745"/>
      <c r="C3848" s="1117"/>
      <c r="D3848" s="1117"/>
      <c r="E3848" s="1117"/>
      <c r="F3848" s="1117"/>
      <c r="G3848" s="632"/>
      <c r="H3848" s="745"/>
      <c r="I3848" s="1117"/>
      <c r="J3848" s="632"/>
      <c r="K3848" s="1118"/>
    </row>
    <row r="3849" spans="1:11" x14ac:dyDescent="0.25">
      <c r="A3849" s="718">
        <v>2</v>
      </c>
      <c r="B3849" s="668"/>
      <c r="C3849" s="721"/>
      <c r="D3849" s="721"/>
      <c r="E3849" s="721"/>
      <c r="F3849" s="721"/>
      <c r="G3849" s="639"/>
      <c r="H3849" s="668"/>
      <c r="I3849" s="721"/>
      <c r="J3849" s="639"/>
      <c r="K3849" s="1124"/>
    </row>
    <row r="3850" spans="1:11" ht="13.8" thickBot="1" x14ac:dyDescent="0.3">
      <c r="A3850" s="719">
        <v>3</v>
      </c>
      <c r="B3850" s="669"/>
      <c r="C3850" s="1137"/>
      <c r="D3850" s="1137"/>
      <c r="E3850" s="1137"/>
      <c r="F3850" s="1137"/>
      <c r="G3850" s="646"/>
      <c r="H3850" s="669"/>
      <c r="I3850" s="1137"/>
      <c r="J3850" s="646"/>
      <c r="K3850" s="1138"/>
    </row>
    <row r="3851" spans="1:11" ht="13.8" thickBot="1" x14ac:dyDescent="0.3">
      <c r="A3851" s="1186" t="s">
        <v>871</v>
      </c>
      <c r="B3851" s="1187"/>
      <c r="C3851" s="1188"/>
      <c r="D3851" s="1188"/>
      <c r="E3851" s="1188"/>
      <c r="F3851" s="1188"/>
      <c r="G3851" s="1189"/>
      <c r="H3851" s="1187"/>
      <c r="I3851" s="1188"/>
      <c r="J3851" s="1189"/>
      <c r="K3851" s="716"/>
    </row>
    <row r="3852" spans="1:11" x14ac:dyDescent="0.25">
      <c r="A3852" s="1190">
        <v>1</v>
      </c>
      <c r="B3852" s="745"/>
      <c r="C3852" s="1117"/>
      <c r="D3852" s="1117"/>
      <c r="E3852" s="1117"/>
      <c r="F3852" s="1117"/>
      <c r="G3852" s="632"/>
      <c r="H3852" s="745"/>
      <c r="I3852" s="1117"/>
      <c r="J3852" s="632"/>
      <c r="K3852" s="1118"/>
    </row>
    <row r="3853" spans="1:11" x14ac:dyDescent="0.25">
      <c r="A3853" s="718">
        <v>2</v>
      </c>
      <c r="B3853" s="668"/>
      <c r="C3853" s="721"/>
      <c r="D3853" s="721"/>
      <c r="E3853" s="721"/>
      <c r="F3853" s="721"/>
      <c r="G3853" s="639"/>
      <c r="H3853" s="668"/>
      <c r="I3853" s="721"/>
      <c r="J3853" s="639"/>
      <c r="K3853" s="1124"/>
    </row>
    <row r="3854" spans="1:11" x14ac:dyDescent="0.25">
      <c r="A3854" s="718">
        <v>3</v>
      </c>
      <c r="B3854" s="668"/>
      <c r="C3854" s="721"/>
      <c r="D3854" s="721"/>
      <c r="E3854" s="721"/>
      <c r="F3854" s="721"/>
      <c r="G3854" s="639"/>
      <c r="H3854" s="668"/>
      <c r="I3854" s="721"/>
      <c r="J3854" s="639"/>
      <c r="K3854" s="1124"/>
    </row>
    <row r="3855" spans="1:11" x14ac:dyDescent="0.25">
      <c r="A3855" s="718">
        <v>4</v>
      </c>
      <c r="B3855" s="668"/>
      <c r="C3855" s="721"/>
      <c r="D3855" s="721"/>
      <c r="E3855" s="721"/>
      <c r="F3855" s="721"/>
      <c r="G3855" s="639"/>
      <c r="H3855" s="668"/>
      <c r="I3855" s="721"/>
      <c r="J3855" s="639"/>
      <c r="K3855" s="1124"/>
    </row>
    <row r="3856" spans="1:11" x14ac:dyDescent="0.25">
      <c r="A3856" s="718">
        <v>5</v>
      </c>
      <c r="B3856" s="668"/>
      <c r="C3856" s="721"/>
      <c r="D3856" s="721"/>
      <c r="E3856" s="721"/>
      <c r="F3856" s="721"/>
      <c r="G3856" s="639"/>
      <c r="H3856" s="668"/>
      <c r="I3856" s="721"/>
      <c r="J3856" s="639"/>
      <c r="K3856" s="1124"/>
    </row>
    <row r="3857" spans="1:11" ht="13.8" thickBot="1" x14ac:dyDescent="0.3">
      <c r="A3857" s="719">
        <v>6</v>
      </c>
      <c r="B3857" s="669"/>
      <c r="C3857" s="1137"/>
      <c r="D3857" s="1137"/>
      <c r="E3857" s="1137"/>
      <c r="F3857" s="1137"/>
      <c r="G3857" s="646"/>
      <c r="H3857" s="669"/>
      <c r="I3857" s="1137"/>
      <c r="J3857" s="646"/>
      <c r="K3857" s="1138"/>
    </row>
    <row r="3858" spans="1:11" x14ac:dyDescent="0.25">
      <c r="A3858" s="1190">
        <v>1</v>
      </c>
      <c r="B3858" s="745"/>
      <c r="C3858" s="1117"/>
      <c r="D3858" s="1117"/>
      <c r="E3858" s="1117"/>
      <c r="F3858" s="1117"/>
      <c r="G3858" s="632"/>
      <c r="H3858" s="745"/>
      <c r="I3858" s="1117"/>
      <c r="J3858" s="632"/>
      <c r="K3858" s="1118"/>
    </row>
    <row r="3859" spans="1:11" x14ac:dyDescent="0.25">
      <c r="A3859" s="718">
        <v>2</v>
      </c>
      <c r="B3859" s="668"/>
      <c r="C3859" s="721"/>
      <c r="D3859" s="721"/>
      <c r="E3859" s="721"/>
      <c r="F3859" s="721"/>
      <c r="G3859" s="639"/>
      <c r="H3859" s="668"/>
      <c r="I3859" s="721"/>
      <c r="J3859" s="639"/>
      <c r="K3859" s="1124"/>
    </row>
    <row r="3860" spans="1:11" ht="13.8" thickBot="1" x14ac:dyDescent="0.3">
      <c r="A3860" s="719">
        <v>3</v>
      </c>
      <c r="B3860" s="669"/>
      <c r="C3860" s="1137"/>
      <c r="D3860" s="1137"/>
      <c r="E3860" s="1137"/>
      <c r="F3860" s="1137"/>
      <c r="G3860" s="646"/>
      <c r="H3860" s="669"/>
      <c r="I3860" s="1137"/>
      <c r="J3860" s="646"/>
      <c r="K3860" s="1138"/>
    </row>
    <row r="3861" spans="1:11" ht="13.8" thickBot="1" x14ac:dyDescent="0.3">
      <c r="A3861" s="1186" t="s">
        <v>872</v>
      </c>
      <c r="B3861" s="1187"/>
      <c r="C3861" s="1188"/>
      <c r="D3861" s="1188"/>
      <c r="E3861" s="1188"/>
      <c r="F3861" s="1188"/>
      <c r="G3861" s="1189"/>
      <c r="H3861" s="1187"/>
      <c r="I3861" s="1188"/>
      <c r="J3861" s="1189"/>
      <c r="K3861" s="716"/>
    </row>
    <row r="3862" spans="1:11" x14ac:dyDescent="0.25">
      <c r="A3862" s="1190">
        <v>1</v>
      </c>
      <c r="B3862" s="745"/>
      <c r="C3862" s="1117"/>
      <c r="D3862" s="1117"/>
      <c r="E3862" s="1117"/>
      <c r="F3862" s="1117"/>
      <c r="G3862" s="632"/>
      <c r="H3862" s="745"/>
      <c r="I3862" s="1117"/>
      <c r="J3862" s="632"/>
      <c r="K3862" s="1118"/>
    </row>
    <row r="3863" spans="1:11" x14ac:dyDescent="0.25">
      <c r="A3863" s="718">
        <v>2</v>
      </c>
      <c r="B3863" s="668"/>
      <c r="C3863" s="721"/>
      <c r="D3863" s="721"/>
      <c r="E3863" s="721"/>
      <c r="F3863" s="721"/>
      <c r="G3863" s="639"/>
      <c r="H3863" s="668"/>
      <c r="I3863" s="721"/>
      <c r="J3863" s="639"/>
      <c r="K3863" s="1124"/>
    </row>
    <row r="3864" spans="1:11" x14ac:dyDescent="0.25">
      <c r="A3864" s="718">
        <v>3</v>
      </c>
      <c r="B3864" s="668"/>
      <c r="C3864" s="721"/>
      <c r="D3864" s="721"/>
      <c r="E3864" s="721"/>
      <c r="F3864" s="721"/>
      <c r="G3864" s="639"/>
      <c r="H3864" s="668"/>
      <c r="I3864" s="721"/>
      <c r="J3864" s="639"/>
      <c r="K3864" s="1124"/>
    </row>
    <row r="3865" spans="1:11" x14ac:dyDescent="0.25">
      <c r="A3865" s="718">
        <v>4</v>
      </c>
      <c r="B3865" s="668"/>
      <c r="C3865" s="721"/>
      <c r="D3865" s="721"/>
      <c r="E3865" s="721"/>
      <c r="F3865" s="721"/>
      <c r="G3865" s="639"/>
      <c r="H3865" s="668"/>
      <c r="I3865" s="721"/>
      <c r="J3865" s="639"/>
      <c r="K3865" s="1124"/>
    </row>
    <row r="3866" spans="1:11" x14ac:dyDescent="0.25">
      <c r="A3866" s="718">
        <v>5</v>
      </c>
      <c r="B3866" s="668"/>
      <c r="C3866" s="721"/>
      <c r="D3866" s="721"/>
      <c r="E3866" s="721"/>
      <c r="F3866" s="721"/>
      <c r="G3866" s="639"/>
      <c r="H3866" s="668"/>
      <c r="I3866" s="721"/>
      <c r="J3866" s="639"/>
      <c r="K3866" s="1124"/>
    </row>
    <row r="3867" spans="1:11" ht="13.8" thickBot="1" x14ac:dyDescent="0.3">
      <c r="A3867" s="719">
        <v>6</v>
      </c>
      <c r="B3867" s="669"/>
      <c r="C3867" s="1137"/>
      <c r="D3867" s="1137"/>
      <c r="E3867" s="1137"/>
      <c r="F3867" s="1137"/>
      <c r="G3867" s="646"/>
      <c r="H3867" s="669"/>
      <c r="I3867" s="1137"/>
      <c r="J3867" s="646"/>
      <c r="K3867" s="1138"/>
    </row>
    <row r="3868" spans="1:11" x14ac:dyDescent="0.25">
      <c r="A3868" s="1190">
        <v>1</v>
      </c>
      <c r="B3868" s="745"/>
      <c r="C3868" s="1117"/>
      <c r="D3868" s="1117"/>
      <c r="E3868" s="1117"/>
      <c r="F3868" s="1117"/>
      <c r="G3868" s="632"/>
      <c r="H3868" s="745"/>
      <c r="I3868" s="1117"/>
      <c r="J3868" s="632"/>
      <c r="K3868" s="1118"/>
    </row>
    <row r="3869" spans="1:11" x14ac:dyDescent="0.25">
      <c r="A3869" s="718">
        <v>2</v>
      </c>
      <c r="B3869" s="668"/>
      <c r="C3869" s="721"/>
      <c r="D3869" s="721"/>
      <c r="E3869" s="721"/>
      <c r="F3869" s="721"/>
      <c r="G3869" s="639"/>
      <c r="H3869" s="668"/>
      <c r="I3869" s="721"/>
      <c r="J3869" s="639"/>
      <c r="K3869" s="1124"/>
    </row>
    <row r="3870" spans="1:11" ht="13.8" thickBot="1" x14ac:dyDescent="0.3">
      <c r="A3870" s="719">
        <v>3</v>
      </c>
      <c r="B3870" s="669"/>
      <c r="C3870" s="1137"/>
      <c r="D3870" s="1137"/>
      <c r="E3870" s="1137"/>
      <c r="F3870" s="1137"/>
      <c r="G3870" s="646"/>
      <c r="H3870" s="669"/>
      <c r="I3870" s="1137"/>
      <c r="J3870" s="646"/>
      <c r="K3870" s="1138"/>
    </row>
    <row r="3871" spans="1:11" ht="13.8" thickBot="1" x14ac:dyDescent="0.3">
      <c r="A3871" s="1186" t="s">
        <v>873</v>
      </c>
      <c r="B3871" s="1187"/>
      <c r="C3871" s="1188"/>
      <c r="D3871" s="1188"/>
      <c r="E3871" s="1188"/>
      <c r="F3871" s="1188"/>
      <c r="G3871" s="1189"/>
      <c r="H3871" s="1187"/>
      <c r="I3871" s="1188"/>
      <c r="J3871" s="1189"/>
      <c r="K3871" s="716"/>
    </row>
    <row r="3872" spans="1:11" x14ac:dyDescent="0.25">
      <c r="A3872" s="1190">
        <v>1</v>
      </c>
      <c r="B3872" s="745"/>
      <c r="C3872" s="1117"/>
      <c r="D3872" s="1117"/>
      <c r="E3872" s="1117"/>
      <c r="F3872" s="1117"/>
      <c r="G3872" s="632"/>
      <c r="H3872" s="745"/>
      <c r="I3872" s="1117"/>
      <c r="J3872" s="632"/>
      <c r="K3872" s="1118"/>
    </row>
    <row r="3873" spans="1:11" x14ac:dyDescent="0.25">
      <c r="A3873" s="718">
        <v>2</v>
      </c>
      <c r="B3873" s="668"/>
      <c r="C3873" s="721"/>
      <c r="D3873" s="721"/>
      <c r="E3873" s="721"/>
      <c r="F3873" s="721"/>
      <c r="G3873" s="639"/>
      <c r="H3873" s="668"/>
      <c r="I3873" s="721"/>
      <c r="J3873" s="639"/>
      <c r="K3873" s="1124"/>
    </row>
    <row r="3874" spans="1:11" x14ac:dyDescent="0.25">
      <c r="A3874" s="718">
        <v>3</v>
      </c>
      <c r="B3874" s="668"/>
      <c r="C3874" s="721"/>
      <c r="D3874" s="721"/>
      <c r="E3874" s="721"/>
      <c r="F3874" s="721"/>
      <c r="G3874" s="639"/>
      <c r="H3874" s="668"/>
      <c r="I3874" s="721"/>
      <c r="J3874" s="639"/>
      <c r="K3874" s="1124"/>
    </row>
    <row r="3875" spans="1:11" x14ac:dyDescent="0.25">
      <c r="A3875" s="718">
        <v>4</v>
      </c>
      <c r="B3875" s="668"/>
      <c r="C3875" s="721"/>
      <c r="D3875" s="721"/>
      <c r="E3875" s="721"/>
      <c r="F3875" s="721"/>
      <c r="G3875" s="639"/>
      <c r="H3875" s="668"/>
      <c r="I3875" s="721"/>
      <c r="J3875" s="639"/>
      <c r="K3875" s="1124"/>
    </row>
    <row r="3876" spans="1:11" x14ac:dyDescent="0.25">
      <c r="A3876" s="718">
        <v>5</v>
      </c>
      <c r="B3876" s="668"/>
      <c r="C3876" s="721"/>
      <c r="D3876" s="721"/>
      <c r="E3876" s="721"/>
      <c r="F3876" s="721"/>
      <c r="G3876" s="639"/>
      <c r="H3876" s="668"/>
      <c r="I3876" s="721"/>
      <c r="J3876" s="639"/>
      <c r="K3876" s="1124"/>
    </row>
    <row r="3877" spans="1:11" ht="13.8" thickBot="1" x14ac:dyDescent="0.3">
      <c r="A3877" s="719">
        <v>6</v>
      </c>
      <c r="B3877" s="669"/>
      <c r="C3877" s="1137"/>
      <c r="D3877" s="1137"/>
      <c r="E3877" s="1137"/>
      <c r="F3877" s="1137"/>
      <c r="G3877" s="646"/>
      <c r="H3877" s="669"/>
      <c r="I3877" s="1137"/>
      <c r="J3877" s="646"/>
      <c r="K3877" s="1138"/>
    </row>
    <row r="3878" spans="1:11" x14ac:dyDescent="0.25">
      <c r="A3878" s="1190">
        <v>1</v>
      </c>
      <c r="B3878" s="745"/>
      <c r="C3878" s="1117"/>
      <c r="D3878" s="1117"/>
      <c r="E3878" s="1117"/>
      <c r="F3878" s="1117"/>
      <c r="G3878" s="632"/>
      <c r="H3878" s="745"/>
      <c r="I3878" s="1117"/>
      <c r="J3878" s="632"/>
      <c r="K3878" s="1118"/>
    </row>
    <row r="3879" spans="1:11" x14ac:dyDescent="0.25">
      <c r="A3879" s="718">
        <v>2</v>
      </c>
      <c r="B3879" s="668"/>
      <c r="C3879" s="721"/>
      <c r="D3879" s="721"/>
      <c r="E3879" s="721"/>
      <c r="F3879" s="721"/>
      <c r="G3879" s="639"/>
      <c r="H3879" s="668"/>
      <c r="I3879" s="721"/>
      <c r="J3879" s="639"/>
      <c r="K3879" s="1124"/>
    </row>
    <row r="3880" spans="1:11" ht="13.8" thickBot="1" x14ac:dyDescent="0.3">
      <c r="A3880" s="719">
        <v>3</v>
      </c>
      <c r="B3880" s="669"/>
      <c r="C3880" s="1137"/>
      <c r="D3880" s="1137"/>
      <c r="E3880" s="1137"/>
      <c r="F3880" s="1137"/>
      <c r="G3880" s="646"/>
      <c r="H3880" s="669"/>
      <c r="I3880" s="1137"/>
      <c r="J3880" s="646"/>
      <c r="K3880" s="1138"/>
    </row>
    <row r="3881" spans="1:11" ht="13.8" thickBot="1" x14ac:dyDescent="0.3">
      <c r="A3881" s="1186" t="s">
        <v>874</v>
      </c>
      <c r="B3881" s="1187"/>
      <c r="C3881" s="1188"/>
      <c r="D3881" s="1188"/>
      <c r="E3881" s="1188"/>
      <c r="F3881" s="1188"/>
      <c r="G3881" s="1189"/>
      <c r="H3881" s="1187"/>
      <c r="I3881" s="1188"/>
      <c r="J3881" s="1189"/>
      <c r="K3881" s="716"/>
    </row>
    <row r="3882" spans="1:11" x14ac:dyDescent="0.25">
      <c r="A3882" s="1190">
        <v>1</v>
      </c>
      <c r="B3882" s="745"/>
      <c r="C3882" s="1117"/>
      <c r="D3882" s="1117"/>
      <c r="E3882" s="1117"/>
      <c r="F3882" s="1117"/>
      <c r="G3882" s="632"/>
      <c r="H3882" s="745"/>
      <c r="I3882" s="1117"/>
      <c r="J3882" s="632"/>
      <c r="K3882" s="1118"/>
    </row>
    <row r="3883" spans="1:11" x14ac:dyDescent="0.25">
      <c r="A3883" s="718">
        <v>2</v>
      </c>
      <c r="B3883" s="668"/>
      <c r="C3883" s="721"/>
      <c r="D3883" s="721"/>
      <c r="E3883" s="721"/>
      <c r="F3883" s="721"/>
      <c r="G3883" s="639"/>
      <c r="H3883" s="668"/>
      <c r="I3883" s="721"/>
      <c r="J3883" s="639"/>
      <c r="K3883" s="1124"/>
    </row>
    <row r="3884" spans="1:11" x14ac:dyDescent="0.25">
      <c r="A3884" s="718">
        <v>3</v>
      </c>
      <c r="B3884" s="668"/>
      <c r="C3884" s="721"/>
      <c r="D3884" s="721"/>
      <c r="E3884" s="721"/>
      <c r="F3884" s="721"/>
      <c r="G3884" s="639"/>
      <c r="H3884" s="668"/>
      <c r="I3884" s="721"/>
      <c r="J3884" s="639"/>
      <c r="K3884" s="1124"/>
    </row>
    <row r="3885" spans="1:11" x14ac:dyDescent="0.25">
      <c r="A3885" s="718">
        <v>4</v>
      </c>
      <c r="B3885" s="668"/>
      <c r="C3885" s="721"/>
      <c r="D3885" s="721"/>
      <c r="E3885" s="721"/>
      <c r="F3885" s="721"/>
      <c r="G3885" s="639"/>
      <c r="H3885" s="668"/>
      <c r="I3885" s="721"/>
      <c r="J3885" s="639"/>
      <c r="K3885" s="1124"/>
    </row>
    <row r="3886" spans="1:11" x14ac:dyDescent="0.25">
      <c r="A3886" s="718">
        <v>5</v>
      </c>
      <c r="B3886" s="668"/>
      <c r="C3886" s="721"/>
      <c r="D3886" s="721"/>
      <c r="E3886" s="721"/>
      <c r="F3886" s="721"/>
      <c r="G3886" s="639"/>
      <c r="H3886" s="668"/>
      <c r="I3886" s="721"/>
      <c r="J3886" s="639"/>
      <c r="K3886" s="1124"/>
    </row>
    <row r="3887" spans="1:11" ht="13.8" thickBot="1" x14ac:dyDescent="0.3">
      <c r="A3887" s="719">
        <v>6</v>
      </c>
      <c r="B3887" s="669"/>
      <c r="C3887" s="1137"/>
      <c r="D3887" s="1137"/>
      <c r="E3887" s="1137"/>
      <c r="F3887" s="1137"/>
      <c r="G3887" s="646"/>
      <c r="H3887" s="669"/>
      <c r="I3887" s="1137"/>
      <c r="J3887" s="646"/>
      <c r="K3887" s="1138"/>
    </row>
    <row r="3888" spans="1:11" x14ac:dyDescent="0.25">
      <c r="A3888" s="1190">
        <v>1</v>
      </c>
      <c r="B3888" s="745"/>
      <c r="C3888" s="1117"/>
      <c r="D3888" s="1117"/>
      <c r="E3888" s="1117"/>
      <c r="F3888" s="1117"/>
      <c r="G3888" s="632"/>
      <c r="H3888" s="745"/>
      <c r="I3888" s="1117"/>
      <c r="J3888" s="632"/>
      <c r="K3888" s="1118"/>
    </row>
    <row r="3889" spans="1:11" x14ac:dyDescent="0.25">
      <c r="A3889" s="718">
        <v>2</v>
      </c>
      <c r="B3889" s="668"/>
      <c r="C3889" s="721"/>
      <c r="D3889" s="721"/>
      <c r="E3889" s="721"/>
      <c r="F3889" s="721"/>
      <c r="G3889" s="639"/>
      <c r="H3889" s="668"/>
      <c r="I3889" s="721"/>
      <c r="J3889" s="639"/>
      <c r="K3889" s="1124"/>
    </row>
    <row r="3890" spans="1:11" ht="13.8" thickBot="1" x14ac:dyDescent="0.3">
      <c r="A3890" s="719">
        <v>3</v>
      </c>
      <c r="B3890" s="669"/>
      <c r="C3890" s="1137"/>
      <c r="D3890" s="1137"/>
      <c r="E3890" s="1137"/>
      <c r="F3890" s="1137"/>
      <c r="G3890" s="646"/>
      <c r="H3890" s="669"/>
      <c r="I3890" s="1137"/>
      <c r="J3890" s="646"/>
      <c r="K3890" s="1138"/>
    </row>
    <row r="3891" spans="1:11" ht="13.8" thickBot="1" x14ac:dyDescent="0.3">
      <c r="A3891" s="1186" t="s">
        <v>875</v>
      </c>
      <c r="B3891" s="1187"/>
      <c r="C3891" s="1188"/>
      <c r="D3891" s="1188"/>
      <c r="E3891" s="1188"/>
      <c r="F3891" s="1188"/>
      <c r="G3891" s="1189"/>
      <c r="H3891" s="1187"/>
      <c r="I3891" s="1188"/>
      <c r="J3891" s="1189"/>
      <c r="K3891" s="716"/>
    </row>
    <row r="3892" spans="1:11" x14ac:dyDescent="0.25">
      <c r="A3892" s="1190">
        <v>1</v>
      </c>
      <c r="B3892" s="745"/>
      <c r="C3892" s="1117"/>
      <c r="D3892" s="1117"/>
      <c r="E3892" s="1117"/>
      <c r="F3892" s="1117"/>
      <c r="G3892" s="632"/>
      <c r="H3892" s="745"/>
      <c r="I3892" s="1117"/>
      <c r="J3892" s="632"/>
      <c r="K3892" s="1118"/>
    </row>
    <row r="3893" spans="1:11" x14ac:dyDescent="0.25">
      <c r="A3893" s="718">
        <v>2</v>
      </c>
      <c r="B3893" s="668"/>
      <c r="C3893" s="721"/>
      <c r="D3893" s="721"/>
      <c r="E3893" s="721"/>
      <c r="F3893" s="721"/>
      <c r="G3893" s="639"/>
      <c r="H3893" s="668"/>
      <c r="I3893" s="721"/>
      <c r="J3893" s="639"/>
      <c r="K3893" s="1124"/>
    </row>
    <row r="3894" spans="1:11" x14ac:dyDescent="0.25">
      <c r="A3894" s="718">
        <v>3</v>
      </c>
      <c r="B3894" s="668"/>
      <c r="C3894" s="721"/>
      <c r="D3894" s="721"/>
      <c r="E3894" s="721"/>
      <c r="F3894" s="721"/>
      <c r="G3894" s="639"/>
      <c r="H3894" s="668"/>
      <c r="I3894" s="721"/>
      <c r="J3894" s="639"/>
      <c r="K3894" s="1124"/>
    </row>
    <row r="3895" spans="1:11" x14ac:dyDescent="0.25">
      <c r="A3895" s="718">
        <v>4</v>
      </c>
      <c r="B3895" s="668"/>
      <c r="C3895" s="721"/>
      <c r="D3895" s="721"/>
      <c r="E3895" s="721"/>
      <c r="F3895" s="721"/>
      <c r="G3895" s="639"/>
      <c r="H3895" s="668"/>
      <c r="I3895" s="721"/>
      <c r="J3895" s="639"/>
      <c r="K3895" s="1124"/>
    </row>
    <row r="3896" spans="1:11" x14ac:dyDescent="0.25">
      <c r="A3896" s="718">
        <v>5</v>
      </c>
      <c r="B3896" s="668"/>
      <c r="C3896" s="721"/>
      <c r="D3896" s="721"/>
      <c r="E3896" s="721"/>
      <c r="F3896" s="721"/>
      <c r="G3896" s="639"/>
      <c r="H3896" s="668"/>
      <c r="I3896" s="721"/>
      <c r="J3896" s="639"/>
      <c r="K3896" s="1124"/>
    </row>
    <row r="3897" spans="1:11" ht="13.8" thickBot="1" x14ac:dyDescent="0.3">
      <c r="A3897" s="719">
        <v>6</v>
      </c>
      <c r="B3897" s="669"/>
      <c r="C3897" s="1137"/>
      <c r="D3897" s="1137"/>
      <c r="E3897" s="1137"/>
      <c r="F3897" s="1137"/>
      <c r="G3897" s="646"/>
      <c r="H3897" s="669"/>
      <c r="I3897" s="1137"/>
      <c r="J3897" s="646"/>
      <c r="K3897" s="1138"/>
    </row>
    <row r="3898" spans="1:11" x14ac:dyDescent="0.25">
      <c r="A3898" s="1190">
        <v>1</v>
      </c>
      <c r="B3898" s="745"/>
      <c r="C3898" s="1117"/>
      <c r="D3898" s="1117"/>
      <c r="E3898" s="1117"/>
      <c r="F3898" s="1117"/>
      <c r="G3898" s="632"/>
      <c r="H3898" s="745"/>
      <c r="I3898" s="1117"/>
      <c r="J3898" s="632"/>
      <c r="K3898" s="1118"/>
    </row>
    <row r="3899" spans="1:11" x14ac:dyDescent="0.25">
      <c r="A3899" s="718">
        <v>2</v>
      </c>
      <c r="B3899" s="668"/>
      <c r="C3899" s="721"/>
      <c r="D3899" s="721"/>
      <c r="E3899" s="721"/>
      <c r="F3899" s="721"/>
      <c r="G3899" s="639"/>
      <c r="H3899" s="668"/>
      <c r="I3899" s="721"/>
      <c r="J3899" s="639"/>
      <c r="K3899" s="1124"/>
    </row>
    <row r="3900" spans="1:11" ht="13.8" thickBot="1" x14ac:dyDescent="0.3">
      <c r="A3900" s="719">
        <v>3</v>
      </c>
      <c r="B3900" s="669"/>
      <c r="C3900" s="1137"/>
      <c r="D3900" s="1137"/>
      <c r="E3900" s="1137"/>
      <c r="F3900" s="1137"/>
      <c r="G3900" s="646"/>
      <c r="H3900" s="669"/>
      <c r="I3900" s="1137"/>
      <c r="J3900" s="646"/>
      <c r="K3900" s="1138"/>
    </row>
    <row r="3901" spans="1:11" ht="13.8" thickBot="1" x14ac:dyDescent="0.3">
      <c r="A3901" s="1186" t="s">
        <v>876</v>
      </c>
      <c r="B3901" s="1187"/>
      <c r="C3901" s="1188"/>
      <c r="D3901" s="1188"/>
      <c r="E3901" s="1188"/>
      <c r="F3901" s="1188"/>
      <c r="G3901" s="1189"/>
      <c r="H3901" s="1187"/>
      <c r="I3901" s="1188"/>
      <c r="J3901" s="1189"/>
      <c r="K3901" s="716"/>
    </row>
    <row r="3902" spans="1:11" x14ac:dyDescent="0.25">
      <c r="A3902" s="1190">
        <v>1</v>
      </c>
      <c r="B3902" s="745"/>
      <c r="C3902" s="1117"/>
      <c r="D3902" s="1117"/>
      <c r="E3902" s="1117"/>
      <c r="F3902" s="1117"/>
      <c r="G3902" s="632"/>
      <c r="H3902" s="745"/>
      <c r="I3902" s="1117"/>
      <c r="J3902" s="632"/>
      <c r="K3902" s="1118"/>
    </row>
    <row r="3903" spans="1:11" x14ac:dyDescent="0.25">
      <c r="A3903" s="718">
        <v>2</v>
      </c>
      <c r="B3903" s="668"/>
      <c r="C3903" s="721"/>
      <c r="D3903" s="721"/>
      <c r="E3903" s="721"/>
      <c r="F3903" s="721"/>
      <c r="G3903" s="639"/>
      <c r="H3903" s="668"/>
      <c r="I3903" s="721"/>
      <c r="J3903" s="639"/>
      <c r="K3903" s="1124"/>
    </row>
    <row r="3904" spans="1:11" x14ac:dyDescent="0.25">
      <c r="A3904" s="718">
        <v>3</v>
      </c>
      <c r="B3904" s="668"/>
      <c r="C3904" s="721"/>
      <c r="D3904" s="721"/>
      <c r="E3904" s="721"/>
      <c r="F3904" s="721"/>
      <c r="G3904" s="639"/>
      <c r="H3904" s="668"/>
      <c r="I3904" s="721"/>
      <c r="J3904" s="639"/>
      <c r="K3904" s="1124"/>
    </row>
    <row r="3905" spans="1:11" x14ac:dyDescent="0.25">
      <c r="A3905" s="718">
        <v>4</v>
      </c>
      <c r="B3905" s="668"/>
      <c r="C3905" s="721"/>
      <c r="D3905" s="721"/>
      <c r="E3905" s="721"/>
      <c r="F3905" s="721"/>
      <c r="G3905" s="639"/>
      <c r="H3905" s="668"/>
      <c r="I3905" s="721"/>
      <c r="J3905" s="639"/>
      <c r="K3905" s="1124"/>
    </row>
    <row r="3906" spans="1:11" x14ac:dyDescent="0.25">
      <c r="A3906" s="718">
        <v>5</v>
      </c>
      <c r="B3906" s="668"/>
      <c r="C3906" s="721"/>
      <c r="D3906" s="721"/>
      <c r="E3906" s="721"/>
      <c r="F3906" s="721"/>
      <c r="G3906" s="639"/>
      <c r="H3906" s="668"/>
      <c r="I3906" s="721"/>
      <c r="J3906" s="639"/>
      <c r="K3906" s="1124"/>
    </row>
    <row r="3907" spans="1:11" ht="13.8" thickBot="1" x14ac:dyDescent="0.3">
      <c r="A3907" s="719">
        <v>6</v>
      </c>
      <c r="B3907" s="669"/>
      <c r="C3907" s="1137"/>
      <c r="D3907" s="1137"/>
      <c r="E3907" s="1137"/>
      <c r="F3907" s="1137"/>
      <c r="G3907" s="646"/>
      <c r="H3907" s="669"/>
      <c r="I3907" s="1137"/>
      <c r="J3907" s="646"/>
      <c r="K3907" s="1138"/>
    </row>
    <row r="3908" spans="1:11" x14ac:dyDescent="0.25">
      <c r="A3908" s="1190">
        <v>1</v>
      </c>
      <c r="B3908" s="745"/>
      <c r="C3908" s="1117"/>
      <c r="D3908" s="1117"/>
      <c r="E3908" s="1117"/>
      <c r="F3908" s="1117"/>
      <c r="G3908" s="632"/>
      <c r="H3908" s="745"/>
      <c r="I3908" s="1117"/>
      <c r="J3908" s="632"/>
      <c r="K3908" s="1118"/>
    </row>
    <row r="3909" spans="1:11" x14ac:dyDescent="0.25">
      <c r="A3909" s="718">
        <v>2</v>
      </c>
      <c r="B3909" s="668"/>
      <c r="C3909" s="721"/>
      <c r="D3909" s="721"/>
      <c r="E3909" s="721"/>
      <c r="F3909" s="721"/>
      <c r="G3909" s="639"/>
      <c r="H3909" s="668"/>
      <c r="I3909" s="721"/>
      <c r="J3909" s="639"/>
      <c r="K3909" s="1124"/>
    </row>
    <row r="3910" spans="1:11" ht="13.8" thickBot="1" x14ac:dyDescent="0.3">
      <c r="A3910" s="1191">
        <v>3</v>
      </c>
      <c r="B3910" s="1132"/>
      <c r="C3910" s="1133"/>
      <c r="D3910" s="1133"/>
      <c r="E3910" s="1133"/>
      <c r="F3910" s="1133"/>
      <c r="G3910" s="1134"/>
      <c r="H3910" s="1132"/>
      <c r="I3910" s="1133"/>
      <c r="J3910" s="1134"/>
      <c r="K3910" s="1147"/>
    </row>
    <row r="3911" spans="1:11" ht="13.8" thickBot="1" x14ac:dyDescent="0.3">
      <c r="A3911" s="1186" t="s">
        <v>877</v>
      </c>
      <c r="B3911" s="1187"/>
      <c r="C3911" s="1188"/>
      <c r="D3911" s="1188"/>
      <c r="E3911" s="1188"/>
      <c r="F3911" s="1188"/>
      <c r="G3911" s="1189"/>
      <c r="H3911" s="1187"/>
      <c r="I3911" s="1188"/>
      <c r="J3911" s="1189"/>
      <c r="K3911" s="716"/>
    </row>
    <row r="3912" spans="1:11" x14ac:dyDescent="0.25">
      <c r="A3912" s="1190">
        <v>1</v>
      </c>
      <c r="B3912" s="745"/>
      <c r="C3912" s="1117"/>
      <c r="D3912" s="1117"/>
      <c r="E3912" s="1117"/>
      <c r="F3912" s="1117"/>
      <c r="G3912" s="632"/>
      <c r="H3912" s="745"/>
      <c r="I3912" s="1117"/>
      <c r="J3912" s="632"/>
      <c r="K3912" s="1118"/>
    </row>
    <row r="3913" spans="1:11" x14ac:dyDescent="0.25">
      <c r="A3913" s="718">
        <v>2</v>
      </c>
      <c r="B3913" s="668"/>
      <c r="C3913" s="721"/>
      <c r="D3913" s="721"/>
      <c r="E3913" s="721"/>
      <c r="F3913" s="721"/>
      <c r="G3913" s="639"/>
      <c r="H3913" s="668"/>
      <c r="I3913" s="721"/>
      <c r="J3913" s="639"/>
      <c r="K3913" s="1124"/>
    </row>
    <row r="3914" spans="1:11" x14ac:dyDescent="0.25">
      <c r="A3914" s="718">
        <v>3</v>
      </c>
      <c r="B3914" s="668"/>
      <c r="C3914" s="721"/>
      <c r="D3914" s="721"/>
      <c r="E3914" s="721"/>
      <c r="F3914" s="721"/>
      <c r="G3914" s="639"/>
      <c r="H3914" s="668"/>
      <c r="I3914" s="721"/>
      <c r="J3914" s="639"/>
      <c r="K3914" s="1124"/>
    </row>
    <row r="3915" spans="1:11" x14ac:dyDescent="0.25">
      <c r="A3915" s="718">
        <v>4</v>
      </c>
      <c r="B3915" s="668"/>
      <c r="C3915" s="721"/>
      <c r="D3915" s="721"/>
      <c r="E3915" s="721"/>
      <c r="F3915" s="721"/>
      <c r="G3915" s="639"/>
      <c r="H3915" s="668"/>
      <c r="I3915" s="721"/>
      <c r="J3915" s="639"/>
      <c r="K3915" s="1124"/>
    </row>
    <row r="3916" spans="1:11" x14ac:dyDescent="0.25">
      <c r="A3916" s="718">
        <v>5</v>
      </c>
      <c r="B3916" s="668"/>
      <c r="C3916" s="721"/>
      <c r="D3916" s="721"/>
      <c r="E3916" s="721"/>
      <c r="F3916" s="721"/>
      <c r="G3916" s="639"/>
      <c r="H3916" s="668"/>
      <c r="I3916" s="721"/>
      <c r="J3916" s="639"/>
      <c r="K3916" s="1124"/>
    </row>
    <row r="3917" spans="1:11" ht="13.8" thickBot="1" x14ac:dyDescent="0.3">
      <c r="A3917" s="719">
        <v>6</v>
      </c>
      <c r="B3917" s="669"/>
      <c r="C3917" s="1137"/>
      <c r="D3917" s="1137"/>
      <c r="E3917" s="1137"/>
      <c r="F3917" s="1137"/>
      <c r="G3917" s="646"/>
      <c r="H3917" s="669"/>
      <c r="I3917" s="1137"/>
      <c r="J3917" s="646"/>
      <c r="K3917" s="1138"/>
    </row>
    <row r="3918" spans="1:11" x14ac:dyDescent="0.25">
      <c r="A3918" s="1190">
        <v>1</v>
      </c>
      <c r="B3918" s="745"/>
      <c r="C3918" s="1117"/>
      <c r="D3918" s="1117"/>
      <c r="E3918" s="1117"/>
      <c r="F3918" s="1117"/>
      <c r="G3918" s="632"/>
      <c r="H3918" s="745"/>
      <c r="I3918" s="1117"/>
      <c r="J3918" s="632"/>
      <c r="K3918" s="1118"/>
    </row>
    <row r="3919" spans="1:11" x14ac:dyDescent="0.25">
      <c r="A3919" s="718">
        <v>2</v>
      </c>
      <c r="B3919" s="668"/>
      <c r="C3919" s="721"/>
      <c r="D3919" s="721"/>
      <c r="E3919" s="721"/>
      <c r="F3919" s="721"/>
      <c r="G3919" s="639"/>
      <c r="H3919" s="668"/>
      <c r="I3919" s="721"/>
      <c r="J3919" s="639"/>
      <c r="K3919" s="1124"/>
    </row>
    <row r="3920" spans="1:11" ht="13.8" thickBot="1" x14ac:dyDescent="0.3">
      <c r="A3920" s="719">
        <v>3</v>
      </c>
      <c r="B3920" s="669"/>
      <c r="C3920" s="1137"/>
      <c r="D3920" s="1137"/>
      <c r="E3920" s="1137"/>
      <c r="F3920" s="1137"/>
      <c r="G3920" s="646"/>
      <c r="H3920" s="669"/>
      <c r="I3920" s="1137"/>
      <c r="J3920" s="646"/>
      <c r="K3920" s="1138"/>
    </row>
    <row r="3921" spans="1:11" ht="13.8" thickBot="1" x14ac:dyDescent="0.3">
      <c r="A3921" s="1186" t="s">
        <v>878</v>
      </c>
      <c r="B3921" s="1187"/>
      <c r="C3921" s="1188"/>
      <c r="D3921" s="1188"/>
      <c r="E3921" s="1188"/>
      <c r="F3921" s="1188"/>
      <c r="G3921" s="1189"/>
      <c r="H3921" s="1187"/>
      <c r="I3921" s="1188"/>
      <c r="J3921" s="1189"/>
      <c r="K3921" s="716"/>
    </row>
    <row r="3922" spans="1:11" x14ac:dyDescent="0.25">
      <c r="A3922" s="1190">
        <v>1</v>
      </c>
      <c r="B3922" s="745"/>
      <c r="C3922" s="1117"/>
      <c r="D3922" s="1117"/>
      <c r="E3922" s="1117"/>
      <c r="F3922" s="1117"/>
      <c r="G3922" s="632"/>
      <c r="H3922" s="745"/>
      <c r="I3922" s="1117"/>
      <c r="J3922" s="632"/>
      <c r="K3922" s="1118"/>
    </row>
    <row r="3923" spans="1:11" x14ac:dyDescent="0.25">
      <c r="A3923" s="718">
        <v>2</v>
      </c>
      <c r="B3923" s="668"/>
      <c r="C3923" s="721"/>
      <c r="D3923" s="721"/>
      <c r="E3923" s="721"/>
      <c r="F3923" s="721"/>
      <c r="G3923" s="639"/>
      <c r="H3923" s="668"/>
      <c r="I3923" s="721"/>
      <c r="J3923" s="639"/>
      <c r="K3923" s="1124"/>
    </row>
    <row r="3924" spans="1:11" x14ac:dyDescent="0.25">
      <c r="A3924" s="718">
        <v>3</v>
      </c>
      <c r="B3924" s="668"/>
      <c r="C3924" s="721"/>
      <c r="D3924" s="721"/>
      <c r="E3924" s="721"/>
      <c r="F3924" s="721"/>
      <c r="G3924" s="639"/>
      <c r="H3924" s="668"/>
      <c r="I3924" s="721"/>
      <c r="J3924" s="639"/>
      <c r="K3924" s="1124"/>
    </row>
    <row r="3925" spans="1:11" x14ac:dyDescent="0.25">
      <c r="A3925" s="718">
        <v>4</v>
      </c>
      <c r="B3925" s="668"/>
      <c r="C3925" s="721"/>
      <c r="D3925" s="721"/>
      <c r="E3925" s="721"/>
      <c r="F3925" s="721"/>
      <c r="G3925" s="639"/>
      <c r="H3925" s="668"/>
      <c r="I3925" s="721"/>
      <c r="J3925" s="639"/>
      <c r="K3925" s="1124"/>
    </row>
    <row r="3926" spans="1:11" x14ac:dyDescent="0.25">
      <c r="A3926" s="718">
        <v>5</v>
      </c>
      <c r="B3926" s="668"/>
      <c r="C3926" s="721"/>
      <c r="D3926" s="721"/>
      <c r="E3926" s="721"/>
      <c r="F3926" s="721"/>
      <c r="G3926" s="639"/>
      <c r="H3926" s="668"/>
      <c r="I3926" s="721"/>
      <c r="J3926" s="639"/>
      <c r="K3926" s="1124"/>
    </row>
    <row r="3927" spans="1:11" ht="13.8" thickBot="1" x14ac:dyDescent="0.3">
      <c r="A3927" s="719">
        <v>6</v>
      </c>
      <c r="B3927" s="669"/>
      <c r="C3927" s="1137"/>
      <c r="D3927" s="1137"/>
      <c r="E3927" s="1137"/>
      <c r="F3927" s="1137"/>
      <c r="G3927" s="646"/>
      <c r="H3927" s="669"/>
      <c r="I3927" s="1137"/>
      <c r="J3927" s="646"/>
      <c r="K3927" s="1138"/>
    </row>
    <row r="3928" spans="1:11" x14ac:dyDescent="0.25">
      <c r="A3928" s="1190">
        <v>1</v>
      </c>
      <c r="B3928" s="745"/>
      <c r="C3928" s="1117"/>
      <c r="D3928" s="1117"/>
      <c r="E3928" s="1117"/>
      <c r="F3928" s="1117"/>
      <c r="G3928" s="632"/>
      <c r="H3928" s="745"/>
      <c r="I3928" s="1117"/>
      <c r="J3928" s="632"/>
      <c r="K3928" s="1118"/>
    </row>
    <row r="3929" spans="1:11" x14ac:dyDescent="0.25">
      <c r="A3929" s="718">
        <v>2</v>
      </c>
      <c r="B3929" s="668"/>
      <c r="C3929" s="721"/>
      <c r="D3929" s="721"/>
      <c r="E3929" s="721"/>
      <c r="F3929" s="721"/>
      <c r="G3929" s="639"/>
      <c r="H3929" s="668"/>
      <c r="I3929" s="721"/>
      <c r="J3929" s="639"/>
      <c r="K3929" s="1124"/>
    </row>
    <row r="3930" spans="1:11" ht="13.8" thickBot="1" x14ac:dyDescent="0.3">
      <c r="A3930" s="719">
        <v>3</v>
      </c>
      <c r="B3930" s="669"/>
      <c r="C3930" s="1137"/>
      <c r="D3930" s="1137"/>
      <c r="E3930" s="1137"/>
      <c r="F3930" s="1137"/>
      <c r="G3930" s="646"/>
      <c r="H3930" s="669"/>
      <c r="I3930" s="1137"/>
      <c r="J3930" s="646"/>
      <c r="K3930" s="1138"/>
    </row>
    <row r="3931" spans="1:11" ht="13.8" thickBot="1" x14ac:dyDescent="0.3">
      <c r="A3931" s="1186" t="s">
        <v>879</v>
      </c>
      <c r="B3931" s="1187"/>
      <c r="C3931" s="1188"/>
      <c r="D3931" s="1188"/>
      <c r="E3931" s="1188"/>
      <c r="F3931" s="1188"/>
      <c r="G3931" s="1189"/>
      <c r="H3931" s="1187"/>
      <c r="I3931" s="1188"/>
      <c r="J3931" s="1189"/>
      <c r="K3931" s="716"/>
    </row>
    <row r="3932" spans="1:11" x14ac:dyDescent="0.25">
      <c r="A3932" s="1190">
        <v>1</v>
      </c>
      <c r="B3932" s="745"/>
      <c r="C3932" s="1117"/>
      <c r="D3932" s="1117"/>
      <c r="E3932" s="1117"/>
      <c r="F3932" s="1117"/>
      <c r="G3932" s="632"/>
      <c r="H3932" s="745"/>
      <c r="I3932" s="1117"/>
      <c r="J3932" s="632"/>
      <c r="K3932" s="1118"/>
    </row>
    <row r="3933" spans="1:11" x14ac:dyDescent="0.25">
      <c r="A3933" s="718">
        <v>2</v>
      </c>
      <c r="B3933" s="668"/>
      <c r="C3933" s="721"/>
      <c r="D3933" s="721"/>
      <c r="E3933" s="721"/>
      <c r="F3933" s="721"/>
      <c r="G3933" s="639"/>
      <c r="H3933" s="668"/>
      <c r="I3933" s="721"/>
      <c r="J3933" s="639"/>
      <c r="K3933" s="1124"/>
    </row>
    <row r="3934" spans="1:11" x14ac:dyDescent="0.25">
      <c r="A3934" s="718">
        <v>3</v>
      </c>
      <c r="B3934" s="668"/>
      <c r="C3934" s="721"/>
      <c r="D3934" s="721"/>
      <c r="E3934" s="721"/>
      <c r="F3934" s="721"/>
      <c r="G3934" s="639"/>
      <c r="H3934" s="668"/>
      <c r="I3934" s="721"/>
      <c r="J3934" s="639"/>
      <c r="K3934" s="1124"/>
    </row>
    <row r="3935" spans="1:11" x14ac:dyDescent="0.25">
      <c r="A3935" s="718">
        <v>4</v>
      </c>
      <c r="B3935" s="668"/>
      <c r="C3935" s="721"/>
      <c r="D3935" s="721"/>
      <c r="E3935" s="721"/>
      <c r="F3935" s="721"/>
      <c r="G3935" s="639"/>
      <c r="H3935" s="668"/>
      <c r="I3935" s="721"/>
      <c r="J3935" s="639"/>
      <c r="K3935" s="1124"/>
    </row>
    <row r="3936" spans="1:11" x14ac:dyDescent="0.25">
      <c r="A3936" s="718">
        <v>5</v>
      </c>
      <c r="B3936" s="668"/>
      <c r="C3936" s="721"/>
      <c r="D3936" s="721"/>
      <c r="E3936" s="721"/>
      <c r="F3936" s="721"/>
      <c r="G3936" s="639"/>
      <c r="H3936" s="668"/>
      <c r="I3936" s="721"/>
      <c r="J3936" s="639"/>
      <c r="K3936" s="1124"/>
    </row>
    <row r="3937" spans="1:11" ht="13.8" thickBot="1" x14ac:dyDescent="0.3">
      <c r="A3937" s="719">
        <v>6</v>
      </c>
      <c r="B3937" s="669"/>
      <c r="C3937" s="1137"/>
      <c r="D3937" s="1137"/>
      <c r="E3937" s="1137"/>
      <c r="F3937" s="1137"/>
      <c r="G3937" s="646"/>
      <c r="H3937" s="669"/>
      <c r="I3937" s="1137"/>
      <c r="J3937" s="646"/>
      <c r="K3937" s="1138"/>
    </row>
    <row r="3938" spans="1:11" x14ac:dyDescent="0.25">
      <c r="A3938" s="1190">
        <v>1</v>
      </c>
      <c r="B3938" s="745"/>
      <c r="C3938" s="1117"/>
      <c r="D3938" s="1117"/>
      <c r="E3938" s="1117"/>
      <c r="F3938" s="1117"/>
      <c r="G3938" s="632"/>
      <c r="H3938" s="745"/>
      <c r="I3938" s="1117"/>
      <c r="J3938" s="632"/>
      <c r="K3938" s="1118"/>
    </row>
    <row r="3939" spans="1:11" x14ac:dyDescent="0.25">
      <c r="A3939" s="718">
        <v>2</v>
      </c>
      <c r="B3939" s="668"/>
      <c r="C3939" s="721"/>
      <c r="D3939" s="721"/>
      <c r="E3939" s="721"/>
      <c r="F3939" s="721"/>
      <c r="G3939" s="639"/>
      <c r="H3939" s="668"/>
      <c r="I3939" s="721"/>
      <c r="J3939" s="639"/>
      <c r="K3939" s="1124"/>
    </row>
    <row r="3940" spans="1:11" ht="13.8" thickBot="1" x14ac:dyDescent="0.3">
      <c r="A3940" s="719">
        <v>3</v>
      </c>
      <c r="B3940" s="669"/>
      <c r="C3940" s="1137"/>
      <c r="D3940" s="1137"/>
      <c r="E3940" s="1137"/>
      <c r="F3940" s="1137"/>
      <c r="G3940" s="646"/>
      <c r="H3940" s="669"/>
      <c r="I3940" s="1137"/>
      <c r="J3940" s="646"/>
      <c r="K3940" s="1138"/>
    </row>
    <row r="3941" spans="1:11" ht="13.8" thickBot="1" x14ac:dyDescent="0.3">
      <c r="A3941" s="1186" t="s">
        <v>880</v>
      </c>
      <c r="B3941" s="1187"/>
      <c r="C3941" s="1188"/>
      <c r="D3941" s="1188"/>
      <c r="E3941" s="1188"/>
      <c r="F3941" s="1188"/>
      <c r="G3941" s="1189"/>
      <c r="H3941" s="1187"/>
      <c r="I3941" s="1188"/>
      <c r="J3941" s="1189"/>
      <c r="K3941" s="716"/>
    </row>
    <row r="3942" spans="1:11" x14ac:dyDescent="0.25">
      <c r="A3942" s="1190">
        <v>1</v>
      </c>
      <c r="B3942" s="745"/>
      <c r="C3942" s="1117"/>
      <c r="D3942" s="1117"/>
      <c r="E3942" s="1117"/>
      <c r="F3942" s="1117"/>
      <c r="G3942" s="632"/>
      <c r="H3942" s="745"/>
      <c r="I3942" s="1117"/>
      <c r="J3942" s="632"/>
      <c r="K3942" s="1118"/>
    </row>
    <row r="3943" spans="1:11" x14ac:dyDescent="0.25">
      <c r="A3943" s="718">
        <v>2</v>
      </c>
      <c r="B3943" s="668"/>
      <c r="C3943" s="721"/>
      <c r="D3943" s="721"/>
      <c r="E3943" s="721"/>
      <c r="F3943" s="721"/>
      <c r="G3943" s="639"/>
      <c r="H3943" s="668"/>
      <c r="I3943" s="721"/>
      <c r="J3943" s="639"/>
      <c r="K3943" s="1124"/>
    </row>
    <row r="3944" spans="1:11" x14ac:dyDescent="0.25">
      <c r="A3944" s="718">
        <v>3</v>
      </c>
      <c r="B3944" s="668"/>
      <c r="C3944" s="721"/>
      <c r="D3944" s="721"/>
      <c r="E3944" s="721"/>
      <c r="F3944" s="721"/>
      <c r="G3944" s="639"/>
      <c r="H3944" s="668"/>
      <c r="I3944" s="721"/>
      <c r="J3944" s="639"/>
      <c r="K3944" s="1124"/>
    </row>
    <row r="3945" spans="1:11" x14ac:dyDescent="0.25">
      <c r="A3945" s="718">
        <v>4</v>
      </c>
      <c r="B3945" s="668"/>
      <c r="C3945" s="721"/>
      <c r="D3945" s="721"/>
      <c r="E3945" s="721"/>
      <c r="F3945" s="721"/>
      <c r="G3945" s="639"/>
      <c r="H3945" s="668"/>
      <c r="I3945" s="721"/>
      <c r="J3945" s="639"/>
      <c r="K3945" s="1124"/>
    </row>
    <row r="3946" spans="1:11" x14ac:dyDescent="0.25">
      <c r="A3946" s="718">
        <v>5</v>
      </c>
      <c r="B3946" s="668"/>
      <c r="C3946" s="721"/>
      <c r="D3946" s="721"/>
      <c r="E3946" s="721"/>
      <c r="F3946" s="721"/>
      <c r="G3946" s="639"/>
      <c r="H3946" s="668"/>
      <c r="I3946" s="721"/>
      <c r="J3946" s="639"/>
      <c r="K3946" s="1124"/>
    </row>
    <row r="3947" spans="1:11" ht="13.8" thickBot="1" x14ac:dyDescent="0.3">
      <c r="A3947" s="719">
        <v>6</v>
      </c>
      <c r="B3947" s="669"/>
      <c r="C3947" s="1137"/>
      <c r="D3947" s="1137"/>
      <c r="E3947" s="1137"/>
      <c r="F3947" s="1137"/>
      <c r="G3947" s="646"/>
      <c r="H3947" s="669"/>
      <c r="I3947" s="1137"/>
      <c r="J3947" s="646"/>
      <c r="K3947" s="1138"/>
    </row>
    <row r="3948" spans="1:11" x14ac:dyDescent="0.25">
      <c r="A3948" s="1190">
        <v>1</v>
      </c>
      <c r="B3948" s="745"/>
      <c r="C3948" s="1117"/>
      <c r="D3948" s="1117"/>
      <c r="E3948" s="1117"/>
      <c r="F3948" s="1117"/>
      <c r="G3948" s="632"/>
      <c r="H3948" s="745"/>
      <c r="I3948" s="1117"/>
      <c r="J3948" s="632"/>
      <c r="K3948" s="1118"/>
    </row>
    <row r="3949" spans="1:11" x14ac:dyDescent="0.25">
      <c r="A3949" s="718">
        <v>2</v>
      </c>
      <c r="B3949" s="668"/>
      <c r="C3949" s="721"/>
      <c r="D3949" s="721"/>
      <c r="E3949" s="721"/>
      <c r="F3949" s="721"/>
      <c r="G3949" s="639"/>
      <c r="H3949" s="668"/>
      <c r="I3949" s="721"/>
      <c r="J3949" s="639"/>
      <c r="K3949" s="1124"/>
    </row>
    <row r="3950" spans="1:11" ht="13.8" thickBot="1" x14ac:dyDescent="0.3">
      <c r="A3950" s="719">
        <v>3</v>
      </c>
      <c r="B3950" s="669"/>
      <c r="C3950" s="1137"/>
      <c r="D3950" s="1137"/>
      <c r="E3950" s="1137"/>
      <c r="F3950" s="1137"/>
      <c r="G3950" s="646"/>
      <c r="H3950" s="669"/>
      <c r="I3950" s="1137"/>
      <c r="J3950" s="646"/>
      <c r="K3950" s="1138"/>
    </row>
    <row r="3951" spans="1:11" ht="13.8" thickBot="1" x14ac:dyDescent="0.3">
      <c r="A3951" s="1186" t="s">
        <v>881</v>
      </c>
      <c r="B3951" s="1187"/>
      <c r="C3951" s="1188"/>
      <c r="D3951" s="1188"/>
      <c r="E3951" s="1188"/>
      <c r="F3951" s="1188"/>
      <c r="G3951" s="1189"/>
      <c r="H3951" s="1187"/>
      <c r="I3951" s="1188"/>
      <c r="J3951" s="1189"/>
      <c r="K3951" s="716"/>
    </row>
    <row r="3952" spans="1:11" x14ac:dyDescent="0.25">
      <c r="A3952" s="1190">
        <v>1</v>
      </c>
      <c r="B3952" s="745"/>
      <c r="C3952" s="1117"/>
      <c r="D3952" s="1117"/>
      <c r="E3952" s="1117"/>
      <c r="F3952" s="1117"/>
      <c r="G3952" s="632"/>
      <c r="H3952" s="745"/>
      <c r="I3952" s="1117"/>
      <c r="J3952" s="632"/>
      <c r="K3952" s="1118"/>
    </row>
    <row r="3953" spans="1:11" x14ac:dyDescent="0.25">
      <c r="A3953" s="718">
        <v>2</v>
      </c>
      <c r="B3953" s="668"/>
      <c r="C3953" s="721"/>
      <c r="D3953" s="721"/>
      <c r="E3953" s="721"/>
      <c r="F3953" s="721"/>
      <c r="G3953" s="639"/>
      <c r="H3953" s="668"/>
      <c r="I3953" s="721"/>
      <c r="J3953" s="639"/>
      <c r="K3953" s="1124"/>
    </row>
    <row r="3954" spans="1:11" x14ac:dyDescent="0.25">
      <c r="A3954" s="718">
        <v>3</v>
      </c>
      <c r="B3954" s="668"/>
      <c r="C3954" s="721"/>
      <c r="D3954" s="721"/>
      <c r="E3954" s="721"/>
      <c r="F3954" s="721"/>
      <c r="G3954" s="639"/>
      <c r="H3954" s="668"/>
      <c r="I3954" s="721"/>
      <c r="J3954" s="639"/>
      <c r="K3954" s="1124"/>
    </row>
    <row r="3955" spans="1:11" x14ac:dyDescent="0.25">
      <c r="A3955" s="718">
        <v>4</v>
      </c>
      <c r="B3955" s="668"/>
      <c r="C3955" s="721"/>
      <c r="D3955" s="721"/>
      <c r="E3955" s="721"/>
      <c r="F3955" s="721"/>
      <c r="G3955" s="639"/>
      <c r="H3955" s="668"/>
      <c r="I3955" s="721"/>
      <c r="J3955" s="639"/>
      <c r="K3955" s="1124"/>
    </row>
    <row r="3956" spans="1:11" x14ac:dyDescent="0.25">
      <c r="A3956" s="718">
        <v>5</v>
      </c>
      <c r="B3956" s="668"/>
      <c r="C3956" s="721"/>
      <c r="D3956" s="721"/>
      <c r="E3956" s="721"/>
      <c r="F3956" s="721"/>
      <c r="G3956" s="639"/>
      <c r="H3956" s="668"/>
      <c r="I3956" s="721"/>
      <c r="J3956" s="639"/>
      <c r="K3956" s="1124"/>
    </row>
    <row r="3957" spans="1:11" ht="13.8" thickBot="1" x14ac:dyDescent="0.3">
      <c r="A3957" s="719">
        <v>6</v>
      </c>
      <c r="B3957" s="669"/>
      <c r="C3957" s="1137"/>
      <c r="D3957" s="1137"/>
      <c r="E3957" s="1137"/>
      <c r="F3957" s="1137"/>
      <c r="G3957" s="646"/>
      <c r="H3957" s="669"/>
      <c r="I3957" s="1137"/>
      <c r="J3957" s="646"/>
      <c r="K3957" s="1138"/>
    </row>
    <row r="3958" spans="1:11" x14ac:dyDescent="0.25">
      <c r="A3958" s="1190">
        <v>1</v>
      </c>
      <c r="B3958" s="745"/>
      <c r="C3958" s="1117"/>
      <c r="D3958" s="1117"/>
      <c r="E3958" s="1117"/>
      <c r="F3958" s="1117"/>
      <c r="G3958" s="632"/>
      <c r="H3958" s="745"/>
      <c r="I3958" s="1117"/>
      <c r="J3958" s="632"/>
      <c r="K3958" s="1118"/>
    </row>
    <row r="3959" spans="1:11" x14ac:dyDescent="0.25">
      <c r="A3959" s="718">
        <v>2</v>
      </c>
      <c r="B3959" s="668"/>
      <c r="C3959" s="721"/>
      <c r="D3959" s="721"/>
      <c r="E3959" s="721"/>
      <c r="F3959" s="721"/>
      <c r="G3959" s="639"/>
      <c r="H3959" s="668"/>
      <c r="I3959" s="721"/>
      <c r="J3959" s="639"/>
      <c r="K3959" s="1124"/>
    </row>
    <row r="3960" spans="1:11" ht="13.8" thickBot="1" x14ac:dyDescent="0.3">
      <c r="A3960" s="719">
        <v>3</v>
      </c>
      <c r="B3960" s="669"/>
      <c r="C3960" s="1137"/>
      <c r="D3960" s="1137"/>
      <c r="E3960" s="1137"/>
      <c r="F3960" s="1137"/>
      <c r="G3960" s="646"/>
      <c r="H3960" s="669"/>
      <c r="I3960" s="1137"/>
      <c r="J3960" s="646"/>
      <c r="K3960" s="1138"/>
    </row>
    <row r="3961" spans="1:11" ht="13.8" thickBot="1" x14ac:dyDescent="0.3">
      <c r="A3961" s="1186" t="s">
        <v>882</v>
      </c>
      <c r="B3961" s="1187"/>
      <c r="C3961" s="1188"/>
      <c r="D3961" s="1188"/>
      <c r="E3961" s="1188"/>
      <c r="F3961" s="1188"/>
      <c r="G3961" s="1189"/>
      <c r="H3961" s="1187"/>
      <c r="I3961" s="1188"/>
      <c r="J3961" s="1189"/>
      <c r="K3961" s="716"/>
    </row>
    <row r="3962" spans="1:11" x14ac:dyDescent="0.25">
      <c r="A3962" s="1190">
        <v>1</v>
      </c>
      <c r="B3962" s="745"/>
      <c r="C3962" s="1117"/>
      <c r="D3962" s="1117"/>
      <c r="E3962" s="1117"/>
      <c r="F3962" s="1117"/>
      <c r="G3962" s="632"/>
      <c r="H3962" s="745"/>
      <c r="I3962" s="1117"/>
      <c r="J3962" s="632"/>
      <c r="K3962" s="1118"/>
    </row>
    <row r="3963" spans="1:11" x14ac:dyDescent="0.25">
      <c r="A3963" s="718">
        <v>2</v>
      </c>
      <c r="B3963" s="668"/>
      <c r="C3963" s="721"/>
      <c r="D3963" s="721"/>
      <c r="E3963" s="721"/>
      <c r="F3963" s="721"/>
      <c r="G3963" s="639"/>
      <c r="H3963" s="668"/>
      <c r="I3963" s="721"/>
      <c r="J3963" s="639"/>
      <c r="K3963" s="1124"/>
    </row>
    <row r="3964" spans="1:11" x14ac:dyDescent="0.25">
      <c r="A3964" s="718">
        <v>3</v>
      </c>
      <c r="B3964" s="668"/>
      <c r="C3964" s="721"/>
      <c r="D3964" s="721"/>
      <c r="E3964" s="721"/>
      <c r="F3964" s="721"/>
      <c r="G3964" s="639"/>
      <c r="H3964" s="668"/>
      <c r="I3964" s="721"/>
      <c r="J3964" s="639"/>
      <c r="K3964" s="1124"/>
    </row>
    <row r="3965" spans="1:11" x14ac:dyDescent="0.25">
      <c r="A3965" s="718">
        <v>4</v>
      </c>
      <c r="B3965" s="668"/>
      <c r="C3965" s="721"/>
      <c r="D3965" s="721"/>
      <c r="E3965" s="721"/>
      <c r="F3965" s="721"/>
      <c r="G3965" s="639"/>
      <c r="H3965" s="668"/>
      <c r="I3965" s="721"/>
      <c r="J3965" s="639"/>
      <c r="K3965" s="1124"/>
    </row>
    <row r="3966" spans="1:11" x14ac:dyDescent="0.25">
      <c r="A3966" s="718">
        <v>5</v>
      </c>
      <c r="B3966" s="668"/>
      <c r="C3966" s="721"/>
      <c r="D3966" s="721"/>
      <c r="E3966" s="721"/>
      <c r="F3966" s="721"/>
      <c r="G3966" s="639"/>
      <c r="H3966" s="668"/>
      <c r="I3966" s="721"/>
      <c r="J3966" s="639"/>
      <c r="K3966" s="1124"/>
    </row>
    <row r="3967" spans="1:11" ht="13.8" thickBot="1" x14ac:dyDescent="0.3">
      <c r="A3967" s="719">
        <v>6</v>
      </c>
      <c r="B3967" s="669"/>
      <c r="C3967" s="1137"/>
      <c r="D3967" s="1137"/>
      <c r="E3967" s="1137"/>
      <c r="F3967" s="1137"/>
      <c r="G3967" s="646"/>
      <c r="H3967" s="669"/>
      <c r="I3967" s="1137"/>
      <c r="J3967" s="646"/>
      <c r="K3967" s="1138"/>
    </row>
    <row r="3968" spans="1:11" x14ac:dyDescent="0.25">
      <c r="A3968" s="1190">
        <v>1</v>
      </c>
      <c r="B3968" s="745"/>
      <c r="C3968" s="1117"/>
      <c r="D3968" s="1117"/>
      <c r="E3968" s="1117"/>
      <c r="F3968" s="1117"/>
      <c r="G3968" s="632"/>
      <c r="H3968" s="745"/>
      <c r="I3968" s="1117"/>
      <c r="J3968" s="632"/>
      <c r="K3968" s="1118"/>
    </row>
    <row r="3969" spans="1:11" x14ac:dyDescent="0.25">
      <c r="A3969" s="718">
        <v>2</v>
      </c>
      <c r="B3969" s="668"/>
      <c r="C3969" s="721"/>
      <c r="D3969" s="721"/>
      <c r="E3969" s="721"/>
      <c r="F3969" s="721"/>
      <c r="G3969" s="639"/>
      <c r="H3969" s="668"/>
      <c r="I3969" s="721"/>
      <c r="J3969" s="639"/>
      <c r="K3969" s="1124"/>
    </row>
    <row r="3970" spans="1:11" ht="13.8" thickBot="1" x14ac:dyDescent="0.3">
      <c r="A3970" s="719">
        <v>3</v>
      </c>
      <c r="B3970" s="669"/>
      <c r="C3970" s="1137"/>
      <c r="D3970" s="1137"/>
      <c r="E3970" s="1137"/>
      <c r="F3970" s="1137"/>
      <c r="G3970" s="646"/>
      <c r="H3970" s="669"/>
      <c r="I3970" s="1137"/>
      <c r="J3970" s="646"/>
      <c r="K3970" s="1138"/>
    </row>
    <row r="3971" spans="1:11" ht="13.8" thickBot="1" x14ac:dyDescent="0.3">
      <c r="A3971" s="1186" t="s">
        <v>883</v>
      </c>
      <c r="B3971" s="1187"/>
      <c r="C3971" s="1188"/>
      <c r="D3971" s="1188"/>
      <c r="E3971" s="1188"/>
      <c r="F3971" s="1188"/>
      <c r="G3971" s="1189"/>
      <c r="H3971" s="1187"/>
      <c r="I3971" s="1188"/>
      <c r="J3971" s="1189"/>
      <c r="K3971" s="716"/>
    </row>
    <row r="3972" spans="1:11" x14ac:dyDescent="0.25">
      <c r="A3972" s="1190">
        <v>1</v>
      </c>
      <c r="B3972" s="745"/>
      <c r="C3972" s="1117"/>
      <c r="D3972" s="1117"/>
      <c r="E3972" s="1117"/>
      <c r="F3972" s="1117"/>
      <c r="G3972" s="632"/>
      <c r="H3972" s="745"/>
      <c r="I3972" s="1117"/>
      <c r="J3972" s="632"/>
      <c r="K3972" s="1118"/>
    </row>
    <row r="3973" spans="1:11" x14ac:dyDescent="0.25">
      <c r="A3973" s="718">
        <v>2</v>
      </c>
      <c r="B3973" s="668"/>
      <c r="C3973" s="721"/>
      <c r="D3973" s="721"/>
      <c r="E3973" s="721"/>
      <c r="F3973" s="721"/>
      <c r="G3973" s="639"/>
      <c r="H3973" s="668"/>
      <c r="I3973" s="721"/>
      <c r="J3973" s="639"/>
      <c r="K3973" s="1124"/>
    </row>
    <row r="3974" spans="1:11" x14ac:dyDescent="0.25">
      <c r="A3974" s="718">
        <v>3</v>
      </c>
      <c r="B3974" s="668"/>
      <c r="C3974" s="721"/>
      <c r="D3974" s="721"/>
      <c r="E3974" s="721"/>
      <c r="F3974" s="721"/>
      <c r="G3974" s="639"/>
      <c r="H3974" s="668"/>
      <c r="I3974" s="721"/>
      <c r="J3974" s="639"/>
      <c r="K3974" s="1124"/>
    </row>
    <row r="3975" spans="1:11" x14ac:dyDescent="0.25">
      <c r="A3975" s="718">
        <v>4</v>
      </c>
      <c r="B3975" s="668"/>
      <c r="C3975" s="721"/>
      <c r="D3975" s="721"/>
      <c r="E3975" s="721"/>
      <c r="F3975" s="721"/>
      <c r="G3975" s="639"/>
      <c r="H3975" s="668"/>
      <c r="I3975" s="721"/>
      <c r="J3975" s="639"/>
      <c r="K3975" s="1124"/>
    </row>
    <row r="3976" spans="1:11" x14ac:dyDescent="0.25">
      <c r="A3976" s="718">
        <v>5</v>
      </c>
      <c r="B3976" s="668"/>
      <c r="C3976" s="721"/>
      <c r="D3976" s="721"/>
      <c r="E3976" s="721"/>
      <c r="F3976" s="721"/>
      <c r="G3976" s="639"/>
      <c r="H3976" s="668"/>
      <c r="I3976" s="721"/>
      <c r="J3976" s="639"/>
      <c r="K3976" s="1124"/>
    </row>
    <row r="3977" spans="1:11" ht="13.8" thickBot="1" x14ac:dyDescent="0.3">
      <c r="A3977" s="719">
        <v>6</v>
      </c>
      <c r="B3977" s="669"/>
      <c r="C3977" s="1137"/>
      <c r="D3977" s="1137"/>
      <c r="E3977" s="1137"/>
      <c r="F3977" s="1137"/>
      <c r="G3977" s="646"/>
      <c r="H3977" s="669"/>
      <c r="I3977" s="1137"/>
      <c r="J3977" s="646"/>
      <c r="K3977" s="1138"/>
    </row>
    <row r="3978" spans="1:11" x14ac:dyDescent="0.25">
      <c r="A3978" s="1190">
        <v>1</v>
      </c>
      <c r="B3978" s="745"/>
      <c r="C3978" s="1117"/>
      <c r="D3978" s="1117"/>
      <c r="E3978" s="1117"/>
      <c r="F3978" s="1117"/>
      <c r="G3978" s="632"/>
      <c r="H3978" s="745"/>
      <c r="I3978" s="1117"/>
      <c r="J3978" s="632"/>
      <c r="K3978" s="1118"/>
    </row>
    <row r="3979" spans="1:11" x14ac:dyDescent="0.25">
      <c r="A3979" s="718">
        <v>2</v>
      </c>
      <c r="B3979" s="668"/>
      <c r="C3979" s="721"/>
      <c r="D3979" s="721"/>
      <c r="E3979" s="721"/>
      <c r="F3979" s="721"/>
      <c r="G3979" s="639"/>
      <c r="H3979" s="668"/>
      <c r="I3979" s="721"/>
      <c r="J3979" s="639"/>
      <c r="K3979" s="1124"/>
    </row>
    <row r="3980" spans="1:11" ht="13.8" thickBot="1" x14ac:dyDescent="0.3">
      <c r="A3980" s="719">
        <v>3</v>
      </c>
      <c r="B3980" s="669"/>
      <c r="C3980" s="1137"/>
      <c r="D3980" s="1137"/>
      <c r="E3980" s="1137"/>
      <c r="F3980" s="1137"/>
      <c r="G3980" s="646"/>
      <c r="H3980" s="669"/>
      <c r="I3980" s="1137"/>
      <c r="J3980" s="646"/>
      <c r="K3980" s="1138"/>
    </row>
    <row r="3981" spans="1:11" ht="13.8" thickBot="1" x14ac:dyDescent="0.3">
      <c r="A3981" s="1186" t="s">
        <v>884</v>
      </c>
      <c r="B3981" s="1187"/>
      <c r="C3981" s="1188"/>
      <c r="D3981" s="1188"/>
      <c r="E3981" s="1188"/>
      <c r="F3981" s="1188"/>
      <c r="G3981" s="1189"/>
      <c r="H3981" s="1187"/>
      <c r="I3981" s="1188"/>
      <c r="J3981" s="1189"/>
      <c r="K3981" s="716"/>
    </row>
    <row r="3982" spans="1:11" x14ac:dyDescent="0.25">
      <c r="A3982" s="1190">
        <v>1</v>
      </c>
      <c r="B3982" s="745"/>
      <c r="C3982" s="1117"/>
      <c r="D3982" s="1117"/>
      <c r="E3982" s="1117"/>
      <c r="F3982" s="1117"/>
      <c r="G3982" s="632"/>
      <c r="H3982" s="745"/>
      <c r="I3982" s="1117"/>
      <c r="J3982" s="632"/>
      <c r="K3982" s="1118"/>
    </row>
    <row r="3983" spans="1:11" x14ac:dyDescent="0.25">
      <c r="A3983" s="718">
        <v>2</v>
      </c>
      <c r="B3983" s="668"/>
      <c r="C3983" s="721"/>
      <c r="D3983" s="721"/>
      <c r="E3983" s="721"/>
      <c r="F3983" s="721"/>
      <c r="G3983" s="639"/>
      <c r="H3983" s="668"/>
      <c r="I3983" s="721"/>
      <c r="J3983" s="639"/>
      <c r="K3983" s="1124"/>
    </row>
    <row r="3984" spans="1:11" x14ac:dyDescent="0.25">
      <c r="A3984" s="718">
        <v>3</v>
      </c>
      <c r="B3984" s="668"/>
      <c r="C3984" s="721"/>
      <c r="D3984" s="721"/>
      <c r="E3984" s="721"/>
      <c r="F3984" s="721"/>
      <c r="G3984" s="639"/>
      <c r="H3984" s="668"/>
      <c r="I3984" s="721"/>
      <c r="J3984" s="639"/>
      <c r="K3984" s="1124"/>
    </row>
    <row r="3985" spans="1:11" x14ac:dyDescent="0.25">
      <c r="A3985" s="718">
        <v>4</v>
      </c>
      <c r="B3985" s="668"/>
      <c r="C3985" s="721"/>
      <c r="D3985" s="721"/>
      <c r="E3985" s="721"/>
      <c r="F3985" s="721"/>
      <c r="G3985" s="639"/>
      <c r="H3985" s="668"/>
      <c r="I3985" s="721"/>
      <c r="J3985" s="639"/>
      <c r="K3985" s="1124"/>
    </row>
    <row r="3986" spans="1:11" x14ac:dyDescent="0.25">
      <c r="A3986" s="718">
        <v>5</v>
      </c>
      <c r="B3986" s="668"/>
      <c r="C3986" s="721"/>
      <c r="D3986" s="721"/>
      <c r="E3986" s="721"/>
      <c r="F3986" s="721"/>
      <c r="G3986" s="639"/>
      <c r="H3986" s="668"/>
      <c r="I3986" s="721"/>
      <c r="J3986" s="639"/>
      <c r="K3986" s="1124"/>
    </row>
    <row r="3987" spans="1:11" ht="13.8" thickBot="1" x14ac:dyDescent="0.3">
      <c r="A3987" s="719">
        <v>6</v>
      </c>
      <c r="B3987" s="669"/>
      <c r="C3987" s="1137"/>
      <c r="D3987" s="1137"/>
      <c r="E3987" s="1137"/>
      <c r="F3987" s="1137"/>
      <c r="G3987" s="646"/>
      <c r="H3987" s="669"/>
      <c r="I3987" s="1137"/>
      <c r="J3987" s="646"/>
      <c r="K3987" s="1138"/>
    </row>
    <row r="3988" spans="1:11" x14ac:dyDescent="0.25">
      <c r="A3988" s="1190">
        <v>1</v>
      </c>
      <c r="B3988" s="745"/>
      <c r="C3988" s="1117"/>
      <c r="D3988" s="1117"/>
      <c r="E3988" s="1117"/>
      <c r="F3988" s="1117"/>
      <c r="G3988" s="632"/>
      <c r="H3988" s="745"/>
      <c r="I3988" s="1117"/>
      <c r="J3988" s="632"/>
      <c r="K3988" s="1118"/>
    </row>
    <row r="3989" spans="1:11" x14ac:dyDescent="0.25">
      <c r="A3989" s="718">
        <v>2</v>
      </c>
      <c r="B3989" s="668"/>
      <c r="C3989" s="721"/>
      <c r="D3989" s="721"/>
      <c r="E3989" s="721"/>
      <c r="F3989" s="721"/>
      <c r="G3989" s="639"/>
      <c r="H3989" s="668"/>
      <c r="I3989" s="721"/>
      <c r="J3989" s="639"/>
      <c r="K3989" s="1124"/>
    </row>
    <row r="3990" spans="1:11" ht="13.8" thickBot="1" x14ac:dyDescent="0.3">
      <c r="A3990" s="719">
        <v>3</v>
      </c>
      <c r="B3990" s="669"/>
      <c r="C3990" s="1137"/>
      <c r="D3990" s="1137"/>
      <c r="E3990" s="1137"/>
      <c r="F3990" s="1137"/>
      <c r="G3990" s="646"/>
      <c r="H3990" s="669"/>
      <c r="I3990" s="1137"/>
      <c r="J3990" s="646"/>
      <c r="K3990" s="1138"/>
    </row>
    <row r="3991" spans="1:11" ht="13.8" thickBot="1" x14ac:dyDescent="0.3">
      <c r="A3991" s="1186" t="s">
        <v>885</v>
      </c>
      <c r="B3991" s="1187"/>
      <c r="C3991" s="1188"/>
      <c r="D3991" s="1188"/>
      <c r="E3991" s="1188"/>
      <c r="F3991" s="1188"/>
      <c r="G3991" s="1189"/>
      <c r="H3991" s="1187"/>
      <c r="I3991" s="1188"/>
      <c r="J3991" s="1189"/>
      <c r="K3991" s="716"/>
    </row>
    <row r="3992" spans="1:11" x14ac:dyDescent="0.25">
      <c r="A3992" s="1190">
        <v>1</v>
      </c>
      <c r="B3992" s="745"/>
      <c r="C3992" s="1117"/>
      <c r="D3992" s="1117"/>
      <c r="E3992" s="1117"/>
      <c r="F3992" s="1117"/>
      <c r="G3992" s="632"/>
      <c r="H3992" s="745"/>
      <c r="I3992" s="1117"/>
      <c r="J3992" s="632"/>
      <c r="K3992" s="1118"/>
    </row>
    <row r="3993" spans="1:11" x14ac:dyDescent="0.25">
      <c r="A3993" s="718">
        <v>2</v>
      </c>
      <c r="B3993" s="668"/>
      <c r="C3993" s="721"/>
      <c r="D3993" s="721"/>
      <c r="E3993" s="721"/>
      <c r="F3993" s="721"/>
      <c r="G3993" s="639"/>
      <c r="H3993" s="668"/>
      <c r="I3993" s="721"/>
      <c r="J3993" s="639"/>
      <c r="K3993" s="1124"/>
    </row>
    <row r="3994" spans="1:11" x14ac:dyDescent="0.25">
      <c r="A3994" s="718">
        <v>3</v>
      </c>
      <c r="B3994" s="668"/>
      <c r="C3994" s="721"/>
      <c r="D3994" s="721"/>
      <c r="E3994" s="721"/>
      <c r="F3994" s="721"/>
      <c r="G3994" s="639"/>
      <c r="H3994" s="668"/>
      <c r="I3994" s="721"/>
      <c r="J3994" s="639"/>
      <c r="K3994" s="1124"/>
    </row>
    <row r="3995" spans="1:11" x14ac:dyDescent="0.25">
      <c r="A3995" s="718">
        <v>4</v>
      </c>
      <c r="B3995" s="668"/>
      <c r="C3995" s="721"/>
      <c r="D3995" s="721"/>
      <c r="E3995" s="721"/>
      <c r="F3995" s="721"/>
      <c r="G3995" s="639"/>
      <c r="H3995" s="668"/>
      <c r="I3995" s="721"/>
      <c r="J3995" s="639"/>
      <c r="K3995" s="1124"/>
    </row>
    <row r="3996" spans="1:11" x14ac:dyDescent="0.25">
      <c r="A3996" s="718">
        <v>5</v>
      </c>
      <c r="B3996" s="668"/>
      <c r="C3996" s="721"/>
      <c r="D3996" s="721"/>
      <c r="E3996" s="721"/>
      <c r="F3996" s="721"/>
      <c r="G3996" s="639"/>
      <c r="H3996" s="668"/>
      <c r="I3996" s="721"/>
      <c r="J3996" s="639"/>
      <c r="K3996" s="1124"/>
    </row>
    <row r="3997" spans="1:11" ht="13.8" thickBot="1" x14ac:dyDescent="0.3">
      <c r="A3997" s="719">
        <v>6</v>
      </c>
      <c r="B3997" s="669"/>
      <c r="C3997" s="1137"/>
      <c r="D3997" s="1137"/>
      <c r="E3997" s="1137"/>
      <c r="F3997" s="1137"/>
      <c r="G3997" s="646"/>
      <c r="H3997" s="669"/>
      <c r="I3997" s="1137"/>
      <c r="J3997" s="646"/>
      <c r="K3997" s="1138"/>
    </row>
    <row r="3998" spans="1:11" x14ac:dyDescent="0.25">
      <c r="A3998" s="1190">
        <v>1</v>
      </c>
      <c r="B3998" s="745"/>
      <c r="C3998" s="1117"/>
      <c r="D3998" s="1117"/>
      <c r="E3998" s="1117"/>
      <c r="F3998" s="1117"/>
      <c r="G3998" s="632"/>
      <c r="H3998" s="745"/>
      <c r="I3998" s="1117"/>
      <c r="J3998" s="632"/>
      <c r="K3998" s="1118"/>
    </row>
    <row r="3999" spans="1:11" x14ac:dyDescent="0.25">
      <c r="A3999" s="718">
        <v>2</v>
      </c>
      <c r="B3999" s="668"/>
      <c r="C3999" s="721"/>
      <c r="D3999" s="721"/>
      <c r="E3999" s="721"/>
      <c r="F3999" s="721"/>
      <c r="G3999" s="639"/>
      <c r="H3999" s="668"/>
      <c r="I3999" s="721"/>
      <c r="J3999" s="639"/>
      <c r="K3999" s="1124"/>
    </row>
    <row r="4000" spans="1:11" ht="13.8" thickBot="1" x14ac:dyDescent="0.3">
      <c r="A4000" s="1191">
        <v>3</v>
      </c>
      <c r="B4000" s="1132"/>
      <c r="C4000" s="1133"/>
      <c r="D4000" s="1133"/>
      <c r="E4000" s="1133"/>
      <c r="F4000" s="1133"/>
      <c r="G4000" s="1134"/>
      <c r="H4000" s="1132"/>
      <c r="I4000" s="1133"/>
      <c r="J4000" s="1134"/>
      <c r="K4000" s="1147"/>
    </row>
    <row r="4001" spans="1:11" ht="13.8" thickBot="1" x14ac:dyDescent="0.3">
      <c r="A4001" s="1186" t="s">
        <v>886</v>
      </c>
      <c r="B4001" s="1187"/>
      <c r="C4001" s="1188"/>
      <c r="D4001" s="1188"/>
      <c r="E4001" s="1188"/>
      <c r="F4001" s="1188"/>
      <c r="G4001" s="1189"/>
      <c r="H4001" s="1187"/>
      <c r="I4001" s="1188"/>
      <c r="J4001" s="1189"/>
      <c r="K4001" s="716"/>
    </row>
    <row r="4002" spans="1:11" x14ac:dyDescent="0.25">
      <c r="A4002" s="1190">
        <v>1</v>
      </c>
      <c r="B4002" s="745"/>
      <c r="C4002" s="1117"/>
      <c r="D4002" s="1117"/>
      <c r="E4002" s="1117"/>
      <c r="F4002" s="1117"/>
      <c r="G4002" s="632"/>
      <c r="H4002" s="745"/>
      <c r="I4002" s="1117"/>
      <c r="J4002" s="632"/>
      <c r="K4002" s="1118"/>
    </row>
    <row r="4003" spans="1:11" x14ac:dyDescent="0.25">
      <c r="A4003" s="718">
        <v>2</v>
      </c>
      <c r="B4003" s="668"/>
      <c r="C4003" s="721"/>
      <c r="D4003" s="721"/>
      <c r="E4003" s="721"/>
      <c r="F4003" s="721"/>
      <c r="G4003" s="639"/>
      <c r="H4003" s="668"/>
      <c r="I4003" s="721"/>
      <c r="J4003" s="639"/>
      <c r="K4003" s="1124"/>
    </row>
    <row r="4004" spans="1:11" x14ac:dyDescent="0.25">
      <c r="A4004" s="718">
        <v>3</v>
      </c>
      <c r="B4004" s="668"/>
      <c r="C4004" s="721"/>
      <c r="D4004" s="721"/>
      <c r="E4004" s="721"/>
      <c r="F4004" s="721"/>
      <c r="G4004" s="639"/>
      <c r="H4004" s="668"/>
      <c r="I4004" s="721"/>
      <c r="J4004" s="639"/>
      <c r="K4004" s="1124"/>
    </row>
    <row r="4005" spans="1:11" x14ac:dyDescent="0.25">
      <c r="A4005" s="718">
        <v>4</v>
      </c>
      <c r="B4005" s="668"/>
      <c r="C4005" s="721"/>
      <c r="D4005" s="721"/>
      <c r="E4005" s="721"/>
      <c r="F4005" s="721"/>
      <c r="G4005" s="639"/>
      <c r="H4005" s="668"/>
      <c r="I4005" s="721"/>
      <c r="J4005" s="639"/>
      <c r="K4005" s="1124"/>
    </row>
    <row r="4006" spans="1:11" x14ac:dyDescent="0.25">
      <c r="A4006" s="718">
        <v>5</v>
      </c>
      <c r="B4006" s="668"/>
      <c r="C4006" s="721"/>
      <c r="D4006" s="721"/>
      <c r="E4006" s="721"/>
      <c r="F4006" s="721"/>
      <c r="G4006" s="639"/>
      <c r="H4006" s="668"/>
      <c r="I4006" s="721"/>
      <c r="J4006" s="639"/>
      <c r="K4006" s="1124"/>
    </row>
    <row r="4007" spans="1:11" ht="13.8" thickBot="1" x14ac:dyDescent="0.3">
      <c r="A4007" s="719">
        <v>6</v>
      </c>
      <c r="B4007" s="669"/>
      <c r="C4007" s="1137"/>
      <c r="D4007" s="1137"/>
      <c r="E4007" s="1137"/>
      <c r="F4007" s="1137"/>
      <c r="G4007" s="646"/>
      <c r="H4007" s="669"/>
      <c r="I4007" s="1137"/>
      <c r="J4007" s="646"/>
      <c r="K4007" s="1138"/>
    </row>
    <row r="4008" spans="1:11" x14ac:dyDescent="0.25">
      <c r="A4008" s="1190">
        <v>1</v>
      </c>
      <c r="B4008" s="745"/>
      <c r="C4008" s="1117"/>
      <c r="D4008" s="1117"/>
      <c r="E4008" s="1117"/>
      <c r="F4008" s="1117"/>
      <c r="G4008" s="632"/>
      <c r="H4008" s="745"/>
      <c r="I4008" s="1117"/>
      <c r="J4008" s="632"/>
      <c r="K4008" s="1118"/>
    </row>
    <row r="4009" spans="1:11" x14ac:dyDescent="0.25">
      <c r="A4009" s="718">
        <v>2</v>
      </c>
      <c r="B4009" s="668"/>
      <c r="C4009" s="721"/>
      <c r="D4009" s="721"/>
      <c r="E4009" s="721"/>
      <c r="F4009" s="721"/>
      <c r="G4009" s="639"/>
      <c r="H4009" s="668"/>
      <c r="I4009" s="721"/>
      <c r="J4009" s="639"/>
      <c r="K4009" s="1124"/>
    </row>
    <row r="4010" spans="1:11" ht="13.8" thickBot="1" x14ac:dyDescent="0.3">
      <c r="A4010" s="719">
        <v>3</v>
      </c>
      <c r="B4010" s="669"/>
      <c r="C4010" s="1137"/>
      <c r="D4010" s="1137"/>
      <c r="E4010" s="1137"/>
      <c r="F4010" s="1137"/>
      <c r="G4010" s="646"/>
      <c r="H4010" s="669"/>
      <c r="I4010" s="1137"/>
      <c r="J4010" s="646"/>
      <c r="K4010" s="1138"/>
    </row>
    <row r="4011" spans="1:11" ht="13.8" thickBot="1" x14ac:dyDescent="0.3">
      <c r="A4011" s="1186" t="s">
        <v>887</v>
      </c>
      <c r="B4011" s="1187"/>
      <c r="C4011" s="1188"/>
      <c r="D4011" s="1188"/>
      <c r="E4011" s="1188"/>
      <c r="F4011" s="1188"/>
      <c r="G4011" s="1189"/>
      <c r="H4011" s="1187"/>
      <c r="I4011" s="1188"/>
      <c r="J4011" s="1189"/>
      <c r="K4011" s="716"/>
    </row>
    <row r="4012" spans="1:11" x14ac:dyDescent="0.25">
      <c r="A4012" s="1190">
        <v>1</v>
      </c>
      <c r="B4012" s="745"/>
      <c r="C4012" s="1117"/>
      <c r="D4012" s="1117"/>
      <c r="E4012" s="1117"/>
      <c r="F4012" s="1117"/>
      <c r="G4012" s="632"/>
      <c r="H4012" s="745"/>
      <c r="I4012" s="1117"/>
      <c r="J4012" s="632"/>
      <c r="K4012" s="1118"/>
    </row>
    <row r="4013" spans="1:11" x14ac:dyDescent="0.25">
      <c r="A4013" s="718">
        <v>2</v>
      </c>
      <c r="B4013" s="668"/>
      <c r="C4013" s="721"/>
      <c r="D4013" s="721"/>
      <c r="E4013" s="721"/>
      <c r="F4013" s="721"/>
      <c r="G4013" s="639"/>
      <c r="H4013" s="668"/>
      <c r="I4013" s="721"/>
      <c r="J4013" s="639"/>
      <c r="K4013" s="1124"/>
    </row>
    <row r="4014" spans="1:11" x14ac:dyDescent="0.25">
      <c r="A4014" s="718">
        <v>3</v>
      </c>
      <c r="B4014" s="668"/>
      <c r="C4014" s="721"/>
      <c r="D4014" s="721"/>
      <c r="E4014" s="721"/>
      <c r="F4014" s="721"/>
      <c r="G4014" s="639"/>
      <c r="H4014" s="668"/>
      <c r="I4014" s="721"/>
      <c r="J4014" s="639"/>
      <c r="K4014" s="1124"/>
    </row>
    <row r="4015" spans="1:11" x14ac:dyDescent="0.25">
      <c r="A4015" s="718">
        <v>4</v>
      </c>
      <c r="B4015" s="668"/>
      <c r="C4015" s="721"/>
      <c r="D4015" s="721"/>
      <c r="E4015" s="721"/>
      <c r="F4015" s="721"/>
      <c r="G4015" s="639"/>
      <c r="H4015" s="668"/>
      <c r="I4015" s="721"/>
      <c r="J4015" s="639"/>
      <c r="K4015" s="1124"/>
    </row>
    <row r="4016" spans="1:11" x14ac:dyDescent="0.25">
      <c r="A4016" s="718">
        <v>5</v>
      </c>
      <c r="B4016" s="668"/>
      <c r="C4016" s="721"/>
      <c r="D4016" s="721"/>
      <c r="E4016" s="721"/>
      <c r="F4016" s="721"/>
      <c r="G4016" s="639"/>
      <c r="H4016" s="668"/>
      <c r="I4016" s="721"/>
      <c r="J4016" s="639"/>
      <c r="K4016" s="1124"/>
    </row>
    <row r="4017" spans="1:11" ht="13.8" thickBot="1" x14ac:dyDescent="0.3">
      <c r="A4017" s="719">
        <v>6</v>
      </c>
      <c r="B4017" s="669"/>
      <c r="C4017" s="1137"/>
      <c r="D4017" s="1137"/>
      <c r="E4017" s="1137"/>
      <c r="F4017" s="1137"/>
      <c r="G4017" s="646"/>
      <c r="H4017" s="669"/>
      <c r="I4017" s="1137"/>
      <c r="J4017" s="646"/>
      <c r="K4017" s="1138"/>
    </row>
    <row r="4018" spans="1:11" x14ac:dyDescent="0.25">
      <c r="A4018" s="1190">
        <v>1</v>
      </c>
      <c r="B4018" s="745"/>
      <c r="C4018" s="1117"/>
      <c r="D4018" s="1117"/>
      <c r="E4018" s="1117"/>
      <c r="F4018" s="1117"/>
      <c r="G4018" s="632"/>
      <c r="H4018" s="745"/>
      <c r="I4018" s="1117"/>
      <c r="J4018" s="632"/>
      <c r="K4018" s="1118"/>
    </row>
    <row r="4019" spans="1:11" x14ac:dyDescent="0.25">
      <c r="A4019" s="718">
        <v>2</v>
      </c>
      <c r="B4019" s="668"/>
      <c r="C4019" s="721"/>
      <c r="D4019" s="721"/>
      <c r="E4019" s="721"/>
      <c r="F4019" s="721"/>
      <c r="G4019" s="639"/>
      <c r="H4019" s="668"/>
      <c r="I4019" s="721"/>
      <c r="J4019" s="639"/>
      <c r="K4019" s="1124"/>
    </row>
    <row r="4020" spans="1:11" ht="13.8" thickBot="1" x14ac:dyDescent="0.3">
      <c r="A4020" s="719">
        <v>3</v>
      </c>
      <c r="B4020" s="669"/>
      <c r="C4020" s="1137"/>
      <c r="D4020" s="1137"/>
      <c r="E4020" s="1137"/>
      <c r="F4020" s="1137"/>
      <c r="G4020" s="646"/>
      <c r="H4020" s="669"/>
      <c r="I4020" s="1137"/>
      <c r="J4020" s="646"/>
      <c r="K4020" s="1138"/>
    </row>
    <row r="4021" spans="1:11" ht="13.8" thickBot="1" x14ac:dyDescent="0.3">
      <c r="A4021" s="1186" t="s">
        <v>888</v>
      </c>
      <c r="B4021" s="1187"/>
      <c r="C4021" s="1188"/>
      <c r="D4021" s="1188"/>
      <c r="E4021" s="1188"/>
      <c r="F4021" s="1188"/>
      <c r="G4021" s="1189"/>
      <c r="H4021" s="1187"/>
      <c r="I4021" s="1188"/>
      <c r="J4021" s="1189"/>
      <c r="K4021" s="716"/>
    </row>
    <row r="4022" spans="1:11" x14ac:dyDescent="0.25">
      <c r="A4022" s="1190">
        <v>1</v>
      </c>
      <c r="B4022" s="745"/>
      <c r="C4022" s="1117"/>
      <c r="D4022" s="1117"/>
      <c r="E4022" s="1117"/>
      <c r="F4022" s="1117"/>
      <c r="G4022" s="632"/>
      <c r="H4022" s="745"/>
      <c r="I4022" s="1117"/>
      <c r="J4022" s="632"/>
      <c r="K4022" s="1118"/>
    </row>
    <row r="4023" spans="1:11" x14ac:dyDescent="0.25">
      <c r="A4023" s="718">
        <v>2</v>
      </c>
      <c r="B4023" s="668"/>
      <c r="C4023" s="721"/>
      <c r="D4023" s="721"/>
      <c r="E4023" s="721"/>
      <c r="F4023" s="721"/>
      <c r="G4023" s="639"/>
      <c r="H4023" s="668"/>
      <c r="I4023" s="721"/>
      <c r="J4023" s="639"/>
      <c r="K4023" s="1124"/>
    </row>
    <row r="4024" spans="1:11" x14ac:dyDescent="0.25">
      <c r="A4024" s="718">
        <v>3</v>
      </c>
      <c r="B4024" s="668"/>
      <c r="C4024" s="721"/>
      <c r="D4024" s="721"/>
      <c r="E4024" s="721"/>
      <c r="F4024" s="721"/>
      <c r="G4024" s="639"/>
      <c r="H4024" s="668"/>
      <c r="I4024" s="721"/>
      <c r="J4024" s="639"/>
      <c r="K4024" s="1124"/>
    </row>
    <row r="4025" spans="1:11" x14ac:dyDescent="0.25">
      <c r="A4025" s="718">
        <v>4</v>
      </c>
      <c r="B4025" s="668"/>
      <c r="C4025" s="721"/>
      <c r="D4025" s="721"/>
      <c r="E4025" s="721"/>
      <c r="F4025" s="721"/>
      <c r="G4025" s="639"/>
      <c r="H4025" s="668"/>
      <c r="I4025" s="721"/>
      <c r="J4025" s="639"/>
      <c r="K4025" s="1124"/>
    </row>
    <row r="4026" spans="1:11" x14ac:dyDescent="0.25">
      <c r="A4026" s="718">
        <v>5</v>
      </c>
      <c r="B4026" s="668"/>
      <c r="C4026" s="721"/>
      <c r="D4026" s="721"/>
      <c r="E4026" s="721"/>
      <c r="F4026" s="721"/>
      <c r="G4026" s="639"/>
      <c r="H4026" s="668"/>
      <c r="I4026" s="721"/>
      <c r="J4026" s="639"/>
      <c r="K4026" s="1124"/>
    </row>
    <row r="4027" spans="1:11" ht="13.8" thickBot="1" x14ac:dyDescent="0.3">
      <c r="A4027" s="719">
        <v>6</v>
      </c>
      <c r="B4027" s="669"/>
      <c r="C4027" s="1137"/>
      <c r="D4027" s="1137"/>
      <c r="E4027" s="1137"/>
      <c r="F4027" s="1137"/>
      <c r="G4027" s="646"/>
      <c r="H4027" s="669"/>
      <c r="I4027" s="1137"/>
      <c r="J4027" s="646"/>
      <c r="K4027" s="1138"/>
    </row>
    <row r="4028" spans="1:11" x14ac:dyDescent="0.25">
      <c r="A4028" s="1190">
        <v>1</v>
      </c>
      <c r="B4028" s="745"/>
      <c r="C4028" s="1117"/>
      <c r="D4028" s="1117"/>
      <c r="E4028" s="1117"/>
      <c r="F4028" s="1117"/>
      <c r="G4028" s="632"/>
      <c r="H4028" s="745"/>
      <c r="I4028" s="1117"/>
      <c r="J4028" s="632"/>
      <c r="K4028" s="1118"/>
    </row>
    <row r="4029" spans="1:11" x14ac:dyDescent="0.25">
      <c r="A4029" s="718">
        <v>2</v>
      </c>
      <c r="B4029" s="668"/>
      <c r="C4029" s="721"/>
      <c r="D4029" s="721"/>
      <c r="E4029" s="721"/>
      <c r="F4029" s="721"/>
      <c r="G4029" s="639"/>
      <c r="H4029" s="668"/>
      <c r="I4029" s="721"/>
      <c r="J4029" s="639"/>
      <c r="K4029" s="1124"/>
    </row>
    <row r="4030" spans="1:11" ht="13.8" thickBot="1" x14ac:dyDescent="0.3">
      <c r="A4030" s="719">
        <v>3</v>
      </c>
      <c r="B4030" s="669"/>
      <c r="C4030" s="1137"/>
      <c r="D4030" s="1137"/>
      <c r="E4030" s="1137"/>
      <c r="F4030" s="1137"/>
      <c r="G4030" s="646"/>
      <c r="H4030" s="669"/>
      <c r="I4030" s="1137"/>
      <c r="J4030" s="646"/>
      <c r="K4030" s="1138"/>
    </row>
    <row r="4031" spans="1:11" ht="13.8" thickBot="1" x14ac:dyDescent="0.3">
      <c r="A4031" s="1186" t="s">
        <v>889</v>
      </c>
      <c r="B4031" s="1187"/>
      <c r="C4031" s="1188"/>
      <c r="D4031" s="1188"/>
      <c r="E4031" s="1188"/>
      <c r="F4031" s="1188"/>
      <c r="G4031" s="1189"/>
      <c r="H4031" s="1187"/>
      <c r="I4031" s="1188"/>
      <c r="J4031" s="1189"/>
      <c r="K4031" s="716"/>
    </row>
    <row r="4032" spans="1:11" x14ac:dyDescent="0.25">
      <c r="A4032" s="1190">
        <v>1</v>
      </c>
      <c r="B4032" s="745"/>
      <c r="C4032" s="1117"/>
      <c r="D4032" s="1117"/>
      <c r="E4032" s="1117"/>
      <c r="F4032" s="1117"/>
      <c r="G4032" s="632"/>
      <c r="H4032" s="745"/>
      <c r="I4032" s="1117"/>
      <c r="J4032" s="632"/>
      <c r="K4032" s="1118"/>
    </row>
    <row r="4033" spans="1:11" x14ac:dyDescent="0.25">
      <c r="A4033" s="718">
        <v>2</v>
      </c>
      <c r="B4033" s="668"/>
      <c r="C4033" s="721"/>
      <c r="D4033" s="721"/>
      <c r="E4033" s="721"/>
      <c r="F4033" s="721"/>
      <c r="G4033" s="639"/>
      <c r="H4033" s="668"/>
      <c r="I4033" s="721"/>
      <c r="J4033" s="639"/>
      <c r="K4033" s="1124"/>
    </row>
    <row r="4034" spans="1:11" x14ac:dyDescent="0.25">
      <c r="A4034" s="718">
        <v>3</v>
      </c>
      <c r="B4034" s="668"/>
      <c r="C4034" s="721"/>
      <c r="D4034" s="721"/>
      <c r="E4034" s="721"/>
      <c r="F4034" s="721"/>
      <c r="G4034" s="639"/>
      <c r="H4034" s="668"/>
      <c r="I4034" s="721"/>
      <c r="J4034" s="639"/>
      <c r="K4034" s="1124"/>
    </row>
    <row r="4035" spans="1:11" x14ac:dyDescent="0.25">
      <c r="A4035" s="718">
        <v>4</v>
      </c>
      <c r="B4035" s="668"/>
      <c r="C4035" s="721"/>
      <c r="D4035" s="721"/>
      <c r="E4035" s="721"/>
      <c r="F4035" s="721"/>
      <c r="G4035" s="639"/>
      <c r="H4035" s="668"/>
      <c r="I4035" s="721"/>
      <c r="J4035" s="639"/>
      <c r="K4035" s="1124"/>
    </row>
    <row r="4036" spans="1:11" x14ac:dyDescent="0.25">
      <c r="A4036" s="718">
        <v>5</v>
      </c>
      <c r="B4036" s="668"/>
      <c r="C4036" s="721"/>
      <c r="D4036" s="721"/>
      <c r="E4036" s="721"/>
      <c r="F4036" s="721"/>
      <c r="G4036" s="639"/>
      <c r="H4036" s="668"/>
      <c r="I4036" s="721"/>
      <c r="J4036" s="639"/>
      <c r="K4036" s="1124"/>
    </row>
    <row r="4037" spans="1:11" ht="13.8" thickBot="1" x14ac:dyDescent="0.3">
      <c r="A4037" s="719">
        <v>6</v>
      </c>
      <c r="B4037" s="669"/>
      <c r="C4037" s="1137"/>
      <c r="D4037" s="1137"/>
      <c r="E4037" s="1137"/>
      <c r="F4037" s="1137"/>
      <c r="G4037" s="646"/>
      <c r="H4037" s="669"/>
      <c r="I4037" s="1137"/>
      <c r="J4037" s="646"/>
      <c r="K4037" s="1138"/>
    </row>
    <row r="4038" spans="1:11" x14ac:dyDescent="0.25">
      <c r="A4038" s="1190">
        <v>1</v>
      </c>
      <c r="B4038" s="745"/>
      <c r="C4038" s="1117"/>
      <c r="D4038" s="1117"/>
      <c r="E4038" s="1117"/>
      <c r="F4038" s="1117"/>
      <c r="G4038" s="632"/>
      <c r="H4038" s="745"/>
      <c r="I4038" s="1117"/>
      <c r="J4038" s="632"/>
      <c r="K4038" s="1118"/>
    </row>
    <row r="4039" spans="1:11" x14ac:dyDescent="0.25">
      <c r="A4039" s="718">
        <v>2</v>
      </c>
      <c r="B4039" s="668"/>
      <c r="C4039" s="721"/>
      <c r="D4039" s="721"/>
      <c r="E4039" s="721"/>
      <c r="F4039" s="721"/>
      <c r="G4039" s="639"/>
      <c r="H4039" s="668"/>
      <c r="I4039" s="721"/>
      <c r="J4039" s="639"/>
      <c r="K4039" s="1124"/>
    </row>
    <row r="4040" spans="1:11" ht="13.8" thickBot="1" x14ac:dyDescent="0.3">
      <c r="A4040" s="719">
        <v>3</v>
      </c>
      <c r="B4040" s="669"/>
      <c r="C4040" s="1137"/>
      <c r="D4040" s="1137"/>
      <c r="E4040" s="1137"/>
      <c r="F4040" s="1137"/>
      <c r="G4040" s="646"/>
      <c r="H4040" s="669"/>
      <c r="I4040" s="1137"/>
      <c r="J4040" s="646"/>
      <c r="K4040" s="1138"/>
    </row>
    <row r="4041" spans="1:11" ht="13.8" thickBot="1" x14ac:dyDescent="0.3">
      <c r="A4041" s="1186" t="s">
        <v>890</v>
      </c>
      <c r="B4041" s="1187"/>
      <c r="C4041" s="1188"/>
      <c r="D4041" s="1188"/>
      <c r="E4041" s="1188"/>
      <c r="F4041" s="1188"/>
      <c r="G4041" s="1189"/>
      <c r="H4041" s="1187"/>
      <c r="I4041" s="1188"/>
      <c r="J4041" s="1189"/>
      <c r="K4041" s="716"/>
    </row>
    <row r="4042" spans="1:11" x14ac:dyDescent="0.25">
      <c r="A4042" s="1190">
        <v>1</v>
      </c>
      <c r="B4042" s="745"/>
      <c r="C4042" s="1117"/>
      <c r="D4042" s="1117"/>
      <c r="E4042" s="1117"/>
      <c r="F4042" s="1117"/>
      <c r="G4042" s="632"/>
      <c r="H4042" s="745"/>
      <c r="I4042" s="1117"/>
      <c r="J4042" s="632"/>
      <c r="K4042" s="1118"/>
    </row>
    <row r="4043" spans="1:11" x14ac:dyDescent="0.25">
      <c r="A4043" s="718">
        <v>2</v>
      </c>
      <c r="B4043" s="668"/>
      <c r="C4043" s="721"/>
      <c r="D4043" s="721"/>
      <c r="E4043" s="721"/>
      <c r="F4043" s="721"/>
      <c r="G4043" s="639"/>
      <c r="H4043" s="668"/>
      <c r="I4043" s="721"/>
      <c r="J4043" s="639"/>
      <c r="K4043" s="1124"/>
    </row>
    <row r="4044" spans="1:11" x14ac:dyDescent="0.25">
      <c r="A4044" s="718">
        <v>3</v>
      </c>
      <c r="B4044" s="668"/>
      <c r="C4044" s="721"/>
      <c r="D4044" s="721"/>
      <c r="E4044" s="721"/>
      <c r="F4044" s="721"/>
      <c r="G4044" s="639"/>
      <c r="H4044" s="668"/>
      <c r="I4044" s="721"/>
      <c r="J4044" s="639"/>
      <c r="K4044" s="1124"/>
    </row>
    <row r="4045" spans="1:11" x14ac:dyDescent="0.25">
      <c r="A4045" s="718">
        <v>4</v>
      </c>
      <c r="B4045" s="668"/>
      <c r="C4045" s="721"/>
      <c r="D4045" s="721"/>
      <c r="E4045" s="721"/>
      <c r="F4045" s="721"/>
      <c r="G4045" s="639"/>
      <c r="H4045" s="668"/>
      <c r="I4045" s="721"/>
      <c r="J4045" s="639"/>
      <c r="K4045" s="1124"/>
    </row>
    <row r="4046" spans="1:11" x14ac:dyDescent="0.25">
      <c r="A4046" s="718">
        <v>5</v>
      </c>
      <c r="B4046" s="668"/>
      <c r="C4046" s="721"/>
      <c r="D4046" s="721"/>
      <c r="E4046" s="721"/>
      <c r="F4046" s="721"/>
      <c r="G4046" s="639"/>
      <c r="H4046" s="668"/>
      <c r="I4046" s="721"/>
      <c r="J4046" s="639"/>
      <c r="K4046" s="1124"/>
    </row>
    <row r="4047" spans="1:11" ht="13.8" thickBot="1" x14ac:dyDescent="0.3">
      <c r="A4047" s="719">
        <v>6</v>
      </c>
      <c r="B4047" s="669"/>
      <c r="C4047" s="1137"/>
      <c r="D4047" s="1137"/>
      <c r="E4047" s="1137"/>
      <c r="F4047" s="1137"/>
      <c r="G4047" s="646"/>
      <c r="H4047" s="669"/>
      <c r="I4047" s="1137"/>
      <c r="J4047" s="646"/>
      <c r="K4047" s="1138"/>
    </row>
    <row r="4048" spans="1:11" x14ac:dyDescent="0.25">
      <c r="A4048" s="1190">
        <v>1</v>
      </c>
      <c r="B4048" s="745"/>
      <c r="C4048" s="1117"/>
      <c r="D4048" s="1117"/>
      <c r="E4048" s="1117"/>
      <c r="F4048" s="1117"/>
      <c r="G4048" s="632"/>
      <c r="H4048" s="745"/>
      <c r="I4048" s="1117"/>
      <c r="J4048" s="632"/>
      <c r="K4048" s="1118"/>
    </row>
    <row r="4049" spans="1:11" x14ac:dyDescent="0.25">
      <c r="A4049" s="718">
        <v>2</v>
      </c>
      <c r="B4049" s="668"/>
      <c r="C4049" s="721"/>
      <c r="D4049" s="721"/>
      <c r="E4049" s="721"/>
      <c r="F4049" s="721"/>
      <c r="G4049" s="639"/>
      <c r="H4049" s="668"/>
      <c r="I4049" s="721"/>
      <c r="J4049" s="639"/>
      <c r="K4049" s="1124"/>
    </row>
    <row r="4050" spans="1:11" ht="13.8" thickBot="1" x14ac:dyDescent="0.3">
      <c r="A4050" s="719">
        <v>3</v>
      </c>
      <c r="B4050" s="669"/>
      <c r="C4050" s="1137"/>
      <c r="D4050" s="1137"/>
      <c r="E4050" s="1137"/>
      <c r="F4050" s="1137"/>
      <c r="G4050" s="646"/>
      <c r="H4050" s="669"/>
      <c r="I4050" s="1137"/>
      <c r="J4050" s="646"/>
      <c r="K4050" s="1138"/>
    </row>
    <row r="4051" spans="1:11" ht="13.8" thickBot="1" x14ac:dyDescent="0.3">
      <c r="A4051" s="1186" t="s">
        <v>891</v>
      </c>
      <c r="B4051" s="1187"/>
      <c r="C4051" s="1188"/>
      <c r="D4051" s="1188"/>
      <c r="E4051" s="1188"/>
      <c r="F4051" s="1188"/>
      <c r="G4051" s="1189"/>
      <c r="H4051" s="1187"/>
      <c r="I4051" s="1188"/>
      <c r="J4051" s="1189"/>
      <c r="K4051" s="716"/>
    </row>
    <row r="4052" spans="1:11" x14ac:dyDescent="0.25">
      <c r="A4052" s="1190">
        <v>1</v>
      </c>
      <c r="B4052" s="745"/>
      <c r="C4052" s="1117"/>
      <c r="D4052" s="1117"/>
      <c r="E4052" s="1117"/>
      <c r="F4052" s="1117"/>
      <c r="G4052" s="632"/>
      <c r="H4052" s="745"/>
      <c r="I4052" s="1117"/>
      <c r="J4052" s="632"/>
      <c r="K4052" s="1118"/>
    </row>
    <row r="4053" spans="1:11" x14ac:dyDescent="0.25">
      <c r="A4053" s="718">
        <v>2</v>
      </c>
      <c r="B4053" s="668"/>
      <c r="C4053" s="721"/>
      <c r="D4053" s="721"/>
      <c r="E4053" s="721"/>
      <c r="F4053" s="721"/>
      <c r="G4053" s="639"/>
      <c r="H4053" s="668"/>
      <c r="I4053" s="721"/>
      <c r="J4053" s="639"/>
      <c r="K4053" s="1124"/>
    </row>
    <row r="4054" spans="1:11" x14ac:dyDescent="0.25">
      <c r="A4054" s="718">
        <v>3</v>
      </c>
      <c r="B4054" s="668"/>
      <c r="C4054" s="721"/>
      <c r="D4054" s="721"/>
      <c r="E4054" s="721"/>
      <c r="F4054" s="721"/>
      <c r="G4054" s="639"/>
      <c r="H4054" s="668"/>
      <c r="I4054" s="721"/>
      <c r="J4054" s="639"/>
      <c r="K4054" s="1124"/>
    </row>
    <row r="4055" spans="1:11" x14ac:dyDescent="0.25">
      <c r="A4055" s="718">
        <v>4</v>
      </c>
      <c r="B4055" s="668"/>
      <c r="C4055" s="721"/>
      <c r="D4055" s="721"/>
      <c r="E4055" s="721"/>
      <c r="F4055" s="721"/>
      <c r="G4055" s="639"/>
      <c r="H4055" s="668"/>
      <c r="I4055" s="721"/>
      <c r="J4055" s="639"/>
      <c r="K4055" s="1124"/>
    </row>
    <row r="4056" spans="1:11" x14ac:dyDescent="0.25">
      <c r="A4056" s="718">
        <v>5</v>
      </c>
      <c r="B4056" s="668"/>
      <c r="C4056" s="721"/>
      <c r="D4056" s="721"/>
      <c r="E4056" s="721"/>
      <c r="F4056" s="721"/>
      <c r="G4056" s="639"/>
      <c r="H4056" s="668"/>
      <c r="I4056" s="721"/>
      <c r="J4056" s="639"/>
      <c r="K4056" s="1124"/>
    </row>
    <row r="4057" spans="1:11" ht="13.8" thickBot="1" x14ac:dyDescent="0.3">
      <c r="A4057" s="719">
        <v>6</v>
      </c>
      <c r="B4057" s="669"/>
      <c r="C4057" s="1137"/>
      <c r="D4057" s="1137"/>
      <c r="E4057" s="1137"/>
      <c r="F4057" s="1137"/>
      <c r="G4057" s="646"/>
      <c r="H4057" s="669"/>
      <c r="I4057" s="1137"/>
      <c r="J4057" s="646"/>
      <c r="K4057" s="1138"/>
    </row>
    <row r="4058" spans="1:11" x14ac:dyDescent="0.25">
      <c r="A4058" s="1190">
        <v>1</v>
      </c>
      <c r="B4058" s="745"/>
      <c r="C4058" s="1117"/>
      <c r="D4058" s="1117"/>
      <c r="E4058" s="1117"/>
      <c r="F4058" s="1117"/>
      <c r="G4058" s="632"/>
      <c r="H4058" s="745"/>
      <c r="I4058" s="1117"/>
      <c r="J4058" s="632"/>
      <c r="K4058" s="1118"/>
    </row>
    <row r="4059" spans="1:11" x14ac:dyDescent="0.25">
      <c r="A4059" s="718">
        <v>2</v>
      </c>
      <c r="B4059" s="668"/>
      <c r="C4059" s="721"/>
      <c r="D4059" s="721"/>
      <c r="E4059" s="721"/>
      <c r="F4059" s="721"/>
      <c r="G4059" s="639"/>
      <c r="H4059" s="668"/>
      <c r="I4059" s="721"/>
      <c r="J4059" s="639"/>
      <c r="K4059" s="1124"/>
    </row>
    <row r="4060" spans="1:11" ht="13.8" thickBot="1" x14ac:dyDescent="0.3">
      <c r="A4060" s="719">
        <v>3</v>
      </c>
      <c r="B4060" s="669"/>
      <c r="C4060" s="1137"/>
      <c r="D4060" s="1137"/>
      <c r="E4060" s="1137"/>
      <c r="F4060" s="1137"/>
      <c r="G4060" s="646"/>
      <c r="H4060" s="669"/>
      <c r="I4060" s="1137"/>
      <c r="J4060" s="646"/>
      <c r="K4060" s="1138"/>
    </row>
    <row r="4061" spans="1:11" ht="13.8" thickBot="1" x14ac:dyDescent="0.3">
      <c r="A4061" s="1186" t="s">
        <v>892</v>
      </c>
      <c r="B4061" s="1187"/>
      <c r="C4061" s="1188"/>
      <c r="D4061" s="1188"/>
      <c r="E4061" s="1188"/>
      <c r="F4061" s="1188"/>
      <c r="G4061" s="1189"/>
      <c r="H4061" s="1187"/>
      <c r="I4061" s="1188"/>
      <c r="J4061" s="1189"/>
      <c r="K4061" s="716"/>
    </row>
    <row r="4062" spans="1:11" x14ac:dyDescent="0.25">
      <c r="A4062" s="1190">
        <v>1</v>
      </c>
      <c r="B4062" s="745"/>
      <c r="C4062" s="1117"/>
      <c r="D4062" s="1117"/>
      <c r="E4062" s="1117"/>
      <c r="F4062" s="1117"/>
      <c r="G4062" s="632"/>
      <c r="H4062" s="745"/>
      <c r="I4062" s="1117"/>
      <c r="J4062" s="632"/>
      <c r="K4062" s="1118"/>
    </row>
    <row r="4063" spans="1:11" x14ac:dyDescent="0.25">
      <c r="A4063" s="718">
        <v>2</v>
      </c>
      <c r="B4063" s="668"/>
      <c r="C4063" s="721"/>
      <c r="D4063" s="721"/>
      <c r="E4063" s="721"/>
      <c r="F4063" s="721"/>
      <c r="G4063" s="639"/>
      <c r="H4063" s="668"/>
      <c r="I4063" s="721"/>
      <c r="J4063" s="639"/>
      <c r="K4063" s="1124"/>
    </row>
    <row r="4064" spans="1:11" x14ac:dyDescent="0.25">
      <c r="A4064" s="718">
        <v>3</v>
      </c>
      <c r="B4064" s="668"/>
      <c r="C4064" s="721"/>
      <c r="D4064" s="721"/>
      <c r="E4064" s="721"/>
      <c r="F4064" s="721"/>
      <c r="G4064" s="639"/>
      <c r="H4064" s="668"/>
      <c r="I4064" s="721"/>
      <c r="J4064" s="639"/>
      <c r="K4064" s="1124"/>
    </row>
    <row r="4065" spans="1:11" x14ac:dyDescent="0.25">
      <c r="A4065" s="718">
        <v>4</v>
      </c>
      <c r="B4065" s="668"/>
      <c r="C4065" s="721"/>
      <c r="D4065" s="721"/>
      <c r="E4065" s="721"/>
      <c r="F4065" s="721"/>
      <c r="G4065" s="639"/>
      <c r="H4065" s="668"/>
      <c r="I4065" s="721"/>
      <c r="J4065" s="639"/>
      <c r="K4065" s="1124"/>
    </row>
    <row r="4066" spans="1:11" x14ac:dyDescent="0.25">
      <c r="A4066" s="718">
        <v>5</v>
      </c>
      <c r="B4066" s="668"/>
      <c r="C4066" s="721"/>
      <c r="D4066" s="721"/>
      <c r="E4066" s="721"/>
      <c r="F4066" s="721"/>
      <c r="G4066" s="639"/>
      <c r="H4066" s="668"/>
      <c r="I4066" s="721"/>
      <c r="J4066" s="639"/>
      <c r="K4066" s="1124"/>
    </row>
    <row r="4067" spans="1:11" ht="13.8" thickBot="1" x14ac:dyDescent="0.3">
      <c r="A4067" s="719">
        <v>6</v>
      </c>
      <c r="B4067" s="669"/>
      <c r="C4067" s="1137"/>
      <c r="D4067" s="1137"/>
      <c r="E4067" s="1137"/>
      <c r="F4067" s="1137"/>
      <c r="G4067" s="646"/>
      <c r="H4067" s="669"/>
      <c r="I4067" s="1137"/>
      <c r="J4067" s="646"/>
      <c r="K4067" s="1138"/>
    </row>
    <row r="4068" spans="1:11" x14ac:dyDescent="0.25">
      <c r="A4068" s="1190">
        <v>1</v>
      </c>
      <c r="B4068" s="745"/>
      <c r="C4068" s="1117"/>
      <c r="D4068" s="1117"/>
      <c r="E4068" s="1117"/>
      <c r="F4068" s="1117"/>
      <c r="G4068" s="632"/>
      <c r="H4068" s="745"/>
      <c r="I4068" s="1117"/>
      <c r="J4068" s="632"/>
      <c r="K4068" s="1118"/>
    </row>
    <row r="4069" spans="1:11" x14ac:dyDescent="0.25">
      <c r="A4069" s="718">
        <v>2</v>
      </c>
      <c r="B4069" s="668"/>
      <c r="C4069" s="721"/>
      <c r="D4069" s="721"/>
      <c r="E4069" s="721"/>
      <c r="F4069" s="721"/>
      <c r="G4069" s="639"/>
      <c r="H4069" s="668"/>
      <c r="I4069" s="721"/>
      <c r="J4069" s="639"/>
      <c r="K4069" s="1124"/>
    </row>
    <row r="4070" spans="1:11" ht="13.8" thickBot="1" x14ac:dyDescent="0.3">
      <c r="A4070" s="1191">
        <v>3</v>
      </c>
      <c r="B4070" s="1132"/>
      <c r="C4070" s="1133"/>
      <c r="D4070" s="1133"/>
      <c r="E4070" s="1133"/>
      <c r="F4070" s="1133"/>
      <c r="G4070" s="1134"/>
      <c r="H4070" s="1132"/>
      <c r="I4070" s="1133"/>
      <c r="J4070" s="1134"/>
      <c r="K4070" s="1147"/>
    </row>
    <row r="4071" spans="1:11" ht="13.8" thickBot="1" x14ac:dyDescent="0.3">
      <c r="A4071" s="1186" t="s">
        <v>893</v>
      </c>
      <c r="B4071" s="1187"/>
      <c r="C4071" s="1188"/>
      <c r="D4071" s="1188"/>
      <c r="E4071" s="1188"/>
      <c r="F4071" s="1188"/>
      <c r="G4071" s="1189"/>
      <c r="H4071" s="1187"/>
      <c r="I4071" s="1188"/>
      <c r="J4071" s="1189"/>
      <c r="K4071" s="716"/>
    </row>
    <row r="4072" spans="1:11" x14ac:dyDescent="0.25">
      <c r="A4072" s="1190">
        <v>1</v>
      </c>
      <c r="B4072" s="745"/>
      <c r="C4072" s="1117"/>
      <c r="D4072" s="1117"/>
      <c r="E4072" s="1117"/>
      <c r="F4072" s="1117"/>
      <c r="G4072" s="632"/>
      <c r="H4072" s="745"/>
      <c r="I4072" s="1117"/>
      <c r="J4072" s="632"/>
      <c r="K4072" s="1118"/>
    </row>
    <row r="4073" spans="1:11" x14ac:dyDescent="0.25">
      <c r="A4073" s="718">
        <v>2</v>
      </c>
      <c r="B4073" s="668"/>
      <c r="C4073" s="721"/>
      <c r="D4073" s="721"/>
      <c r="E4073" s="721"/>
      <c r="F4073" s="721"/>
      <c r="G4073" s="639"/>
      <c r="H4073" s="668"/>
      <c r="I4073" s="721"/>
      <c r="J4073" s="639"/>
      <c r="K4073" s="1124"/>
    </row>
    <row r="4074" spans="1:11" x14ac:dyDescent="0.25">
      <c r="A4074" s="718">
        <v>3</v>
      </c>
      <c r="B4074" s="668"/>
      <c r="C4074" s="721"/>
      <c r="D4074" s="721"/>
      <c r="E4074" s="721"/>
      <c r="F4074" s="721"/>
      <c r="G4074" s="639"/>
      <c r="H4074" s="668"/>
      <c r="I4074" s="721"/>
      <c r="J4074" s="639"/>
      <c r="K4074" s="1124"/>
    </row>
    <row r="4075" spans="1:11" x14ac:dyDescent="0.25">
      <c r="A4075" s="718">
        <v>4</v>
      </c>
      <c r="B4075" s="668"/>
      <c r="C4075" s="721"/>
      <c r="D4075" s="721"/>
      <c r="E4075" s="721"/>
      <c r="F4075" s="721"/>
      <c r="G4075" s="639"/>
      <c r="H4075" s="668"/>
      <c r="I4075" s="721"/>
      <c r="J4075" s="639"/>
      <c r="K4075" s="1124"/>
    </row>
    <row r="4076" spans="1:11" x14ac:dyDescent="0.25">
      <c r="A4076" s="718">
        <v>5</v>
      </c>
      <c r="B4076" s="668"/>
      <c r="C4076" s="721"/>
      <c r="D4076" s="721"/>
      <c r="E4076" s="721"/>
      <c r="F4076" s="721"/>
      <c r="G4076" s="639"/>
      <c r="H4076" s="668"/>
      <c r="I4076" s="721"/>
      <c r="J4076" s="639"/>
      <c r="K4076" s="1124"/>
    </row>
    <row r="4077" spans="1:11" ht="13.8" thickBot="1" x14ac:dyDescent="0.3">
      <c r="A4077" s="719">
        <v>6</v>
      </c>
      <c r="B4077" s="669"/>
      <c r="C4077" s="1137"/>
      <c r="D4077" s="1137"/>
      <c r="E4077" s="1137"/>
      <c r="F4077" s="1137"/>
      <c r="G4077" s="646"/>
      <c r="H4077" s="669"/>
      <c r="I4077" s="1137"/>
      <c r="J4077" s="646"/>
      <c r="K4077" s="1138"/>
    </row>
    <row r="4078" spans="1:11" x14ac:dyDescent="0.25">
      <c r="A4078" s="1190">
        <v>1</v>
      </c>
      <c r="B4078" s="745"/>
      <c r="C4078" s="1117"/>
      <c r="D4078" s="1117"/>
      <c r="E4078" s="1117"/>
      <c r="F4078" s="1117"/>
      <c r="G4078" s="632"/>
      <c r="H4078" s="745"/>
      <c r="I4078" s="1117"/>
      <c r="J4078" s="632"/>
      <c r="K4078" s="1118"/>
    </row>
    <row r="4079" spans="1:11" x14ac:dyDescent="0.25">
      <c r="A4079" s="718">
        <v>2</v>
      </c>
      <c r="B4079" s="668"/>
      <c r="C4079" s="721"/>
      <c r="D4079" s="721"/>
      <c r="E4079" s="721"/>
      <c r="F4079" s="721"/>
      <c r="G4079" s="639"/>
      <c r="H4079" s="668"/>
      <c r="I4079" s="721"/>
      <c r="J4079" s="639"/>
      <c r="K4079" s="1124"/>
    </row>
    <row r="4080" spans="1:11" ht="13.8" thickBot="1" x14ac:dyDescent="0.3">
      <c r="A4080" s="719">
        <v>3</v>
      </c>
      <c r="B4080" s="669"/>
      <c r="C4080" s="1137"/>
      <c r="D4080" s="1137"/>
      <c r="E4080" s="1137"/>
      <c r="F4080" s="1137"/>
      <c r="G4080" s="646"/>
      <c r="H4080" s="669"/>
      <c r="I4080" s="1137"/>
      <c r="J4080" s="646"/>
      <c r="K4080" s="1138"/>
    </row>
    <row r="4081" spans="1:11" ht="13.8" thickBot="1" x14ac:dyDescent="0.3">
      <c r="A4081" s="1186" t="s">
        <v>894</v>
      </c>
      <c r="B4081" s="1187"/>
      <c r="C4081" s="1188"/>
      <c r="D4081" s="1188"/>
      <c r="E4081" s="1188"/>
      <c r="F4081" s="1188"/>
      <c r="G4081" s="1189"/>
      <c r="H4081" s="1187"/>
      <c r="I4081" s="1188"/>
      <c r="J4081" s="1189"/>
      <c r="K4081" s="716"/>
    </row>
    <row r="4082" spans="1:11" x14ac:dyDescent="0.25">
      <c r="A4082" s="1190">
        <v>1</v>
      </c>
      <c r="B4082" s="745"/>
      <c r="C4082" s="1117"/>
      <c r="D4082" s="1117"/>
      <c r="E4082" s="1117"/>
      <c r="F4082" s="1117"/>
      <c r="G4082" s="632"/>
      <c r="H4082" s="745"/>
      <c r="I4082" s="1117"/>
      <c r="J4082" s="632"/>
      <c r="K4082" s="1118"/>
    </row>
    <row r="4083" spans="1:11" x14ac:dyDescent="0.25">
      <c r="A4083" s="718">
        <v>2</v>
      </c>
      <c r="B4083" s="668"/>
      <c r="C4083" s="721"/>
      <c r="D4083" s="721"/>
      <c r="E4083" s="721"/>
      <c r="F4083" s="721"/>
      <c r="G4083" s="639"/>
      <c r="H4083" s="668"/>
      <c r="I4083" s="721"/>
      <c r="J4083" s="639"/>
      <c r="K4083" s="1124"/>
    </row>
    <row r="4084" spans="1:11" x14ac:dyDescent="0.25">
      <c r="A4084" s="718">
        <v>3</v>
      </c>
      <c r="B4084" s="668"/>
      <c r="C4084" s="721"/>
      <c r="D4084" s="721"/>
      <c r="E4084" s="721"/>
      <c r="F4084" s="721"/>
      <c r="G4084" s="639"/>
      <c r="H4084" s="668"/>
      <c r="I4084" s="721"/>
      <c r="J4084" s="639"/>
      <c r="K4084" s="1124"/>
    </row>
    <row r="4085" spans="1:11" x14ac:dyDescent="0.25">
      <c r="A4085" s="718">
        <v>4</v>
      </c>
      <c r="B4085" s="668"/>
      <c r="C4085" s="721"/>
      <c r="D4085" s="721"/>
      <c r="E4085" s="721"/>
      <c r="F4085" s="721"/>
      <c r="G4085" s="639"/>
      <c r="H4085" s="668"/>
      <c r="I4085" s="721"/>
      <c r="J4085" s="639"/>
      <c r="K4085" s="1124"/>
    </row>
    <row r="4086" spans="1:11" x14ac:dyDescent="0.25">
      <c r="A4086" s="718">
        <v>5</v>
      </c>
      <c r="B4086" s="668"/>
      <c r="C4086" s="721"/>
      <c r="D4086" s="721"/>
      <c r="E4086" s="721"/>
      <c r="F4086" s="721"/>
      <c r="G4086" s="639"/>
      <c r="H4086" s="668"/>
      <c r="I4086" s="721"/>
      <c r="J4086" s="639"/>
      <c r="K4086" s="1124"/>
    </row>
    <row r="4087" spans="1:11" ht="13.8" thickBot="1" x14ac:dyDescent="0.3">
      <c r="A4087" s="719">
        <v>6</v>
      </c>
      <c r="B4087" s="669"/>
      <c r="C4087" s="1137"/>
      <c r="D4087" s="1137"/>
      <c r="E4087" s="1137"/>
      <c r="F4087" s="1137"/>
      <c r="G4087" s="646"/>
      <c r="H4087" s="669"/>
      <c r="I4087" s="1137"/>
      <c r="J4087" s="646"/>
      <c r="K4087" s="1138"/>
    </row>
    <row r="4088" spans="1:11" x14ac:dyDescent="0.25">
      <c r="A4088" s="1190">
        <v>1</v>
      </c>
      <c r="B4088" s="745"/>
      <c r="C4088" s="1117"/>
      <c r="D4088" s="1117"/>
      <c r="E4088" s="1117"/>
      <c r="F4088" s="1117"/>
      <c r="G4088" s="632"/>
      <c r="H4088" s="745"/>
      <c r="I4088" s="1117"/>
      <c r="J4088" s="632"/>
      <c r="K4088" s="1118"/>
    </row>
    <row r="4089" spans="1:11" x14ac:dyDescent="0.25">
      <c r="A4089" s="718">
        <v>2</v>
      </c>
      <c r="B4089" s="668"/>
      <c r="C4089" s="721"/>
      <c r="D4089" s="721"/>
      <c r="E4089" s="721"/>
      <c r="F4089" s="721"/>
      <c r="G4089" s="639"/>
      <c r="H4089" s="668"/>
      <c r="I4089" s="721"/>
      <c r="J4089" s="639"/>
      <c r="K4089" s="1124"/>
    </row>
    <row r="4090" spans="1:11" ht="13.8" thickBot="1" x14ac:dyDescent="0.3">
      <c r="A4090" s="719">
        <v>3</v>
      </c>
      <c r="B4090" s="669"/>
      <c r="C4090" s="1137"/>
      <c r="D4090" s="1137"/>
      <c r="E4090" s="1137"/>
      <c r="F4090" s="1137"/>
      <c r="G4090" s="646"/>
      <c r="H4090" s="669"/>
      <c r="I4090" s="1137"/>
      <c r="J4090" s="646"/>
      <c r="K4090" s="1138"/>
    </row>
    <row r="4091" spans="1:11" ht="13.8" thickBot="1" x14ac:dyDescent="0.3">
      <c r="A4091" s="1186" t="s">
        <v>895</v>
      </c>
      <c r="B4091" s="1187"/>
      <c r="C4091" s="1188"/>
      <c r="D4091" s="1188"/>
      <c r="E4091" s="1188"/>
      <c r="F4091" s="1188"/>
      <c r="G4091" s="1189"/>
      <c r="H4091" s="1187"/>
      <c r="I4091" s="1188"/>
      <c r="J4091" s="1189"/>
      <c r="K4091" s="716"/>
    </row>
    <row r="4092" spans="1:11" x14ac:dyDescent="0.25">
      <c r="A4092" s="1190">
        <v>1</v>
      </c>
      <c r="B4092" s="745"/>
      <c r="C4092" s="1117"/>
      <c r="D4092" s="1117"/>
      <c r="E4092" s="1117"/>
      <c r="F4092" s="1117"/>
      <c r="G4092" s="632"/>
      <c r="H4092" s="745"/>
      <c r="I4092" s="1117"/>
      <c r="J4092" s="632"/>
      <c r="K4092" s="1118"/>
    </row>
    <row r="4093" spans="1:11" x14ac:dyDescent="0.25">
      <c r="A4093" s="718">
        <v>2</v>
      </c>
      <c r="B4093" s="668"/>
      <c r="C4093" s="721"/>
      <c r="D4093" s="721"/>
      <c r="E4093" s="721"/>
      <c r="F4093" s="721"/>
      <c r="G4093" s="639"/>
      <c r="H4093" s="668"/>
      <c r="I4093" s="721"/>
      <c r="J4093" s="639"/>
      <c r="K4093" s="1124"/>
    </row>
    <row r="4094" spans="1:11" x14ac:dyDescent="0.25">
      <c r="A4094" s="718">
        <v>3</v>
      </c>
      <c r="B4094" s="668"/>
      <c r="C4094" s="721"/>
      <c r="D4094" s="721"/>
      <c r="E4094" s="721"/>
      <c r="F4094" s="721"/>
      <c r="G4094" s="639"/>
      <c r="H4094" s="668"/>
      <c r="I4094" s="721"/>
      <c r="J4094" s="639"/>
      <c r="K4094" s="1124"/>
    </row>
    <row r="4095" spans="1:11" x14ac:dyDescent="0.25">
      <c r="A4095" s="718">
        <v>4</v>
      </c>
      <c r="B4095" s="668"/>
      <c r="C4095" s="721"/>
      <c r="D4095" s="721"/>
      <c r="E4095" s="721"/>
      <c r="F4095" s="721"/>
      <c r="G4095" s="639"/>
      <c r="H4095" s="668"/>
      <c r="I4095" s="721"/>
      <c r="J4095" s="639"/>
      <c r="K4095" s="1124"/>
    </row>
    <row r="4096" spans="1:11" x14ac:dyDescent="0.25">
      <c r="A4096" s="718">
        <v>5</v>
      </c>
      <c r="B4096" s="668"/>
      <c r="C4096" s="721"/>
      <c r="D4096" s="721"/>
      <c r="E4096" s="721"/>
      <c r="F4096" s="721"/>
      <c r="G4096" s="639"/>
      <c r="H4096" s="668"/>
      <c r="I4096" s="721"/>
      <c r="J4096" s="639"/>
      <c r="K4096" s="1124"/>
    </row>
    <row r="4097" spans="1:11" ht="13.8" thickBot="1" x14ac:dyDescent="0.3">
      <c r="A4097" s="719">
        <v>6</v>
      </c>
      <c r="B4097" s="669"/>
      <c r="C4097" s="1137"/>
      <c r="D4097" s="1137"/>
      <c r="E4097" s="1137"/>
      <c r="F4097" s="1137"/>
      <c r="G4097" s="646"/>
      <c r="H4097" s="669"/>
      <c r="I4097" s="1137"/>
      <c r="J4097" s="646"/>
      <c r="K4097" s="1138"/>
    </row>
    <row r="4098" spans="1:11" x14ac:dyDescent="0.25">
      <c r="A4098" s="1190">
        <v>1</v>
      </c>
      <c r="B4098" s="745"/>
      <c r="C4098" s="1117"/>
      <c r="D4098" s="1117"/>
      <c r="E4098" s="1117"/>
      <c r="F4098" s="1117"/>
      <c r="G4098" s="632"/>
      <c r="H4098" s="745"/>
      <c r="I4098" s="1117"/>
      <c r="J4098" s="632"/>
      <c r="K4098" s="1118"/>
    </row>
    <row r="4099" spans="1:11" x14ac:dyDescent="0.25">
      <c r="A4099" s="718">
        <v>2</v>
      </c>
      <c r="B4099" s="668"/>
      <c r="C4099" s="721"/>
      <c r="D4099" s="721"/>
      <c r="E4099" s="721"/>
      <c r="F4099" s="721"/>
      <c r="G4099" s="639"/>
      <c r="H4099" s="668"/>
      <c r="I4099" s="721"/>
      <c r="J4099" s="639"/>
      <c r="K4099" s="1124"/>
    </row>
    <row r="4100" spans="1:11" ht="13.8" thickBot="1" x14ac:dyDescent="0.3">
      <c r="A4100" s="719">
        <v>3</v>
      </c>
      <c r="B4100" s="669"/>
      <c r="C4100" s="1137"/>
      <c r="D4100" s="1137"/>
      <c r="E4100" s="1137"/>
      <c r="F4100" s="1137"/>
      <c r="G4100" s="646"/>
      <c r="H4100" s="669"/>
      <c r="I4100" s="1137"/>
      <c r="J4100" s="646"/>
      <c r="K4100" s="1138"/>
    </row>
    <row r="4101" spans="1:11" ht="13.8" thickBot="1" x14ac:dyDescent="0.3">
      <c r="A4101" s="1186" t="s">
        <v>896</v>
      </c>
      <c r="B4101" s="1187"/>
      <c r="C4101" s="1188"/>
      <c r="D4101" s="1188"/>
      <c r="E4101" s="1188"/>
      <c r="F4101" s="1188"/>
      <c r="G4101" s="1189"/>
      <c r="H4101" s="1187"/>
      <c r="I4101" s="1188"/>
      <c r="J4101" s="1189"/>
      <c r="K4101" s="716"/>
    </row>
    <row r="4102" spans="1:11" x14ac:dyDescent="0.25">
      <c r="A4102" s="1190">
        <v>1</v>
      </c>
      <c r="B4102" s="745"/>
      <c r="C4102" s="1117"/>
      <c r="D4102" s="1117"/>
      <c r="E4102" s="1117"/>
      <c r="F4102" s="1117"/>
      <c r="G4102" s="632"/>
      <c r="H4102" s="745"/>
      <c r="I4102" s="1117"/>
      <c r="J4102" s="632"/>
      <c r="K4102" s="1118"/>
    </row>
    <row r="4103" spans="1:11" x14ac:dyDescent="0.25">
      <c r="A4103" s="718">
        <v>2</v>
      </c>
      <c r="B4103" s="668"/>
      <c r="C4103" s="721"/>
      <c r="D4103" s="721"/>
      <c r="E4103" s="721"/>
      <c r="F4103" s="721"/>
      <c r="G4103" s="639"/>
      <c r="H4103" s="668"/>
      <c r="I4103" s="721"/>
      <c r="J4103" s="639"/>
      <c r="K4103" s="1124"/>
    </row>
    <row r="4104" spans="1:11" x14ac:dyDescent="0.25">
      <c r="A4104" s="718">
        <v>3</v>
      </c>
      <c r="B4104" s="668"/>
      <c r="C4104" s="721"/>
      <c r="D4104" s="721"/>
      <c r="E4104" s="721"/>
      <c r="F4104" s="721"/>
      <c r="G4104" s="639"/>
      <c r="H4104" s="668"/>
      <c r="I4104" s="721"/>
      <c r="J4104" s="639"/>
      <c r="K4104" s="1124"/>
    </row>
    <row r="4105" spans="1:11" x14ac:dyDescent="0.25">
      <c r="A4105" s="718">
        <v>4</v>
      </c>
      <c r="B4105" s="668"/>
      <c r="C4105" s="721"/>
      <c r="D4105" s="721"/>
      <c r="E4105" s="721"/>
      <c r="F4105" s="721"/>
      <c r="G4105" s="639"/>
      <c r="H4105" s="668"/>
      <c r="I4105" s="721"/>
      <c r="J4105" s="639"/>
      <c r="K4105" s="1124"/>
    </row>
    <row r="4106" spans="1:11" x14ac:dyDescent="0.25">
      <c r="A4106" s="718">
        <v>5</v>
      </c>
      <c r="B4106" s="668"/>
      <c r="C4106" s="721"/>
      <c r="D4106" s="721"/>
      <c r="E4106" s="721"/>
      <c r="F4106" s="721"/>
      <c r="G4106" s="639"/>
      <c r="H4106" s="668"/>
      <c r="I4106" s="721"/>
      <c r="J4106" s="639"/>
      <c r="K4106" s="1124"/>
    </row>
    <row r="4107" spans="1:11" ht="13.8" thickBot="1" x14ac:dyDescent="0.3">
      <c r="A4107" s="719">
        <v>6</v>
      </c>
      <c r="B4107" s="669"/>
      <c r="C4107" s="1137"/>
      <c r="D4107" s="1137"/>
      <c r="E4107" s="1137"/>
      <c r="F4107" s="1137"/>
      <c r="G4107" s="646"/>
      <c r="H4107" s="669"/>
      <c r="I4107" s="1137"/>
      <c r="J4107" s="646"/>
      <c r="K4107" s="1138"/>
    </row>
    <row r="4108" spans="1:11" x14ac:dyDescent="0.25">
      <c r="A4108" s="1190">
        <v>1</v>
      </c>
      <c r="B4108" s="745"/>
      <c r="C4108" s="1117"/>
      <c r="D4108" s="1117"/>
      <c r="E4108" s="1117"/>
      <c r="F4108" s="1117"/>
      <c r="G4108" s="632"/>
      <c r="H4108" s="745"/>
      <c r="I4108" s="1117"/>
      <c r="J4108" s="632"/>
      <c r="K4108" s="1118"/>
    </row>
    <row r="4109" spans="1:11" x14ac:dyDescent="0.25">
      <c r="A4109" s="718">
        <v>2</v>
      </c>
      <c r="B4109" s="668"/>
      <c r="C4109" s="721"/>
      <c r="D4109" s="721"/>
      <c r="E4109" s="721"/>
      <c r="F4109" s="721"/>
      <c r="G4109" s="639"/>
      <c r="H4109" s="668"/>
      <c r="I4109" s="721"/>
      <c r="J4109" s="639"/>
      <c r="K4109" s="1124"/>
    </row>
    <row r="4110" spans="1:11" ht="13.8" thickBot="1" x14ac:dyDescent="0.3">
      <c r="A4110" s="1191">
        <v>3</v>
      </c>
      <c r="B4110" s="1132"/>
      <c r="C4110" s="1133"/>
      <c r="D4110" s="1133"/>
      <c r="E4110" s="1133"/>
      <c r="F4110" s="1133"/>
      <c r="G4110" s="1134"/>
      <c r="H4110" s="1132"/>
      <c r="I4110" s="1133"/>
      <c r="J4110" s="1134"/>
      <c r="K4110" s="1147"/>
    </row>
    <row r="4111" spans="1:11" ht="13.8" thickBot="1" x14ac:dyDescent="0.3">
      <c r="A4111" s="1186" t="s">
        <v>897</v>
      </c>
      <c r="B4111" s="1187"/>
      <c r="C4111" s="1188"/>
      <c r="D4111" s="1188"/>
      <c r="E4111" s="1188"/>
      <c r="F4111" s="1188"/>
      <c r="G4111" s="1189"/>
      <c r="H4111" s="1187"/>
      <c r="I4111" s="1188"/>
      <c r="J4111" s="1189"/>
      <c r="K4111" s="716"/>
    </row>
    <row r="4112" spans="1:11" x14ac:dyDescent="0.25">
      <c r="A4112" s="1190">
        <v>1</v>
      </c>
      <c r="B4112" s="745"/>
      <c r="C4112" s="1117"/>
      <c r="D4112" s="1117"/>
      <c r="E4112" s="1117"/>
      <c r="F4112" s="1117"/>
      <c r="G4112" s="632"/>
      <c r="H4112" s="745"/>
      <c r="I4112" s="1117"/>
      <c r="J4112" s="632"/>
      <c r="K4112" s="1118"/>
    </row>
    <row r="4113" spans="1:11" x14ac:dyDescent="0.25">
      <c r="A4113" s="718">
        <v>2</v>
      </c>
      <c r="B4113" s="668"/>
      <c r="C4113" s="721"/>
      <c r="D4113" s="721"/>
      <c r="E4113" s="721"/>
      <c r="F4113" s="721"/>
      <c r="G4113" s="639"/>
      <c r="H4113" s="668"/>
      <c r="I4113" s="721"/>
      <c r="J4113" s="639"/>
      <c r="K4113" s="1124"/>
    </row>
    <row r="4114" spans="1:11" x14ac:dyDescent="0.25">
      <c r="A4114" s="718">
        <v>3</v>
      </c>
      <c r="B4114" s="668"/>
      <c r="C4114" s="721"/>
      <c r="D4114" s="721"/>
      <c r="E4114" s="721"/>
      <c r="F4114" s="721"/>
      <c r="G4114" s="639"/>
      <c r="H4114" s="668"/>
      <c r="I4114" s="721"/>
      <c r="J4114" s="639"/>
      <c r="K4114" s="1124"/>
    </row>
    <row r="4115" spans="1:11" x14ac:dyDescent="0.25">
      <c r="A4115" s="718">
        <v>4</v>
      </c>
      <c r="B4115" s="668"/>
      <c r="C4115" s="721"/>
      <c r="D4115" s="721"/>
      <c r="E4115" s="721"/>
      <c r="F4115" s="721"/>
      <c r="G4115" s="639"/>
      <c r="H4115" s="668"/>
      <c r="I4115" s="721"/>
      <c r="J4115" s="639"/>
      <c r="K4115" s="1124"/>
    </row>
    <row r="4116" spans="1:11" x14ac:dyDescent="0.25">
      <c r="A4116" s="718">
        <v>5</v>
      </c>
      <c r="B4116" s="668"/>
      <c r="C4116" s="721"/>
      <c r="D4116" s="721"/>
      <c r="E4116" s="721"/>
      <c r="F4116" s="721"/>
      <c r="G4116" s="639"/>
      <c r="H4116" s="668"/>
      <c r="I4116" s="721"/>
      <c r="J4116" s="639"/>
      <c r="K4116" s="1124"/>
    </row>
    <row r="4117" spans="1:11" ht="13.8" thickBot="1" x14ac:dyDescent="0.3">
      <c r="A4117" s="719">
        <v>6</v>
      </c>
      <c r="B4117" s="669"/>
      <c r="C4117" s="1137"/>
      <c r="D4117" s="1137"/>
      <c r="E4117" s="1137"/>
      <c r="F4117" s="1137"/>
      <c r="G4117" s="646"/>
      <c r="H4117" s="669"/>
      <c r="I4117" s="1137"/>
      <c r="J4117" s="646"/>
      <c r="K4117" s="1138"/>
    </row>
    <row r="4118" spans="1:11" x14ac:dyDescent="0.25">
      <c r="A4118" s="1190">
        <v>1</v>
      </c>
      <c r="B4118" s="745"/>
      <c r="C4118" s="1117"/>
      <c r="D4118" s="1117"/>
      <c r="E4118" s="1117"/>
      <c r="F4118" s="1117"/>
      <c r="G4118" s="632"/>
      <c r="H4118" s="745"/>
      <c r="I4118" s="1117"/>
      <c r="J4118" s="632"/>
      <c r="K4118" s="1118"/>
    </row>
    <row r="4119" spans="1:11" x14ac:dyDescent="0.25">
      <c r="A4119" s="718">
        <v>2</v>
      </c>
      <c r="B4119" s="668"/>
      <c r="C4119" s="721"/>
      <c r="D4119" s="721"/>
      <c r="E4119" s="721"/>
      <c r="F4119" s="721"/>
      <c r="G4119" s="639"/>
      <c r="H4119" s="668"/>
      <c r="I4119" s="721"/>
      <c r="J4119" s="639"/>
      <c r="K4119" s="1124"/>
    </row>
    <row r="4120" spans="1:11" ht="13.8" thickBot="1" x14ac:dyDescent="0.3">
      <c r="A4120" s="719">
        <v>3</v>
      </c>
      <c r="B4120" s="669"/>
      <c r="C4120" s="1137"/>
      <c r="D4120" s="1137"/>
      <c r="E4120" s="1137"/>
      <c r="F4120" s="1137"/>
      <c r="G4120" s="646"/>
      <c r="H4120" s="669"/>
      <c r="I4120" s="1137"/>
      <c r="J4120" s="646"/>
      <c r="K4120" s="1138"/>
    </row>
    <row r="4121" spans="1:11" ht="13.8" thickBot="1" x14ac:dyDescent="0.3">
      <c r="A4121" s="1186" t="s">
        <v>898</v>
      </c>
      <c r="B4121" s="1187"/>
      <c r="C4121" s="1188"/>
      <c r="D4121" s="1188"/>
      <c r="E4121" s="1188"/>
      <c r="F4121" s="1188"/>
      <c r="G4121" s="1189"/>
      <c r="H4121" s="1187"/>
      <c r="I4121" s="1188"/>
      <c r="J4121" s="1189"/>
      <c r="K4121" s="716"/>
    </row>
    <row r="4122" spans="1:11" x14ac:dyDescent="0.25">
      <c r="A4122" s="1190">
        <v>1</v>
      </c>
      <c r="B4122" s="745"/>
      <c r="C4122" s="1117"/>
      <c r="D4122" s="1117"/>
      <c r="E4122" s="1117"/>
      <c r="F4122" s="1117"/>
      <c r="G4122" s="632"/>
      <c r="H4122" s="745"/>
      <c r="I4122" s="1117"/>
      <c r="J4122" s="632"/>
      <c r="K4122" s="1118"/>
    </row>
    <row r="4123" spans="1:11" x14ac:dyDescent="0.25">
      <c r="A4123" s="718">
        <v>2</v>
      </c>
      <c r="B4123" s="668"/>
      <c r="C4123" s="721"/>
      <c r="D4123" s="721"/>
      <c r="E4123" s="721"/>
      <c r="F4123" s="721"/>
      <c r="G4123" s="639"/>
      <c r="H4123" s="668"/>
      <c r="I4123" s="721"/>
      <c r="J4123" s="639"/>
      <c r="K4123" s="1124"/>
    </row>
    <row r="4124" spans="1:11" x14ac:dyDescent="0.25">
      <c r="A4124" s="718">
        <v>3</v>
      </c>
      <c r="B4124" s="668"/>
      <c r="C4124" s="721"/>
      <c r="D4124" s="721"/>
      <c r="E4124" s="721"/>
      <c r="F4124" s="721"/>
      <c r="G4124" s="639"/>
      <c r="H4124" s="668"/>
      <c r="I4124" s="721"/>
      <c r="J4124" s="639"/>
      <c r="K4124" s="1124"/>
    </row>
    <row r="4125" spans="1:11" x14ac:dyDescent="0.25">
      <c r="A4125" s="718">
        <v>4</v>
      </c>
      <c r="B4125" s="668"/>
      <c r="C4125" s="721"/>
      <c r="D4125" s="721"/>
      <c r="E4125" s="721"/>
      <c r="F4125" s="721"/>
      <c r="G4125" s="639"/>
      <c r="H4125" s="668"/>
      <c r="I4125" s="721"/>
      <c r="J4125" s="639"/>
      <c r="K4125" s="1124"/>
    </row>
    <row r="4126" spans="1:11" x14ac:dyDescent="0.25">
      <c r="A4126" s="718">
        <v>5</v>
      </c>
      <c r="B4126" s="668"/>
      <c r="C4126" s="721"/>
      <c r="D4126" s="721"/>
      <c r="E4126" s="721"/>
      <c r="F4126" s="721"/>
      <c r="G4126" s="639"/>
      <c r="H4126" s="668"/>
      <c r="I4126" s="721"/>
      <c r="J4126" s="639"/>
      <c r="K4126" s="1124"/>
    </row>
    <row r="4127" spans="1:11" ht="13.8" thickBot="1" x14ac:dyDescent="0.3">
      <c r="A4127" s="719">
        <v>6</v>
      </c>
      <c r="B4127" s="669"/>
      <c r="C4127" s="1137"/>
      <c r="D4127" s="1137"/>
      <c r="E4127" s="1137"/>
      <c r="F4127" s="1137"/>
      <c r="G4127" s="646"/>
      <c r="H4127" s="669"/>
      <c r="I4127" s="1137"/>
      <c r="J4127" s="646"/>
      <c r="K4127" s="1138"/>
    </row>
    <row r="4128" spans="1:11" x14ac:dyDescent="0.25">
      <c r="A4128" s="1190">
        <v>1</v>
      </c>
      <c r="B4128" s="745"/>
      <c r="C4128" s="1117"/>
      <c r="D4128" s="1117"/>
      <c r="E4128" s="1117"/>
      <c r="F4128" s="1117"/>
      <c r="G4128" s="632"/>
      <c r="H4128" s="745"/>
      <c r="I4128" s="1117"/>
      <c r="J4128" s="632"/>
      <c r="K4128" s="1118"/>
    </row>
    <row r="4129" spans="1:11" x14ac:dyDescent="0.25">
      <c r="A4129" s="718">
        <v>2</v>
      </c>
      <c r="B4129" s="668"/>
      <c r="C4129" s="721"/>
      <c r="D4129" s="721"/>
      <c r="E4129" s="721"/>
      <c r="F4129" s="721"/>
      <c r="G4129" s="639"/>
      <c r="H4129" s="668"/>
      <c r="I4129" s="721"/>
      <c r="J4129" s="639"/>
      <c r="K4129" s="1124"/>
    </row>
    <row r="4130" spans="1:11" ht="13.8" thickBot="1" x14ac:dyDescent="0.3">
      <c r="A4130" s="719">
        <v>3</v>
      </c>
      <c r="B4130" s="669"/>
      <c r="C4130" s="1137"/>
      <c r="D4130" s="1137"/>
      <c r="E4130" s="1137"/>
      <c r="F4130" s="1137"/>
      <c r="G4130" s="646"/>
      <c r="H4130" s="669"/>
      <c r="I4130" s="1137"/>
      <c r="J4130" s="646"/>
      <c r="K4130" s="1138"/>
    </row>
    <row r="4131" spans="1:11" ht="13.8" thickBot="1" x14ac:dyDescent="0.3">
      <c r="A4131" s="1186" t="s">
        <v>899</v>
      </c>
      <c r="B4131" s="1187"/>
      <c r="C4131" s="1188"/>
      <c r="D4131" s="1188"/>
      <c r="E4131" s="1188"/>
      <c r="F4131" s="1188"/>
      <c r="G4131" s="1189"/>
      <c r="H4131" s="1187"/>
      <c r="I4131" s="1188"/>
      <c r="J4131" s="1189"/>
      <c r="K4131" s="716"/>
    </row>
    <row r="4132" spans="1:11" x14ac:dyDescent="0.25">
      <c r="A4132" s="1190">
        <v>1</v>
      </c>
      <c r="B4132" s="745"/>
      <c r="C4132" s="1117"/>
      <c r="D4132" s="1117"/>
      <c r="E4132" s="1117"/>
      <c r="F4132" s="1117"/>
      <c r="G4132" s="632"/>
      <c r="H4132" s="745"/>
      <c r="I4132" s="1117"/>
      <c r="J4132" s="632"/>
      <c r="K4132" s="1118"/>
    </row>
    <row r="4133" spans="1:11" x14ac:dyDescent="0.25">
      <c r="A4133" s="718">
        <v>2</v>
      </c>
      <c r="B4133" s="668"/>
      <c r="C4133" s="721"/>
      <c r="D4133" s="721"/>
      <c r="E4133" s="721"/>
      <c r="F4133" s="721"/>
      <c r="G4133" s="639"/>
      <c r="H4133" s="668"/>
      <c r="I4133" s="721"/>
      <c r="J4133" s="639"/>
      <c r="K4133" s="1124"/>
    </row>
    <row r="4134" spans="1:11" x14ac:dyDescent="0.25">
      <c r="A4134" s="718">
        <v>3</v>
      </c>
      <c r="B4134" s="668"/>
      <c r="C4134" s="721"/>
      <c r="D4134" s="721"/>
      <c r="E4134" s="721"/>
      <c r="F4134" s="721"/>
      <c r="G4134" s="639"/>
      <c r="H4134" s="668"/>
      <c r="I4134" s="721"/>
      <c r="J4134" s="639"/>
      <c r="K4134" s="1124"/>
    </row>
    <row r="4135" spans="1:11" x14ac:dyDescent="0.25">
      <c r="A4135" s="718">
        <v>4</v>
      </c>
      <c r="B4135" s="668"/>
      <c r="C4135" s="721"/>
      <c r="D4135" s="721"/>
      <c r="E4135" s="721"/>
      <c r="F4135" s="721"/>
      <c r="G4135" s="639"/>
      <c r="H4135" s="668"/>
      <c r="I4135" s="721"/>
      <c r="J4135" s="639"/>
      <c r="K4135" s="1124"/>
    </row>
    <row r="4136" spans="1:11" x14ac:dyDescent="0.25">
      <c r="A4136" s="718">
        <v>5</v>
      </c>
      <c r="B4136" s="668"/>
      <c r="C4136" s="721"/>
      <c r="D4136" s="721"/>
      <c r="E4136" s="721"/>
      <c r="F4136" s="721"/>
      <c r="G4136" s="639"/>
      <c r="H4136" s="668"/>
      <c r="I4136" s="721"/>
      <c r="J4136" s="639"/>
      <c r="K4136" s="1124"/>
    </row>
    <row r="4137" spans="1:11" ht="13.8" thickBot="1" x14ac:dyDescent="0.3">
      <c r="A4137" s="719">
        <v>6</v>
      </c>
      <c r="B4137" s="669"/>
      <c r="C4137" s="1137"/>
      <c r="D4137" s="1137"/>
      <c r="E4137" s="1137"/>
      <c r="F4137" s="1137"/>
      <c r="G4137" s="646"/>
      <c r="H4137" s="669"/>
      <c r="I4137" s="1137"/>
      <c r="J4137" s="646"/>
      <c r="K4137" s="1138"/>
    </row>
    <row r="4138" spans="1:11" x14ac:dyDescent="0.25">
      <c r="A4138" s="1190">
        <v>1</v>
      </c>
      <c r="B4138" s="745"/>
      <c r="C4138" s="1117"/>
      <c r="D4138" s="1117"/>
      <c r="E4138" s="1117"/>
      <c r="F4138" s="1117"/>
      <c r="G4138" s="632"/>
      <c r="H4138" s="745"/>
      <c r="I4138" s="1117"/>
      <c r="J4138" s="632"/>
      <c r="K4138" s="1118"/>
    </row>
    <row r="4139" spans="1:11" x14ac:dyDescent="0.25">
      <c r="A4139" s="718">
        <v>2</v>
      </c>
      <c r="B4139" s="668"/>
      <c r="C4139" s="721"/>
      <c r="D4139" s="721"/>
      <c r="E4139" s="721"/>
      <c r="F4139" s="721"/>
      <c r="G4139" s="639"/>
      <c r="H4139" s="668"/>
      <c r="I4139" s="721"/>
      <c r="J4139" s="639"/>
      <c r="K4139" s="1124"/>
    </row>
    <row r="4140" spans="1:11" ht="13.8" thickBot="1" x14ac:dyDescent="0.3">
      <c r="A4140" s="719">
        <v>3</v>
      </c>
      <c r="B4140" s="669"/>
      <c r="C4140" s="1137"/>
      <c r="D4140" s="1137"/>
      <c r="E4140" s="1137"/>
      <c r="F4140" s="1137"/>
      <c r="G4140" s="646"/>
      <c r="H4140" s="669"/>
      <c r="I4140" s="1137"/>
      <c r="J4140" s="646"/>
      <c r="K4140" s="1138"/>
    </row>
    <row r="4141" spans="1:11" ht="13.8" thickBot="1" x14ac:dyDescent="0.3">
      <c r="A4141" s="1186" t="s">
        <v>900</v>
      </c>
      <c r="B4141" s="1187"/>
      <c r="C4141" s="1188"/>
      <c r="D4141" s="1188"/>
      <c r="E4141" s="1188"/>
      <c r="F4141" s="1188"/>
      <c r="G4141" s="1189"/>
      <c r="H4141" s="1187"/>
      <c r="I4141" s="1188"/>
      <c r="J4141" s="1189"/>
      <c r="K4141" s="716"/>
    </row>
    <row r="4142" spans="1:11" x14ac:dyDescent="0.25">
      <c r="A4142" s="1190">
        <v>1</v>
      </c>
      <c r="B4142" s="745"/>
      <c r="C4142" s="1117"/>
      <c r="D4142" s="1117"/>
      <c r="E4142" s="1117"/>
      <c r="F4142" s="1117"/>
      <c r="G4142" s="632"/>
      <c r="H4142" s="745"/>
      <c r="I4142" s="1117"/>
      <c r="J4142" s="632"/>
      <c r="K4142" s="1118"/>
    </row>
    <row r="4143" spans="1:11" x14ac:dyDescent="0.25">
      <c r="A4143" s="718">
        <v>2</v>
      </c>
      <c r="B4143" s="668"/>
      <c r="C4143" s="721"/>
      <c r="D4143" s="721"/>
      <c r="E4143" s="721"/>
      <c r="F4143" s="721"/>
      <c r="G4143" s="639"/>
      <c r="H4143" s="668"/>
      <c r="I4143" s="721"/>
      <c r="J4143" s="639"/>
      <c r="K4143" s="1124"/>
    </row>
    <row r="4144" spans="1:11" x14ac:dyDescent="0.25">
      <c r="A4144" s="718">
        <v>3</v>
      </c>
      <c r="B4144" s="668"/>
      <c r="C4144" s="721"/>
      <c r="D4144" s="721"/>
      <c r="E4144" s="721"/>
      <c r="F4144" s="721"/>
      <c r="G4144" s="639"/>
      <c r="H4144" s="668"/>
      <c r="I4144" s="721"/>
      <c r="J4144" s="639"/>
      <c r="K4144" s="1124"/>
    </row>
    <row r="4145" spans="1:11" x14ac:dyDescent="0.25">
      <c r="A4145" s="718">
        <v>4</v>
      </c>
      <c r="B4145" s="668"/>
      <c r="C4145" s="721"/>
      <c r="D4145" s="721"/>
      <c r="E4145" s="721"/>
      <c r="F4145" s="721"/>
      <c r="G4145" s="639"/>
      <c r="H4145" s="668"/>
      <c r="I4145" s="721"/>
      <c r="J4145" s="639"/>
      <c r="K4145" s="1124"/>
    </row>
    <row r="4146" spans="1:11" x14ac:dyDescent="0.25">
      <c r="A4146" s="718">
        <v>5</v>
      </c>
      <c r="B4146" s="668"/>
      <c r="C4146" s="721"/>
      <c r="D4146" s="721"/>
      <c r="E4146" s="721"/>
      <c r="F4146" s="721"/>
      <c r="G4146" s="639"/>
      <c r="H4146" s="668"/>
      <c r="I4146" s="721"/>
      <c r="J4146" s="639"/>
      <c r="K4146" s="1124"/>
    </row>
    <row r="4147" spans="1:11" ht="13.8" thickBot="1" x14ac:dyDescent="0.3">
      <c r="A4147" s="719">
        <v>6</v>
      </c>
      <c r="B4147" s="669"/>
      <c r="C4147" s="1137"/>
      <c r="D4147" s="1137"/>
      <c r="E4147" s="1137"/>
      <c r="F4147" s="1137"/>
      <c r="G4147" s="646"/>
      <c r="H4147" s="669"/>
      <c r="I4147" s="1137"/>
      <c r="J4147" s="646"/>
      <c r="K4147" s="1138"/>
    </row>
    <row r="4148" spans="1:11" x14ac:dyDescent="0.25">
      <c r="A4148" s="1190">
        <v>1</v>
      </c>
      <c r="B4148" s="745"/>
      <c r="C4148" s="1117"/>
      <c r="D4148" s="1117"/>
      <c r="E4148" s="1117"/>
      <c r="F4148" s="1117"/>
      <c r="G4148" s="632"/>
      <c r="H4148" s="745"/>
      <c r="I4148" s="1117"/>
      <c r="J4148" s="632"/>
      <c r="K4148" s="1118"/>
    </row>
    <row r="4149" spans="1:11" x14ac:dyDescent="0.25">
      <c r="A4149" s="718">
        <v>2</v>
      </c>
      <c r="B4149" s="668"/>
      <c r="C4149" s="721"/>
      <c r="D4149" s="721"/>
      <c r="E4149" s="721"/>
      <c r="F4149" s="721"/>
      <c r="G4149" s="639"/>
      <c r="H4149" s="668"/>
      <c r="I4149" s="721"/>
      <c r="J4149" s="639"/>
      <c r="K4149" s="1124"/>
    </row>
    <row r="4150" spans="1:11" ht="13.8" thickBot="1" x14ac:dyDescent="0.3">
      <c r="A4150" s="1191">
        <v>3</v>
      </c>
      <c r="B4150" s="1132"/>
      <c r="C4150" s="1133"/>
      <c r="D4150" s="1133"/>
      <c r="E4150" s="1133"/>
      <c r="F4150" s="1133"/>
      <c r="G4150" s="1134"/>
      <c r="H4150" s="1132"/>
      <c r="I4150" s="1133"/>
      <c r="J4150" s="1134"/>
      <c r="K4150" s="1147"/>
    </row>
    <row r="4151" spans="1:11" ht="13.8" thickBot="1" x14ac:dyDescent="0.3">
      <c r="A4151" s="1186" t="s">
        <v>901</v>
      </c>
      <c r="B4151" s="1187"/>
      <c r="C4151" s="1188"/>
      <c r="D4151" s="1188"/>
      <c r="E4151" s="1188"/>
      <c r="F4151" s="1188"/>
      <c r="G4151" s="1189"/>
      <c r="H4151" s="1187"/>
      <c r="I4151" s="1188"/>
      <c r="J4151" s="1189"/>
      <c r="K4151" s="716"/>
    </row>
    <row r="4152" spans="1:11" x14ac:dyDescent="0.25">
      <c r="A4152" s="1190">
        <v>1</v>
      </c>
      <c r="B4152" s="745"/>
      <c r="C4152" s="1117"/>
      <c r="D4152" s="1117"/>
      <c r="E4152" s="1117"/>
      <c r="F4152" s="1117"/>
      <c r="G4152" s="632"/>
      <c r="H4152" s="745"/>
      <c r="I4152" s="1117"/>
      <c r="J4152" s="632"/>
      <c r="K4152" s="1118"/>
    </row>
    <row r="4153" spans="1:11" x14ac:dyDescent="0.25">
      <c r="A4153" s="718">
        <v>2</v>
      </c>
      <c r="B4153" s="668"/>
      <c r="C4153" s="721"/>
      <c r="D4153" s="721"/>
      <c r="E4153" s="721"/>
      <c r="F4153" s="721"/>
      <c r="G4153" s="639"/>
      <c r="H4153" s="668"/>
      <c r="I4153" s="721"/>
      <c r="J4153" s="639"/>
      <c r="K4153" s="1124"/>
    </row>
    <row r="4154" spans="1:11" x14ac:dyDescent="0.25">
      <c r="A4154" s="718">
        <v>3</v>
      </c>
      <c r="B4154" s="668"/>
      <c r="C4154" s="721"/>
      <c r="D4154" s="721"/>
      <c r="E4154" s="721"/>
      <c r="F4154" s="721"/>
      <c r="G4154" s="639"/>
      <c r="H4154" s="668"/>
      <c r="I4154" s="721"/>
      <c r="J4154" s="639"/>
      <c r="K4154" s="1124"/>
    </row>
    <row r="4155" spans="1:11" x14ac:dyDescent="0.25">
      <c r="A4155" s="718">
        <v>4</v>
      </c>
      <c r="B4155" s="668"/>
      <c r="C4155" s="721"/>
      <c r="D4155" s="721"/>
      <c r="E4155" s="721"/>
      <c r="F4155" s="721"/>
      <c r="G4155" s="639"/>
      <c r="H4155" s="668"/>
      <c r="I4155" s="721"/>
      <c r="J4155" s="639"/>
      <c r="K4155" s="1124"/>
    </row>
    <row r="4156" spans="1:11" x14ac:dyDescent="0.25">
      <c r="A4156" s="718">
        <v>5</v>
      </c>
      <c r="B4156" s="668"/>
      <c r="C4156" s="721"/>
      <c r="D4156" s="721"/>
      <c r="E4156" s="721"/>
      <c r="F4156" s="721"/>
      <c r="G4156" s="639"/>
      <c r="H4156" s="668"/>
      <c r="I4156" s="721"/>
      <c r="J4156" s="639"/>
      <c r="K4156" s="1124"/>
    </row>
    <row r="4157" spans="1:11" ht="13.8" thickBot="1" x14ac:dyDescent="0.3">
      <c r="A4157" s="719">
        <v>6</v>
      </c>
      <c r="B4157" s="669"/>
      <c r="C4157" s="1137"/>
      <c r="D4157" s="1137"/>
      <c r="E4157" s="1137"/>
      <c r="F4157" s="1137"/>
      <c r="G4157" s="646"/>
      <c r="H4157" s="669"/>
      <c r="I4157" s="1137"/>
      <c r="J4157" s="646"/>
      <c r="K4157" s="1138"/>
    </row>
    <row r="4158" spans="1:11" x14ac:dyDescent="0.25">
      <c r="A4158" s="1190">
        <v>1</v>
      </c>
      <c r="B4158" s="745"/>
      <c r="C4158" s="1117"/>
      <c r="D4158" s="1117"/>
      <c r="E4158" s="1117"/>
      <c r="F4158" s="1117"/>
      <c r="G4158" s="632"/>
      <c r="H4158" s="745"/>
      <c r="I4158" s="1117"/>
      <c r="J4158" s="632"/>
      <c r="K4158" s="1118"/>
    </row>
    <row r="4159" spans="1:11" x14ac:dyDescent="0.25">
      <c r="A4159" s="718">
        <v>2</v>
      </c>
      <c r="B4159" s="668"/>
      <c r="C4159" s="721"/>
      <c r="D4159" s="721"/>
      <c r="E4159" s="721"/>
      <c r="F4159" s="721"/>
      <c r="G4159" s="639"/>
      <c r="H4159" s="668"/>
      <c r="I4159" s="721"/>
      <c r="J4159" s="639"/>
      <c r="K4159" s="1124"/>
    </row>
    <row r="4160" spans="1:11" ht="13.8" thickBot="1" x14ac:dyDescent="0.3">
      <c r="A4160" s="719">
        <v>3</v>
      </c>
      <c r="B4160" s="669"/>
      <c r="C4160" s="1137"/>
      <c r="D4160" s="1137"/>
      <c r="E4160" s="1137"/>
      <c r="F4160" s="1137"/>
      <c r="G4160" s="646"/>
      <c r="H4160" s="669"/>
      <c r="I4160" s="1137"/>
      <c r="J4160" s="646"/>
      <c r="K4160" s="1138"/>
    </row>
    <row r="4161" spans="1:11" ht="13.8" thickBot="1" x14ac:dyDescent="0.3">
      <c r="A4161" s="1186" t="s">
        <v>902</v>
      </c>
      <c r="B4161" s="1187"/>
      <c r="C4161" s="1188"/>
      <c r="D4161" s="1188"/>
      <c r="E4161" s="1188"/>
      <c r="F4161" s="1188"/>
      <c r="G4161" s="1189"/>
      <c r="H4161" s="1187"/>
      <c r="I4161" s="1188"/>
      <c r="J4161" s="1189"/>
      <c r="K4161" s="716"/>
    </row>
    <row r="4162" spans="1:11" x14ac:dyDescent="0.25">
      <c r="A4162" s="1190">
        <v>1</v>
      </c>
      <c r="B4162" s="745"/>
      <c r="C4162" s="1117"/>
      <c r="D4162" s="1117"/>
      <c r="E4162" s="1117"/>
      <c r="F4162" s="1117"/>
      <c r="G4162" s="632"/>
      <c r="H4162" s="745"/>
      <c r="I4162" s="1117"/>
      <c r="J4162" s="632"/>
      <c r="K4162" s="1118"/>
    </row>
    <row r="4163" spans="1:11" x14ac:dyDescent="0.25">
      <c r="A4163" s="718">
        <v>2</v>
      </c>
      <c r="B4163" s="668"/>
      <c r="C4163" s="721"/>
      <c r="D4163" s="721"/>
      <c r="E4163" s="721"/>
      <c r="F4163" s="721"/>
      <c r="G4163" s="639"/>
      <c r="H4163" s="668"/>
      <c r="I4163" s="721"/>
      <c r="J4163" s="639"/>
      <c r="K4163" s="1124"/>
    </row>
    <row r="4164" spans="1:11" x14ac:dyDescent="0.25">
      <c r="A4164" s="718">
        <v>3</v>
      </c>
      <c r="B4164" s="668"/>
      <c r="C4164" s="721"/>
      <c r="D4164" s="721"/>
      <c r="E4164" s="721"/>
      <c r="F4164" s="721"/>
      <c r="G4164" s="639"/>
      <c r="H4164" s="668"/>
      <c r="I4164" s="721"/>
      <c r="J4164" s="639"/>
      <c r="K4164" s="1124"/>
    </row>
    <row r="4165" spans="1:11" x14ac:dyDescent="0.25">
      <c r="A4165" s="718">
        <v>4</v>
      </c>
      <c r="B4165" s="668"/>
      <c r="C4165" s="721"/>
      <c r="D4165" s="721"/>
      <c r="E4165" s="721"/>
      <c r="F4165" s="721"/>
      <c r="G4165" s="639"/>
      <c r="H4165" s="668"/>
      <c r="I4165" s="721"/>
      <c r="J4165" s="639"/>
      <c r="K4165" s="1124"/>
    </row>
    <row r="4166" spans="1:11" x14ac:dyDescent="0.25">
      <c r="A4166" s="718">
        <v>5</v>
      </c>
      <c r="B4166" s="668"/>
      <c r="C4166" s="721"/>
      <c r="D4166" s="721"/>
      <c r="E4166" s="721"/>
      <c r="F4166" s="721"/>
      <c r="G4166" s="639"/>
      <c r="H4166" s="668"/>
      <c r="I4166" s="721"/>
      <c r="J4166" s="639"/>
      <c r="K4166" s="1124"/>
    </row>
    <row r="4167" spans="1:11" ht="13.8" thickBot="1" x14ac:dyDescent="0.3">
      <c r="A4167" s="719">
        <v>6</v>
      </c>
      <c r="B4167" s="669"/>
      <c r="C4167" s="1137"/>
      <c r="D4167" s="1137"/>
      <c r="E4167" s="1137"/>
      <c r="F4167" s="1137"/>
      <c r="G4167" s="646"/>
      <c r="H4167" s="669"/>
      <c r="I4167" s="1137"/>
      <c r="J4167" s="646"/>
      <c r="K4167" s="1138"/>
    </row>
    <row r="4168" spans="1:11" x14ac:dyDescent="0.25">
      <c r="A4168" s="1190">
        <v>1</v>
      </c>
      <c r="B4168" s="745"/>
      <c r="C4168" s="1117"/>
      <c r="D4168" s="1117"/>
      <c r="E4168" s="1117"/>
      <c r="F4168" s="1117"/>
      <c r="G4168" s="632"/>
      <c r="H4168" s="745"/>
      <c r="I4168" s="1117"/>
      <c r="J4168" s="632"/>
      <c r="K4168" s="1118"/>
    </row>
    <row r="4169" spans="1:11" x14ac:dyDescent="0.25">
      <c r="A4169" s="718">
        <v>2</v>
      </c>
      <c r="B4169" s="668"/>
      <c r="C4169" s="721"/>
      <c r="D4169" s="721"/>
      <c r="E4169" s="721"/>
      <c r="F4169" s="721"/>
      <c r="G4169" s="639"/>
      <c r="H4169" s="668"/>
      <c r="I4169" s="721"/>
      <c r="J4169" s="639"/>
      <c r="K4169" s="1124"/>
    </row>
    <row r="4170" spans="1:11" ht="13.8" thickBot="1" x14ac:dyDescent="0.3">
      <c r="A4170" s="719">
        <v>3</v>
      </c>
      <c r="B4170" s="669"/>
      <c r="C4170" s="1137"/>
      <c r="D4170" s="1137"/>
      <c r="E4170" s="1137"/>
      <c r="F4170" s="1137"/>
      <c r="G4170" s="646"/>
      <c r="H4170" s="669"/>
      <c r="I4170" s="1137"/>
      <c r="J4170" s="646"/>
      <c r="K4170" s="1138"/>
    </row>
    <row r="4171" spans="1:11" ht="13.8" thickBot="1" x14ac:dyDescent="0.3">
      <c r="A4171" s="1186" t="s">
        <v>903</v>
      </c>
      <c r="B4171" s="1187"/>
      <c r="C4171" s="1188"/>
      <c r="D4171" s="1188"/>
      <c r="E4171" s="1188"/>
      <c r="F4171" s="1188"/>
      <c r="G4171" s="1189"/>
      <c r="H4171" s="1187"/>
      <c r="I4171" s="1188"/>
      <c r="J4171" s="1189"/>
      <c r="K4171" s="716"/>
    </row>
    <row r="4172" spans="1:11" x14ac:dyDescent="0.25">
      <c r="A4172" s="1190">
        <v>1</v>
      </c>
      <c r="B4172" s="745"/>
      <c r="C4172" s="1117"/>
      <c r="D4172" s="1117"/>
      <c r="E4172" s="1117"/>
      <c r="F4172" s="1117"/>
      <c r="G4172" s="632"/>
      <c r="H4172" s="745"/>
      <c r="I4172" s="1117"/>
      <c r="J4172" s="632"/>
      <c r="K4172" s="1118"/>
    </row>
    <row r="4173" spans="1:11" x14ac:dyDescent="0.25">
      <c r="A4173" s="718">
        <v>2</v>
      </c>
      <c r="B4173" s="668"/>
      <c r="C4173" s="721"/>
      <c r="D4173" s="721"/>
      <c r="E4173" s="721"/>
      <c r="F4173" s="721"/>
      <c r="G4173" s="639"/>
      <c r="H4173" s="668"/>
      <c r="I4173" s="721"/>
      <c r="J4173" s="639"/>
      <c r="K4173" s="1124"/>
    </row>
    <row r="4174" spans="1:11" x14ac:dyDescent="0.25">
      <c r="A4174" s="718">
        <v>3</v>
      </c>
      <c r="B4174" s="668"/>
      <c r="C4174" s="721"/>
      <c r="D4174" s="721"/>
      <c r="E4174" s="721"/>
      <c r="F4174" s="721"/>
      <c r="G4174" s="639"/>
      <c r="H4174" s="668"/>
      <c r="I4174" s="721"/>
      <c r="J4174" s="639"/>
      <c r="K4174" s="1124"/>
    </row>
    <row r="4175" spans="1:11" x14ac:dyDescent="0.25">
      <c r="A4175" s="718">
        <v>4</v>
      </c>
      <c r="B4175" s="668"/>
      <c r="C4175" s="721"/>
      <c r="D4175" s="721"/>
      <c r="E4175" s="721"/>
      <c r="F4175" s="721"/>
      <c r="G4175" s="639"/>
      <c r="H4175" s="668"/>
      <c r="I4175" s="721"/>
      <c r="J4175" s="639"/>
      <c r="K4175" s="1124"/>
    </row>
    <row r="4176" spans="1:11" x14ac:dyDescent="0.25">
      <c r="A4176" s="718">
        <v>5</v>
      </c>
      <c r="B4176" s="668"/>
      <c r="C4176" s="721"/>
      <c r="D4176" s="721"/>
      <c r="E4176" s="721"/>
      <c r="F4176" s="721"/>
      <c r="G4176" s="639"/>
      <c r="H4176" s="668"/>
      <c r="I4176" s="721"/>
      <c r="J4176" s="639"/>
      <c r="K4176" s="1124"/>
    </row>
    <row r="4177" spans="1:11" ht="13.8" thickBot="1" x14ac:dyDescent="0.3">
      <c r="A4177" s="719">
        <v>6</v>
      </c>
      <c r="B4177" s="669"/>
      <c r="C4177" s="1137"/>
      <c r="D4177" s="1137"/>
      <c r="E4177" s="1137"/>
      <c r="F4177" s="1137"/>
      <c r="G4177" s="646"/>
      <c r="H4177" s="669"/>
      <c r="I4177" s="1137"/>
      <c r="J4177" s="646"/>
      <c r="K4177" s="1138"/>
    </row>
    <row r="4178" spans="1:11" x14ac:dyDescent="0.25">
      <c r="A4178" s="1190">
        <v>1</v>
      </c>
      <c r="B4178" s="745"/>
      <c r="C4178" s="1117"/>
      <c r="D4178" s="1117"/>
      <c r="E4178" s="1117"/>
      <c r="F4178" s="1117"/>
      <c r="G4178" s="632"/>
      <c r="H4178" s="745"/>
      <c r="I4178" s="1117"/>
      <c r="J4178" s="632"/>
      <c r="K4178" s="1118"/>
    </row>
    <row r="4179" spans="1:11" x14ac:dyDescent="0.25">
      <c r="A4179" s="718">
        <v>2</v>
      </c>
      <c r="B4179" s="668"/>
      <c r="C4179" s="721"/>
      <c r="D4179" s="721"/>
      <c r="E4179" s="721"/>
      <c r="F4179" s="721"/>
      <c r="G4179" s="639"/>
      <c r="H4179" s="668"/>
      <c r="I4179" s="721"/>
      <c r="J4179" s="639"/>
      <c r="K4179" s="1124"/>
    </row>
    <row r="4180" spans="1:11" ht="13.8" thickBot="1" x14ac:dyDescent="0.3">
      <c r="A4180" s="719">
        <v>3</v>
      </c>
      <c r="B4180" s="669"/>
      <c r="C4180" s="1137"/>
      <c r="D4180" s="1137"/>
      <c r="E4180" s="1137"/>
      <c r="F4180" s="1137"/>
      <c r="G4180" s="646"/>
      <c r="H4180" s="669"/>
      <c r="I4180" s="1137"/>
      <c r="J4180" s="646"/>
      <c r="K4180" s="1138"/>
    </row>
    <row r="4181" spans="1:11" ht="13.8" thickBot="1" x14ac:dyDescent="0.3">
      <c r="A4181" s="1186" t="s">
        <v>904</v>
      </c>
      <c r="B4181" s="1187"/>
      <c r="C4181" s="1188"/>
      <c r="D4181" s="1188"/>
      <c r="E4181" s="1188"/>
      <c r="F4181" s="1188"/>
      <c r="G4181" s="1189"/>
      <c r="H4181" s="1187"/>
      <c r="I4181" s="1188"/>
      <c r="J4181" s="1189"/>
      <c r="K4181" s="716"/>
    </row>
    <row r="4182" spans="1:11" x14ac:dyDescent="0.25">
      <c r="A4182" s="1190">
        <v>1</v>
      </c>
      <c r="B4182" s="745"/>
      <c r="C4182" s="1117"/>
      <c r="D4182" s="1117"/>
      <c r="E4182" s="1117"/>
      <c r="F4182" s="1117"/>
      <c r="G4182" s="632"/>
      <c r="H4182" s="745"/>
      <c r="I4182" s="1117"/>
      <c r="J4182" s="632"/>
      <c r="K4182" s="1118"/>
    </row>
    <row r="4183" spans="1:11" x14ac:dyDescent="0.25">
      <c r="A4183" s="718">
        <v>2</v>
      </c>
      <c r="B4183" s="668"/>
      <c r="C4183" s="721"/>
      <c r="D4183" s="721"/>
      <c r="E4183" s="721"/>
      <c r="F4183" s="721"/>
      <c r="G4183" s="639"/>
      <c r="H4183" s="668"/>
      <c r="I4183" s="721"/>
      <c r="J4183" s="639"/>
      <c r="K4183" s="1124"/>
    </row>
    <row r="4184" spans="1:11" x14ac:dyDescent="0.25">
      <c r="A4184" s="718">
        <v>3</v>
      </c>
      <c r="B4184" s="668"/>
      <c r="C4184" s="721"/>
      <c r="D4184" s="721"/>
      <c r="E4184" s="721"/>
      <c r="F4184" s="721"/>
      <c r="G4184" s="639"/>
      <c r="H4184" s="668"/>
      <c r="I4184" s="721"/>
      <c r="J4184" s="639"/>
      <c r="K4184" s="1124"/>
    </row>
    <row r="4185" spans="1:11" x14ac:dyDescent="0.25">
      <c r="A4185" s="718">
        <v>4</v>
      </c>
      <c r="B4185" s="668"/>
      <c r="C4185" s="721"/>
      <c r="D4185" s="721"/>
      <c r="E4185" s="721"/>
      <c r="F4185" s="721"/>
      <c r="G4185" s="639"/>
      <c r="H4185" s="668"/>
      <c r="I4185" s="721"/>
      <c r="J4185" s="639"/>
      <c r="K4185" s="1124"/>
    </row>
    <row r="4186" spans="1:11" x14ac:dyDescent="0.25">
      <c r="A4186" s="718">
        <v>5</v>
      </c>
      <c r="B4186" s="668"/>
      <c r="C4186" s="721"/>
      <c r="D4186" s="721"/>
      <c r="E4186" s="721"/>
      <c r="F4186" s="721"/>
      <c r="G4186" s="639"/>
      <c r="H4186" s="668"/>
      <c r="I4186" s="721"/>
      <c r="J4186" s="639"/>
      <c r="K4186" s="1124"/>
    </row>
    <row r="4187" spans="1:11" ht="13.8" thickBot="1" x14ac:dyDescent="0.3">
      <c r="A4187" s="719">
        <v>6</v>
      </c>
      <c r="B4187" s="669"/>
      <c r="C4187" s="1137"/>
      <c r="D4187" s="1137"/>
      <c r="E4187" s="1137"/>
      <c r="F4187" s="1137"/>
      <c r="G4187" s="646"/>
      <c r="H4187" s="669"/>
      <c r="I4187" s="1137"/>
      <c r="J4187" s="646"/>
      <c r="K4187" s="1138"/>
    </row>
    <row r="4188" spans="1:11" x14ac:dyDescent="0.25">
      <c r="A4188" s="1190">
        <v>1</v>
      </c>
      <c r="B4188" s="745"/>
      <c r="C4188" s="1117"/>
      <c r="D4188" s="1117"/>
      <c r="E4188" s="1117"/>
      <c r="F4188" s="1117"/>
      <c r="G4188" s="632"/>
      <c r="H4188" s="745"/>
      <c r="I4188" s="1117"/>
      <c r="J4188" s="632"/>
      <c r="K4188" s="1118"/>
    </row>
    <row r="4189" spans="1:11" x14ac:dyDescent="0.25">
      <c r="A4189" s="718">
        <v>2</v>
      </c>
      <c r="B4189" s="668"/>
      <c r="C4189" s="721"/>
      <c r="D4189" s="721"/>
      <c r="E4189" s="721"/>
      <c r="F4189" s="721"/>
      <c r="G4189" s="639"/>
      <c r="H4189" s="668"/>
      <c r="I4189" s="721"/>
      <c r="J4189" s="639"/>
      <c r="K4189" s="1124"/>
    </row>
    <row r="4190" spans="1:11" ht="13.8" thickBot="1" x14ac:dyDescent="0.3">
      <c r="A4190" s="1191">
        <v>3</v>
      </c>
      <c r="B4190" s="1132"/>
      <c r="C4190" s="1133"/>
      <c r="D4190" s="1133"/>
      <c r="E4190" s="1133"/>
      <c r="F4190" s="1133"/>
      <c r="G4190" s="1134"/>
      <c r="H4190" s="1132"/>
      <c r="I4190" s="1133"/>
      <c r="J4190" s="1134"/>
      <c r="K4190" s="1147"/>
    </row>
    <row r="4191" spans="1:11" ht="13.8" thickBot="1" x14ac:dyDescent="0.3">
      <c r="A4191" s="1186" t="s">
        <v>905</v>
      </c>
      <c r="B4191" s="1187"/>
      <c r="C4191" s="1188"/>
      <c r="D4191" s="1188"/>
      <c r="E4191" s="1188"/>
      <c r="F4191" s="1188"/>
      <c r="G4191" s="1189"/>
      <c r="H4191" s="1187"/>
      <c r="I4191" s="1188"/>
      <c r="J4191" s="1189"/>
      <c r="K4191" s="716"/>
    </row>
    <row r="4192" spans="1:11" x14ac:dyDescent="0.25">
      <c r="A4192" s="1190">
        <v>1</v>
      </c>
      <c r="B4192" s="745"/>
      <c r="C4192" s="1117"/>
      <c r="D4192" s="1117"/>
      <c r="E4192" s="1117"/>
      <c r="F4192" s="1117"/>
      <c r="G4192" s="632"/>
      <c r="H4192" s="745"/>
      <c r="I4192" s="1117"/>
      <c r="J4192" s="632"/>
      <c r="K4192" s="1118"/>
    </row>
    <row r="4193" spans="1:11" x14ac:dyDescent="0.25">
      <c r="A4193" s="718">
        <v>2</v>
      </c>
      <c r="B4193" s="668"/>
      <c r="C4193" s="721"/>
      <c r="D4193" s="721"/>
      <c r="E4193" s="721"/>
      <c r="F4193" s="721"/>
      <c r="G4193" s="639"/>
      <c r="H4193" s="668"/>
      <c r="I4193" s="721"/>
      <c r="J4193" s="639"/>
      <c r="K4193" s="1124"/>
    </row>
    <row r="4194" spans="1:11" x14ac:dyDescent="0.25">
      <c r="A4194" s="718">
        <v>3</v>
      </c>
      <c r="B4194" s="668"/>
      <c r="C4194" s="721"/>
      <c r="D4194" s="721"/>
      <c r="E4194" s="721"/>
      <c r="F4194" s="721"/>
      <c r="G4194" s="639"/>
      <c r="H4194" s="668"/>
      <c r="I4194" s="721"/>
      <c r="J4194" s="639"/>
      <c r="K4194" s="1124"/>
    </row>
    <row r="4195" spans="1:11" x14ac:dyDescent="0.25">
      <c r="A4195" s="718">
        <v>4</v>
      </c>
      <c r="B4195" s="668"/>
      <c r="C4195" s="721"/>
      <c r="D4195" s="721"/>
      <c r="E4195" s="721"/>
      <c r="F4195" s="721"/>
      <c r="G4195" s="639"/>
      <c r="H4195" s="668"/>
      <c r="I4195" s="721"/>
      <c r="J4195" s="639"/>
      <c r="K4195" s="1124"/>
    </row>
    <row r="4196" spans="1:11" x14ac:dyDescent="0.25">
      <c r="A4196" s="718">
        <v>5</v>
      </c>
      <c r="B4196" s="668"/>
      <c r="C4196" s="721"/>
      <c r="D4196" s="721"/>
      <c r="E4196" s="721"/>
      <c r="F4196" s="721"/>
      <c r="G4196" s="639"/>
      <c r="H4196" s="668"/>
      <c r="I4196" s="721"/>
      <c r="J4196" s="639"/>
      <c r="K4196" s="1124"/>
    </row>
    <row r="4197" spans="1:11" ht="13.8" thickBot="1" x14ac:dyDescent="0.3">
      <c r="A4197" s="719">
        <v>6</v>
      </c>
      <c r="B4197" s="669"/>
      <c r="C4197" s="1137"/>
      <c r="D4197" s="1137"/>
      <c r="E4197" s="1137"/>
      <c r="F4197" s="1137"/>
      <c r="G4197" s="646"/>
      <c r="H4197" s="669"/>
      <c r="I4197" s="1137"/>
      <c r="J4197" s="646"/>
      <c r="K4197" s="1138"/>
    </row>
    <row r="4198" spans="1:11" x14ac:dyDescent="0.25">
      <c r="A4198" s="1190">
        <v>1</v>
      </c>
      <c r="B4198" s="745"/>
      <c r="C4198" s="1117"/>
      <c r="D4198" s="1117"/>
      <c r="E4198" s="1117"/>
      <c r="F4198" s="1117"/>
      <c r="G4198" s="632"/>
      <c r="H4198" s="745"/>
      <c r="I4198" s="1117"/>
      <c r="J4198" s="632"/>
      <c r="K4198" s="1118"/>
    </row>
    <row r="4199" spans="1:11" x14ac:dyDescent="0.25">
      <c r="A4199" s="718">
        <v>2</v>
      </c>
      <c r="B4199" s="668"/>
      <c r="C4199" s="721"/>
      <c r="D4199" s="721"/>
      <c r="E4199" s="721"/>
      <c r="F4199" s="721"/>
      <c r="G4199" s="639"/>
      <c r="H4199" s="668"/>
      <c r="I4199" s="721"/>
      <c r="J4199" s="639"/>
      <c r="K4199" s="1124"/>
    </row>
    <row r="4200" spans="1:11" ht="13.8" thickBot="1" x14ac:dyDescent="0.3">
      <c r="A4200" s="719">
        <v>3</v>
      </c>
      <c r="B4200" s="669"/>
      <c r="C4200" s="1137"/>
      <c r="D4200" s="1137"/>
      <c r="E4200" s="1137"/>
      <c r="F4200" s="1137"/>
      <c r="G4200" s="646"/>
      <c r="H4200" s="669"/>
      <c r="I4200" s="1137"/>
      <c r="J4200" s="646"/>
      <c r="K4200" s="1138"/>
    </row>
    <row r="4201" spans="1:11" ht="13.8" thickBot="1" x14ac:dyDescent="0.3">
      <c r="A4201" s="1186" t="s">
        <v>906</v>
      </c>
      <c r="B4201" s="1187"/>
      <c r="C4201" s="1188"/>
      <c r="D4201" s="1188"/>
      <c r="E4201" s="1188"/>
      <c r="F4201" s="1188"/>
      <c r="G4201" s="1189"/>
      <c r="H4201" s="1187"/>
      <c r="I4201" s="1188"/>
      <c r="J4201" s="1189"/>
      <c r="K4201" s="716"/>
    </row>
    <row r="4202" spans="1:11" x14ac:dyDescent="0.25">
      <c r="A4202" s="1190">
        <v>1</v>
      </c>
      <c r="B4202" s="745"/>
      <c r="C4202" s="1117"/>
      <c r="D4202" s="1117"/>
      <c r="E4202" s="1117"/>
      <c r="F4202" s="1117"/>
      <c r="G4202" s="632"/>
      <c r="H4202" s="745"/>
      <c r="I4202" s="1117"/>
      <c r="J4202" s="632"/>
      <c r="K4202" s="1118"/>
    </row>
    <row r="4203" spans="1:11" x14ac:dyDescent="0.25">
      <c r="A4203" s="718">
        <v>2</v>
      </c>
      <c r="B4203" s="668"/>
      <c r="C4203" s="721"/>
      <c r="D4203" s="721"/>
      <c r="E4203" s="721"/>
      <c r="F4203" s="721"/>
      <c r="G4203" s="639"/>
      <c r="H4203" s="668"/>
      <c r="I4203" s="721"/>
      <c r="J4203" s="639"/>
      <c r="K4203" s="1124"/>
    </row>
    <row r="4204" spans="1:11" x14ac:dyDescent="0.25">
      <c r="A4204" s="718">
        <v>3</v>
      </c>
      <c r="B4204" s="668"/>
      <c r="C4204" s="721"/>
      <c r="D4204" s="721"/>
      <c r="E4204" s="721"/>
      <c r="F4204" s="721"/>
      <c r="G4204" s="639"/>
      <c r="H4204" s="668"/>
      <c r="I4204" s="721"/>
      <c r="J4204" s="639"/>
      <c r="K4204" s="1124"/>
    </row>
    <row r="4205" spans="1:11" x14ac:dyDescent="0.25">
      <c r="A4205" s="718">
        <v>4</v>
      </c>
      <c r="B4205" s="668"/>
      <c r="C4205" s="721"/>
      <c r="D4205" s="721"/>
      <c r="E4205" s="721"/>
      <c r="F4205" s="721"/>
      <c r="G4205" s="639"/>
      <c r="H4205" s="668"/>
      <c r="I4205" s="721"/>
      <c r="J4205" s="639"/>
      <c r="K4205" s="1124"/>
    </row>
    <row r="4206" spans="1:11" x14ac:dyDescent="0.25">
      <c r="A4206" s="718">
        <v>5</v>
      </c>
      <c r="B4206" s="668"/>
      <c r="C4206" s="721"/>
      <c r="D4206" s="721"/>
      <c r="E4206" s="721"/>
      <c r="F4206" s="721"/>
      <c r="G4206" s="639"/>
      <c r="H4206" s="668"/>
      <c r="I4206" s="721"/>
      <c r="J4206" s="639"/>
      <c r="K4206" s="1124"/>
    </row>
    <row r="4207" spans="1:11" ht="13.8" thickBot="1" x14ac:dyDescent="0.3">
      <c r="A4207" s="719">
        <v>6</v>
      </c>
      <c r="B4207" s="669"/>
      <c r="C4207" s="1137"/>
      <c r="D4207" s="1137"/>
      <c r="E4207" s="1137"/>
      <c r="F4207" s="1137"/>
      <c r="G4207" s="646"/>
      <c r="H4207" s="669"/>
      <c r="I4207" s="1137"/>
      <c r="J4207" s="646"/>
      <c r="K4207" s="1138"/>
    </row>
    <row r="4208" spans="1:11" x14ac:dyDescent="0.25">
      <c r="A4208" s="1190">
        <v>1</v>
      </c>
      <c r="B4208" s="745"/>
      <c r="C4208" s="1117"/>
      <c r="D4208" s="1117"/>
      <c r="E4208" s="1117"/>
      <c r="F4208" s="1117"/>
      <c r="G4208" s="632"/>
      <c r="H4208" s="745"/>
      <c r="I4208" s="1117"/>
      <c r="J4208" s="632"/>
      <c r="K4208" s="1118"/>
    </row>
    <row r="4209" spans="1:11" x14ac:dyDescent="0.25">
      <c r="A4209" s="718">
        <v>2</v>
      </c>
      <c r="B4209" s="668"/>
      <c r="C4209" s="721"/>
      <c r="D4209" s="721"/>
      <c r="E4209" s="721"/>
      <c r="F4209" s="721"/>
      <c r="G4209" s="639"/>
      <c r="H4209" s="668"/>
      <c r="I4209" s="721"/>
      <c r="J4209" s="639"/>
      <c r="K4209" s="1124"/>
    </row>
    <row r="4210" spans="1:11" ht="13.8" thickBot="1" x14ac:dyDescent="0.3">
      <c r="A4210" s="719">
        <v>3</v>
      </c>
      <c r="B4210" s="669"/>
      <c r="C4210" s="1137"/>
      <c r="D4210" s="1137"/>
      <c r="E4210" s="1137"/>
      <c r="F4210" s="1137"/>
      <c r="G4210" s="646"/>
      <c r="H4210" s="669"/>
      <c r="I4210" s="1137"/>
      <c r="J4210" s="646"/>
      <c r="K4210" s="1138"/>
    </row>
    <row r="4211" spans="1:11" ht="13.8" thickBot="1" x14ac:dyDescent="0.3">
      <c r="A4211" s="1186" t="s">
        <v>907</v>
      </c>
      <c r="B4211" s="1187"/>
      <c r="C4211" s="1188"/>
      <c r="D4211" s="1188"/>
      <c r="E4211" s="1188"/>
      <c r="F4211" s="1188"/>
      <c r="G4211" s="1189"/>
      <c r="H4211" s="1187"/>
      <c r="I4211" s="1188"/>
      <c r="J4211" s="1189"/>
      <c r="K4211" s="716"/>
    </row>
    <row r="4212" spans="1:11" x14ac:dyDescent="0.25">
      <c r="A4212" s="1190">
        <v>1</v>
      </c>
      <c r="B4212" s="745"/>
      <c r="C4212" s="1117"/>
      <c r="D4212" s="1117"/>
      <c r="E4212" s="1117"/>
      <c r="F4212" s="1117"/>
      <c r="G4212" s="632"/>
      <c r="H4212" s="745"/>
      <c r="I4212" s="1117"/>
      <c r="J4212" s="632"/>
      <c r="K4212" s="1118"/>
    </row>
    <row r="4213" spans="1:11" x14ac:dyDescent="0.25">
      <c r="A4213" s="718">
        <v>2</v>
      </c>
      <c r="B4213" s="668"/>
      <c r="C4213" s="721"/>
      <c r="D4213" s="721"/>
      <c r="E4213" s="721"/>
      <c r="F4213" s="721"/>
      <c r="G4213" s="639"/>
      <c r="H4213" s="668"/>
      <c r="I4213" s="721"/>
      <c r="J4213" s="639"/>
      <c r="K4213" s="1124"/>
    </row>
    <row r="4214" spans="1:11" x14ac:dyDescent="0.25">
      <c r="A4214" s="718">
        <v>3</v>
      </c>
      <c r="B4214" s="668"/>
      <c r="C4214" s="721"/>
      <c r="D4214" s="721"/>
      <c r="E4214" s="721"/>
      <c r="F4214" s="721"/>
      <c r="G4214" s="639"/>
      <c r="H4214" s="668"/>
      <c r="I4214" s="721"/>
      <c r="J4214" s="639"/>
      <c r="K4214" s="1124"/>
    </row>
    <row r="4215" spans="1:11" x14ac:dyDescent="0.25">
      <c r="A4215" s="718">
        <v>4</v>
      </c>
      <c r="B4215" s="668"/>
      <c r="C4215" s="721"/>
      <c r="D4215" s="721"/>
      <c r="E4215" s="721"/>
      <c r="F4215" s="721"/>
      <c r="G4215" s="639"/>
      <c r="H4215" s="668"/>
      <c r="I4215" s="721"/>
      <c r="J4215" s="639"/>
      <c r="K4215" s="1124"/>
    </row>
    <row r="4216" spans="1:11" x14ac:dyDescent="0.25">
      <c r="A4216" s="718">
        <v>5</v>
      </c>
      <c r="B4216" s="668"/>
      <c r="C4216" s="721"/>
      <c r="D4216" s="721"/>
      <c r="E4216" s="721"/>
      <c r="F4216" s="721"/>
      <c r="G4216" s="639"/>
      <c r="H4216" s="668"/>
      <c r="I4216" s="721"/>
      <c r="J4216" s="639"/>
      <c r="K4216" s="1124"/>
    </row>
    <row r="4217" spans="1:11" ht="13.8" thickBot="1" x14ac:dyDescent="0.3">
      <c r="A4217" s="719">
        <v>6</v>
      </c>
      <c r="B4217" s="669"/>
      <c r="C4217" s="1137"/>
      <c r="D4217" s="1137"/>
      <c r="E4217" s="1137"/>
      <c r="F4217" s="1137"/>
      <c r="G4217" s="646"/>
      <c r="H4217" s="669"/>
      <c r="I4217" s="1137"/>
      <c r="J4217" s="646"/>
      <c r="K4217" s="1138"/>
    </row>
    <row r="4218" spans="1:11" x14ac:dyDescent="0.25">
      <c r="A4218" s="1190">
        <v>1</v>
      </c>
      <c r="B4218" s="745"/>
      <c r="C4218" s="1117"/>
      <c r="D4218" s="1117"/>
      <c r="E4218" s="1117"/>
      <c r="F4218" s="1117"/>
      <c r="G4218" s="632"/>
      <c r="H4218" s="745"/>
      <c r="I4218" s="1117"/>
      <c r="J4218" s="632"/>
      <c r="K4218" s="1118"/>
    </row>
    <row r="4219" spans="1:11" x14ac:dyDescent="0.25">
      <c r="A4219" s="718">
        <v>2</v>
      </c>
      <c r="B4219" s="668"/>
      <c r="C4219" s="721"/>
      <c r="D4219" s="721"/>
      <c r="E4219" s="721"/>
      <c r="F4219" s="721"/>
      <c r="G4219" s="639"/>
      <c r="H4219" s="668"/>
      <c r="I4219" s="721"/>
      <c r="J4219" s="639"/>
      <c r="K4219" s="1124"/>
    </row>
    <row r="4220" spans="1:11" ht="13.8" thickBot="1" x14ac:dyDescent="0.3">
      <c r="A4220" s="719">
        <v>3</v>
      </c>
      <c r="B4220" s="669"/>
      <c r="C4220" s="1137"/>
      <c r="D4220" s="1137"/>
      <c r="E4220" s="1137"/>
      <c r="F4220" s="1137"/>
      <c r="G4220" s="646"/>
      <c r="H4220" s="669"/>
      <c r="I4220" s="1137"/>
      <c r="J4220" s="646"/>
      <c r="K4220" s="1138"/>
    </row>
    <row r="4221" spans="1:11" ht="13.8" thickBot="1" x14ac:dyDescent="0.3">
      <c r="A4221" s="1186" t="s">
        <v>908</v>
      </c>
      <c r="B4221" s="1187"/>
      <c r="C4221" s="1188"/>
      <c r="D4221" s="1188"/>
      <c r="E4221" s="1188"/>
      <c r="F4221" s="1188"/>
      <c r="G4221" s="1189"/>
      <c r="H4221" s="1187"/>
      <c r="I4221" s="1188"/>
      <c r="J4221" s="1189"/>
      <c r="K4221" s="716"/>
    </row>
    <row r="4222" spans="1:11" x14ac:dyDescent="0.25">
      <c r="A4222" s="1190">
        <v>1</v>
      </c>
      <c r="B4222" s="745"/>
      <c r="C4222" s="1117"/>
      <c r="D4222" s="1117"/>
      <c r="E4222" s="1117"/>
      <c r="F4222" s="1117"/>
      <c r="G4222" s="632"/>
      <c r="H4222" s="745"/>
      <c r="I4222" s="1117"/>
      <c r="J4222" s="632"/>
      <c r="K4222" s="1118"/>
    </row>
    <row r="4223" spans="1:11" x14ac:dyDescent="0.25">
      <c r="A4223" s="718">
        <v>2</v>
      </c>
      <c r="B4223" s="668"/>
      <c r="C4223" s="721"/>
      <c r="D4223" s="721"/>
      <c r="E4223" s="721"/>
      <c r="F4223" s="721"/>
      <c r="G4223" s="639"/>
      <c r="H4223" s="668"/>
      <c r="I4223" s="721"/>
      <c r="J4223" s="639"/>
      <c r="K4223" s="1124"/>
    </row>
    <row r="4224" spans="1:11" x14ac:dyDescent="0.25">
      <c r="A4224" s="718">
        <v>3</v>
      </c>
      <c r="B4224" s="668"/>
      <c r="C4224" s="721"/>
      <c r="D4224" s="721"/>
      <c r="E4224" s="721"/>
      <c r="F4224" s="721"/>
      <c r="G4224" s="639"/>
      <c r="H4224" s="668"/>
      <c r="I4224" s="721"/>
      <c r="J4224" s="639"/>
      <c r="K4224" s="1124"/>
    </row>
    <row r="4225" spans="1:11" x14ac:dyDescent="0.25">
      <c r="A4225" s="718">
        <v>4</v>
      </c>
      <c r="B4225" s="668"/>
      <c r="C4225" s="721"/>
      <c r="D4225" s="721"/>
      <c r="E4225" s="721"/>
      <c r="F4225" s="721"/>
      <c r="G4225" s="639"/>
      <c r="H4225" s="668"/>
      <c r="I4225" s="721"/>
      <c r="J4225" s="639"/>
      <c r="K4225" s="1124"/>
    </row>
    <row r="4226" spans="1:11" x14ac:dyDescent="0.25">
      <c r="A4226" s="718">
        <v>5</v>
      </c>
      <c r="B4226" s="668"/>
      <c r="C4226" s="721"/>
      <c r="D4226" s="721"/>
      <c r="E4226" s="721"/>
      <c r="F4226" s="721"/>
      <c r="G4226" s="639"/>
      <c r="H4226" s="668"/>
      <c r="I4226" s="721"/>
      <c r="J4226" s="639"/>
      <c r="K4226" s="1124"/>
    </row>
    <row r="4227" spans="1:11" ht="13.8" thickBot="1" x14ac:dyDescent="0.3">
      <c r="A4227" s="719">
        <v>6</v>
      </c>
      <c r="B4227" s="669"/>
      <c r="C4227" s="1137"/>
      <c r="D4227" s="1137"/>
      <c r="E4227" s="1137"/>
      <c r="F4227" s="1137"/>
      <c r="G4227" s="646"/>
      <c r="H4227" s="669"/>
      <c r="I4227" s="1137"/>
      <c r="J4227" s="646"/>
      <c r="K4227" s="1138"/>
    </row>
    <row r="4228" spans="1:11" x14ac:dyDescent="0.25">
      <c r="A4228" s="1190">
        <v>1</v>
      </c>
      <c r="B4228" s="745"/>
      <c r="C4228" s="1117"/>
      <c r="D4228" s="1117"/>
      <c r="E4228" s="1117"/>
      <c r="F4228" s="1117"/>
      <c r="G4228" s="632"/>
      <c r="H4228" s="745"/>
      <c r="I4228" s="1117"/>
      <c r="J4228" s="632"/>
      <c r="K4228" s="1118"/>
    </row>
    <row r="4229" spans="1:11" x14ac:dyDescent="0.25">
      <c r="A4229" s="718">
        <v>2</v>
      </c>
      <c r="B4229" s="668"/>
      <c r="C4229" s="721"/>
      <c r="D4229" s="721"/>
      <c r="E4229" s="721"/>
      <c r="F4229" s="721"/>
      <c r="G4229" s="639"/>
      <c r="H4229" s="668"/>
      <c r="I4229" s="721"/>
      <c r="J4229" s="639"/>
      <c r="K4229" s="1124"/>
    </row>
    <row r="4230" spans="1:11" ht="13.8" thickBot="1" x14ac:dyDescent="0.3">
      <c r="A4230" s="719">
        <v>3</v>
      </c>
      <c r="B4230" s="669"/>
      <c r="C4230" s="1137"/>
      <c r="D4230" s="1137"/>
      <c r="E4230" s="1137"/>
      <c r="F4230" s="1137"/>
      <c r="G4230" s="646"/>
      <c r="H4230" s="669"/>
      <c r="I4230" s="1137"/>
      <c r="J4230" s="646"/>
      <c r="K4230" s="1138"/>
    </row>
    <row r="4231" spans="1:11" ht="13.8" thickBot="1" x14ac:dyDescent="0.3">
      <c r="A4231" s="1186" t="s">
        <v>909</v>
      </c>
      <c r="B4231" s="1187"/>
      <c r="C4231" s="1188"/>
      <c r="D4231" s="1188"/>
      <c r="E4231" s="1188"/>
      <c r="F4231" s="1188"/>
      <c r="G4231" s="1189"/>
      <c r="H4231" s="1187"/>
      <c r="I4231" s="1188"/>
      <c r="J4231" s="1189"/>
      <c r="K4231" s="716"/>
    </row>
    <row r="4232" spans="1:11" x14ac:dyDescent="0.25">
      <c r="A4232" s="1190">
        <v>1</v>
      </c>
      <c r="B4232" s="745"/>
      <c r="C4232" s="1117"/>
      <c r="D4232" s="1117"/>
      <c r="E4232" s="1117"/>
      <c r="F4232" s="1117"/>
      <c r="G4232" s="632"/>
      <c r="H4232" s="745"/>
      <c r="I4232" s="1117"/>
      <c r="J4232" s="632"/>
      <c r="K4232" s="1118"/>
    </row>
    <row r="4233" spans="1:11" x14ac:dyDescent="0.25">
      <c r="A4233" s="718">
        <v>2</v>
      </c>
      <c r="B4233" s="668"/>
      <c r="C4233" s="721"/>
      <c r="D4233" s="721"/>
      <c r="E4233" s="721"/>
      <c r="F4233" s="721"/>
      <c r="G4233" s="639"/>
      <c r="H4233" s="668"/>
      <c r="I4233" s="721"/>
      <c r="J4233" s="639"/>
      <c r="K4233" s="1124"/>
    </row>
    <row r="4234" spans="1:11" x14ac:dyDescent="0.25">
      <c r="A4234" s="718">
        <v>3</v>
      </c>
      <c r="B4234" s="668"/>
      <c r="C4234" s="721"/>
      <c r="D4234" s="721"/>
      <c r="E4234" s="721"/>
      <c r="F4234" s="721"/>
      <c r="G4234" s="639"/>
      <c r="H4234" s="668"/>
      <c r="I4234" s="721"/>
      <c r="J4234" s="639"/>
      <c r="K4234" s="1124"/>
    </row>
    <row r="4235" spans="1:11" x14ac:dyDescent="0.25">
      <c r="A4235" s="718">
        <v>4</v>
      </c>
      <c r="B4235" s="668"/>
      <c r="C4235" s="721"/>
      <c r="D4235" s="721"/>
      <c r="E4235" s="721"/>
      <c r="F4235" s="721"/>
      <c r="G4235" s="639"/>
      <c r="H4235" s="668"/>
      <c r="I4235" s="721"/>
      <c r="J4235" s="639"/>
      <c r="K4235" s="1124"/>
    </row>
    <row r="4236" spans="1:11" x14ac:dyDescent="0.25">
      <c r="A4236" s="718">
        <v>5</v>
      </c>
      <c r="B4236" s="668"/>
      <c r="C4236" s="721"/>
      <c r="D4236" s="721"/>
      <c r="E4236" s="721"/>
      <c r="F4236" s="721"/>
      <c r="G4236" s="639"/>
      <c r="H4236" s="668"/>
      <c r="I4236" s="721"/>
      <c r="J4236" s="639"/>
      <c r="K4236" s="1124"/>
    </row>
    <row r="4237" spans="1:11" ht="13.8" thickBot="1" x14ac:dyDescent="0.3">
      <c r="A4237" s="719">
        <v>6</v>
      </c>
      <c r="B4237" s="669"/>
      <c r="C4237" s="1137"/>
      <c r="D4237" s="1137"/>
      <c r="E4237" s="1137"/>
      <c r="F4237" s="1137"/>
      <c r="G4237" s="646"/>
      <c r="H4237" s="669"/>
      <c r="I4237" s="1137"/>
      <c r="J4237" s="646"/>
      <c r="K4237" s="1138"/>
    </row>
    <row r="4238" spans="1:11" x14ac:dyDescent="0.25">
      <c r="A4238" s="1190">
        <v>1</v>
      </c>
      <c r="B4238" s="745"/>
      <c r="C4238" s="1117"/>
      <c r="D4238" s="1117"/>
      <c r="E4238" s="1117"/>
      <c r="F4238" s="1117"/>
      <c r="G4238" s="632"/>
      <c r="H4238" s="745"/>
      <c r="I4238" s="1117"/>
      <c r="J4238" s="632"/>
      <c r="K4238" s="1118"/>
    </row>
    <row r="4239" spans="1:11" x14ac:dyDescent="0.25">
      <c r="A4239" s="718">
        <v>2</v>
      </c>
      <c r="B4239" s="668"/>
      <c r="C4239" s="721"/>
      <c r="D4239" s="721"/>
      <c r="E4239" s="721"/>
      <c r="F4239" s="721"/>
      <c r="G4239" s="639"/>
      <c r="H4239" s="668"/>
      <c r="I4239" s="721"/>
      <c r="J4239" s="639"/>
      <c r="K4239" s="1124"/>
    </row>
    <row r="4240" spans="1:11" ht="13.8" thickBot="1" x14ac:dyDescent="0.3">
      <c r="A4240" s="719">
        <v>3</v>
      </c>
      <c r="B4240" s="669"/>
      <c r="C4240" s="1137"/>
      <c r="D4240" s="1137"/>
      <c r="E4240" s="1137"/>
      <c r="F4240" s="1137"/>
      <c r="G4240" s="646"/>
      <c r="H4240" s="669"/>
      <c r="I4240" s="1137"/>
      <c r="J4240" s="646"/>
      <c r="K4240" s="1138"/>
    </row>
    <row r="4241" spans="1:11" ht="13.8" thickBot="1" x14ac:dyDescent="0.3">
      <c r="A4241" s="1186" t="s">
        <v>910</v>
      </c>
      <c r="B4241" s="1187"/>
      <c r="C4241" s="1188"/>
      <c r="D4241" s="1188"/>
      <c r="E4241" s="1188"/>
      <c r="F4241" s="1188"/>
      <c r="G4241" s="1189"/>
      <c r="H4241" s="1187"/>
      <c r="I4241" s="1188"/>
      <c r="J4241" s="1189"/>
      <c r="K4241" s="716"/>
    </row>
    <row r="4242" spans="1:11" x14ac:dyDescent="0.25">
      <c r="A4242" s="1190">
        <v>1</v>
      </c>
      <c r="B4242" s="745"/>
      <c r="C4242" s="1117"/>
      <c r="D4242" s="1117"/>
      <c r="E4242" s="1117"/>
      <c r="F4242" s="1117"/>
      <c r="G4242" s="632"/>
      <c r="H4242" s="745"/>
      <c r="I4242" s="1117"/>
      <c r="J4242" s="632"/>
      <c r="K4242" s="1118"/>
    </row>
    <row r="4243" spans="1:11" x14ac:dyDescent="0.25">
      <c r="A4243" s="718">
        <v>2</v>
      </c>
      <c r="B4243" s="668"/>
      <c r="C4243" s="721"/>
      <c r="D4243" s="721"/>
      <c r="E4243" s="721"/>
      <c r="F4243" s="721"/>
      <c r="G4243" s="639"/>
      <c r="H4243" s="668"/>
      <c r="I4243" s="721"/>
      <c r="J4243" s="639"/>
      <c r="K4243" s="1124"/>
    </row>
    <row r="4244" spans="1:11" x14ac:dyDescent="0.25">
      <c r="A4244" s="718">
        <v>3</v>
      </c>
      <c r="B4244" s="668"/>
      <c r="C4244" s="721"/>
      <c r="D4244" s="721"/>
      <c r="E4244" s="721"/>
      <c r="F4244" s="721"/>
      <c r="G4244" s="639"/>
      <c r="H4244" s="668"/>
      <c r="I4244" s="721"/>
      <c r="J4244" s="639"/>
      <c r="K4244" s="1124"/>
    </row>
    <row r="4245" spans="1:11" x14ac:dyDescent="0.25">
      <c r="A4245" s="718">
        <v>4</v>
      </c>
      <c r="B4245" s="668"/>
      <c r="C4245" s="721"/>
      <c r="D4245" s="721"/>
      <c r="E4245" s="721"/>
      <c r="F4245" s="721"/>
      <c r="G4245" s="639"/>
      <c r="H4245" s="668"/>
      <c r="I4245" s="721"/>
      <c r="J4245" s="639"/>
      <c r="K4245" s="1124"/>
    </row>
    <row r="4246" spans="1:11" x14ac:dyDescent="0.25">
      <c r="A4246" s="718">
        <v>5</v>
      </c>
      <c r="B4246" s="668"/>
      <c r="C4246" s="721"/>
      <c r="D4246" s="721"/>
      <c r="E4246" s="721"/>
      <c r="F4246" s="721"/>
      <c r="G4246" s="639"/>
      <c r="H4246" s="668"/>
      <c r="I4246" s="721"/>
      <c r="J4246" s="639"/>
      <c r="K4246" s="1124"/>
    </row>
    <row r="4247" spans="1:11" ht="13.8" thickBot="1" x14ac:dyDescent="0.3">
      <c r="A4247" s="719">
        <v>6</v>
      </c>
      <c r="B4247" s="669"/>
      <c r="C4247" s="1137"/>
      <c r="D4247" s="1137"/>
      <c r="E4247" s="1137"/>
      <c r="F4247" s="1137"/>
      <c r="G4247" s="646"/>
      <c r="H4247" s="669"/>
      <c r="I4247" s="1137"/>
      <c r="J4247" s="646"/>
      <c r="K4247" s="1138"/>
    </row>
    <row r="4248" spans="1:11" x14ac:dyDescent="0.25">
      <c r="A4248" s="1190">
        <v>1</v>
      </c>
      <c r="B4248" s="745"/>
      <c r="C4248" s="1117"/>
      <c r="D4248" s="1117"/>
      <c r="E4248" s="1117"/>
      <c r="F4248" s="1117"/>
      <c r="G4248" s="632"/>
      <c r="H4248" s="745"/>
      <c r="I4248" s="1117"/>
      <c r="J4248" s="632"/>
      <c r="K4248" s="1118"/>
    </row>
    <row r="4249" spans="1:11" x14ac:dyDescent="0.25">
      <c r="A4249" s="718">
        <v>2</v>
      </c>
      <c r="B4249" s="668"/>
      <c r="C4249" s="721"/>
      <c r="D4249" s="721"/>
      <c r="E4249" s="721"/>
      <c r="F4249" s="721"/>
      <c r="G4249" s="639"/>
      <c r="H4249" s="668"/>
      <c r="I4249" s="721"/>
      <c r="J4249" s="639"/>
      <c r="K4249" s="1124"/>
    </row>
    <row r="4250" spans="1:11" ht="13.8" thickBot="1" x14ac:dyDescent="0.3">
      <c r="A4250" s="1191">
        <v>3</v>
      </c>
      <c r="B4250" s="1132"/>
      <c r="C4250" s="1133"/>
      <c r="D4250" s="1133"/>
      <c r="E4250" s="1133"/>
      <c r="F4250" s="1133"/>
      <c r="G4250" s="1134"/>
      <c r="H4250" s="1132"/>
      <c r="I4250" s="1133"/>
      <c r="J4250" s="1134"/>
      <c r="K4250" s="1147"/>
    </row>
    <row r="4251" spans="1:11" ht="13.8" thickBot="1" x14ac:dyDescent="0.3">
      <c r="A4251" s="1186" t="s">
        <v>911</v>
      </c>
      <c r="B4251" s="1187"/>
      <c r="C4251" s="1188"/>
      <c r="D4251" s="1188"/>
      <c r="E4251" s="1188"/>
      <c r="F4251" s="1188"/>
      <c r="G4251" s="1189"/>
      <c r="H4251" s="1187"/>
      <c r="I4251" s="1188"/>
      <c r="J4251" s="1189"/>
      <c r="K4251" s="716"/>
    </row>
    <row r="4252" spans="1:11" x14ac:dyDescent="0.25">
      <c r="A4252" s="1190">
        <v>1</v>
      </c>
      <c r="B4252" s="745"/>
      <c r="C4252" s="1117"/>
      <c r="D4252" s="1117"/>
      <c r="E4252" s="1117"/>
      <c r="F4252" s="1117"/>
      <c r="G4252" s="632"/>
      <c r="H4252" s="745"/>
      <c r="I4252" s="1117"/>
      <c r="J4252" s="632"/>
      <c r="K4252" s="1118"/>
    </row>
    <row r="4253" spans="1:11" x14ac:dyDescent="0.25">
      <c r="A4253" s="718">
        <v>2</v>
      </c>
      <c r="B4253" s="668"/>
      <c r="C4253" s="721"/>
      <c r="D4253" s="721"/>
      <c r="E4253" s="721"/>
      <c r="F4253" s="721"/>
      <c r="G4253" s="639"/>
      <c r="H4253" s="668"/>
      <c r="I4253" s="721"/>
      <c r="J4253" s="639"/>
      <c r="K4253" s="1124"/>
    </row>
    <row r="4254" spans="1:11" x14ac:dyDescent="0.25">
      <c r="A4254" s="718">
        <v>3</v>
      </c>
      <c r="B4254" s="668"/>
      <c r="C4254" s="721"/>
      <c r="D4254" s="721"/>
      <c r="E4254" s="721"/>
      <c r="F4254" s="721"/>
      <c r="G4254" s="639"/>
      <c r="H4254" s="668"/>
      <c r="I4254" s="721"/>
      <c r="J4254" s="639"/>
      <c r="K4254" s="1124"/>
    </row>
    <row r="4255" spans="1:11" x14ac:dyDescent="0.25">
      <c r="A4255" s="718">
        <v>4</v>
      </c>
      <c r="B4255" s="668"/>
      <c r="C4255" s="721"/>
      <c r="D4255" s="721"/>
      <c r="E4255" s="721"/>
      <c r="F4255" s="721"/>
      <c r="G4255" s="639"/>
      <c r="H4255" s="668"/>
      <c r="I4255" s="721"/>
      <c r="J4255" s="639"/>
      <c r="K4255" s="1124"/>
    </row>
    <row r="4256" spans="1:11" x14ac:dyDescent="0.25">
      <c r="A4256" s="718">
        <v>5</v>
      </c>
      <c r="B4256" s="668"/>
      <c r="C4256" s="721"/>
      <c r="D4256" s="721"/>
      <c r="E4256" s="721"/>
      <c r="F4256" s="721"/>
      <c r="G4256" s="639"/>
      <c r="H4256" s="668"/>
      <c r="I4256" s="721"/>
      <c r="J4256" s="639"/>
      <c r="K4256" s="1124"/>
    </row>
    <row r="4257" spans="1:11" ht="13.8" thickBot="1" x14ac:dyDescent="0.3">
      <c r="A4257" s="719">
        <v>6</v>
      </c>
      <c r="B4257" s="669"/>
      <c r="C4257" s="1137"/>
      <c r="D4257" s="1137"/>
      <c r="E4257" s="1137"/>
      <c r="F4257" s="1137"/>
      <c r="G4257" s="646"/>
      <c r="H4257" s="669"/>
      <c r="I4257" s="1137"/>
      <c r="J4257" s="646"/>
      <c r="K4257" s="1138"/>
    </row>
    <row r="4258" spans="1:11" x14ac:dyDescent="0.25">
      <c r="A4258" s="1190">
        <v>1</v>
      </c>
      <c r="B4258" s="745"/>
      <c r="C4258" s="1117"/>
      <c r="D4258" s="1117"/>
      <c r="E4258" s="1117"/>
      <c r="F4258" s="1117"/>
      <c r="G4258" s="632"/>
      <c r="H4258" s="745"/>
      <c r="I4258" s="1117"/>
      <c r="J4258" s="632"/>
      <c r="K4258" s="1118"/>
    </row>
    <row r="4259" spans="1:11" x14ac:dyDescent="0.25">
      <c r="A4259" s="718">
        <v>2</v>
      </c>
      <c r="B4259" s="668"/>
      <c r="C4259" s="721"/>
      <c r="D4259" s="721"/>
      <c r="E4259" s="721"/>
      <c r="F4259" s="721"/>
      <c r="G4259" s="639"/>
      <c r="H4259" s="668"/>
      <c r="I4259" s="721"/>
      <c r="J4259" s="639"/>
      <c r="K4259" s="1124"/>
    </row>
    <row r="4260" spans="1:11" ht="13.8" thickBot="1" x14ac:dyDescent="0.3">
      <c r="A4260" s="719">
        <v>3</v>
      </c>
      <c r="B4260" s="669"/>
      <c r="C4260" s="1137"/>
      <c r="D4260" s="1137"/>
      <c r="E4260" s="1137"/>
      <c r="F4260" s="1137"/>
      <c r="G4260" s="646"/>
      <c r="H4260" s="669"/>
      <c r="I4260" s="1137"/>
      <c r="J4260" s="646"/>
      <c r="K4260" s="1138"/>
    </row>
    <row r="4261" spans="1:11" ht="13.8" thickBot="1" x14ac:dyDescent="0.3">
      <c r="A4261" s="1186" t="s">
        <v>912</v>
      </c>
      <c r="B4261" s="1187"/>
      <c r="C4261" s="1188"/>
      <c r="D4261" s="1188"/>
      <c r="E4261" s="1188"/>
      <c r="F4261" s="1188"/>
      <c r="G4261" s="1189"/>
      <c r="H4261" s="1187"/>
      <c r="I4261" s="1188"/>
      <c r="J4261" s="1189"/>
      <c r="K4261" s="716"/>
    </row>
    <row r="4262" spans="1:11" x14ac:dyDescent="0.25">
      <c r="A4262" s="1190">
        <v>1</v>
      </c>
      <c r="B4262" s="745"/>
      <c r="C4262" s="1117"/>
      <c r="D4262" s="1117"/>
      <c r="E4262" s="1117"/>
      <c r="F4262" s="1117"/>
      <c r="G4262" s="632"/>
      <c r="H4262" s="745"/>
      <c r="I4262" s="1117"/>
      <c r="J4262" s="632"/>
      <c r="K4262" s="1118"/>
    </row>
    <row r="4263" spans="1:11" x14ac:dyDescent="0.25">
      <c r="A4263" s="718">
        <v>2</v>
      </c>
      <c r="B4263" s="668"/>
      <c r="C4263" s="721"/>
      <c r="D4263" s="721"/>
      <c r="E4263" s="721"/>
      <c r="F4263" s="721"/>
      <c r="G4263" s="639"/>
      <c r="H4263" s="668"/>
      <c r="I4263" s="721"/>
      <c r="J4263" s="639"/>
      <c r="K4263" s="1124"/>
    </row>
    <row r="4264" spans="1:11" x14ac:dyDescent="0.25">
      <c r="A4264" s="718">
        <v>3</v>
      </c>
      <c r="B4264" s="668"/>
      <c r="C4264" s="721"/>
      <c r="D4264" s="721"/>
      <c r="E4264" s="721"/>
      <c r="F4264" s="721"/>
      <c r="G4264" s="639"/>
      <c r="H4264" s="668"/>
      <c r="I4264" s="721"/>
      <c r="J4264" s="639"/>
      <c r="K4264" s="1124"/>
    </row>
    <row r="4265" spans="1:11" x14ac:dyDescent="0.25">
      <c r="A4265" s="718">
        <v>4</v>
      </c>
      <c r="B4265" s="668"/>
      <c r="C4265" s="721"/>
      <c r="D4265" s="721"/>
      <c r="E4265" s="721"/>
      <c r="F4265" s="721"/>
      <c r="G4265" s="639"/>
      <c r="H4265" s="668"/>
      <c r="I4265" s="721"/>
      <c r="J4265" s="639"/>
      <c r="K4265" s="1124"/>
    </row>
    <row r="4266" spans="1:11" x14ac:dyDescent="0.25">
      <c r="A4266" s="718">
        <v>5</v>
      </c>
      <c r="B4266" s="668"/>
      <c r="C4266" s="721"/>
      <c r="D4266" s="721"/>
      <c r="E4266" s="721"/>
      <c r="F4266" s="721"/>
      <c r="G4266" s="639"/>
      <c r="H4266" s="668"/>
      <c r="I4266" s="721"/>
      <c r="J4266" s="639"/>
      <c r="K4266" s="1124"/>
    </row>
    <row r="4267" spans="1:11" ht="13.8" thickBot="1" x14ac:dyDescent="0.3">
      <c r="A4267" s="719">
        <v>6</v>
      </c>
      <c r="B4267" s="669"/>
      <c r="C4267" s="1137"/>
      <c r="D4267" s="1137"/>
      <c r="E4267" s="1137"/>
      <c r="F4267" s="1137"/>
      <c r="G4267" s="646"/>
      <c r="H4267" s="669"/>
      <c r="I4267" s="1137"/>
      <c r="J4267" s="646"/>
      <c r="K4267" s="1138"/>
    </row>
    <row r="4268" spans="1:11" x14ac:dyDescent="0.25">
      <c r="A4268" s="1190">
        <v>1</v>
      </c>
      <c r="B4268" s="745"/>
      <c r="C4268" s="1117"/>
      <c r="D4268" s="1117"/>
      <c r="E4268" s="1117"/>
      <c r="F4268" s="1117"/>
      <c r="G4268" s="632"/>
      <c r="H4268" s="745"/>
      <c r="I4268" s="1117"/>
      <c r="J4268" s="632"/>
      <c r="K4268" s="1118"/>
    </row>
    <row r="4269" spans="1:11" x14ac:dyDescent="0.25">
      <c r="A4269" s="718">
        <v>2</v>
      </c>
      <c r="B4269" s="668"/>
      <c r="C4269" s="721"/>
      <c r="D4269" s="721"/>
      <c r="E4269" s="721"/>
      <c r="F4269" s="721"/>
      <c r="G4269" s="639"/>
      <c r="H4269" s="668"/>
      <c r="I4269" s="721"/>
      <c r="J4269" s="639"/>
      <c r="K4269" s="1124"/>
    </row>
    <row r="4270" spans="1:11" ht="13.8" thickBot="1" x14ac:dyDescent="0.3">
      <c r="A4270" s="719">
        <v>3</v>
      </c>
      <c r="B4270" s="669"/>
      <c r="C4270" s="1137"/>
      <c r="D4270" s="1137"/>
      <c r="E4270" s="1137"/>
      <c r="F4270" s="1137"/>
      <c r="G4270" s="646"/>
      <c r="H4270" s="669"/>
      <c r="I4270" s="1137"/>
      <c r="J4270" s="646"/>
      <c r="K4270" s="1138"/>
    </row>
    <row r="4271" spans="1:11" ht="13.8" thickBot="1" x14ac:dyDescent="0.3">
      <c r="A4271" s="1186" t="s">
        <v>913</v>
      </c>
      <c r="B4271" s="1187"/>
      <c r="C4271" s="1188"/>
      <c r="D4271" s="1188"/>
      <c r="E4271" s="1188"/>
      <c r="F4271" s="1188"/>
      <c r="G4271" s="1189"/>
      <c r="H4271" s="1187"/>
      <c r="I4271" s="1188"/>
      <c r="J4271" s="1189"/>
      <c r="K4271" s="716"/>
    </row>
    <row r="4272" spans="1:11" x14ac:dyDescent="0.25">
      <c r="A4272" s="1190">
        <v>1</v>
      </c>
      <c r="B4272" s="745"/>
      <c r="C4272" s="1117"/>
      <c r="D4272" s="1117"/>
      <c r="E4272" s="1117"/>
      <c r="F4272" s="1117"/>
      <c r="G4272" s="632"/>
      <c r="H4272" s="745"/>
      <c r="I4272" s="1117"/>
      <c r="J4272" s="632"/>
      <c r="K4272" s="1118"/>
    </row>
    <row r="4273" spans="1:11" x14ac:dyDescent="0.25">
      <c r="A4273" s="718">
        <v>2</v>
      </c>
      <c r="B4273" s="668"/>
      <c r="C4273" s="721"/>
      <c r="D4273" s="721"/>
      <c r="E4273" s="721"/>
      <c r="F4273" s="721"/>
      <c r="G4273" s="639"/>
      <c r="H4273" s="668"/>
      <c r="I4273" s="721"/>
      <c r="J4273" s="639"/>
      <c r="K4273" s="1124"/>
    </row>
    <row r="4274" spans="1:11" x14ac:dyDescent="0.25">
      <c r="A4274" s="718">
        <v>3</v>
      </c>
      <c r="B4274" s="668"/>
      <c r="C4274" s="721"/>
      <c r="D4274" s="721"/>
      <c r="E4274" s="721"/>
      <c r="F4274" s="721"/>
      <c r="G4274" s="639"/>
      <c r="H4274" s="668"/>
      <c r="I4274" s="721"/>
      <c r="J4274" s="639"/>
      <c r="K4274" s="1124"/>
    </row>
    <row r="4275" spans="1:11" x14ac:dyDescent="0.25">
      <c r="A4275" s="718">
        <v>4</v>
      </c>
      <c r="B4275" s="668"/>
      <c r="C4275" s="721"/>
      <c r="D4275" s="721"/>
      <c r="E4275" s="721"/>
      <c r="F4275" s="721"/>
      <c r="G4275" s="639"/>
      <c r="H4275" s="668"/>
      <c r="I4275" s="721"/>
      <c r="J4275" s="639"/>
      <c r="K4275" s="1124"/>
    </row>
    <row r="4276" spans="1:11" x14ac:dyDescent="0.25">
      <c r="A4276" s="718">
        <v>5</v>
      </c>
      <c r="B4276" s="668"/>
      <c r="C4276" s="721"/>
      <c r="D4276" s="721"/>
      <c r="E4276" s="721"/>
      <c r="F4276" s="721"/>
      <c r="G4276" s="639"/>
      <c r="H4276" s="668"/>
      <c r="I4276" s="721"/>
      <c r="J4276" s="639"/>
      <c r="K4276" s="1124"/>
    </row>
    <row r="4277" spans="1:11" ht="13.8" thickBot="1" x14ac:dyDescent="0.3">
      <c r="A4277" s="719">
        <v>6</v>
      </c>
      <c r="B4277" s="669"/>
      <c r="C4277" s="1137"/>
      <c r="D4277" s="1137"/>
      <c r="E4277" s="1137"/>
      <c r="F4277" s="1137"/>
      <c r="G4277" s="646"/>
      <c r="H4277" s="669"/>
      <c r="I4277" s="1137"/>
      <c r="J4277" s="646"/>
      <c r="K4277" s="1138"/>
    </row>
    <row r="4278" spans="1:11" x14ac:dyDescent="0.25">
      <c r="A4278" s="1190">
        <v>1</v>
      </c>
      <c r="B4278" s="745"/>
      <c r="C4278" s="1117"/>
      <c r="D4278" s="1117"/>
      <c r="E4278" s="1117"/>
      <c r="F4278" s="1117"/>
      <c r="G4278" s="632"/>
      <c r="H4278" s="745"/>
      <c r="I4278" s="1117"/>
      <c r="J4278" s="632"/>
      <c r="K4278" s="1118"/>
    </row>
    <row r="4279" spans="1:11" x14ac:dyDescent="0.25">
      <c r="A4279" s="718">
        <v>2</v>
      </c>
      <c r="B4279" s="668"/>
      <c r="C4279" s="721"/>
      <c r="D4279" s="721"/>
      <c r="E4279" s="721"/>
      <c r="F4279" s="721"/>
      <c r="G4279" s="639"/>
      <c r="H4279" s="668"/>
      <c r="I4279" s="721"/>
      <c r="J4279" s="639"/>
      <c r="K4279" s="1124"/>
    </row>
    <row r="4280" spans="1:11" ht="13.8" thickBot="1" x14ac:dyDescent="0.3">
      <c r="A4280" s="719">
        <v>3</v>
      </c>
      <c r="B4280" s="669"/>
      <c r="C4280" s="1137"/>
      <c r="D4280" s="1137"/>
      <c r="E4280" s="1137"/>
      <c r="F4280" s="1137"/>
      <c r="G4280" s="646"/>
      <c r="H4280" s="669"/>
      <c r="I4280" s="1137"/>
      <c r="J4280" s="646"/>
      <c r="K4280" s="1138"/>
    </row>
    <row r="4281" spans="1:11" ht="13.8" thickBot="1" x14ac:dyDescent="0.3">
      <c r="A4281" s="1186" t="s">
        <v>914</v>
      </c>
      <c r="B4281" s="1187"/>
      <c r="C4281" s="1188"/>
      <c r="D4281" s="1188"/>
      <c r="E4281" s="1188"/>
      <c r="F4281" s="1188"/>
      <c r="G4281" s="1189"/>
      <c r="H4281" s="1187"/>
      <c r="I4281" s="1188"/>
      <c r="J4281" s="1189"/>
      <c r="K4281" s="716"/>
    </row>
    <row r="4282" spans="1:11" x14ac:dyDescent="0.25">
      <c r="A4282" s="1190">
        <v>1</v>
      </c>
      <c r="B4282" s="745"/>
      <c r="C4282" s="1117"/>
      <c r="D4282" s="1117"/>
      <c r="E4282" s="1117"/>
      <c r="F4282" s="1117"/>
      <c r="G4282" s="632"/>
      <c r="H4282" s="745"/>
      <c r="I4282" s="1117"/>
      <c r="J4282" s="632"/>
      <c r="K4282" s="1118"/>
    </row>
    <row r="4283" spans="1:11" x14ac:dyDescent="0.25">
      <c r="A4283" s="718">
        <v>2</v>
      </c>
      <c r="B4283" s="668"/>
      <c r="C4283" s="721"/>
      <c r="D4283" s="721"/>
      <c r="E4283" s="721"/>
      <c r="F4283" s="721"/>
      <c r="G4283" s="639"/>
      <c r="H4283" s="668"/>
      <c r="I4283" s="721"/>
      <c r="J4283" s="639"/>
      <c r="K4283" s="1124"/>
    </row>
    <row r="4284" spans="1:11" x14ac:dyDescent="0.25">
      <c r="A4284" s="718">
        <v>3</v>
      </c>
      <c r="B4284" s="668"/>
      <c r="C4284" s="721"/>
      <c r="D4284" s="721"/>
      <c r="E4284" s="721"/>
      <c r="F4284" s="721"/>
      <c r="G4284" s="639"/>
      <c r="H4284" s="668"/>
      <c r="I4284" s="721"/>
      <c r="J4284" s="639"/>
      <c r="K4284" s="1124"/>
    </row>
    <row r="4285" spans="1:11" x14ac:dyDescent="0.25">
      <c r="A4285" s="718">
        <v>4</v>
      </c>
      <c r="B4285" s="668"/>
      <c r="C4285" s="721"/>
      <c r="D4285" s="721"/>
      <c r="E4285" s="721"/>
      <c r="F4285" s="721"/>
      <c r="G4285" s="639"/>
      <c r="H4285" s="668"/>
      <c r="I4285" s="721"/>
      <c r="J4285" s="639"/>
      <c r="K4285" s="1124"/>
    </row>
    <row r="4286" spans="1:11" x14ac:dyDescent="0.25">
      <c r="A4286" s="718">
        <v>5</v>
      </c>
      <c r="B4286" s="668"/>
      <c r="C4286" s="721"/>
      <c r="D4286" s="721"/>
      <c r="E4286" s="721"/>
      <c r="F4286" s="721"/>
      <c r="G4286" s="639"/>
      <c r="H4286" s="668"/>
      <c r="I4286" s="721"/>
      <c r="J4286" s="639"/>
      <c r="K4286" s="1124"/>
    </row>
    <row r="4287" spans="1:11" ht="13.8" thickBot="1" x14ac:dyDescent="0.3">
      <c r="A4287" s="719">
        <v>6</v>
      </c>
      <c r="B4287" s="669"/>
      <c r="C4287" s="1137"/>
      <c r="D4287" s="1137"/>
      <c r="E4287" s="1137"/>
      <c r="F4287" s="1137"/>
      <c r="G4287" s="646"/>
      <c r="H4287" s="669"/>
      <c r="I4287" s="1137"/>
      <c r="J4287" s="646"/>
      <c r="K4287" s="1138"/>
    </row>
    <row r="4288" spans="1:11" x14ac:dyDescent="0.25">
      <c r="A4288" s="1190">
        <v>1</v>
      </c>
      <c r="B4288" s="745"/>
      <c r="C4288" s="1117"/>
      <c r="D4288" s="1117"/>
      <c r="E4288" s="1117"/>
      <c r="F4288" s="1117"/>
      <c r="G4288" s="632"/>
      <c r="H4288" s="745"/>
      <c r="I4288" s="1117"/>
      <c r="J4288" s="632"/>
      <c r="K4288" s="1118"/>
    </row>
    <row r="4289" spans="1:11" x14ac:dyDescent="0.25">
      <c r="A4289" s="718">
        <v>2</v>
      </c>
      <c r="B4289" s="668"/>
      <c r="C4289" s="721"/>
      <c r="D4289" s="721"/>
      <c r="E4289" s="721"/>
      <c r="F4289" s="721"/>
      <c r="G4289" s="639"/>
      <c r="H4289" s="668"/>
      <c r="I4289" s="721"/>
      <c r="J4289" s="639"/>
      <c r="K4289" s="1124"/>
    </row>
    <row r="4290" spans="1:11" ht="13.8" thickBot="1" x14ac:dyDescent="0.3">
      <c r="A4290" s="1191">
        <v>3</v>
      </c>
      <c r="B4290" s="1132"/>
      <c r="C4290" s="1133"/>
      <c r="D4290" s="1133"/>
      <c r="E4290" s="1133"/>
      <c r="F4290" s="1133"/>
      <c r="G4290" s="1134"/>
      <c r="H4290" s="1132"/>
      <c r="I4290" s="1133"/>
      <c r="J4290" s="1134"/>
      <c r="K4290" s="1147"/>
    </row>
    <row r="4291" spans="1:11" ht="13.8" thickBot="1" x14ac:dyDescent="0.3">
      <c r="A4291" s="1186" t="s">
        <v>915</v>
      </c>
      <c r="B4291" s="1187"/>
      <c r="C4291" s="1188"/>
      <c r="D4291" s="1188"/>
      <c r="E4291" s="1188"/>
      <c r="F4291" s="1188"/>
      <c r="G4291" s="1189"/>
      <c r="H4291" s="1187"/>
      <c r="I4291" s="1188"/>
      <c r="J4291" s="1189"/>
      <c r="K4291" s="716"/>
    </row>
    <row r="4292" spans="1:11" x14ac:dyDescent="0.25">
      <c r="A4292" s="1190">
        <v>1</v>
      </c>
      <c r="B4292" s="745"/>
      <c r="C4292" s="1117"/>
      <c r="D4292" s="1117"/>
      <c r="E4292" s="1117"/>
      <c r="F4292" s="1117"/>
      <c r="G4292" s="632"/>
      <c r="H4292" s="745"/>
      <c r="I4292" s="1117"/>
      <c r="J4292" s="632"/>
      <c r="K4292" s="1118"/>
    </row>
    <row r="4293" spans="1:11" x14ac:dyDescent="0.25">
      <c r="A4293" s="718">
        <v>2</v>
      </c>
      <c r="B4293" s="668"/>
      <c r="C4293" s="721"/>
      <c r="D4293" s="721"/>
      <c r="E4293" s="721"/>
      <c r="F4293" s="721"/>
      <c r="G4293" s="639"/>
      <c r="H4293" s="668"/>
      <c r="I4293" s="721"/>
      <c r="J4293" s="639"/>
      <c r="K4293" s="1124"/>
    </row>
    <row r="4294" spans="1:11" x14ac:dyDescent="0.25">
      <c r="A4294" s="718">
        <v>3</v>
      </c>
      <c r="B4294" s="668"/>
      <c r="C4294" s="721"/>
      <c r="D4294" s="721"/>
      <c r="E4294" s="721"/>
      <c r="F4294" s="721"/>
      <c r="G4294" s="639"/>
      <c r="H4294" s="668"/>
      <c r="I4294" s="721"/>
      <c r="J4294" s="639"/>
      <c r="K4294" s="1124"/>
    </row>
    <row r="4295" spans="1:11" x14ac:dyDescent="0.25">
      <c r="A4295" s="718">
        <v>4</v>
      </c>
      <c r="B4295" s="668"/>
      <c r="C4295" s="721"/>
      <c r="D4295" s="721"/>
      <c r="E4295" s="721"/>
      <c r="F4295" s="721"/>
      <c r="G4295" s="639"/>
      <c r="H4295" s="668"/>
      <c r="I4295" s="721"/>
      <c r="J4295" s="639"/>
      <c r="K4295" s="1124"/>
    </row>
    <row r="4296" spans="1:11" x14ac:dyDescent="0.25">
      <c r="A4296" s="718">
        <v>5</v>
      </c>
      <c r="B4296" s="668"/>
      <c r="C4296" s="721"/>
      <c r="D4296" s="721"/>
      <c r="E4296" s="721"/>
      <c r="F4296" s="721"/>
      <c r="G4296" s="639"/>
      <c r="H4296" s="668"/>
      <c r="I4296" s="721"/>
      <c r="J4296" s="639"/>
      <c r="K4296" s="1124"/>
    </row>
    <row r="4297" spans="1:11" ht="13.8" thickBot="1" x14ac:dyDescent="0.3">
      <c r="A4297" s="719">
        <v>6</v>
      </c>
      <c r="B4297" s="669"/>
      <c r="C4297" s="1137"/>
      <c r="D4297" s="1137"/>
      <c r="E4297" s="1137"/>
      <c r="F4297" s="1137"/>
      <c r="G4297" s="646"/>
      <c r="H4297" s="669"/>
      <c r="I4297" s="1137"/>
      <c r="J4297" s="646"/>
      <c r="K4297" s="1138"/>
    </row>
    <row r="4298" spans="1:11" x14ac:dyDescent="0.25">
      <c r="A4298" s="1190">
        <v>1</v>
      </c>
      <c r="B4298" s="745"/>
      <c r="C4298" s="1117"/>
      <c r="D4298" s="1117"/>
      <c r="E4298" s="1117"/>
      <c r="F4298" s="1117"/>
      <c r="G4298" s="632"/>
      <c r="H4298" s="745"/>
      <c r="I4298" s="1117"/>
      <c r="J4298" s="632"/>
      <c r="K4298" s="1118"/>
    </row>
    <row r="4299" spans="1:11" x14ac:dyDescent="0.25">
      <c r="A4299" s="718">
        <v>2</v>
      </c>
      <c r="B4299" s="668"/>
      <c r="C4299" s="721"/>
      <c r="D4299" s="721"/>
      <c r="E4299" s="721"/>
      <c r="F4299" s="721"/>
      <c r="G4299" s="639"/>
      <c r="H4299" s="668"/>
      <c r="I4299" s="721"/>
      <c r="J4299" s="639"/>
      <c r="K4299" s="1124"/>
    </row>
    <row r="4300" spans="1:11" ht="13.8" thickBot="1" x14ac:dyDescent="0.3">
      <c r="A4300" s="719">
        <v>3</v>
      </c>
      <c r="B4300" s="669"/>
      <c r="C4300" s="1137"/>
      <c r="D4300" s="1137"/>
      <c r="E4300" s="1137"/>
      <c r="F4300" s="1137"/>
      <c r="G4300" s="646"/>
      <c r="H4300" s="669"/>
      <c r="I4300" s="1137"/>
      <c r="J4300" s="646"/>
      <c r="K4300" s="1138"/>
    </row>
    <row r="4301" spans="1:11" ht="13.8" thickBot="1" x14ac:dyDescent="0.3">
      <c r="A4301" s="1186" t="s">
        <v>916</v>
      </c>
      <c r="B4301" s="1187"/>
      <c r="C4301" s="1188"/>
      <c r="D4301" s="1188"/>
      <c r="E4301" s="1188"/>
      <c r="F4301" s="1188"/>
      <c r="G4301" s="1189"/>
      <c r="H4301" s="1187"/>
      <c r="I4301" s="1188"/>
      <c r="J4301" s="1189"/>
      <c r="K4301" s="716"/>
    </row>
    <row r="4302" spans="1:11" x14ac:dyDescent="0.25">
      <c r="A4302" s="1190">
        <v>1</v>
      </c>
      <c r="B4302" s="745"/>
      <c r="C4302" s="1117"/>
      <c r="D4302" s="1117"/>
      <c r="E4302" s="1117"/>
      <c r="F4302" s="1117"/>
      <c r="G4302" s="632"/>
      <c r="H4302" s="745"/>
      <c r="I4302" s="1117"/>
      <c r="J4302" s="632"/>
      <c r="K4302" s="1118"/>
    </row>
    <row r="4303" spans="1:11" x14ac:dyDescent="0.25">
      <c r="A4303" s="718">
        <v>2</v>
      </c>
      <c r="B4303" s="668"/>
      <c r="C4303" s="721"/>
      <c r="D4303" s="721"/>
      <c r="E4303" s="721"/>
      <c r="F4303" s="721"/>
      <c r="G4303" s="639"/>
      <c r="H4303" s="668"/>
      <c r="I4303" s="721"/>
      <c r="J4303" s="639"/>
      <c r="K4303" s="1124"/>
    </row>
    <row r="4304" spans="1:11" x14ac:dyDescent="0.25">
      <c r="A4304" s="718">
        <v>3</v>
      </c>
      <c r="B4304" s="668"/>
      <c r="C4304" s="721"/>
      <c r="D4304" s="721"/>
      <c r="E4304" s="721"/>
      <c r="F4304" s="721"/>
      <c r="G4304" s="639"/>
      <c r="H4304" s="668"/>
      <c r="I4304" s="721"/>
      <c r="J4304" s="639"/>
      <c r="K4304" s="1124"/>
    </row>
    <row r="4305" spans="1:11" x14ac:dyDescent="0.25">
      <c r="A4305" s="718">
        <v>4</v>
      </c>
      <c r="B4305" s="668"/>
      <c r="C4305" s="721"/>
      <c r="D4305" s="721"/>
      <c r="E4305" s="721"/>
      <c r="F4305" s="721"/>
      <c r="G4305" s="639"/>
      <c r="H4305" s="668"/>
      <c r="I4305" s="721"/>
      <c r="J4305" s="639"/>
      <c r="K4305" s="1124"/>
    </row>
    <row r="4306" spans="1:11" x14ac:dyDescent="0.25">
      <c r="A4306" s="718">
        <v>5</v>
      </c>
      <c r="B4306" s="668"/>
      <c r="C4306" s="721"/>
      <c r="D4306" s="721"/>
      <c r="E4306" s="721"/>
      <c r="F4306" s="721"/>
      <c r="G4306" s="639"/>
      <c r="H4306" s="668"/>
      <c r="I4306" s="721"/>
      <c r="J4306" s="639"/>
      <c r="K4306" s="1124"/>
    </row>
    <row r="4307" spans="1:11" ht="13.8" thickBot="1" x14ac:dyDescent="0.3">
      <c r="A4307" s="719">
        <v>6</v>
      </c>
      <c r="B4307" s="669"/>
      <c r="C4307" s="1137"/>
      <c r="D4307" s="1137"/>
      <c r="E4307" s="1137"/>
      <c r="F4307" s="1137"/>
      <c r="G4307" s="646"/>
      <c r="H4307" s="669"/>
      <c r="I4307" s="1137"/>
      <c r="J4307" s="646"/>
      <c r="K4307" s="1138"/>
    </row>
    <row r="4308" spans="1:11" x14ac:dyDescent="0.25">
      <c r="A4308" s="1190">
        <v>1</v>
      </c>
      <c r="B4308" s="745"/>
      <c r="C4308" s="1117"/>
      <c r="D4308" s="1117"/>
      <c r="E4308" s="1117"/>
      <c r="F4308" s="1117"/>
      <c r="G4308" s="632"/>
      <c r="H4308" s="745"/>
      <c r="I4308" s="1117"/>
      <c r="J4308" s="632"/>
      <c r="K4308" s="1118"/>
    </row>
    <row r="4309" spans="1:11" x14ac:dyDescent="0.25">
      <c r="A4309" s="718">
        <v>2</v>
      </c>
      <c r="B4309" s="668"/>
      <c r="C4309" s="721"/>
      <c r="D4309" s="721"/>
      <c r="E4309" s="721"/>
      <c r="F4309" s="721"/>
      <c r="G4309" s="639"/>
      <c r="H4309" s="668"/>
      <c r="I4309" s="721"/>
      <c r="J4309" s="639"/>
      <c r="K4309" s="1124"/>
    </row>
    <row r="4310" spans="1:11" ht="13.8" thickBot="1" x14ac:dyDescent="0.3">
      <c r="A4310" s="719">
        <v>3</v>
      </c>
      <c r="B4310" s="669"/>
      <c r="C4310" s="1137"/>
      <c r="D4310" s="1137"/>
      <c r="E4310" s="1137"/>
      <c r="F4310" s="1137"/>
      <c r="G4310" s="646"/>
      <c r="H4310" s="669"/>
      <c r="I4310" s="1137"/>
      <c r="J4310" s="646"/>
      <c r="K4310" s="1138"/>
    </row>
    <row r="4311" spans="1:11" ht="13.8" thickBot="1" x14ac:dyDescent="0.3">
      <c r="A4311" s="1186" t="s">
        <v>917</v>
      </c>
      <c r="B4311" s="1187"/>
      <c r="C4311" s="1188"/>
      <c r="D4311" s="1188"/>
      <c r="E4311" s="1188"/>
      <c r="F4311" s="1188"/>
      <c r="G4311" s="1189"/>
      <c r="H4311" s="1187"/>
      <c r="I4311" s="1188"/>
      <c r="J4311" s="1189"/>
      <c r="K4311" s="716"/>
    </row>
    <row r="4312" spans="1:11" x14ac:dyDescent="0.25">
      <c r="A4312" s="1190">
        <v>1</v>
      </c>
      <c r="B4312" s="745"/>
      <c r="C4312" s="1117"/>
      <c r="D4312" s="1117"/>
      <c r="E4312" s="1117"/>
      <c r="F4312" s="1117"/>
      <c r="G4312" s="632"/>
      <c r="H4312" s="745"/>
      <c r="I4312" s="1117"/>
      <c r="J4312" s="632"/>
      <c r="K4312" s="1118"/>
    </row>
    <row r="4313" spans="1:11" x14ac:dyDescent="0.25">
      <c r="A4313" s="718">
        <v>2</v>
      </c>
      <c r="B4313" s="668"/>
      <c r="C4313" s="721"/>
      <c r="D4313" s="721"/>
      <c r="E4313" s="721"/>
      <c r="F4313" s="721"/>
      <c r="G4313" s="639"/>
      <c r="H4313" s="668"/>
      <c r="I4313" s="721"/>
      <c r="J4313" s="639"/>
      <c r="K4313" s="1124"/>
    </row>
    <row r="4314" spans="1:11" x14ac:dyDescent="0.25">
      <c r="A4314" s="718">
        <v>3</v>
      </c>
      <c r="B4314" s="668"/>
      <c r="C4314" s="721"/>
      <c r="D4314" s="721"/>
      <c r="E4314" s="721"/>
      <c r="F4314" s="721"/>
      <c r="G4314" s="639"/>
      <c r="H4314" s="668"/>
      <c r="I4314" s="721"/>
      <c r="J4314" s="639"/>
      <c r="K4314" s="1124"/>
    </row>
    <row r="4315" spans="1:11" x14ac:dyDescent="0.25">
      <c r="A4315" s="718">
        <v>4</v>
      </c>
      <c r="B4315" s="668"/>
      <c r="C4315" s="721"/>
      <c r="D4315" s="721"/>
      <c r="E4315" s="721"/>
      <c r="F4315" s="721"/>
      <c r="G4315" s="639"/>
      <c r="H4315" s="668"/>
      <c r="I4315" s="721"/>
      <c r="J4315" s="639"/>
      <c r="K4315" s="1124"/>
    </row>
    <row r="4316" spans="1:11" x14ac:dyDescent="0.25">
      <c r="A4316" s="718">
        <v>5</v>
      </c>
      <c r="B4316" s="668"/>
      <c r="C4316" s="721"/>
      <c r="D4316" s="721"/>
      <c r="E4316" s="721"/>
      <c r="F4316" s="721"/>
      <c r="G4316" s="639"/>
      <c r="H4316" s="668"/>
      <c r="I4316" s="721"/>
      <c r="J4316" s="639"/>
      <c r="K4316" s="1124"/>
    </row>
    <row r="4317" spans="1:11" ht="13.8" thickBot="1" x14ac:dyDescent="0.3">
      <c r="A4317" s="719">
        <v>6</v>
      </c>
      <c r="B4317" s="669"/>
      <c r="C4317" s="1137"/>
      <c r="D4317" s="1137"/>
      <c r="E4317" s="1137"/>
      <c r="F4317" s="1137"/>
      <c r="G4317" s="646"/>
      <c r="H4317" s="669"/>
      <c r="I4317" s="1137"/>
      <c r="J4317" s="646"/>
      <c r="K4317" s="1138"/>
    </row>
    <row r="4318" spans="1:11" x14ac:dyDescent="0.25">
      <c r="A4318" s="1190">
        <v>1</v>
      </c>
      <c r="B4318" s="745"/>
      <c r="C4318" s="1117"/>
      <c r="D4318" s="1117"/>
      <c r="E4318" s="1117"/>
      <c r="F4318" s="1117"/>
      <c r="G4318" s="632"/>
      <c r="H4318" s="745"/>
      <c r="I4318" s="1117"/>
      <c r="J4318" s="632"/>
      <c r="K4318" s="1118"/>
    </row>
    <row r="4319" spans="1:11" x14ac:dyDescent="0.25">
      <c r="A4319" s="718">
        <v>2</v>
      </c>
      <c r="B4319" s="668"/>
      <c r="C4319" s="721"/>
      <c r="D4319" s="721"/>
      <c r="E4319" s="721"/>
      <c r="F4319" s="721"/>
      <c r="G4319" s="639"/>
      <c r="H4319" s="668"/>
      <c r="I4319" s="721"/>
      <c r="J4319" s="639"/>
      <c r="K4319" s="1124"/>
    </row>
    <row r="4320" spans="1:11" ht="13.8" thickBot="1" x14ac:dyDescent="0.3">
      <c r="A4320" s="719">
        <v>3</v>
      </c>
      <c r="B4320" s="669"/>
      <c r="C4320" s="1137"/>
      <c r="D4320" s="1137"/>
      <c r="E4320" s="1137"/>
      <c r="F4320" s="1137"/>
      <c r="G4320" s="646"/>
      <c r="H4320" s="669"/>
      <c r="I4320" s="1137"/>
      <c r="J4320" s="646"/>
      <c r="K4320" s="1138"/>
    </row>
    <row r="4321" spans="1:11" ht="13.8" thickBot="1" x14ac:dyDescent="0.3">
      <c r="A4321" s="1186" t="s">
        <v>918</v>
      </c>
      <c r="B4321" s="1187"/>
      <c r="C4321" s="1188"/>
      <c r="D4321" s="1188"/>
      <c r="E4321" s="1188"/>
      <c r="F4321" s="1188"/>
      <c r="G4321" s="1189"/>
      <c r="H4321" s="1187"/>
      <c r="I4321" s="1188"/>
      <c r="J4321" s="1189"/>
      <c r="K4321" s="716"/>
    </row>
    <row r="4322" spans="1:11" x14ac:dyDescent="0.25">
      <c r="A4322" s="1190">
        <v>1</v>
      </c>
      <c r="B4322" s="745"/>
      <c r="C4322" s="1117"/>
      <c r="D4322" s="1117"/>
      <c r="E4322" s="1117"/>
      <c r="F4322" s="1117"/>
      <c r="G4322" s="632"/>
      <c r="H4322" s="745"/>
      <c r="I4322" s="1117"/>
      <c r="J4322" s="632"/>
      <c r="K4322" s="1118"/>
    </row>
    <row r="4323" spans="1:11" x14ac:dyDescent="0.25">
      <c r="A4323" s="718">
        <v>2</v>
      </c>
      <c r="B4323" s="668"/>
      <c r="C4323" s="721"/>
      <c r="D4323" s="721"/>
      <c r="E4323" s="721"/>
      <c r="F4323" s="721"/>
      <c r="G4323" s="639"/>
      <c r="H4323" s="668"/>
      <c r="I4323" s="721"/>
      <c r="J4323" s="639"/>
      <c r="K4323" s="1124"/>
    </row>
    <row r="4324" spans="1:11" x14ac:dyDescent="0.25">
      <c r="A4324" s="718">
        <v>3</v>
      </c>
      <c r="B4324" s="668"/>
      <c r="C4324" s="721"/>
      <c r="D4324" s="721"/>
      <c r="E4324" s="721"/>
      <c r="F4324" s="721"/>
      <c r="G4324" s="639"/>
      <c r="H4324" s="668"/>
      <c r="I4324" s="721"/>
      <c r="J4324" s="639"/>
      <c r="K4324" s="1124"/>
    </row>
    <row r="4325" spans="1:11" x14ac:dyDescent="0.25">
      <c r="A4325" s="718">
        <v>4</v>
      </c>
      <c r="B4325" s="668"/>
      <c r="C4325" s="721"/>
      <c r="D4325" s="721"/>
      <c r="E4325" s="721"/>
      <c r="F4325" s="721"/>
      <c r="G4325" s="639"/>
      <c r="H4325" s="668"/>
      <c r="I4325" s="721"/>
      <c r="J4325" s="639"/>
      <c r="K4325" s="1124"/>
    </row>
    <row r="4326" spans="1:11" x14ac:dyDescent="0.25">
      <c r="A4326" s="718">
        <v>5</v>
      </c>
      <c r="B4326" s="668"/>
      <c r="C4326" s="721"/>
      <c r="D4326" s="721"/>
      <c r="E4326" s="721"/>
      <c r="F4326" s="721"/>
      <c r="G4326" s="639"/>
      <c r="H4326" s="668"/>
      <c r="I4326" s="721"/>
      <c r="J4326" s="639"/>
      <c r="K4326" s="1124"/>
    </row>
    <row r="4327" spans="1:11" ht="13.8" thickBot="1" x14ac:dyDescent="0.3">
      <c r="A4327" s="719">
        <v>6</v>
      </c>
      <c r="B4327" s="669"/>
      <c r="C4327" s="1137"/>
      <c r="D4327" s="1137"/>
      <c r="E4327" s="1137"/>
      <c r="F4327" s="1137"/>
      <c r="G4327" s="646"/>
      <c r="H4327" s="669"/>
      <c r="I4327" s="1137"/>
      <c r="J4327" s="646"/>
      <c r="K4327" s="1138"/>
    </row>
    <row r="4328" spans="1:11" x14ac:dyDescent="0.25">
      <c r="A4328" s="1190">
        <v>1</v>
      </c>
      <c r="B4328" s="745"/>
      <c r="C4328" s="1117"/>
      <c r="D4328" s="1117"/>
      <c r="E4328" s="1117"/>
      <c r="F4328" s="1117"/>
      <c r="G4328" s="632"/>
      <c r="H4328" s="745"/>
      <c r="I4328" s="1117"/>
      <c r="J4328" s="632"/>
      <c r="K4328" s="1118"/>
    </row>
    <row r="4329" spans="1:11" x14ac:dyDescent="0.25">
      <c r="A4329" s="718">
        <v>2</v>
      </c>
      <c r="B4329" s="668"/>
      <c r="C4329" s="721"/>
      <c r="D4329" s="721"/>
      <c r="E4329" s="721"/>
      <c r="F4329" s="721"/>
      <c r="G4329" s="639"/>
      <c r="H4329" s="668"/>
      <c r="I4329" s="721"/>
      <c r="J4329" s="639"/>
      <c r="K4329" s="1124"/>
    </row>
    <row r="4330" spans="1:11" ht="13.8" thickBot="1" x14ac:dyDescent="0.3">
      <c r="A4330" s="719">
        <v>3</v>
      </c>
      <c r="B4330" s="669"/>
      <c r="C4330" s="1137"/>
      <c r="D4330" s="1137"/>
      <c r="E4330" s="1137"/>
      <c r="F4330" s="1137"/>
      <c r="G4330" s="646"/>
      <c r="H4330" s="669"/>
      <c r="I4330" s="1137"/>
      <c r="J4330" s="646"/>
      <c r="K4330" s="1138"/>
    </row>
    <row r="4331" spans="1:11" ht="13.8" thickBot="1" x14ac:dyDescent="0.3">
      <c r="A4331" s="1186" t="s">
        <v>919</v>
      </c>
      <c r="B4331" s="1187"/>
      <c r="C4331" s="1188"/>
      <c r="D4331" s="1188"/>
      <c r="E4331" s="1188"/>
      <c r="F4331" s="1188"/>
      <c r="G4331" s="1189"/>
      <c r="H4331" s="1187"/>
      <c r="I4331" s="1188"/>
      <c r="J4331" s="1189"/>
      <c r="K4331" s="716"/>
    </row>
    <row r="4332" spans="1:11" x14ac:dyDescent="0.25">
      <c r="A4332" s="1190">
        <v>1</v>
      </c>
      <c r="B4332" s="745"/>
      <c r="C4332" s="1117"/>
      <c r="D4332" s="1117"/>
      <c r="E4332" s="1117"/>
      <c r="F4332" s="1117"/>
      <c r="G4332" s="632"/>
      <c r="H4332" s="745"/>
      <c r="I4332" s="1117"/>
      <c r="J4332" s="632"/>
      <c r="K4332" s="1118"/>
    </row>
    <row r="4333" spans="1:11" x14ac:dyDescent="0.25">
      <c r="A4333" s="718">
        <v>2</v>
      </c>
      <c r="B4333" s="668"/>
      <c r="C4333" s="721"/>
      <c r="D4333" s="721"/>
      <c r="E4333" s="721"/>
      <c r="F4333" s="721"/>
      <c r="G4333" s="639"/>
      <c r="H4333" s="668"/>
      <c r="I4333" s="721"/>
      <c r="J4333" s="639"/>
      <c r="K4333" s="1124"/>
    </row>
    <row r="4334" spans="1:11" x14ac:dyDescent="0.25">
      <c r="A4334" s="718">
        <v>3</v>
      </c>
      <c r="B4334" s="668"/>
      <c r="C4334" s="721"/>
      <c r="D4334" s="721"/>
      <c r="E4334" s="721"/>
      <c r="F4334" s="721"/>
      <c r="G4334" s="639"/>
      <c r="H4334" s="668"/>
      <c r="I4334" s="721"/>
      <c r="J4334" s="639"/>
      <c r="K4334" s="1124"/>
    </row>
    <row r="4335" spans="1:11" x14ac:dyDescent="0.25">
      <c r="A4335" s="718">
        <v>4</v>
      </c>
      <c r="B4335" s="668"/>
      <c r="C4335" s="721"/>
      <c r="D4335" s="721"/>
      <c r="E4335" s="721"/>
      <c r="F4335" s="721"/>
      <c r="G4335" s="639"/>
      <c r="H4335" s="668"/>
      <c r="I4335" s="721"/>
      <c r="J4335" s="639"/>
      <c r="K4335" s="1124"/>
    </row>
    <row r="4336" spans="1:11" x14ac:dyDescent="0.25">
      <c r="A4336" s="718">
        <v>5</v>
      </c>
      <c r="B4336" s="668"/>
      <c r="C4336" s="721"/>
      <c r="D4336" s="721"/>
      <c r="E4336" s="721"/>
      <c r="F4336" s="721"/>
      <c r="G4336" s="639"/>
      <c r="H4336" s="668"/>
      <c r="I4336" s="721"/>
      <c r="J4336" s="639"/>
      <c r="K4336" s="1124"/>
    </row>
    <row r="4337" spans="1:11" ht="13.8" thickBot="1" x14ac:dyDescent="0.3">
      <c r="A4337" s="719">
        <v>6</v>
      </c>
      <c r="B4337" s="669"/>
      <c r="C4337" s="1137"/>
      <c r="D4337" s="1137"/>
      <c r="E4337" s="1137"/>
      <c r="F4337" s="1137"/>
      <c r="G4337" s="646"/>
      <c r="H4337" s="669"/>
      <c r="I4337" s="1137"/>
      <c r="J4337" s="646"/>
      <c r="K4337" s="1138"/>
    </row>
    <row r="4338" spans="1:11" x14ac:dyDescent="0.25">
      <c r="A4338" s="1190">
        <v>1</v>
      </c>
      <c r="B4338" s="745"/>
      <c r="C4338" s="1117"/>
      <c r="D4338" s="1117"/>
      <c r="E4338" s="1117"/>
      <c r="F4338" s="1117"/>
      <c r="G4338" s="632"/>
      <c r="H4338" s="745"/>
      <c r="I4338" s="1117"/>
      <c r="J4338" s="632"/>
      <c r="K4338" s="1118"/>
    </row>
    <row r="4339" spans="1:11" x14ac:dyDescent="0.25">
      <c r="A4339" s="718">
        <v>2</v>
      </c>
      <c r="B4339" s="668"/>
      <c r="C4339" s="721"/>
      <c r="D4339" s="721"/>
      <c r="E4339" s="721"/>
      <c r="F4339" s="721"/>
      <c r="G4339" s="639"/>
      <c r="H4339" s="668"/>
      <c r="I4339" s="721"/>
      <c r="J4339" s="639"/>
      <c r="K4339" s="1124"/>
    </row>
    <row r="4340" spans="1:11" ht="13.8" thickBot="1" x14ac:dyDescent="0.3">
      <c r="A4340" s="1191">
        <v>3</v>
      </c>
      <c r="B4340" s="1132"/>
      <c r="C4340" s="1133"/>
      <c r="D4340" s="1133"/>
      <c r="E4340" s="1133"/>
      <c r="F4340" s="1133"/>
      <c r="G4340" s="1134"/>
      <c r="H4340" s="1132"/>
      <c r="I4340" s="1133"/>
      <c r="J4340" s="1134"/>
      <c r="K4340" s="1147"/>
    </row>
    <row r="4341" spans="1:11" ht="13.8" thickBot="1" x14ac:dyDescent="0.3">
      <c r="A4341" s="1186" t="s">
        <v>920</v>
      </c>
      <c r="B4341" s="1187"/>
      <c r="C4341" s="1188"/>
      <c r="D4341" s="1188"/>
      <c r="E4341" s="1188"/>
      <c r="F4341" s="1188"/>
      <c r="G4341" s="1189"/>
      <c r="H4341" s="1187"/>
      <c r="I4341" s="1188"/>
      <c r="J4341" s="1189"/>
      <c r="K4341" s="716"/>
    </row>
    <row r="4342" spans="1:11" x14ac:dyDescent="0.25">
      <c r="A4342" s="1190">
        <v>1</v>
      </c>
      <c r="B4342" s="745"/>
      <c r="C4342" s="1117"/>
      <c r="D4342" s="1117"/>
      <c r="E4342" s="1117"/>
      <c r="F4342" s="1117"/>
      <c r="G4342" s="632"/>
      <c r="H4342" s="745"/>
      <c r="I4342" s="1117"/>
      <c r="J4342" s="632"/>
      <c r="K4342" s="1118"/>
    </row>
    <row r="4343" spans="1:11" x14ac:dyDescent="0.25">
      <c r="A4343" s="718">
        <v>2</v>
      </c>
      <c r="B4343" s="668"/>
      <c r="C4343" s="721"/>
      <c r="D4343" s="721"/>
      <c r="E4343" s="721"/>
      <c r="F4343" s="721"/>
      <c r="G4343" s="639"/>
      <c r="H4343" s="668"/>
      <c r="I4343" s="721"/>
      <c r="J4343" s="639"/>
      <c r="K4343" s="1124"/>
    </row>
    <row r="4344" spans="1:11" x14ac:dyDescent="0.25">
      <c r="A4344" s="718">
        <v>3</v>
      </c>
      <c r="B4344" s="668"/>
      <c r="C4344" s="721"/>
      <c r="D4344" s="721"/>
      <c r="E4344" s="721"/>
      <c r="F4344" s="721"/>
      <c r="G4344" s="639"/>
      <c r="H4344" s="668"/>
      <c r="I4344" s="721"/>
      <c r="J4344" s="639"/>
      <c r="K4344" s="1124"/>
    </row>
    <row r="4345" spans="1:11" x14ac:dyDescent="0.25">
      <c r="A4345" s="718">
        <v>4</v>
      </c>
      <c r="B4345" s="668"/>
      <c r="C4345" s="721"/>
      <c r="D4345" s="721"/>
      <c r="E4345" s="721"/>
      <c r="F4345" s="721"/>
      <c r="G4345" s="639"/>
      <c r="H4345" s="668"/>
      <c r="I4345" s="721"/>
      <c r="J4345" s="639"/>
      <c r="K4345" s="1124"/>
    </row>
    <row r="4346" spans="1:11" x14ac:dyDescent="0.25">
      <c r="A4346" s="718">
        <v>5</v>
      </c>
      <c r="B4346" s="668"/>
      <c r="C4346" s="721"/>
      <c r="D4346" s="721"/>
      <c r="E4346" s="721"/>
      <c r="F4346" s="721"/>
      <c r="G4346" s="639"/>
      <c r="H4346" s="668"/>
      <c r="I4346" s="721"/>
      <c r="J4346" s="639"/>
      <c r="K4346" s="1124"/>
    </row>
    <row r="4347" spans="1:11" ht="13.8" thickBot="1" x14ac:dyDescent="0.3">
      <c r="A4347" s="719">
        <v>6</v>
      </c>
      <c r="B4347" s="669"/>
      <c r="C4347" s="1137"/>
      <c r="D4347" s="1137"/>
      <c r="E4347" s="1137"/>
      <c r="F4347" s="1137"/>
      <c r="G4347" s="646"/>
      <c r="H4347" s="669"/>
      <c r="I4347" s="1137"/>
      <c r="J4347" s="646"/>
      <c r="K4347" s="1138"/>
    </row>
    <row r="4348" spans="1:11" x14ac:dyDescent="0.25">
      <c r="A4348" s="1190">
        <v>1</v>
      </c>
      <c r="B4348" s="745"/>
      <c r="C4348" s="1117"/>
      <c r="D4348" s="1117"/>
      <c r="E4348" s="1117"/>
      <c r="F4348" s="1117"/>
      <c r="G4348" s="632"/>
      <c r="H4348" s="745"/>
      <c r="I4348" s="1117"/>
      <c r="J4348" s="632"/>
      <c r="K4348" s="1118"/>
    </row>
    <row r="4349" spans="1:11" x14ac:dyDescent="0.25">
      <c r="A4349" s="718">
        <v>2</v>
      </c>
      <c r="B4349" s="668"/>
      <c r="C4349" s="721"/>
      <c r="D4349" s="721"/>
      <c r="E4349" s="721"/>
      <c r="F4349" s="721"/>
      <c r="G4349" s="639"/>
      <c r="H4349" s="668"/>
      <c r="I4349" s="721"/>
      <c r="J4349" s="639"/>
      <c r="K4349" s="1124"/>
    </row>
    <row r="4350" spans="1:11" ht="13.8" thickBot="1" x14ac:dyDescent="0.3">
      <c r="A4350" s="719">
        <v>3</v>
      </c>
      <c r="B4350" s="669"/>
      <c r="C4350" s="1137"/>
      <c r="D4350" s="1137"/>
      <c r="E4350" s="1137"/>
      <c r="F4350" s="1137"/>
      <c r="G4350" s="646"/>
      <c r="H4350" s="669"/>
      <c r="I4350" s="1137"/>
      <c r="J4350" s="646"/>
      <c r="K4350" s="1138"/>
    </row>
    <row r="4351" spans="1:11" ht="13.8" thickBot="1" x14ac:dyDescent="0.3">
      <c r="A4351" s="1186" t="s">
        <v>921</v>
      </c>
      <c r="B4351" s="1187"/>
      <c r="C4351" s="1188"/>
      <c r="D4351" s="1188"/>
      <c r="E4351" s="1188"/>
      <c r="F4351" s="1188"/>
      <c r="G4351" s="1189"/>
      <c r="H4351" s="1187"/>
      <c r="I4351" s="1188"/>
      <c r="J4351" s="1189"/>
      <c r="K4351" s="716"/>
    </row>
    <row r="4352" spans="1:11" x14ac:dyDescent="0.25">
      <c r="A4352" s="1190">
        <v>1</v>
      </c>
      <c r="B4352" s="745"/>
      <c r="C4352" s="1117"/>
      <c r="D4352" s="1117"/>
      <c r="E4352" s="1117"/>
      <c r="F4352" s="1117"/>
      <c r="G4352" s="632"/>
      <c r="H4352" s="745"/>
      <c r="I4352" s="1117"/>
      <c r="J4352" s="632"/>
      <c r="K4352" s="1118"/>
    </row>
    <row r="4353" spans="1:11" x14ac:dyDescent="0.25">
      <c r="A4353" s="718">
        <v>2</v>
      </c>
      <c r="B4353" s="668"/>
      <c r="C4353" s="721"/>
      <c r="D4353" s="721"/>
      <c r="E4353" s="721"/>
      <c r="F4353" s="721"/>
      <c r="G4353" s="639"/>
      <c r="H4353" s="668"/>
      <c r="I4353" s="721"/>
      <c r="J4353" s="639"/>
      <c r="K4353" s="1124"/>
    </row>
    <row r="4354" spans="1:11" x14ac:dyDescent="0.25">
      <c r="A4354" s="718">
        <v>3</v>
      </c>
      <c r="B4354" s="668"/>
      <c r="C4354" s="721"/>
      <c r="D4354" s="721"/>
      <c r="E4354" s="721"/>
      <c r="F4354" s="721"/>
      <c r="G4354" s="639"/>
      <c r="H4354" s="668"/>
      <c r="I4354" s="721"/>
      <c r="J4354" s="639"/>
      <c r="K4354" s="1124"/>
    </row>
    <row r="4355" spans="1:11" x14ac:dyDescent="0.25">
      <c r="A4355" s="718">
        <v>4</v>
      </c>
      <c r="B4355" s="668"/>
      <c r="C4355" s="721"/>
      <c r="D4355" s="721"/>
      <c r="E4355" s="721"/>
      <c r="F4355" s="721"/>
      <c r="G4355" s="639"/>
      <c r="H4355" s="668"/>
      <c r="I4355" s="721"/>
      <c r="J4355" s="639"/>
      <c r="K4355" s="1124"/>
    </row>
    <row r="4356" spans="1:11" x14ac:dyDescent="0.25">
      <c r="A4356" s="718">
        <v>5</v>
      </c>
      <c r="B4356" s="668"/>
      <c r="C4356" s="721"/>
      <c r="D4356" s="721"/>
      <c r="E4356" s="721"/>
      <c r="F4356" s="721"/>
      <c r="G4356" s="639"/>
      <c r="H4356" s="668"/>
      <c r="I4356" s="721"/>
      <c r="J4356" s="639"/>
      <c r="K4356" s="1124"/>
    </row>
    <row r="4357" spans="1:11" ht="13.8" thickBot="1" x14ac:dyDescent="0.3">
      <c r="A4357" s="719">
        <v>6</v>
      </c>
      <c r="B4357" s="669"/>
      <c r="C4357" s="1137"/>
      <c r="D4357" s="1137"/>
      <c r="E4357" s="1137"/>
      <c r="F4357" s="1137"/>
      <c r="G4357" s="646"/>
      <c r="H4357" s="669"/>
      <c r="I4357" s="1137"/>
      <c r="J4357" s="646"/>
      <c r="K4357" s="1138"/>
    </row>
    <row r="4358" spans="1:11" x14ac:dyDescent="0.25">
      <c r="A4358" s="1190">
        <v>1</v>
      </c>
      <c r="B4358" s="745"/>
      <c r="C4358" s="1117"/>
      <c r="D4358" s="1117"/>
      <c r="E4358" s="1117"/>
      <c r="F4358" s="1117"/>
      <c r="G4358" s="632"/>
      <c r="H4358" s="745"/>
      <c r="I4358" s="1117"/>
      <c r="J4358" s="632"/>
      <c r="K4358" s="1118"/>
    </row>
    <row r="4359" spans="1:11" x14ac:dyDescent="0.25">
      <c r="A4359" s="718">
        <v>2</v>
      </c>
      <c r="B4359" s="668"/>
      <c r="C4359" s="721"/>
      <c r="D4359" s="721"/>
      <c r="E4359" s="721"/>
      <c r="F4359" s="721"/>
      <c r="G4359" s="639"/>
      <c r="H4359" s="668"/>
      <c r="I4359" s="721"/>
      <c r="J4359" s="639"/>
      <c r="K4359" s="1124"/>
    </row>
    <row r="4360" spans="1:11" ht="13.8" thickBot="1" x14ac:dyDescent="0.3">
      <c r="A4360" s="719">
        <v>3</v>
      </c>
      <c r="B4360" s="669"/>
      <c r="C4360" s="1137"/>
      <c r="D4360" s="1137"/>
      <c r="E4360" s="1137"/>
      <c r="F4360" s="1137"/>
      <c r="G4360" s="646"/>
      <c r="H4360" s="669"/>
      <c r="I4360" s="1137"/>
      <c r="J4360" s="646"/>
      <c r="K4360" s="1138"/>
    </row>
    <row r="4361" spans="1:11" ht="13.8" thickBot="1" x14ac:dyDescent="0.3">
      <c r="A4361" s="1186" t="s">
        <v>922</v>
      </c>
      <c r="B4361" s="1187"/>
      <c r="C4361" s="1188"/>
      <c r="D4361" s="1188"/>
      <c r="E4361" s="1188"/>
      <c r="F4361" s="1188"/>
      <c r="G4361" s="1189"/>
      <c r="H4361" s="1187"/>
      <c r="I4361" s="1188"/>
      <c r="J4361" s="1189"/>
      <c r="K4361" s="716"/>
    </row>
    <row r="4362" spans="1:11" x14ac:dyDescent="0.25">
      <c r="A4362" s="1190">
        <v>1</v>
      </c>
      <c r="B4362" s="745"/>
      <c r="C4362" s="1117"/>
      <c r="D4362" s="1117"/>
      <c r="E4362" s="1117"/>
      <c r="F4362" s="1117"/>
      <c r="G4362" s="632"/>
      <c r="H4362" s="745"/>
      <c r="I4362" s="1117"/>
      <c r="J4362" s="632"/>
      <c r="K4362" s="1118"/>
    </row>
    <row r="4363" spans="1:11" x14ac:dyDescent="0.25">
      <c r="A4363" s="718">
        <v>2</v>
      </c>
      <c r="B4363" s="668"/>
      <c r="C4363" s="721"/>
      <c r="D4363" s="721"/>
      <c r="E4363" s="721"/>
      <c r="F4363" s="721"/>
      <c r="G4363" s="639"/>
      <c r="H4363" s="668"/>
      <c r="I4363" s="721"/>
      <c r="J4363" s="639"/>
      <c r="K4363" s="1124"/>
    </row>
    <row r="4364" spans="1:11" x14ac:dyDescent="0.25">
      <c r="A4364" s="718">
        <v>3</v>
      </c>
      <c r="B4364" s="668"/>
      <c r="C4364" s="721"/>
      <c r="D4364" s="721"/>
      <c r="E4364" s="721"/>
      <c r="F4364" s="721"/>
      <c r="G4364" s="639"/>
      <c r="H4364" s="668"/>
      <c r="I4364" s="721"/>
      <c r="J4364" s="639"/>
      <c r="K4364" s="1124"/>
    </row>
    <row r="4365" spans="1:11" x14ac:dyDescent="0.25">
      <c r="A4365" s="718">
        <v>4</v>
      </c>
      <c r="B4365" s="668"/>
      <c r="C4365" s="721"/>
      <c r="D4365" s="721"/>
      <c r="E4365" s="721"/>
      <c r="F4365" s="721"/>
      <c r="G4365" s="639"/>
      <c r="H4365" s="668"/>
      <c r="I4365" s="721"/>
      <c r="J4365" s="639"/>
      <c r="K4365" s="1124"/>
    </row>
    <row r="4366" spans="1:11" x14ac:dyDescent="0.25">
      <c r="A4366" s="718">
        <v>5</v>
      </c>
      <c r="B4366" s="668"/>
      <c r="C4366" s="721"/>
      <c r="D4366" s="721"/>
      <c r="E4366" s="721"/>
      <c r="F4366" s="721"/>
      <c r="G4366" s="639"/>
      <c r="H4366" s="668"/>
      <c r="I4366" s="721"/>
      <c r="J4366" s="639"/>
      <c r="K4366" s="1124"/>
    </row>
    <row r="4367" spans="1:11" ht="13.8" thickBot="1" x14ac:dyDescent="0.3">
      <c r="A4367" s="719">
        <v>6</v>
      </c>
      <c r="B4367" s="669"/>
      <c r="C4367" s="1137"/>
      <c r="D4367" s="1137"/>
      <c r="E4367" s="1137"/>
      <c r="F4367" s="1137"/>
      <c r="G4367" s="646"/>
      <c r="H4367" s="669"/>
      <c r="I4367" s="1137"/>
      <c r="J4367" s="646"/>
      <c r="K4367" s="1138"/>
    </row>
    <row r="4368" spans="1:11" x14ac:dyDescent="0.25">
      <c r="A4368" s="1190">
        <v>1</v>
      </c>
      <c r="B4368" s="745"/>
      <c r="C4368" s="1117"/>
      <c r="D4368" s="1117"/>
      <c r="E4368" s="1117"/>
      <c r="F4368" s="1117"/>
      <c r="G4368" s="632"/>
      <c r="H4368" s="745"/>
      <c r="I4368" s="1117"/>
      <c r="J4368" s="632"/>
      <c r="K4368" s="1118"/>
    </row>
    <row r="4369" spans="1:11" x14ac:dyDescent="0.25">
      <c r="A4369" s="718">
        <v>2</v>
      </c>
      <c r="B4369" s="668"/>
      <c r="C4369" s="721"/>
      <c r="D4369" s="721"/>
      <c r="E4369" s="721"/>
      <c r="F4369" s="721"/>
      <c r="G4369" s="639"/>
      <c r="H4369" s="668"/>
      <c r="I4369" s="721"/>
      <c r="J4369" s="639"/>
      <c r="K4369" s="1124"/>
    </row>
    <row r="4370" spans="1:11" ht="13.8" thickBot="1" x14ac:dyDescent="0.3">
      <c r="A4370" s="719">
        <v>3</v>
      </c>
      <c r="B4370" s="669"/>
      <c r="C4370" s="1137"/>
      <c r="D4370" s="1137"/>
      <c r="E4370" s="1137"/>
      <c r="F4370" s="1137"/>
      <c r="G4370" s="646"/>
      <c r="H4370" s="669"/>
      <c r="I4370" s="1137"/>
      <c r="J4370" s="646"/>
      <c r="K4370" s="1138"/>
    </row>
    <row r="4371" spans="1:11" ht="13.8" thickBot="1" x14ac:dyDescent="0.3">
      <c r="A4371" s="1186" t="s">
        <v>923</v>
      </c>
      <c r="B4371" s="1187"/>
      <c r="C4371" s="1188"/>
      <c r="D4371" s="1188"/>
      <c r="E4371" s="1188"/>
      <c r="F4371" s="1188"/>
      <c r="G4371" s="1189"/>
      <c r="H4371" s="1187"/>
      <c r="I4371" s="1188"/>
      <c r="J4371" s="1189"/>
      <c r="K4371" s="716"/>
    </row>
    <row r="4372" spans="1:11" x14ac:dyDescent="0.25">
      <c r="A4372" s="1190">
        <v>1</v>
      </c>
      <c r="B4372" s="745"/>
      <c r="C4372" s="1117"/>
      <c r="D4372" s="1117"/>
      <c r="E4372" s="1117"/>
      <c r="F4372" s="1117"/>
      <c r="G4372" s="632"/>
      <c r="H4372" s="745"/>
      <c r="I4372" s="1117"/>
      <c r="J4372" s="632"/>
      <c r="K4372" s="1118"/>
    </row>
    <row r="4373" spans="1:11" x14ac:dyDescent="0.25">
      <c r="A4373" s="718">
        <v>2</v>
      </c>
      <c r="B4373" s="668"/>
      <c r="C4373" s="721"/>
      <c r="D4373" s="721"/>
      <c r="E4373" s="721"/>
      <c r="F4373" s="721"/>
      <c r="G4373" s="639"/>
      <c r="H4373" s="668"/>
      <c r="I4373" s="721"/>
      <c r="J4373" s="639"/>
      <c r="K4373" s="1124"/>
    </row>
    <row r="4374" spans="1:11" x14ac:dyDescent="0.25">
      <c r="A4374" s="718">
        <v>3</v>
      </c>
      <c r="B4374" s="668"/>
      <c r="C4374" s="721"/>
      <c r="D4374" s="721"/>
      <c r="E4374" s="721"/>
      <c r="F4374" s="721"/>
      <c r="G4374" s="639"/>
      <c r="H4374" s="668"/>
      <c r="I4374" s="721"/>
      <c r="J4374" s="639"/>
      <c r="K4374" s="1124"/>
    </row>
    <row r="4375" spans="1:11" x14ac:dyDescent="0.25">
      <c r="A4375" s="718">
        <v>4</v>
      </c>
      <c r="B4375" s="668"/>
      <c r="C4375" s="721"/>
      <c r="D4375" s="721"/>
      <c r="E4375" s="721"/>
      <c r="F4375" s="721"/>
      <c r="G4375" s="639"/>
      <c r="H4375" s="668"/>
      <c r="I4375" s="721"/>
      <c r="J4375" s="639"/>
      <c r="K4375" s="1124"/>
    </row>
    <row r="4376" spans="1:11" x14ac:dyDescent="0.25">
      <c r="A4376" s="718">
        <v>5</v>
      </c>
      <c r="B4376" s="668"/>
      <c r="C4376" s="721"/>
      <c r="D4376" s="721"/>
      <c r="E4376" s="721"/>
      <c r="F4376" s="721"/>
      <c r="G4376" s="639"/>
      <c r="H4376" s="668"/>
      <c r="I4376" s="721"/>
      <c r="J4376" s="639"/>
      <c r="K4376" s="1124"/>
    </row>
    <row r="4377" spans="1:11" ht="13.8" thickBot="1" x14ac:dyDescent="0.3">
      <c r="A4377" s="719">
        <v>6</v>
      </c>
      <c r="B4377" s="669"/>
      <c r="C4377" s="1137"/>
      <c r="D4377" s="1137"/>
      <c r="E4377" s="1137"/>
      <c r="F4377" s="1137"/>
      <c r="G4377" s="646"/>
      <c r="H4377" s="669"/>
      <c r="I4377" s="1137"/>
      <c r="J4377" s="646"/>
      <c r="K4377" s="1138"/>
    </row>
    <row r="4378" spans="1:11" x14ac:dyDescent="0.25">
      <c r="A4378" s="1190">
        <v>1</v>
      </c>
      <c r="B4378" s="745"/>
      <c r="C4378" s="1117"/>
      <c r="D4378" s="1117"/>
      <c r="E4378" s="1117"/>
      <c r="F4378" s="1117"/>
      <c r="G4378" s="632"/>
      <c r="H4378" s="745"/>
      <c r="I4378" s="1117"/>
      <c r="J4378" s="632"/>
      <c r="K4378" s="1118"/>
    </row>
    <row r="4379" spans="1:11" x14ac:dyDescent="0.25">
      <c r="A4379" s="718">
        <v>2</v>
      </c>
      <c r="B4379" s="668"/>
      <c r="C4379" s="721"/>
      <c r="D4379" s="721"/>
      <c r="E4379" s="721"/>
      <c r="F4379" s="721"/>
      <c r="G4379" s="639"/>
      <c r="H4379" s="668"/>
      <c r="I4379" s="721"/>
      <c r="J4379" s="639"/>
      <c r="K4379" s="1124"/>
    </row>
    <row r="4380" spans="1:11" ht="13.8" thickBot="1" x14ac:dyDescent="0.3">
      <c r="A4380" s="1191">
        <v>3</v>
      </c>
      <c r="B4380" s="1132"/>
      <c r="C4380" s="1133"/>
      <c r="D4380" s="1133"/>
      <c r="E4380" s="1133"/>
      <c r="F4380" s="1133"/>
      <c r="G4380" s="1134"/>
      <c r="H4380" s="1132"/>
      <c r="I4380" s="1133"/>
      <c r="J4380" s="1134"/>
      <c r="K4380" s="1147"/>
    </row>
    <row r="4381" spans="1:11" ht="13.8" thickBot="1" x14ac:dyDescent="0.3">
      <c r="A4381" s="1186" t="s">
        <v>924</v>
      </c>
      <c r="B4381" s="1187"/>
      <c r="C4381" s="1188"/>
      <c r="D4381" s="1188"/>
      <c r="E4381" s="1188"/>
      <c r="F4381" s="1188"/>
      <c r="G4381" s="1189"/>
      <c r="H4381" s="1187"/>
      <c r="I4381" s="1188"/>
      <c r="J4381" s="1189"/>
      <c r="K4381" s="716"/>
    </row>
    <row r="4382" spans="1:11" x14ac:dyDescent="0.25">
      <c r="A4382" s="1190">
        <v>1</v>
      </c>
      <c r="B4382" s="745"/>
      <c r="C4382" s="1117"/>
      <c r="D4382" s="1117"/>
      <c r="E4382" s="1117"/>
      <c r="F4382" s="1117"/>
      <c r="G4382" s="632"/>
      <c r="H4382" s="745"/>
      <c r="I4382" s="1117"/>
      <c r="J4382" s="632"/>
      <c r="K4382" s="1118"/>
    </row>
    <row r="4383" spans="1:11" x14ac:dyDescent="0.25">
      <c r="A4383" s="718">
        <v>2</v>
      </c>
      <c r="B4383" s="668"/>
      <c r="C4383" s="721"/>
      <c r="D4383" s="721"/>
      <c r="E4383" s="721"/>
      <c r="F4383" s="721"/>
      <c r="G4383" s="639"/>
      <c r="H4383" s="668"/>
      <c r="I4383" s="721"/>
      <c r="J4383" s="639"/>
      <c r="K4383" s="1124"/>
    </row>
    <row r="4384" spans="1:11" x14ac:dyDescent="0.25">
      <c r="A4384" s="718">
        <v>3</v>
      </c>
      <c r="B4384" s="668"/>
      <c r="C4384" s="721"/>
      <c r="D4384" s="721"/>
      <c r="E4384" s="721"/>
      <c r="F4384" s="721"/>
      <c r="G4384" s="639"/>
      <c r="H4384" s="668"/>
      <c r="I4384" s="721"/>
      <c r="J4384" s="639"/>
      <c r="K4384" s="1124"/>
    </row>
    <row r="4385" spans="1:11" x14ac:dyDescent="0.25">
      <c r="A4385" s="718">
        <v>4</v>
      </c>
      <c r="B4385" s="668"/>
      <c r="C4385" s="721"/>
      <c r="D4385" s="721"/>
      <c r="E4385" s="721"/>
      <c r="F4385" s="721"/>
      <c r="G4385" s="639"/>
      <c r="H4385" s="668"/>
      <c r="I4385" s="721"/>
      <c r="J4385" s="639"/>
      <c r="K4385" s="1124"/>
    </row>
    <row r="4386" spans="1:11" x14ac:dyDescent="0.25">
      <c r="A4386" s="718">
        <v>5</v>
      </c>
      <c r="B4386" s="668"/>
      <c r="C4386" s="721"/>
      <c r="D4386" s="721"/>
      <c r="E4386" s="721"/>
      <c r="F4386" s="721"/>
      <c r="G4386" s="639"/>
      <c r="H4386" s="668"/>
      <c r="I4386" s="721"/>
      <c r="J4386" s="639"/>
      <c r="K4386" s="1124"/>
    </row>
    <row r="4387" spans="1:11" ht="13.8" thickBot="1" x14ac:dyDescent="0.3">
      <c r="A4387" s="719">
        <v>6</v>
      </c>
      <c r="B4387" s="669"/>
      <c r="C4387" s="1137"/>
      <c r="D4387" s="1137"/>
      <c r="E4387" s="1137"/>
      <c r="F4387" s="1137"/>
      <c r="G4387" s="646"/>
      <c r="H4387" s="669"/>
      <c r="I4387" s="1137"/>
      <c r="J4387" s="646"/>
      <c r="K4387" s="1138"/>
    </row>
    <row r="4388" spans="1:11" x14ac:dyDescent="0.25">
      <c r="A4388" s="1190">
        <v>1</v>
      </c>
      <c r="B4388" s="745"/>
      <c r="C4388" s="1117"/>
      <c r="D4388" s="1117"/>
      <c r="E4388" s="1117"/>
      <c r="F4388" s="1117"/>
      <c r="G4388" s="632"/>
      <c r="H4388" s="745"/>
      <c r="I4388" s="1117"/>
      <c r="J4388" s="632"/>
      <c r="K4388" s="1118"/>
    </row>
    <row r="4389" spans="1:11" x14ac:dyDescent="0.25">
      <c r="A4389" s="718">
        <v>2</v>
      </c>
      <c r="B4389" s="668"/>
      <c r="C4389" s="721"/>
      <c r="D4389" s="721"/>
      <c r="E4389" s="721"/>
      <c r="F4389" s="721"/>
      <c r="G4389" s="639"/>
      <c r="H4389" s="668"/>
      <c r="I4389" s="721"/>
      <c r="J4389" s="639"/>
      <c r="K4389" s="1124"/>
    </row>
    <row r="4390" spans="1:11" ht="13.8" thickBot="1" x14ac:dyDescent="0.3">
      <c r="A4390" s="719">
        <v>3</v>
      </c>
      <c r="B4390" s="669"/>
      <c r="C4390" s="1137"/>
      <c r="D4390" s="1137"/>
      <c r="E4390" s="1137"/>
      <c r="F4390" s="1137"/>
      <c r="G4390" s="646"/>
      <c r="H4390" s="669"/>
      <c r="I4390" s="1137"/>
      <c r="J4390" s="646"/>
      <c r="K4390" s="1138"/>
    </row>
    <row r="4391" spans="1:11" ht="13.8" thickBot="1" x14ac:dyDescent="0.3">
      <c r="A4391" s="1186" t="s">
        <v>925</v>
      </c>
      <c r="B4391" s="1187"/>
      <c r="C4391" s="1188"/>
      <c r="D4391" s="1188"/>
      <c r="E4391" s="1188"/>
      <c r="F4391" s="1188"/>
      <c r="G4391" s="1189"/>
      <c r="H4391" s="1187"/>
      <c r="I4391" s="1188"/>
      <c r="J4391" s="1189"/>
      <c r="K4391" s="716"/>
    </row>
    <row r="4392" spans="1:11" x14ac:dyDescent="0.25">
      <c r="A4392" s="1190">
        <v>1</v>
      </c>
      <c r="B4392" s="745"/>
      <c r="C4392" s="1117"/>
      <c r="D4392" s="1117"/>
      <c r="E4392" s="1117"/>
      <c r="F4392" s="1117"/>
      <c r="G4392" s="632"/>
      <c r="H4392" s="745"/>
      <c r="I4392" s="1117"/>
      <c r="J4392" s="632"/>
      <c r="K4392" s="1118"/>
    </row>
    <row r="4393" spans="1:11" x14ac:dyDescent="0.25">
      <c r="A4393" s="718">
        <v>2</v>
      </c>
      <c r="B4393" s="668"/>
      <c r="C4393" s="721"/>
      <c r="D4393" s="721"/>
      <c r="E4393" s="721"/>
      <c r="F4393" s="721"/>
      <c r="G4393" s="639"/>
      <c r="H4393" s="668"/>
      <c r="I4393" s="721"/>
      <c r="J4393" s="639"/>
      <c r="K4393" s="1124"/>
    </row>
    <row r="4394" spans="1:11" x14ac:dyDescent="0.25">
      <c r="A4394" s="718">
        <v>3</v>
      </c>
      <c r="B4394" s="668"/>
      <c r="C4394" s="721"/>
      <c r="D4394" s="721"/>
      <c r="E4394" s="721"/>
      <c r="F4394" s="721"/>
      <c r="G4394" s="639"/>
      <c r="H4394" s="668"/>
      <c r="I4394" s="721"/>
      <c r="J4394" s="639"/>
      <c r="K4394" s="1124"/>
    </row>
    <row r="4395" spans="1:11" x14ac:dyDescent="0.25">
      <c r="A4395" s="718">
        <v>4</v>
      </c>
      <c r="B4395" s="668"/>
      <c r="C4395" s="721"/>
      <c r="D4395" s="721"/>
      <c r="E4395" s="721"/>
      <c r="F4395" s="721"/>
      <c r="G4395" s="639"/>
      <c r="H4395" s="668"/>
      <c r="I4395" s="721"/>
      <c r="J4395" s="639"/>
      <c r="K4395" s="1124"/>
    </row>
    <row r="4396" spans="1:11" x14ac:dyDescent="0.25">
      <c r="A4396" s="718">
        <v>5</v>
      </c>
      <c r="B4396" s="668"/>
      <c r="C4396" s="721"/>
      <c r="D4396" s="721"/>
      <c r="E4396" s="721"/>
      <c r="F4396" s="721"/>
      <c r="G4396" s="639"/>
      <c r="H4396" s="668"/>
      <c r="I4396" s="721"/>
      <c r="J4396" s="639"/>
      <c r="K4396" s="1124"/>
    </row>
    <row r="4397" spans="1:11" ht="13.8" thickBot="1" x14ac:dyDescent="0.3">
      <c r="A4397" s="719">
        <v>6</v>
      </c>
      <c r="B4397" s="669"/>
      <c r="C4397" s="1137"/>
      <c r="D4397" s="1137"/>
      <c r="E4397" s="1137"/>
      <c r="F4397" s="1137"/>
      <c r="G4397" s="646"/>
      <c r="H4397" s="669"/>
      <c r="I4397" s="1137"/>
      <c r="J4397" s="646"/>
      <c r="K4397" s="1138"/>
    </row>
    <row r="4398" spans="1:11" x14ac:dyDescent="0.25">
      <c r="A4398" s="1190">
        <v>1</v>
      </c>
      <c r="B4398" s="745"/>
      <c r="C4398" s="1117"/>
      <c r="D4398" s="1117"/>
      <c r="E4398" s="1117"/>
      <c r="F4398" s="1117"/>
      <c r="G4398" s="632"/>
      <c r="H4398" s="745"/>
      <c r="I4398" s="1117"/>
      <c r="J4398" s="632"/>
      <c r="K4398" s="1118"/>
    </row>
    <row r="4399" spans="1:11" x14ac:dyDescent="0.25">
      <c r="A4399" s="718">
        <v>2</v>
      </c>
      <c r="B4399" s="668"/>
      <c r="C4399" s="721"/>
      <c r="D4399" s="721"/>
      <c r="E4399" s="721"/>
      <c r="F4399" s="721"/>
      <c r="G4399" s="639"/>
      <c r="H4399" s="668"/>
      <c r="I4399" s="721"/>
      <c r="J4399" s="639"/>
      <c r="K4399" s="1124"/>
    </row>
    <row r="4400" spans="1:11" ht="13.8" thickBot="1" x14ac:dyDescent="0.3">
      <c r="A4400" s="719">
        <v>3</v>
      </c>
      <c r="B4400" s="669"/>
      <c r="C4400" s="1137"/>
      <c r="D4400" s="1137"/>
      <c r="E4400" s="1137"/>
      <c r="F4400" s="1137"/>
      <c r="G4400" s="646"/>
      <c r="H4400" s="669"/>
      <c r="I4400" s="1137"/>
      <c r="J4400" s="646"/>
      <c r="K4400" s="1138"/>
    </row>
    <row r="4401" spans="1:11" ht="13.8" thickBot="1" x14ac:dyDescent="0.3">
      <c r="A4401" s="1186" t="s">
        <v>926</v>
      </c>
      <c r="B4401" s="1187"/>
      <c r="C4401" s="1188"/>
      <c r="D4401" s="1188"/>
      <c r="E4401" s="1188"/>
      <c r="F4401" s="1188"/>
      <c r="G4401" s="1189"/>
      <c r="H4401" s="1187"/>
      <c r="I4401" s="1188"/>
      <c r="J4401" s="1189"/>
      <c r="K4401" s="716"/>
    </row>
    <row r="4402" spans="1:11" x14ac:dyDescent="0.25">
      <c r="A4402" s="1190">
        <v>1</v>
      </c>
      <c r="B4402" s="745"/>
      <c r="C4402" s="1117"/>
      <c r="D4402" s="1117"/>
      <c r="E4402" s="1117"/>
      <c r="F4402" s="1117"/>
      <c r="G4402" s="632"/>
      <c r="H4402" s="745"/>
      <c r="I4402" s="1117"/>
      <c r="J4402" s="632"/>
      <c r="K4402" s="1118"/>
    </row>
    <row r="4403" spans="1:11" x14ac:dyDescent="0.25">
      <c r="A4403" s="718">
        <v>2</v>
      </c>
      <c r="B4403" s="668"/>
      <c r="C4403" s="721"/>
      <c r="D4403" s="721"/>
      <c r="E4403" s="721"/>
      <c r="F4403" s="721"/>
      <c r="G4403" s="639"/>
      <c r="H4403" s="668"/>
      <c r="I4403" s="721"/>
      <c r="J4403" s="639"/>
      <c r="K4403" s="1124"/>
    </row>
    <row r="4404" spans="1:11" x14ac:dyDescent="0.25">
      <c r="A4404" s="718">
        <v>3</v>
      </c>
      <c r="B4404" s="668"/>
      <c r="C4404" s="721"/>
      <c r="D4404" s="721"/>
      <c r="E4404" s="721"/>
      <c r="F4404" s="721"/>
      <c r="G4404" s="639"/>
      <c r="H4404" s="668"/>
      <c r="I4404" s="721"/>
      <c r="J4404" s="639"/>
      <c r="K4404" s="1124"/>
    </row>
    <row r="4405" spans="1:11" x14ac:dyDescent="0.25">
      <c r="A4405" s="718">
        <v>4</v>
      </c>
      <c r="B4405" s="668"/>
      <c r="C4405" s="721"/>
      <c r="D4405" s="721"/>
      <c r="E4405" s="721"/>
      <c r="F4405" s="721"/>
      <c r="G4405" s="639"/>
      <c r="H4405" s="668"/>
      <c r="I4405" s="721"/>
      <c r="J4405" s="639"/>
      <c r="K4405" s="1124"/>
    </row>
    <row r="4406" spans="1:11" x14ac:dyDescent="0.25">
      <c r="A4406" s="718">
        <v>5</v>
      </c>
      <c r="B4406" s="668"/>
      <c r="C4406" s="721"/>
      <c r="D4406" s="721"/>
      <c r="E4406" s="721"/>
      <c r="F4406" s="721"/>
      <c r="G4406" s="639"/>
      <c r="H4406" s="668"/>
      <c r="I4406" s="721"/>
      <c r="J4406" s="639"/>
      <c r="K4406" s="1124"/>
    </row>
    <row r="4407" spans="1:11" ht="13.8" thickBot="1" x14ac:dyDescent="0.3">
      <c r="A4407" s="719">
        <v>6</v>
      </c>
      <c r="B4407" s="669"/>
      <c r="C4407" s="1137"/>
      <c r="D4407" s="1137"/>
      <c r="E4407" s="1137"/>
      <c r="F4407" s="1137"/>
      <c r="G4407" s="646"/>
      <c r="H4407" s="669"/>
      <c r="I4407" s="1137"/>
      <c r="J4407" s="646"/>
      <c r="K4407" s="1138"/>
    </row>
    <row r="4408" spans="1:11" x14ac:dyDescent="0.25">
      <c r="A4408" s="1190">
        <v>1</v>
      </c>
      <c r="B4408" s="745"/>
      <c r="C4408" s="1117"/>
      <c r="D4408" s="1117"/>
      <c r="E4408" s="1117"/>
      <c r="F4408" s="1117"/>
      <c r="G4408" s="632"/>
      <c r="H4408" s="745"/>
      <c r="I4408" s="1117"/>
      <c r="J4408" s="632"/>
      <c r="K4408" s="1118"/>
    </row>
    <row r="4409" spans="1:11" x14ac:dyDescent="0.25">
      <c r="A4409" s="718">
        <v>2</v>
      </c>
      <c r="B4409" s="668"/>
      <c r="C4409" s="721"/>
      <c r="D4409" s="721"/>
      <c r="E4409" s="721"/>
      <c r="F4409" s="721"/>
      <c r="G4409" s="639"/>
      <c r="H4409" s="668"/>
      <c r="I4409" s="721"/>
      <c r="J4409" s="639"/>
      <c r="K4409" s="1124"/>
    </row>
    <row r="4410" spans="1:11" ht="13.8" thickBot="1" x14ac:dyDescent="0.3">
      <c r="A4410" s="719">
        <v>3</v>
      </c>
      <c r="B4410" s="669"/>
      <c r="C4410" s="1137"/>
      <c r="D4410" s="1137"/>
      <c r="E4410" s="1137"/>
      <c r="F4410" s="1137"/>
      <c r="G4410" s="646"/>
      <c r="H4410" s="669"/>
      <c r="I4410" s="1137"/>
      <c r="J4410" s="646"/>
      <c r="K4410" s="1138"/>
    </row>
    <row r="4411" spans="1:11" ht="13.8" thickBot="1" x14ac:dyDescent="0.3">
      <c r="A4411" s="1186" t="s">
        <v>927</v>
      </c>
      <c r="B4411" s="1187"/>
      <c r="C4411" s="1188"/>
      <c r="D4411" s="1188"/>
      <c r="E4411" s="1188"/>
      <c r="F4411" s="1188"/>
      <c r="G4411" s="1189"/>
      <c r="H4411" s="1187"/>
      <c r="I4411" s="1188"/>
      <c r="J4411" s="1189"/>
      <c r="K4411" s="716"/>
    </row>
    <row r="4412" spans="1:11" x14ac:dyDescent="0.25">
      <c r="A4412" s="1190">
        <v>1</v>
      </c>
      <c r="B4412" s="745"/>
      <c r="C4412" s="1117"/>
      <c r="D4412" s="1117"/>
      <c r="E4412" s="1117"/>
      <c r="F4412" s="1117"/>
      <c r="G4412" s="632"/>
      <c r="H4412" s="745"/>
      <c r="I4412" s="1117"/>
      <c r="J4412" s="632"/>
      <c r="K4412" s="1118"/>
    </row>
    <row r="4413" spans="1:11" x14ac:dyDescent="0.25">
      <c r="A4413" s="718">
        <v>2</v>
      </c>
      <c r="B4413" s="668"/>
      <c r="C4413" s="721"/>
      <c r="D4413" s="721"/>
      <c r="E4413" s="721"/>
      <c r="F4413" s="721"/>
      <c r="G4413" s="639"/>
      <c r="H4413" s="668"/>
      <c r="I4413" s="721"/>
      <c r="J4413" s="639"/>
      <c r="K4413" s="1124"/>
    </row>
    <row r="4414" spans="1:11" x14ac:dyDescent="0.25">
      <c r="A4414" s="718">
        <v>3</v>
      </c>
      <c r="B4414" s="668"/>
      <c r="C4414" s="721"/>
      <c r="D4414" s="721"/>
      <c r="E4414" s="721"/>
      <c r="F4414" s="721"/>
      <c r="G4414" s="639"/>
      <c r="H4414" s="668"/>
      <c r="I4414" s="721"/>
      <c r="J4414" s="639"/>
      <c r="K4414" s="1124"/>
    </row>
    <row r="4415" spans="1:11" x14ac:dyDescent="0.25">
      <c r="A4415" s="718">
        <v>4</v>
      </c>
      <c r="B4415" s="668"/>
      <c r="C4415" s="721"/>
      <c r="D4415" s="721"/>
      <c r="E4415" s="721"/>
      <c r="F4415" s="721"/>
      <c r="G4415" s="639"/>
      <c r="H4415" s="668"/>
      <c r="I4415" s="721"/>
      <c r="J4415" s="639"/>
      <c r="K4415" s="1124"/>
    </row>
    <row r="4416" spans="1:11" x14ac:dyDescent="0.25">
      <c r="A4416" s="718">
        <v>5</v>
      </c>
      <c r="B4416" s="668"/>
      <c r="C4416" s="721"/>
      <c r="D4416" s="721"/>
      <c r="E4416" s="721"/>
      <c r="F4416" s="721"/>
      <c r="G4416" s="639"/>
      <c r="H4416" s="668"/>
      <c r="I4416" s="721"/>
      <c r="J4416" s="639"/>
      <c r="K4416" s="1124"/>
    </row>
    <row r="4417" spans="1:11" ht="13.8" thickBot="1" x14ac:dyDescent="0.3">
      <c r="A4417" s="719">
        <v>6</v>
      </c>
      <c r="B4417" s="669"/>
      <c r="C4417" s="1137"/>
      <c r="D4417" s="1137"/>
      <c r="E4417" s="1137"/>
      <c r="F4417" s="1137"/>
      <c r="G4417" s="646"/>
      <c r="H4417" s="669"/>
      <c r="I4417" s="1137"/>
      <c r="J4417" s="646"/>
      <c r="K4417" s="1138"/>
    </row>
    <row r="4418" spans="1:11" x14ac:dyDescent="0.25">
      <c r="A4418" s="1190">
        <v>1</v>
      </c>
      <c r="B4418" s="745"/>
      <c r="C4418" s="1117"/>
      <c r="D4418" s="1117"/>
      <c r="E4418" s="1117"/>
      <c r="F4418" s="1117"/>
      <c r="G4418" s="632"/>
      <c r="H4418" s="745"/>
      <c r="I4418" s="1117"/>
      <c r="J4418" s="632"/>
      <c r="K4418" s="1118"/>
    </row>
    <row r="4419" spans="1:11" x14ac:dyDescent="0.25">
      <c r="A4419" s="718">
        <v>2</v>
      </c>
      <c r="B4419" s="668"/>
      <c r="C4419" s="721"/>
      <c r="D4419" s="721"/>
      <c r="E4419" s="721"/>
      <c r="F4419" s="721"/>
      <c r="G4419" s="639"/>
      <c r="H4419" s="668"/>
      <c r="I4419" s="721"/>
      <c r="J4419" s="639"/>
      <c r="K4419" s="1124"/>
    </row>
    <row r="4420" spans="1:11" ht="13.8" thickBot="1" x14ac:dyDescent="0.3">
      <c r="A4420" s="1191">
        <v>3</v>
      </c>
      <c r="B4420" s="1132"/>
      <c r="C4420" s="1133"/>
      <c r="D4420" s="1133"/>
      <c r="E4420" s="1133"/>
      <c r="F4420" s="1133"/>
      <c r="G4420" s="1134"/>
      <c r="H4420" s="1132"/>
      <c r="I4420" s="1133"/>
      <c r="J4420" s="1134"/>
      <c r="K4420" s="1147"/>
    </row>
    <row r="4421" spans="1:11" ht="13.8" thickBot="1" x14ac:dyDescent="0.3">
      <c r="A4421" s="1186" t="s">
        <v>928</v>
      </c>
      <c r="B4421" s="1187"/>
      <c r="C4421" s="1188"/>
      <c r="D4421" s="1188"/>
      <c r="E4421" s="1188"/>
      <c r="F4421" s="1188"/>
      <c r="G4421" s="1189"/>
      <c r="H4421" s="1187"/>
      <c r="I4421" s="1188"/>
      <c r="J4421" s="1189"/>
      <c r="K4421" s="716"/>
    </row>
    <row r="4422" spans="1:11" x14ac:dyDescent="0.25">
      <c r="A4422" s="1190">
        <v>1</v>
      </c>
      <c r="B4422" s="745"/>
      <c r="C4422" s="1117"/>
      <c r="D4422" s="1117"/>
      <c r="E4422" s="1117"/>
      <c r="F4422" s="1117"/>
      <c r="G4422" s="632"/>
      <c r="H4422" s="745"/>
      <c r="I4422" s="1117"/>
      <c r="J4422" s="632"/>
      <c r="K4422" s="1118"/>
    </row>
    <row r="4423" spans="1:11" x14ac:dyDescent="0.25">
      <c r="A4423" s="718">
        <v>2</v>
      </c>
      <c r="B4423" s="668"/>
      <c r="C4423" s="721"/>
      <c r="D4423" s="721"/>
      <c r="E4423" s="721"/>
      <c r="F4423" s="721"/>
      <c r="G4423" s="639"/>
      <c r="H4423" s="668"/>
      <c r="I4423" s="721"/>
      <c r="J4423" s="639"/>
      <c r="K4423" s="1124"/>
    </row>
    <row r="4424" spans="1:11" x14ac:dyDescent="0.25">
      <c r="A4424" s="718">
        <v>3</v>
      </c>
      <c r="B4424" s="668"/>
      <c r="C4424" s="721"/>
      <c r="D4424" s="721"/>
      <c r="E4424" s="721"/>
      <c r="F4424" s="721"/>
      <c r="G4424" s="639"/>
      <c r="H4424" s="668"/>
      <c r="I4424" s="721"/>
      <c r="J4424" s="639"/>
      <c r="K4424" s="1124"/>
    </row>
    <row r="4425" spans="1:11" x14ac:dyDescent="0.25">
      <c r="A4425" s="718">
        <v>4</v>
      </c>
      <c r="B4425" s="668"/>
      <c r="C4425" s="721"/>
      <c r="D4425" s="721"/>
      <c r="E4425" s="721"/>
      <c r="F4425" s="721"/>
      <c r="G4425" s="639"/>
      <c r="H4425" s="668"/>
      <c r="I4425" s="721"/>
      <c r="J4425" s="639"/>
      <c r="K4425" s="1124"/>
    </row>
    <row r="4426" spans="1:11" x14ac:dyDescent="0.25">
      <c r="A4426" s="718">
        <v>5</v>
      </c>
      <c r="B4426" s="668"/>
      <c r="C4426" s="721"/>
      <c r="D4426" s="721"/>
      <c r="E4426" s="721"/>
      <c r="F4426" s="721"/>
      <c r="G4426" s="639"/>
      <c r="H4426" s="668"/>
      <c r="I4426" s="721"/>
      <c r="J4426" s="639"/>
      <c r="K4426" s="1124"/>
    </row>
    <row r="4427" spans="1:11" ht="13.8" thickBot="1" x14ac:dyDescent="0.3">
      <c r="A4427" s="719">
        <v>6</v>
      </c>
      <c r="B4427" s="669"/>
      <c r="C4427" s="1137"/>
      <c r="D4427" s="1137"/>
      <c r="E4427" s="1137"/>
      <c r="F4427" s="1137"/>
      <c r="G4427" s="646"/>
      <c r="H4427" s="669"/>
      <c r="I4427" s="1137"/>
      <c r="J4427" s="646"/>
      <c r="K4427" s="1138"/>
    </row>
    <row r="4428" spans="1:11" x14ac:dyDescent="0.25">
      <c r="A4428" s="1190">
        <v>1</v>
      </c>
      <c r="B4428" s="745"/>
      <c r="C4428" s="1117"/>
      <c r="D4428" s="1117"/>
      <c r="E4428" s="1117"/>
      <c r="F4428" s="1117"/>
      <c r="G4428" s="632"/>
      <c r="H4428" s="745"/>
      <c r="I4428" s="1117"/>
      <c r="J4428" s="632"/>
      <c r="K4428" s="1118"/>
    </row>
    <row r="4429" spans="1:11" x14ac:dyDescent="0.25">
      <c r="A4429" s="718">
        <v>2</v>
      </c>
      <c r="B4429" s="668"/>
      <c r="C4429" s="721"/>
      <c r="D4429" s="721"/>
      <c r="E4429" s="721"/>
      <c r="F4429" s="721"/>
      <c r="G4429" s="639"/>
      <c r="H4429" s="668"/>
      <c r="I4429" s="721"/>
      <c r="J4429" s="639"/>
      <c r="K4429" s="1124"/>
    </row>
    <row r="4430" spans="1:11" ht="13.8" thickBot="1" x14ac:dyDescent="0.3">
      <c r="A4430" s="719">
        <v>3</v>
      </c>
      <c r="B4430" s="669"/>
      <c r="C4430" s="1137"/>
      <c r="D4430" s="1137"/>
      <c r="E4430" s="1137"/>
      <c r="F4430" s="1137"/>
      <c r="G4430" s="646"/>
      <c r="H4430" s="669"/>
      <c r="I4430" s="1137"/>
      <c r="J4430" s="646"/>
      <c r="K4430" s="1138"/>
    </row>
    <row r="4431" spans="1:11" ht="13.8" thickBot="1" x14ac:dyDescent="0.3">
      <c r="A4431" s="1186" t="s">
        <v>929</v>
      </c>
      <c r="B4431" s="1187"/>
      <c r="C4431" s="1188"/>
      <c r="D4431" s="1188"/>
      <c r="E4431" s="1188"/>
      <c r="F4431" s="1188"/>
      <c r="G4431" s="1189"/>
      <c r="H4431" s="1187"/>
      <c r="I4431" s="1188"/>
      <c r="J4431" s="1189"/>
      <c r="K4431" s="716"/>
    </row>
    <row r="4432" spans="1:11" x14ac:dyDescent="0.25">
      <c r="A4432" s="1190">
        <v>1</v>
      </c>
      <c r="B4432" s="745"/>
      <c r="C4432" s="1117"/>
      <c r="D4432" s="1117"/>
      <c r="E4432" s="1117"/>
      <c r="F4432" s="1117"/>
      <c r="G4432" s="632"/>
      <c r="H4432" s="745"/>
      <c r="I4432" s="1117"/>
      <c r="J4432" s="632"/>
      <c r="K4432" s="1118"/>
    </row>
    <row r="4433" spans="1:11" x14ac:dyDescent="0.25">
      <c r="A4433" s="718">
        <v>2</v>
      </c>
      <c r="B4433" s="668"/>
      <c r="C4433" s="721"/>
      <c r="D4433" s="721"/>
      <c r="E4433" s="721"/>
      <c r="F4433" s="721"/>
      <c r="G4433" s="639"/>
      <c r="H4433" s="668"/>
      <c r="I4433" s="721"/>
      <c r="J4433" s="639"/>
      <c r="K4433" s="1124"/>
    </row>
    <row r="4434" spans="1:11" x14ac:dyDescent="0.25">
      <c r="A4434" s="718">
        <v>3</v>
      </c>
      <c r="B4434" s="668"/>
      <c r="C4434" s="721"/>
      <c r="D4434" s="721"/>
      <c r="E4434" s="721"/>
      <c r="F4434" s="721"/>
      <c r="G4434" s="639"/>
      <c r="H4434" s="668"/>
      <c r="I4434" s="721"/>
      <c r="J4434" s="639"/>
      <c r="K4434" s="1124"/>
    </row>
    <row r="4435" spans="1:11" x14ac:dyDescent="0.25">
      <c r="A4435" s="718">
        <v>4</v>
      </c>
      <c r="B4435" s="668"/>
      <c r="C4435" s="721"/>
      <c r="D4435" s="721"/>
      <c r="E4435" s="721"/>
      <c r="F4435" s="721"/>
      <c r="G4435" s="639"/>
      <c r="H4435" s="668"/>
      <c r="I4435" s="721"/>
      <c r="J4435" s="639"/>
      <c r="K4435" s="1124"/>
    </row>
    <row r="4436" spans="1:11" x14ac:dyDescent="0.25">
      <c r="A4436" s="718">
        <v>5</v>
      </c>
      <c r="B4436" s="668"/>
      <c r="C4436" s="721"/>
      <c r="D4436" s="721"/>
      <c r="E4436" s="721"/>
      <c r="F4436" s="721"/>
      <c r="G4436" s="639"/>
      <c r="H4436" s="668"/>
      <c r="I4436" s="721"/>
      <c r="J4436" s="639"/>
      <c r="K4436" s="1124"/>
    </row>
    <row r="4437" spans="1:11" ht="13.8" thickBot="1" x14ac:dyDescent="0.3">
      <c r="A4437" s="719">
        <v>6</v>
      </c>
      <c r="B4437" s="669"/>
      <c r="C4437" s="1137"/>
      <c r="D4437" s="1137"/>
      <c r="E4437" s="1137"/>
      <c r="F4437" s="1137"/>
      <c r="G4437" s="646"/>
      <c r="H4437" s="669"/>
      <c r="I4437" s="1137"/>
      <c r="J4437" s="646"/>
      <c r="K4437" s="1138"/>
    </row>
    <row r="4438" spans="1:11" x14ac:dyDescent="0.25">
      <c r="A4438" s="1190">
        <v>1</v>
      </c>
      <c r="B4438" s="745"/>
      <c r="C4438" s="1117"/>
      <c r="D4438" s="1117"/>
      <c r="E4438" s="1117"/>
      <c r="F4438" s="1117"/>
      <c r="G4438" s="632"/>
      <c r="H4438" s="745"/>
      <c r="I4438" s="1117"/>
      <c r="J4438" s="632"/>
      <c r="K4438" s="1118"/>
    </row>
    <row r="4439" spans="1:11" x14ac:dyDescent="0.25">
      <c r="A4439" s="718">
        <v>2</v>
      </c>
      <c r="B4439" s="668"/>
      <c r="C4439" s="721"/>
      <c r="D4439" s="721"/>
      <c r="E4439" s="721"/>
      <c r="F4439" s="721"/>
      <c r="G4439" s="639"/>
      <c r="H4439" s="668"/>
      <c r="I4439" s="721"/>
      <c r="J4439" s="639"/>
      <c r="K4439" s="1124"/>
    </row>
    <row r="4440" spans="1:11" ht="13.8" thickBot="1" x14ac:dyDescent="0.3">
      <c r="A4440" s="719">
        <v>3</v>
      </c>
      <c r="B4440" s="669"/>
      <c r="C4440" s="1137"/>
      <c r="D4440" s="1137"/>
      <c r="E4440" s="1137"/>
      <c r="F4440" s="1137"/>
      <c r="G4440" s="646"/>
      <c r="H4440" s="669"/>
      <c r="I4440" s="1137"/>
      <c r="J4440" s="646"/>
      <c r="K4440" s="1138"/>
    </row>
    <row r="4441" spans="1:11" ht="13.8" thickBot="1" x14ac:dyDescent="0.3">
      <c r="A4441" s="1186" t="s">
        <v>930</v>
      </c>
      <c r="B4441" s="1187"/>
      <c r="C4441" s="1188"/>
      <c r="D4441" s="1188"/>
      <c r="E4441" s="1188"/>
      <c r="F4441" s="1188"/>
      <c r="G4441" s="1189"/>
      <c r="H4441" s="1187"/>
      <c r="I4441" s="1188"/>
      <c r="J4441" s="1189"/>
      <c r="K4441" s="716"/>
    </row>
    <row r="4442" spans="1:11" x14ac:dyDescent="0.25">
      <c r="A4442" s="1190">
        <v>1</v>
      </c>
      <c r="B4442" s="745"/>
      <c r="C4442" s="1117"/>
      <c r="D4442" s="1117"/>
      <c r="E4442" s="1117"/>
      <c r="F4442" s="1117"/>
      <c r="G4442" s="632"/>
      <c r="H4442" s="745"/>
      <c r="I4442" s="1117"/>
      <c r="J4442" s="632"/>
      <c r="K4442" s="1118"/>
    </row>
    <row r="4443" spans="1:11" x14ac:dyDescent="0.25">
      <c r="A4443" s="718">
        <v>2</v>
      </c>
      <c r="B4443" s="668"/>
      <c r="C4443" s="721"/>
      <c r="D4443" s="721"/>
      <c r="E4443" s="721"/>
      <c r="F4443" s="721"/>
      <c r="G4443" s="639"/>
      <c r="H4443" s="668"/>
      <c r="I4443" s="721"/>
      <c r="J4443" s="639"/>
      <c r="K4443" s="1124"/>
    </row>
    <row r="4444" spans="1:11" x14ac:dyDescent="0.25">
      <c r="A4444" s="718">
        <v>3</v>
      </c>
      <c r="B4444" s="668"/>
      <c r="C4444" s="721"/>
      <c r="D4444" s="721"/>
      <c r="E4444" s="721"/>
      <c r="F4444" s="721"/>
      <c r="G4444" s="639"/>
      <c r="H4444" s="668"/>
      <c r="I4444" s="721"/>
      <c r="J4444" s="639"/>
      <c r="K4444" s="1124"/>
    </row>
    <row r="4445" spans="1:11" x14ac:dyDescent="0.25">
      <c r="A4445" s="718">
        <v>4</v>
      </c>
      <c r="B4445" s="668"/>
      <c r="C4445" s="721"/>
      <c r="D4445" s="721"/>
      <c r="E4445" s="721"/>
      <c r="F4445" s="721"/>
      <c r="G4445" s="639"/>
      <c r="H4445" s="668"/>
      <c r="I4445" s="721"/>
      <c r="J4445" s="639"/>
      <c r="K4445" s="1124"/>
    </row>
    <row r="4446" spans="1:11" x14ac:dyDescent="0.25">
      <c r="A4446" s="718">
        <v>5</v>
      </c>
      <c r="B4446" s="668"/>
      <c r="C4446" s="721"/>
      <c r="D4446" s="721"/>
      <c r="E4446" s="721"/>
      <c r="F4446" s="721"/>
      <c r="G4446" s="639"/>
      <c r="H4446" s="668"/>
      <c r="I4446" s="721"/>
      <c r="J4446" s="639"/>
      <c r="K4446" s="1124"/>
    </row>
    <row r="4447" spans="1:11" ht="13.8" thickBot="1" x14ac:dyDescent="0.3">
      <c r="A4447" s="719">
        <v>6</v>
      </c>
      <c r="B4447" s="669"/>
      <c r="C4447" s="1137"/>
      <c r="D4447" s="1137"/>
      <c r="E4447" s="1137"/>
      <c r="F4447" s="1137"/>
      <c r="G4447" s="646"/>
      <c r="H4447" s="669"/>
      <c r="I4447" s="1137"/>
      <c r="J4447" s="646"/>
      <c r="K4447" s="1138"/>
    </row>
    <row r="4448" spans="1:11" x14ac:dyDescent="0.25">
      <c r="A4448" s="1190">
        <v>1</v>
      </c>
      <c r="B4448" s="745"/>
      <c r="C4448" s="1117"/>
      <c r="D4448" s="1117"/>
      <c r="E4448" s="1117"/>
      <c r="F4448" s="1117"/>
      <c r="G4448" s="632"/>
      <c r="H4448" s="745"/>
      <c r="I4448" s="1117"/>
      <c r="J4448" s="632"/>
      <c r="K4448" s="1118"/>
    </row>
    <row r="4449" spans="1:11" x14ac:dyDescent="0.25">
      <c r="A4449" s="718">
        <v>2</v>
      </c>
      <c r="B4449" s="668"/>
      <c r="C4449" s="721"/>
      <c r="D4449" s="721"/>
      <c r="E4449" s="721"/>
      <c r="F4449" s="721"/>
      <c r="G4449" s="639"/>
      <c r="H4449" s="668"/>
      <c r="I4449" s="721"/>
      <c r="J4449" s="639"/>
      <c r="K4449" s="1124"/>
    </row>
    <row r="4450" spans="1:11" ht="13.8" thickBot="1" x14ac:dyDescent="0.3">
      <c r="A4450" s="719">
        <v>3</v>
      </c>
      <c r="B4450" s="669"/>
      <c r="C4450" s="1137"/>
      <c r="D4450" s="1137"/>
      <c r="E4450" s="1137"/>
      <c r="F4450" s="1137"/>
      <c r="G4450" s="646"/>
      <c r="H4450" s="669"/>
      <c r="I4450" s="1137"/>
      <c r="J4450" s="646"/>
      <c r="K4450" s="1138"/>
    </row>
    <row r="4451" spans="1:11" ht="13.8" thickBot="1" x14ac:dyDescent="0.3">
      <c r="A4451" s="1186" t="s">
        <v>931</v>
      </c>
      <c r="B4451" s="1187"/>
      <c r="C4451" s="1188"/>
      <c r="D4451" s="1188"/>
      <c r="E4451" s="1188"/>
      <c r="F4451" s="1188"/>
      <c r="G4451" s="1189"/>
      <c r="H4451" s="1187"/>
      <c r="I4451" s="1188"/>
      <c r="J4451" s="1189"/>
      <c r="K4451" s="716"/>
    </row>
    <row r="4452" spans="1:11" x14ac:dyDescent="0.25">
      <c r="A4452" s="1190">
        <v>1</v>
      </c>
      <c r="B4452" s="745"/>
      <c r="C4452" s="1117"/>
      <c r="D4452" s="1117"/>
      <c r="E4452" s="1117"/>
      <c r="F4452" s="1117"/>
      <c r="G4452" s="632"/>
      <c r="H4452" s="745"/>
      <c r="I4452" s="1117"/>
      <c r="J4452" s="632"/>
      <c r="K4452" s="1118"/>
    </row>
    <row r="4453" spans="1:11" x14ac:dyDescent="0.25">
      <c r="A4453" s="718">
        <v>2</v>
      </c>
      <c r="B4453" s="668"/>
      <c r="C4453" s="721"/>
      <c r="D4453" s="721"/>
      <c r="E4453" s="721"/>
      <c r="F4453" s="721"/>
      <c r="G4453" s="639"/>
      <c r="H4453" s="668"/>
      <c r="I4453" s="721"/>
      <c r="J4453" s="639"/>
      <c r="K4453" s="1124"/>
    </row>
    <row r="4454" spans="1:11" x14ac:dyDescent="0.25">
      <c r="A4454" s="718">
        <v>3</v>
      </c>
      <c r="B4454" s="668"/>
      <c r="C4454" s="721"/>
      <c r="D4454" s="721"/>
      <c r="E4454" s="721"/>
      <c r="F4454" s="721"/>
      <c r="G4454" s="639"/>
      <c r="H4454" s="668"/>
      <c r="I4454" s="721"/>
      <c r="J4454" s="639"/>
      <c r="K4454" s="1124"/>
    </row>
    <row r="4455" spans="1:11" x14ac:dyDescent="0.25">
      <c r="A4455" s="718">
        <v>4</v>
      </c>
      <c r="B4455" s="668"/>
      <c r="C4455" s="721"/>
      <c r="D4455" s="721"/>
      <c r="E4455" s="721"/>
      <c r="F4455" s="721"/>
      <c r="G4455" s="639"/>
      <c r="H4455" s="668"/>
      <c r="I4455" s="721"/>
      <c r="J4455" s="639"/>
      <c r="K4455" s="1124"/>
    </row>
    <row r="4456" spans="1:11" x14ac:dyDescent="0.25">
      <c r="A4456" s="718">
        <v>5</v>
      </c>
      <c r="B4456" s="668"/>
      <c r="C4456" s="721"/>
      <c r="D4456" s="721"/>
      <c r="E4456" s="721"/>
      <c r="F4456" s="721"/>
      <c r="G4456" s="639"/>
      <c r="H4456" s="668"/>
      <c r="I4456" s="721"/>
      <c r="J4456" s="639"/>
      <c r="K4456" s="1124"/>
    </row>
    <row r="4457" spans="1:11" ht="13.8" thickBot="1" x14ac:dyDescent="0.3">
      <c r="A4457" s="719">
        <v>6</v>
      </c>
      <c r="B4457" s="669"/>
      <c r="C4457" s="1137"/>
      <c r="D4457" s="1137"/>
      <c r="E4457" s="1137"/>
      <c r="F4457" s="1137"/>
      <c r="G4457" s="646"/>
      <c r="H4457" s="669"/>
      <c r="I4457" s="1137"/>
      <c r="J4457" s="646"/>
      <c r="K4457" s="1138"/>
    </row>
    <row r="4458" spans="1:11" x14ac:dyDescent="0.25">
      <c r="A4458" s="1190">
        <v>1</v>
      </c>
      <c r="B4458" s="745"/>
      <c r="C4458" s="1117"/>
      <c r="D4458" s="1117"/>
      <c r="E4458" s="1117"/>
      <c r="F4458" s="1117"/>
      <c r="G4458" s="632"/>
      <c r="H4458" s="745"/>
      <c r="I4458" s="1117"/>
      <c r="J4458" s="632"/>
      <c r="K4458" s="1118"/>
    </row>
    <row r="4459" spans="1:11" x14ac:dyDescent="0.25">
      <c r="A4459" s="718">
        <v>2</v>
      </c>
      <c r="B4459" s="668"/>
      <c r="C4459" s="721"/>
      <c r="D4459" s="721"/>
      <c r="E4459" s="721"/>
      <c r="F4459" s="721"/>
      <c r="G4459" s="639"/>
      <c r="H4459" s="668"/>
      <c r="I4459" s="721"/>
      <c r="J4459" s="639"/>
      <c r="K4459" s="1124"/>
    </row>
    <row r="4460" spans="1:11" ht="13.8" thickBot="1" x14ac:dyDescent="0.3">
      <c r="A4460" s="719">
        <v>3</v>
      </c>
      <c r="B4460" s="669"/>
      <c r="C4460" s="1137"/>
      <c r="D4460" s="1137"/>
      <c r="E4460" s="1137"/>
      <c r="F4460" s="1137"/>
      <c r="G4460" s="646"/>
      <c r="H4460" s="669"/>
      <c r="I4460" s="1137"/>
      <c r="J4460" s="646"/>
      <c r="K4460" s="1138"/>
    </row>
    <row r="4461" spans="1:11" ht="13.8" thickBot="1" x14ac:dyDescent="0.3">
      <c r="A4461" s="1186" t="s">
        <v>932</v>
      </c>
      <c r="B4461" s="1187"/>
      <c r="C4461" s="1188"/>
      <c r="D4461" s="1188"/>
      <c r="E4461" s="1188"/>
      <c r="F4461" s="1188"/>
      <c r="G4461" s="1189"/>
      <c r="H4461" s="1187"/>
      <c r="I4461" s="1188"/>
      <c r="J4461" s="1189"/>
      <c r="K4461" s="716"/>
    </row>
    <row r="4462" spans="1:11" x14ac:dyDescent="0.25">
      <c r="A4462" s="1190">
        <v>1</v>
      </c>
      <c r="B4462" s="745"/>
      <c r="C4462" s="1117"/>
      <c r="D4462" s="1117"/>
      <c r="E4462" s="1117"/>
      <c r="F4462" s="1117"/>
      <c r="G4462" s="632"/>
      <c r="H4462" s="745"/>
      <c r="I4462" s="1117"/>
      <c r="J4462" s="632"/>
      <c r="K4462" s="1118"/>
    </row>
    <row r="4463" spans="1:11" x14ac:dyDescent="0.25">
      <c r="A4463" s="718">
        <v>2</v>
      </c>
      <c r="B4463" s="668"/>
      <c r="C4463" s="721"/>
      <c r="D4463" s="721"/>
      <c r="E4463" s="721"/>
      <c r="F4463" s="721"/>
      <c r="G4463" s="639"/>
      <c r="H4463" s="668"/>
      <c r="I4463" s="721"/>
      <c r="J4463" s="639"/>
      <c r="K4463" s="1124"/>
    </row>
    <row r="4464" spans="1:11" x14ac:dyDescent="0.25">
      <c r="A4464" s="718">
        <v>3</v>
      </c>
      <c r="B4464" s="668"/>
      <c r="C4464" s="721"/>
      <c r="D4464" s="721"/>
      <c r="E4464" s="721"/>
      <c r="F4464" s="721"/>
      <c r="G4464" s="639"/>
      <c r="H4464" s="668"/>
      <c r="I4464" s="721"/>
      <c r="J4464" s="639"/>
      <c r="K4464" s="1124"/>
    </row>
    <row r="4465" spans="1:11" x14ac:dyDescent="0.25">
      <c r="A4465" s="718">
        <v>4</v>
      </c>
      <c r="B4465" s="668"/>
      <c r="C4465" s="721"/>
      <c r="D4465" s="721"/>
      <c r="E4465" s="721"/>
      <c r="F4465" s="721"/>
      <c r="G4465" s="639"/>
      <c r="H4465" s="668"/>
      <c r="I4465" s="721"/>
      <c r="J4465" s="639"/>
      <c r="K4465" s="1124"/>
    </row>
    <row r="4466" spans="1:11" x14ac:dyDescent="0.25">
      <c r="A4466" s="718">
        <v>5</v>
      </c>
      <c r="B4466" s="668"/>
      <c r="C4466" s="721"/>
      <c r="D4466" s="721"/>
      <c r="E4466" s="721"/>
      <c r="F4466" s="721"/>
      <c r="G4466" s="639"/>
      <c r="H4466" s="668"/>
      <c r="I4466" s="721"/>
      <c r="J4466" s="639"/>
      <c r="K4466" s="1124"/>
    </row>
    <row r="4467" spans="1:11" ht="13.8" thickBot="1" x14ac:dyDescent="0.3">
      <c r="A4467" s="719">
        <v>6</v>
      </c>
      <c r="B4467" s="669"/>
      <c r="C4467" s="1137"/>
      <c r="D4467" s="1137"/>
      <c r="E4467" s="1137"/>
      <c r="F4467" s="1137"/>
      <c r="G4467" s="646"/>
      <c r="H4467" s="669"/>
      <c r="I4467" s="1137"/>
      <c r="J4467" s="646"/>
      <c r="K4467" s="1138"/>
    </row>
    <row r="4468" spans="1:11" x14ac:dyDescent="0.25">
      <c r="A4468" s="1190">
        <v>1</v>
      </c>
      <c r="B4468" s="745"/>
      <c r="C4468" s="1117"/>
      <c r="D4468" s="1117"/>
      <c r="E4468" s="1117"/>
      <c r="F4468" s="1117"/>
      <c r="G4468" s="632"/>
      <c r="H4468" s="745"/>
      <c r="I4468" s="1117"/>
      <c r="J4468" s="632"/>
      <c r="K4468" s="1118"/>
    </row>
    <row r="4469" spans="1:11" x14ac:dyDescent="0.25">
      <c r="A4469" s="718">
        <v>2</v>
      </c>
      <c r="B4469" s="668"/>
      <c r="C4469" s="721"/>
      <c r="D4469" s="721"/>
      <c r="E4469" s="721"/>
      <c r="F4469" s="721"/>
      <c r="G4469" s="639"/>
      <c r="H4469" s="668"/>
      <c r="I4469" s="721"/>
      <c r="J4469" s="639"/>
      <c r="K4469" s="1124"/>
    </row>
    <row r="4470" spans="1:11" ht="13.8" thickBot="1" x14ac:dyDescent="0.3">
      <c r="A4470" s="719">
        <v>3</v>
      </c>
      <c r="B4470" s="669"/>
      <c r="C4470" s="1137"/>
      <c r="D4470" s="1137"/>
      <c r="E4470" s="1137"/>
      <c r="F4470" s="1137"/>
      <c r="G4470" s="646"/>
      <c r="H4470" s="669"/>
      <c r="I4470" s="1137"/>
      <c r="J4470" s="646"/>
      <c r="K4470" s="1138"/>
    </row>
    <row r="4471" spans="1:11" ht="13.8" thickBot="1" x14ac:dyDescent="0.3">
      <c r="A4471" s="1186" t="s">
        <v>933</v>
      </c>
      <c r="B4471" s="1187"/>
      <c r="C4471" s="1188"/>
      <c r="D4471" s="1188"/>
      <c r="E4471" s="1188"/>
      <c r="F4471" s="1188"/>
      <c r="G4471" s="1189"/>
      <c r="H4471" s="1187"/>
      <c r="I4471" s="1188"/>
      <c r="J4471" s="1189"/>
      <c r="K4471" s="716"/>
    </row>
    <row r="4472" spans="1:11" x14ac:dyDescent="0.25">
      <c r="A4472" s="1190">
        <v>1</v>
      </c>
      <c r="B4472" s="745"/>
      <c r="C4472" s="1117"/>
      <c r="D4472" s="1117"/>
      <c r="E4472" s="1117"/>
      <c r="F4472" s="1117"/>
      <c r="G4472" s="632"/>
      <c r="H4472" s="745"/>
      <c r="I4472" s="1117"/>
      <c r="J4472" s="632"/>
      <c r="K4472" s="1118"/>
    </row>
    <row r="4473" spans="1:11" x14ac:dyDescent="0.25">
      <c r="A4473" s="718">
        <v>2</v>
      </c>
      <c r="B4473" s="668"/>
      <c r="C4473" s="721"/>
      <c r="D4473" s="721"/>
      <c r="E4473" s="721"/>
      <c r="F4473" s="721"/>
      <c r="G4473" s="639"/>
      <c r="H4473" s="668"/>
      <c r="I4473" s="721"/>
      <c r="J4473" s="639"/>
      <c r="K4473" s="1124"/>
    </row>
    <row r="4474" spans="1:11" x14ac:dyDescent="0.25">
      <c r="A4474" s="718">
        <v>3</v>
      </c>
      <c r="B4474" s="668"/>
      <c r="C4474" s="721"/>
      <c r="D4474" s="721"/>
      <c r="E4474" s="721"/>
      <c r="F4474" s="721"/>
      <c r="G4474" s="639"/>
      <c r="H4474" s="668"/>
      <c r="I4474" s="721"/>
      <c r="J4474" s="639"/>
      <c r="K4474" s="1124"/>
    </row>
    <row r="4475" spans="1:11" x14ac:dyDescent="0.25">
      <c r="A4475" s="718">
        <v>4</v>
      </c>
      <c r="B4475" s="668"/>
      <c r="C4475" s="721"/>
      <c r="D4475" s="721"/>
      <c r="E4475" s="721"/>
      <c r="F4475" s="721"/>
      <c r="G4475" s="639"/>
      <c r="H4475" s="668"/>
      <c r="I4475" s="721"/>
      <c r="J4475" s="639"/>
      <c r="K4475" s="1124"/>
    </row>
    <row r="4476" spans="1:11" x14ac:dyDescent="0.25">
      <c r="A4476" s="718">
        <v>5</v>
      </c>
      <c r="B4476" s="668"/>
      <c r="C4476" s="721"/>
      <c r="D4476" s="721"/>
      <c r="E4476" s="721"/>
      <c r="F4476" s="721"/>
      <c r="G4476" s="639"/>
      <c r="H4476" s="668"/>
      <c r="I4476" s="721"/>
      <c r="J4476" s="639"/>
      <c r="K4476" s="1124"/>
    </row>
    <row r="4477" spans="1:11" ht="13.8" thickBot="1" x14ac:dyDescent="0.3">
      <c r="A4477" s="719">
        <v>6</v>
      </c>
      <c r="B4477" s="669"/>
      <c r="C4477" s="1137"/>
      <c r="D4477" s="1137"/>
      <c r="E4477" s="1137"/>
      <c r="F4477" s="1137"/>
      <c r="G4477" s="646"/>
      <c r="H4477" s="669"/>
      <c r="I4477" s="1137"/>
      <c r="J4477" s="646"/>
      <c r="K4477" s="1138"/>
    </row>
    <row r="4478" spans="1:11" x14ac:dyDescent="0.25">
      <c r="A4478" s="1190">
        <v>1</v>
      </c>
      <c r="B4478" s="745"/>
      <c r="C4478" s="1117"/>
      <c r="D4478" s="1117"/>
      <c r="E4478" s="1117"/>
      <c r="F4478" s="1117"/>
      <c r="G4478" s="632"/>
      <c r="H4478" s="745"/>
      <c r="I4478" s="1117"/>
      <c r="J4478" s="632"/>
      <c r="K4478" s="1118"/>
    </row>
    <row r="4479" spans="1:11" x14ac:dyDescent="0.25">
      <c r="A4479" s="718">
        <v>2</v>
      </c>
      <c r="B4479" s="668"/>
      <c r="C4479" s="721"/>
      <c r="D4479" s="721"/>
      <c r="E4479" s="721"/>
      <c r="F4479" s="721"/>
      <c r="G4479" s="639"/>
      <c r="H4479" s="668"/>
      <c r="I4479" s="721"/>
      <c r="J4479" s="639"/>
      <c r="K4479" s="1124"/>
    </row>
    <row r="4480" spans="1:11" ht="13.8" thickBot="1" x14ac:dyDescent="0.3">
      <c r="A4480" s="719">
        <v>3</v>
      </c>
      <c r="B4480" s="669"/>
      <c r="C4480" s="1137"/>
      <c r="D4480" s="1137"/>
      <c r="E4480" s="1137"/>
      <c r="F4480" s="1137"/>
      <c r="G4480" s="646"/>
      <c r="H4480" s="669"/>
      <c r="I4480" s="1137"/>
      <c r="J4480" s="646"/>
      <c r="K4480" s="1138"/>
    </row>
    <row r="4481" spans="1:11" ht="13.8" thickBot="1" x14ac:dyDescent="0.3">
      <c r="A4481" s="1186" t="s">
        <v>934</v>
      </c>
      <c r="B4481" s="1187"/>
      <c r="C4481" s="1188"/>
      <c r="D4481" s="1188"/>
      <c r="E4481" s="1188"/>
      <c r="F4481" s="1188"/>
      <c r="G4481" s="1189"/>
      <c r="H4481" s="1187"/>
      <c r="I4481" s="1188"/>
      <c r="J4481" s="1189"/>
      <c r="K4481" s="716"/>
    </row>
    <row r="4482" spans="1:11" x14ac:dyDescent="0.25">
      <c r="A4482" s="1190">
        <v>1</v>
      </c>
      <c r="B4482" s="745"/>
      <c r="C4482" s="1117"/>
      <c r="D4482" s="1117"/>
      <c r="E4482" s="1117"/>
      <c r="F4482" s="1117"/>
      <c r="G4482" s="632"/>
      <c r="H4482" s="745"/>
      <c r="I4482" s="1117"/>
      <c r="J4482" s="632"/>
      <c r="K4482" s="1118"/>
    </row>
    <row r="4483" spans="1:11" x14ac:dyDescent="0.25">
      <c r="A4483" s="718">
        <v>2</v>
      </c>
      <c r="B4483" s="668"/>
      <c r="C4483" s="721"/>
      <c r="D4483" s="721"/>
      <c r="E4483" s="721"/>
      <c r="F4483" s="721"/>
      <c r="G4483" s="639"/>
      <c r="H4483" s="668"/>
      <c r="I4483" s="721"/>
      <c r="J4483" s="639"/>
      <c r="K4483" s="1124"/>
    </row>
    <row r="4484" spans="1:11" x14ac:dyDescent="0.25">
      <c r="A4484" s="718">
        <v>3</v>
      </c>
      <c r="B4484" s="668"/>
      <c r="C4484" s="721"/>
      <c r="D4484" s="721"/>
      <c r="E4484" s="721"/>
      <c r="F4484" s="721"/>
      <c r="G4484" s="639"/>
      <c r="H4484" s="668"/>
      <c r="I4484" s="721"/>
      <c r="J4484" s="639"/>
      <c r="K4484" s="1124"/>
    </row>
    <row r="4485" spans="1:11" x14ac:dyDescent="0.25">
      <c r="A4485" s="718">
        <v>4</v>
      </c>
      <c r="B4485" s="668"/>
      <c r="C4485" s="721"/>
      <c r="D4485" s="721"/>
      <c r="E4485" s="721"/>
      <c r="F4485" s="721"/>
      <c r="G4485" s="639"/>
      <c r="H4485" s="668"/>
      <c r="I4485" s="721"/>
      <c r="J4485" s="639"/>
      <c r="K4485" s="1124"/>
    </row>
    <row r="4486" spans="1:11" x14ac:dyDescent="0.25">
      <c r="A4486" s="718">
        <v>5</v>
      </c>
      <c r="B4486" s="668"/>
      <c r="C4486" s="721"/>
      <c r="D4486" s="721"/>
      <c r="E4486" s="721"/>
      <c r="F4486" s="721"/>
      <c r="G4486" s="639"/>
      <c r="H4486" s="668"/>
      <c r="I4486" s="721"/>
      <c r="J4486" s="639"/>
      <c r="K4486" s="1124"/>
    </row>
    <row r="4487" spans="1:11" ht="13.8" thickBot="1" x14ac:dyDescent="0.3">
      <c r="A4487" s="719">
        <v>6</v>
      </c>
      <c r="B4487" s="669"/>
      <c r="C4487" s="1137"/>
      <c r="D4487" s="1137"/>
      <c r="E4487" s="1137"/>
      <c r="F4487" s="1137"/>
      <c r="G4487" s="646"/>
      <c r="H4487" s="669"/>
      <c r="I4487" s="1137"/>
      <c r="J4487" s="646"/>
      <c r="K4487" s="1138"/>
    </row>
    <row r="4488" spans="1:11" x14ac:dyDescent="0.25">
      <c r="A4488" s="1190">
        <v>1</v>
      </c>
      <c r="B4488" s="745"/>
      <c r="C4488" s="1117"/>
      <c r="D4488" s="1117"/>
      <c r="E4488" s="1117"/>
      <c r="F4488" s="1117"/>
      <c r="G4488" s="632"/>
      <c r="H4488" s="745"/>
      <c r="I4488" s="1117"/>
      <c r="J4488" s="632"/>
      <c r="K4488" s="1118"/>
    </row>
    <row r="4489" spans="1:11" x14ac:dyDescent="0.25">
      <c r="A4489" s="718">
        <v>2</v>
      </c>
      <c r="B4489" s="668"/>
      <c r="C4489" s="721"/>
      <c r="D4489" s="721"/>
      <c r="E4489" s="721"/>
      <c r="F4489" s="721"/>
      <c r="G4489" s="639"/>
      <c r="H4489" s="668"/>
      <c r="I4489" s="721"/>
      <c r="J4489" s="639"/>
      <c r="K4489" s="1124"/>
    </row>
    <row r="4490" spans="1:11" ht="13.8" thickBot="1" x14ac:dyDescent="0.3">
      <c r="A4490" s="1191">
        <v>3</v>
      </c>
      <c r="B4490" s="1132"/>
      <c r="C4490" s="1133"/>
      <c r="D4490" s="1133"/>
      <c r="E4490" s="1133"/>
      <c r="F4490" s="1133"/>
      <c r="G4490" s="1134"/>
      <c r="H4490" s="1132"/>
      <c r="I4490" s="1133"/>
      <c r="J4490" s="1134"/>
      <c r="K4490" s="1147"/>
    </row>
    <row r="4491" spans="1:11" ht="13.8" thickBot="1" x14ac:dyDescent="0.3">
      <c r="A4491" s="1186" t="s">
        <v>935</v>
      </c>
      <c r="B4491" s="1187"/>
      <c r="C4491" s="1188"/>
      <c r="D4491" s="1188"/>
      <c r="E4491" s="1188"/>
      <c r="F4491" s="1188"/>
      <c r="G4491" s="1189"/>
      <c r="H4491" s="1187"/>
      <c r="I4491" s="1188"/>
      <c r="J4491" s="1189"/>
      <c r="K4491" s="716"/>
    </row>
    <row r="4492" spans="1:11" x14ac:dyDescent="0.25">
      <c r="A4492" s="1190">
        <v>1</v>
      </c>
      <c r="B4492" s="745"/>
      <c r="C4492" s="1117"/>
      <c r="D4492" s="1117"/>
      <c r="E4492" s="1117"/>
      <c r="F4492" s="1117"/>
      <c r="G4492" s="632"/>
      <c r="H4492" s="745"/>
      <c r="I4492" s="1117"/>
      <c r="J4492" s="632"/>
      <c r="K4492" s="1118"/>
    </row>
    <row r="4493" spans="1:11" x14ac:dyDescent="0.25">
      <c r="A4493" s="718">
        <v>2</v>
      </c>
      <c r="B4493" s="668"/>
      <c r="C4493" s="721"/>
      <c r="D4493" s="721"/>
      <c r="E4493" s="721"/>
      <c r="F4493" s="721"/>
      <c r="G4493" s="639"/>
      <c r="H4493" s="668"/>
      <c r="I4493" s="721"/>
      <c r="J4493" s="639"/>
      <c r="K4493" s="1124"/>
    </row>
    <row r="4494" spans="1:11" x14ac:dyDescent="0.25">
      <c r="A4494" s="718">
        <v>3</v>
      </c>
      <c r="B4494" s="668"/>
      <c r="C4494" s="721"/>
      <c r="D4494" s="721"/>
      <c r="E4494" s="721"/>
      <c r="F4494" s="721"/>
      <c r="G4494" s="639"/>
      <c r="H4494" s="668"/>
      <c r="I4494" s="721"/>
      <c r="J4494" s="639"/>
      <c r="K4494" s="1124"/>
    </row>
    <row r="4495" spans="1:11" x14ac:dyDescent="0.25">
      <c r="A4495" s="718">
        <v>4</v>
      </c>
      <c r="B4495" s="668"/>
      <c r="C4495" s="721"/>
      <c r="D4495" s="721"/>
      <c r="E4495" s="721"/>
      <c r="F4495" s="721"/>
      <c r="G4495" s="639"/>
      <c r="H4495" s="668"/>
      <c r="I4495" s="721"/>
      <c r="J4495" s="639"/>
      <c r="K4495" s="1124"/>
    </row>
    <row r="4496" spans="1:11" x14ac:dyDescent="0.25">
      <c r="A4496" s="718">
        <v>5</v>
      </c>
      <c r="B4496" s="668"/>
      <c r="C4496" s="721"/>
      <c r="D4496" s="721"/>
      <c r="E4496" s="721"/>
      <c r="F4496" s="721"/>
      <c r="G4496" s="639"/>
      <c r="H4496" s="668"/>
      <c r="I4496" s="721"/>
      <c r="J4496" s="639"/>
      <c r="K4496" s="1124"/>
    </row>
    <row r="4497" spans="1:11" ht="13.8" thickBot="1" x14ac:dyDescent="0.3">
      <c r="A4497" s="719">
        <v>6</v>
      </c>
      <c r="B4497" s="669"/>
      <c r="C4497" s="1137"/>
      <c r="D4497" s="1137"/>
      <c r="E4497" s="1137"/>
      <c r="F4497" s="1137"/>
      <c r="G4497" s="646"/>
      <c r="H4497" s="669"/>
      <c r="I4497" s="1137"/>
      <c r="J4497" s="646"/>
      <c r="K4497" s="1138"/>
    </row>
    <row r="4498" spans="1:11" x14ac:dyDescent="0.25">
      <c r="A4498" s="1190">
        <v>1</v>
      </c>
      <c r="B4498" s="745"/>
      <c r="C4498" s="1117"/>
      <c r="D4498" s="1117"/>
      <c r="E4498" s="1117"/>
      <c r="F4498" s="1117"/>
      <c r="G4498" s="632"/>
      <c r="H4498" s="745"/>
      <c r="I4498" s="1117"/>
      <c r="J4498" s="632"/>
      <c r="K4498" s="1118"/>
    </row>
    <row r="4499" spans="1:11" x14ac:dyDescent="0.25">
      <c r="A4499" s="718">
        <v>2</v>
      </c>
      <c r="B4499" s="668"/>
      <c r="C4499" s="721"/>
      <c r="D4499" s="721"/>
      <c r="E4499" s="721"/>
      <c r="F4499" s="721"/>
      <c r="G4499" s="639"/>
      <c r="H4499" s="668"/>
      <c r="I4499" s="721"/>
      <c r="J4499" s="639"/>
      <c r="K4499" s="1124"/>
    </row>
    <row r="4500" spans="1:11" ht="13.8" thickBot="1" x14ac:dyDescent="0.3">
      <c r="A4500" s="719">
        <v>3</v>
      </c>
      <c r="B4500" s="669"/>
      <c r="C4500" s="1137"/>
      <c r="D4500" s="1137"/>
      <c r="E4500" s="1137"/>
      <c r="F4500" s="1137"/>
      <c r="G4500" s="646"/>
      <c r="H4500" s="669"/>
      <c r="I4500" s="1137"/>
      <c r="J4500" s="646"/>
      <c r="K4500" s="1138"/>
    </row>
    <row r="4501" spans="1:11" ht="13.8" thickBot="1" x14ac:dyDescent="0.3">
      <c r="A4501" s="1186" t="s">
        <v>936</v>
      </c>
      <c r="B4501" s="1187"/>
      <c r="C4501" s="1188"/>
      <c r="D4501" s="1188"/>
      <c r="E4501" s="1188"/>
      <c r="F4501" s="1188"/>
      <c r="G4501" s="1189"/>
      <c r="H4501" s="1187"/>
      <c r="I4501" s="1188"/>
      <c r="J4501" s="1189"/>
      <c r="K4501" s="716"/>
    </row>
    <row r="4502" spans="1:11" x14ac:dyDescent="0.25">
      <c r="A4502" s="1190">
        <v>1</v>
      </c>
      <c r="B4502" s="745"/>
      <c r="C4502" s="1117"/>
      <c r="D4502" s="1117"/>
      <c r="E4502" s="1117"/>
      <c r="F4502" s="1117"/>
      <c r="G4502" s="632"/>
      <c r="H4502" s="745"/>
      <c r="I4502" s="1117"/>
      <c r="J4502" s="632"/>
      <c r="K4502" s="1118"/>
    </row>
    <row r="4503" spans="1:11" x14ac:dyDescent="0.25">
      <c r="A4503" s="718">
        <v>2</v>
      </c>
      <c r="B4503" s="668"/>
      <c r="C4503" s="721"/>
      <c r="D4503" s="721"/>
      <c r="E4503" s="721"/>
      <c r="F4503" s="721"/>
      <c r="G4503" s="639"/>
      <c r="H4503" s="668"/>
      <c r="I4503" s="721"/>
      <c r="J4503" s="639"/>
      <c r="K4503" s="1124"/>
    </row>
    <row r="4504" spans="1:11" x14ac:dyDescent="0.25">
      <c r="A4504" s="718">
        <v>3</v>
      </c>
      <c r="B4504" s="668"/>
      <c r="C4504" s="721"/>
      <c r="D4504" s="721"/>
      <c r="E4504" s="721"/>
      <c r="F4504" s="721"/>
      <c r="G4504" s="639"/>
      <c r="H4504" s="668"/>
      <c r="I4504" s="721"/>
      <c r="J4504" s="639"/>
      <c r="K4504" s="1124"/>
    </row>
    <row r="4505" spans="1:11" x14ac:dyDescent="0.25">
      <c r="A4505" s="718">
        <v>4</v>
      </c>
      <c r="B4505" s="668"/>
      <c r="C4505" s="721"/>
      <c r="D4505" s="721"/>
      <c r="E4505" s="721"/>
      <c r="F4505" s="721"/>
      <c r="G4505" s="639"/>
      <c r="H4505" s="668"/>
      <c r="I4505" s="721"/>
      <c r="J4505" s="639"/>
      <c r="K4505" s="1124"/>
    </row>
    <row r="4506" spans="1:11" x14ac:dyDescent="0.25">
      <c r="A4506" s="718">
        <v>5</v>
      </c>
      <c r="B4506" s="668"/>
      <c r="C4506" s="721"/>
      <c r="D4506" s="721"/>
      <c r="E4506" s="721"/>
      <c r="F4506" s="721"/>
      <c r="G4506" s="639"/>
      <c r="H4506" s="668"/>
      <c r="I4506" s="721"/>
      <c r="J4506" s="639"/>
      <c r="K4506" s="1124"/>
    </row>
    <row r="4507" spans="1:11" ht="13.8" thickBot="1" x14ac:dyDescent="0.3">
      <c r="A4507" s="719">
        <v>6</v>
      </c>
      <c r="B4507" s="669"/>
      <c r="C4507" s="1137"/>
      <c r="D4507" s="1137"/>
      <c r="E4507" s="1137"/>
      <c r="F4507" s="1137"/>
      <c r="G4507" s="646"/>
      <c r="H4507" s="669"/>
      <c r="I4507" s="1137"/>
      <c r="J4507" s="646"/>
      <c r="K4507" s="1138"/>
    </row>
    <row r="4508" spans="1:11" x14ac:dyDescent="0.25">
      <c r="A4508" s="1190">
        <v>1</v>
      </c>
      <c r="B4508" s="745"/>
      <c r="C4508" s="1117"/>
      <c r="D4508" s="1117"/>
      <c r="E4508" s="1117"/>
      <c r="F4508" s="1117"/>
      <c r="G4508" s="632"/>
      <c r="H4508" s="745"/>
      <c r="I4508" s="1117"/>
      <c r="J4508" s="632"/>
      <c r="K4508" s="1118"/>
    </row>
    <row r="4509" spans="1:11" x14ac:dyDescent="0.25">
      <c r="A4509" s="718">
        <v>2</v>
      </c>
      <c r="B4509" s="668"/>
      <c r="C4509" s="721"/>
      <c r="D4509" s="721"/>
      <c r="E4509" s="721"/>
      <c r="F4509" s="721"/>
      <c r="G4509" s="639"/>
      <c r="H4509" s="668"/>
      <c r="I4509" s="721"/>
      <c r="J4509" s="639"/>
      <c r="K4509" s="1124"/>
    </row>
    <row r="4510" spans="1:11" ht="13.8" thickBot="1" x14ac:dyDescent="0.3">
      <c r="A4510" s="719">
        <v>3</v>
      </c>
      <c r="B4510" s="669"/>
      <c r="C4510" s="1137"/>
      <c r="D4510" s="1137"/>
      <c r="E4510" s="1137"/>
      <c r="F4510" s="1137"/>
      <c r="G4510" s="646"/>
      <c r="H4510" s="669"/>
      <c r="I4510" s="1137"/>
      <c r="J4510" s="646"/>
      <c r="K4510" s="1138"/>
    </row>
    <row r="4511" spans="1:11" ht="13.8" thickBot="1" x14ac:dyDescent="0.3">
      <c r="A4511" s="1186" t="s">
        <v>937</v>
      </c>
      <c r="B4511" s="1187"/>
      <c r="C4511" s="1188"/>
      <c r="D4511" s="1188"/>
      <c r="E4511" s="1188"/>
      <c r="F4511" s="1188"/>
      <c r="G4511" s="1189"/>
      <c r="H4511" s="1187"/>
      <c r="I4511" s="1188"/>
      <c r="J4511" s="1189"/>
      <c r="K4511" s="716"/>
    </row>
    <row r="4512" spans="1:11" x14ac:dyDescent="0.25">
      <c r="A4512" s="1190">
        <v>1</v>
      </c>
      <c r="B4512" s="745"/>
      <c r="C4512" s="1117"/>
      <c r="D4512" s="1117"/>
      <c r="E4512" s="1117"/>
      <c r="F4512" s="1117"/>
      <c r="G4512" s="632"/>
      <c r="H4512" s="745"/>
      <c r="I4512" s="1117"/>
      <c r="J4512" s="632"/>
      <c r="K4512" s="1118"/>
    </row>
    <row r="4513" spans="1:11" x14ac:dyDescent="0.25">
      <c r="A4513" s="718">
        <v>2</v>
      </c>
      <c r="B4513" s="668"/>
      <c r="C4513" s="721"/>
      <c r="D4513" s="721"/>
      <c r="E4513" s="721"/>
      <c r="F4513" s="721"/>
      <c r="G4513" s="639"/>
      <c r="H4513" s="668"/>
      <c r="I4513" s="721"/>
      <c r="J4513" s="639"/>
      <c r="K4513" s="1124"/>
    </row>
    <row r="4514" spans="1:11" x14ac:dyDescent="0.25">
      <c r="A4514" s="718">
        <v>3</v>
      </c>
      <c r="B4514" s="668"/>
      <c r="C4514" s="721"/>
      <c r="D4514" s="721"/>
      <c r="E4514" s="721"/>
      <c r="F4514" s="721"/>
      <c r="G4514" s="639"/>
      <c r="H4514" s="668"/>
      <c r="I4514" s="721"/>
      <c r="J4514" s="639"/>
      <c r="K4514" s="1124"/>
    </row>
    <row r="4515" spans="1:11" x14ac:dyDescent="0.25">
      <c r="A4515" s="718">
        <v>4</v>
      </c>
      <c r="B4515" s="668"/>
      <c r="C4515" s="721"/>
      <c r="D4515" s="721"/>
      <c r="E4515" s="721"/>
      <c r="F4515" s="721"/>
      <c r="G4515" s="639"/>
      <c r="H4515" s="668"/>
      <c r="I4515" s="721"/>
      <c r="J4515" s="639"/>
      <c r="K4515" s="1124"/>
    </row>
    <row r="4516" spans="1:11" x14ac:dyDescent="0.25">
      <c r="A4516" s="718">
        <v>5</v>
      </c>
      <c r="B4516" s="668"/>
      <c r="C4516" s="721"/>
      <c r="D4516" s="721"/>
      <c r="E4516" s="721"/>
      <c r="F4516" s="721"/>
      <c r="G4516" s="639"/>
      <c r="H4516" s="668"/>
      <c r="I4516" s="721"/>
      <c r="J4516" s="639"/>
      <c r="K4516" s="1124"/>
    </row>
    <row r="4517" spans="1:11" ht="13.8" thickBot="1" x14ac:dyDescent="0.3">
      <c r="A4517" s="719">
        <v>6</v>
      </c>
      <c r="B4517" s="669"/>
      <c r="C4517" s="1137"/>
      <c r="D4517" s="1137"/>
      <c r="E4517" s="1137"/>
      <c r="F4517" s="1137"/>
      <c r="G4517" s="646"/>
      <c r="H4517" s="669"/>
      <c r="I4517" s="1137"/>
      <c r="J4517" s="646"/>
      <c r="K4517" s="1138"/>
    </row>
    <row r="4518" spans="1:11" x14ac:dyDescent="0.25">
      <c r="A4518" s="1190">
        <v>1</v>
      </c>
      <c r="B4518" s="745"/>
      <c r="C4518" s="1117"/>
      <c r="D4518" s="1117"/>
      <c r="E4518" s="1117"/>
      <c r="F4518" s="1117"/>
      <c r="G4518" s="632"/>
      <c r="H4518" s="745"/>
      <c r="I4518" s="1117"/>
      <c r="J4518" s="632"/>
      <c r="K4518" s="1118"/>
    </row>
    <row r="4519" spans="1:11" x14ac:dyDescent="0.25">
      <c r="A4519" s="718">
        <v>2</v>
      </c>
      <c r="B4519" s="668"/>
      <c r="C4519" s="721"/>
      <c r="D4519" s="721"/>
      <c r="E4519" s="721"/>
      <c r="F4519" s="721"/>
      <c r="G4519" s="639"/>
      <c r="H4519" s="668"/>
      <c r="I4519" s="721"/>
      <c r="J4519" s="639"/>
      <c r="K4519" s="1124"/>
    </row>
    <row r="4520" spans="1:11" ht="13.8" thickBot="1" x14ac:dyDescent="0.3">
      <c r="A4520" s="719">
        <v>3</v>
      </c>
      <c r="B4520" s="669"/>
      <c r="C4520" s="1137"/>
      <c r="D4520" s="1137"/>
      <c r="E4520" s="1137"/>
      <c r="F4520" s="1137"/>
      <c r="G4520" s="646"/>
      <c r="H4520" s="669"/>
      <c r="I4520" s="1137"/>
      <c r="J4520" s="646"/>
      <c r="K4520" s="1138"/>
    </row>
    <row r="4521" spans="1:11" ht="13.8" thickBot="1" x14ac:dyDescent="0.3">
      <c r="A4521" s="1186" t="s">
        <v>938</v>
      </c>
      <c r="B4521" s="1187"/>
      <c r="C4521" s="1188"/>
      <c r="D4521" s="1188"/>
      <c r="E4521" s="1188"/>
      <c r="F4521" s="1188"/>
      <c r="G4521" s="1189"/>
      <c r="H4521" s="1187"/>
      <c r="I4521" s="1188"/>
      <c r="J4521" s="1189"/>
      <c r="K4521" s="716"/>
    </row>
    <row r="4522" spans="1:11" x14ac:dyDescent="0.25">
      <c r="A4522" s="1190">
        <v>1</v>
      </c>
      <c r="B4522" s="745"/>
      <c r="C4522" s="1117"/>
      <c r="D4522" s="1117"/>
      <c r="E4522" s="1117"/>
      <c r="F4522" s="1117"/>
      <c r="G4522" s="632"/>
      <c r="H4522" s="745"/>
      <c r="I4522" s="1117"/>
      <c r="J4522" s="632"/>
      <c r="K4522" s="1118"/>
    </row>
    <row r="4523" spans="1:11" x14ac:dyDescent="0.25">
      <c r="A4523" s="718">
        <v>2</v>
      </c>
      <c r="B4523" s="668"/>
      <c r="C4523" s="721"/>
      <c r="D4523" s="721"/>
      <c r="E4523" s="721"/>
      <c r="F4523" s="721"/>
      <c r="G4523" s="639"/>
      <c r="H4523" s="668"/>
      <c r="I4523" s="721"/>
      <c r="J4523" s="639"/>
      <c r="K4523" s="1124"/>
    </row>
    <row r="4524" spans="1:11" x14ac:dyDescent="0.25">
      <c r="A4524" s="718">
        <v>3</v>
      </c>
      <c r="B4524" s="668"/>
      <c r="C4524" s="721"/>
      <c r="D4524" s="721"/>
      <c r="E4524" s="721"/>
      <c r="F4524" s="721"/>
      <c r="G4524" s="639"/>
      <c r="H4524" s="668"/>
      <c r="I4524" s="721"/>
      <c r="J4524" s="639"/>
      <c r="K4524" s="1124"/>
    </row>
    <row r="4525" spans="1:11" x14ac:dyDescent="0.25">
      <c r="A4525" s="718">
        <v>4</v>
      </c>
      <c r="B4525" s="668"/>
      <c r="C4525" s="721"/>
      <c r="D4525" s="721"/>
      <c r="E4525" s="721"/>
      <c r="F4525" s="721"/>
      <c r="G4525" s="639"/>
      <c r="H4525" s="668"/>
      <c r="I4525" s="721"/>
      <c r="J4525" s="639"/>
      <c r="K4525" s="1124"/>
    </row>
    <row r="4526" spans="1:11" x14ac:dyDescent="0.25">
      <c r="A4526" s="718">
        <v>5</v>
      </c>
      <c r="B4526" s="668"/>
      <c r="C4526" s="721"/>
      <c r="D4526" s="721"/>
      <c r="E4526" s="721"/>
      <c r="F4526" s="721"/>
      <c r="G4526" s="639"/>
      <c r="H4526" s="668"/>
      <c r="I4526" s="721"/>
      <c r="J4526" s="639"/>
      <c r="K4526" s="1124"/>
    </row>
    <row r="4527" spans="1:11" ht="13.8" thickBot="1" x14ac:dyDescent="0.3">
      <c r="A4527" s="719">
        <v>6</v>
      </c>
      <c r="B4527" s="669"/>
      <c r="C4527" s="1137"/>
      <c r="D4527" s="1137"/>
      <c r="E4527" s="1137"/>
      <c r="F4527" s="1137"/>
      <c r="G4527" s="646"/>
      <c r="H4527" s="669"/>
      <c r="I4527" s="1137"/>
      <c r="J4527" s="646"/>
      <c r="K4527" s="1138"/>
    </row>
    <row r="4528" spans="1:11" x14ac:dyDescent="0.25">
      <c r="A4528" s="1190">
        <v>1</v>
      </c>
      <c r="B4528" s="745"/>
      <c r="C4528" s="1117"/>
      <c r="D4528" s="1117"/>
      <c r="E4528" s="1117"/>
      <c r="F4528" s="1117"/>
      <c r="G4528" s="632"/>
      <c r="H4528" s="745"/>
      <c r="I4528" s="1117"/>
      <c r="J4528" s="632"/>
      <c r="K4528" s="1118"/>
    </row>
    <row r="4529" spans="1:11" x14ac:dyDescent="0.25">
      <c r="A4529" s="718">
        <v>2</v>
      </c>
      <c r="B4529" s="668"/>
      <c r="C4529" s="721"/>
      <c r="D4529" s="721"/>
      <c r="E4529" s="721"/>
      <c r="F4529" s="721"/>
      <c r="G4529" s="639"/>
      <c r="H4529" s="668"/>
      <c r="I4529" s="721"/>
      <c r="J4529" s="639"/>
      <c r="K4529" s="1124"/>
    </row>
    <row r="4530" spans="1:11" ht="13.8" thickBot="1" x14ac:dyDescent="0.3">
      <c r="A4530" s="719">
        <v>3</v>
      </c>
      <c r="B4530" s="669"/>
      <c r="C4530" s="1137"/>
      <c r="D4530" s="1137"/>
      <c r="E4530" s="1137"/>
      <c r="F4530" s="1137"/>
      <c r="G4530" s="646"/>
      <c r="H4530" s="669"/>
      <c r="I4530" s="1137"/>
      <c r="J4530" s="646"/>
      <c r="K4530" s="1138"/>
    </row>
    <row r="4531" spans="1:11" ht="13.8" thickBot="1" x14ac:dyDescent="0.3">
      <c r="A4531" s="1186" t="s">
        <v>939</v>
      </c>
      <c r="B4531" s="1187"/>
      <c r="C4531" s="1188"/>
      <c r="D4531" s="1188"/>
      <c r="E4531" s="1188"/>
      <c r="F4531" s="1188"/>
      <c r="G4531" s="1189"/>
      <c r="H4531" s="1187"/>
      <c r="I4531" s="1188"/>
      <c r="J4531" s="1189"/>
      <c r="K4531" s="716"/>
    </row>
    <row r="4532" spans="1:11" x14ac:dyDescent="0.25">
      <c r="A4532" s="1190">
        <v>1</v>
      </c>
      <c r="B4532" s="745"/>
      <c r="C4532" s="1117"/>
      <c r="D4532" s="1117"/>
      <c r="E4532" s="1117"/>
      <c r="F4532" s="1117"/>
      <c r="G4532" s="632"/>
      <c r="H4532" s="745"/>
      <c r="I4532" s="1117"/>
      <c r="J4532" s="632"/>
      <c r="K4532" s="1118"/>
    </row>
    <row r="4533" spans="1:11" x14ac:dyDescent="0.25">
      <c r="A4533" s="718">
        <v>2</v>
      </c>
      <c r="B4533" s="668"/>
      <c r="C4533" s="721"/>
      <c r="D4533" s="721"/>
      <c r="E4533" s="721"/>
      <c r="F4533" s="721"/>
      <c r="G4533" s="639"/>
      <c r="H4533" s="668"/>
      <c r="I4533" s="721"/>
      <c r="J4533" s="639"/>
      <c r="K4533" s="1124"/>
    </row>
    <row r="4534" spans="1:11" x14ac:dyDescent="0.25">
      <c r="A4534" s="718">
        <v>3</v>
      </c>
      <c r="B4534" s="668"/>
      <c r="C4534" s="721"/>
      <c r="D4534" s="721"/>
      <c r="E4534" s="721"/>
      <c r="F4534" s="721"/>
      <c r="G4534" s="639"/>
      <c r="H4534" s="668"/>
      <c r="I4534" s="721"/>
      <c r="J4534" s="639"/>
      <c r="K4534" s="1124"/>
    </row>
    <row r="4535" spans="1:11" x14ac:dyDescent="0.25">
      <c r="A4535" s="718">
        <v>4</v>
      </c>
      <c r="B4535" s="668"/>
      <c r="C4535" s="721"/>
      <c r="D4535" s="721"/>
      <c r="E4535" s="721"/>
      <c r="F4535" s="721"/>
      <c r="G4535" s="639"/>
      <c r="H4535" s="668"/>
      <c r="I4535" s="721"/>
      <c r="J4535" s="639"/>
      <c r="K4535" s="1124"/>
    </row>
    <row r="4536" spans="1:11" x14ac:dyDescent="0.25">
      <c r="A4536" s="718">
        <v>5</v>
      </c>
      <c r="B4536" s="668"/>
      <c r="C4536" s="721"/>
      <c r="D4536" s="721"/>
      <c r="E4536" s="721"/>
      <c r="F4536" s="721"/>
      <c r="G4536" s="639"/>
      <c r="H4536" s="668"/>
      <c r="I4536" s="721"/>
      <c r="J4536" s="639"/>
      <c r="K4536" s="1124"/>
    </row>
    <row r="4537" spans="1:11" ht="13.8" thickBot="1" x14ac:dyDescent="0.3">
      <c r="A4537" s="719">
        <v>6</v>
      </c>
      <c r="B4537" s="669"/>
      <c r="C4537" s="1137"/>
      <c r="D4537" s="1137"/>
      <c r="E4537" s="1137"/>
      <c r="F4537" s="1137"/>
      <c r="G4537" s="646"/>
      <c r="H4537" s="669"/>
      <c r="I4537" s="1137"/>
      <c r="J4537" s="646"/>
      <c r="K4537" s="1138"/>
    </row>
    <row r="4538" spans="1:11" x14ac:dyDescent="0.25">
      <c r="A4538" s="1190">
        <v>1</v>
      </c>
      <c r="B4538" s="745"/>
      <c r="C4538" s="1117"/>
      <c r="D4538" s="1117"/>
      <c r="E4538" s="1117"/>
      <c r="F4538" s="1117"/>
      <c r="G4538" s="632"/>
      <c r="H4538" s="745"/>
      <c r="I4538" s="1117"/>
      <c r="J4538" s="632"/>
      <c r="K4538" s="1118"/>
    </row>
    <row r="4539" spans="1:11" x14ac:dyDescent="0.25">
      <c r="A4539" s="718">
        <v>2</v>
      </c>
      <c r="B4539" s="668"/>
      <c r="C4539" s="721"/>
      <c r="D4539" s="721"/>
      <c r="E4539" s="721"/>
      <c r="F4539" s="721"/>
      <c r="G4539" s="639"/>
      <c r="H4539" s="668"/>
      <c r="I4539" s="721"/>
      <c r="J4539" s="639"/>
      <c r="K4539" s="1124"/>
    </row>
    <row r="4540" spans="1:11" ht="13.8" thickBot="1" x14ac:dyDescent="0.3">
      <c r="A4540" s="719">
        <v>3</v>
      </c>
      <c r="B4540" s="669"/>
      <c r="C4540" s="1137"/>
      <c r="D4540" s="1137"/>
      <c r="E4540" s="1137"/>
      <c r="F4540" s="1137"/>
      <c r="G4540" s="646"/>
      <c r="H4540" s="669"/>
      <c r="I4540" s="1137"/>
      <c r="J4540" s="646"/>
      <c r="K4540" s="1138"/>
    </row>
    <row r="4541" spans="1:11" ht="13.8" thickBot="1" x14ac:dyDescent="0.3">
      <c r="A4541" s="1186" t="s">
        <v>940</v>
      </c>
      <c r="B4541" s="1187"/>
      <c r="C4541" s="1188"/>
      <c r="D4541" s="1188"/>
      <c r="E4541" s="1188"/>
      <c r="F4541" s="1188"/>
      <c r="G4541" s="1189"/>
      <c r="H4541" s="1187"/>
      <c r="I4541" s="1188"/>
      <c r="J4541" s="1189"/>
      <c r="K4541" s="716"/>
    </row>
    <row r="4542" spans="1:11" x14ac:dyDescent="0.25">
      <c r="A4542" s="1190">
        <v>1</v>
      </c>
      <c r="B4542" s="745"/>
      <c r="C4542" s="1117"/>
      <c r="D4542" s="1117"/>
      <c r="E4542" s="1117"/>
      <c r="F4542" s="1117"/>
      <c r="G4542" s="632"/>
      <c r="H4542" s="745"/>
      <c r="I4542" s="1117"/>
      <c r="J4542" s="632"/>
      <c r="K4542" s="1118"/>
    </row>
    <row r="4543" spans="1:11" x14ac:dyDescent="0.25">
      <c r="A4543" s="718">
        <v>2</v>
      </c>
      <c r="B4543" s="668"/>
      <c r="C4543" s="721"/>
      <c r="D4543" s="721"/>
      <c r="E4543" s="721"/>
      <c r="F4543" s="721"/>
      <c r="G4543" s="639"/>
      <c r="H4543" s="668"/>
      <c r="I4543" s="721"/>
      <c r="J4543" s="639"/>
      <c r="K4543" s="1124"/>
    </row>
    <row r="4544" spans="1:11" x14ac:dyDescent="0.25">
      <c r="A4544" s="718">
        <v>3</v>
      </c>
      <c r="B4544" s="668"/>
      <c r="C4544" s="721"/>
      <c r="D4544" s="721"/>
      <c r="E4544" s="721"/>
      <c r="F4544" s="721"/>
      <c r="G4544" s="639"/>
      <c r="H4544" s="668"/>
      <c r="I4544" s="721"/>
      <c r="J4544" s="639"/>
      <c r="K4544" s="1124"/>
    </row>
    <row r="4545" spans="1:11" x14ac:dyDescent="0.25">
      <c r="A4545" s="718">
        <v>4</v>
      </c>
      <c r="B4545" s="668"/>
      <c r="C4545" s="721"/>
      <c r="D4545" s="721"/>
      <c r="E4545" s="721"/>
      <c r="F4545" s="721"/>
      <c r="G4545" s="639"/>
      <c r="H4545" s="668"/>
      <c r="I4545" s="721"/>
      <c r="J4545" s="639"/>
      <c r="K4545" s="1124"/>
    </row>
    <row r="4546" spans="1:11" x14ac:dyDescent="0.25">
      <c r="A4546" s="718">
        <v>5</v>
      </c>
      <c r="B4546" s="668"/>
      <c r="C4546" s="721"/>
      <c r="D4546" s="721"/>
      <c r="E4546" s="721"/>
      <c r="F4546" s="721"/>
      <c r="G4546" s="639"/>
      <c r="H4546" s="668"/>
      <c r="I4546" s="721"/>
      <c r="J4546" s="639"/>
      <c r="K4546" s="1124"/>
    </row>
    <row r="4547" spans="1:11" ht="13.8" thickBot="1" x14ac:dyDescent="0.3">
      <c r="A4547" s="719">
        <v>6</v>
      </c>
      <c r="B4547" s="669"/>
      <c r="C4547" s="1137"/>
      <c r="D4547" s="1137"/>
      <c r="E4547" s="1137"/>
      <c r="F4547" s="1137"/>
      <c r="G4547" s="646"/>
      <c r="H4547" s="669"/>
      <c r="I4547" s="1137"/>
      <c r="J4547" s="646"/>
      <c r="K4547" s="1138"/>
    </row>
    <row r="4548" spans="1:11" x14ac:dyDescent="0.25">
      <c r="A4548" s="1190">
        <v>1</v>
      </c>
      <c r="B4548" s="745"/>
      <c r="C4548" s="1117"/>
      <c r="D4548" s="1117"/>
      <c r="E4548" s="1117"/>
      <c r="F4548" s="1117"/>
      <c r="G4548" s="632"/>
      <c r="H4548" s="745"/>
      <c r="I4548" s="1117"/>
      <c r="J4548" s="632"/>
      <c r="K4548" s="1118"/>
    </row>
    <row r="4549" spans="1:11" x14ac:dyDescent="0.25">
      <c r="A4549" s="718">
        <v>2</v>
      </c>
      <c r="B4549" s="668"/>
      <c r="C4549" s="721"/>
      <c r="D4549" s="721"/>
      <c r="E4549" s="721"/>
      <c r="F4549" s="721"/>
      <c r="G4549" s="639"/>
      <c r="H4549" s="668"/>
      <c r="I4549" s="721"/>
      <c r="J4549" s="639"/>
      <c r="K4549" s="1124"/>
    </row>
    <row r="4550" spans="1:11" ht="13.8" thickBot="1" x14ac:dyDescent="0.3">
      <c r="A4550" s="719">
        <v>3</v>
      </c>
      <c r="B4550" s="669"/>
      <c r="C4550" s="1137"/>
      <c r="D4550" s="1137"/>
      <c r="E4550" s="1137"/>
      <c r="F4550" s="1137"/>
      <c r="G4550" s="646"/>
      <c r="H4550" s="669"/>
      <c r="I4550" s="1137"/>
      <c r="J4550" s="646"/>
      <c r="K4550" s="1138"/>
    </row>
    <row r="4551" spans="1:11" ht="13.8" thickBot="1" x14ac:dyDescent="0.3">
      <c r="A4551" s="1186" t="s">
        <v>941</v>
      </c>
      <c r="B4551" s="1187"/>
      <c r="C4551" s="1188"/>
      <c r="D4551" s="1188"/>
      <c r="E4551" s="1188"/>
      <c r="F4551" s="1188"/>
      <c r="G4551" s="1189"/>
      <c r="H4551" s="1187"/>
      <c r="I4551" s="1188"/>
      <c r="J4551" s="1189"/>
      <c r="K4551" s="716"/>
    </row>
    <row r="4552" spans="1:11" x14ac:dyDescent="0.25">
      <c r="A4552" s="1190">
        <v>1</v>
      </c>
      <c r="B4552" s="745"/>
      <c r="C4552" s="1117"/>
      <c r="D4552" s="1117"/>
      <c r="E4552" s="1117"/>
      <c r="F4552" s="1117"/>
      <c r="G4552" s="632"/>
      <c r="H4552" s="745"/>
      <c r="I4552" s="1117"/>
      <c r="J4552" s="632"/>
      <c r="K4552" s="1118"/>
    </row>
    <row r="4553" spans="1:11" x14ac:dyDescent="0.25">
      <c r="A4553" s="718">
        <v>2</v>
      </c>
      <c r="B4553" s="668"/>
      <c r="C4553" s="721"/>
      <c r="D4553" s="721"/>
      <c r="E4553" s="721"/>
      <c r="F4553" s="721"/>
      <c r="G4553" s="639"/>
      <c r="H4553" s="668"/>
      <c r="I4553" s="721"/>
      <c r="J4553" s="639"/>
      <c r="K4553" s="1124"/>
    </row>
    <row r="4554" spans="1:11" x14ac:dyDescent="0.25">
      <c r="A4554" s="718">
        <v>3</v>
      </c>
      <c r="B4554" s="668"/>
      <c r="C4554" s="721"/>
      <c r="D4554" s="721"/>
      <c r="E4554" s="721"/>
      <c r="F4554" s="721"/>
      <c r="G4554" s="639"/>
      <c r="H4554" s="668"/>
      <c r="I4554" s="721"/>
      <c r="J4554" s="639"/>
      <c r="K4554" s="1124"/>
    </row>
    <row r="4555" spans="1:11" x14ac:dyDescent="0.25">
      <c r="A4555" s="718">
        <v>4</v>
      </c>
      <c r="B4555" s="668"/>
      <c r="C4555" s="721"/>
      <c r="D4555" s="721"/>
      <c r="E4555" s="721"/>
      <c r="F4555" s="721"/>
      <c r="G4555" s="639"/>
      <c r="H4555" s="668"/>
      <c r="I4555" s="721"/>
      <c r="J4555" s="639"/>
      <c r="K4555" s="1124"/>
    </row>
    <row r="4556" spans="1:11" x14ac:dyDescent="0.25">
      <c r="A4556" s="718">
        <v>5</v>
      </c>
      <c r="B4556" s="668"/>
      <c r="C4556" s="721"/>
      <c r="D4556" s="721"/>
      <c r="E4556" s="721"/>
      <c r="F4556" s="721"/>
      <c r="G4556" s="639"/>
      <c r="H4556" s="668"/>
      <c r="I4556" s="721"/>
      <c r="J4556" s="639"/>
      <c r="K4556" s="1124"/>
    </row>
    <row r="4557" spans="1:11" ht="13.8" thickBot="1" x14ac:dyDescent="0.3">
      <c r="A4557" s="719">
        <v>6</v>
      </c>
      <c r="B4557" s="669"/>
      <c r="C4557" s="1137"/>
      <c r="D4557" s="1137"/>
      <c r="E4557" s="1137"/>
      <c r="F4557" s="1137"/>
      <c r="G4557" s="646"/>
      <c r="H4557" s="669"/>
      <c r="I4557" s="1137"/>
      <c r="J4557" s="646"/>
      <c r="K4557" s="1138"/>
    </row>
    <row r="4558" spans="1:11" x14ac:dyDescent="0.25">
      <c r="A4558" s="1190">
        <v>1</v>
      </c>
      <c r="B4558" s="745"/>
      <c r="C4558" s="1117"/>
      <c r="D4558" s="1117"/>
      <c r="E4558" s="1117"/>
      <c r="F4558" s="1117"/>
      <c r="G4558" s="632"/>
      <c r="H4558" s="745"/>
      <c r="I4558" s="1117"/>
      <c r="J4558" s="632"/>
      <c r="K4558" s="1118"/>
    </row>
    <row r="4559" spans="1:11" x14ac:dyDescent="0.25">
      <c r="A4559" s="718">
        <v>2</v>
      </c>
      <c r="B4559" s="668"/>
      <c r="C4559" s="721"/>
      <c r="D4559" s="721"/>
      <c r="E4559" s="721"/>
      <c r="F4559" s="721"/>
      <c r="G4559" s="639"/>
      <c r="H4559" s="668"/>
      <c r="I4559" s="721"/>
      <c r="J4559" s="639"/>
      <c r="K4559" s="1124"/>
    </row>
    <row r="4560" spans="1:11" ht="13.8" thickBot="1" x14ac:dyDescent="0.3">
      <c r="A4560" s="719">
        <v>3</v>
      </c>
      <c r="B4560" s="669"/>
      <c r="C4560" s="1137"/>
      <c r="D4560" s="1137"/>
      <c r="E4560" s="1137"/>
      <c r="F4560" s="1137"/>
      <c r="G4560" s="646"/>
      <c r="H4560" s="669"/>
      <c r="I4560" s="1137"/>
      <c r="J4560" s="646"/>
      <c r="K4560" s="1138"/>
    </row>
    <row r="4561" spans="1:11" ht="13.8" thickBot="1" x14ac:dyDescent="0.3">
      <c r="A4561" s="1186" t="s">
        <v>942</v>
      </c>
      <c r="B4561" s="1187"/>
      <c r="C4561" s="1188"/>
      <c r="D4561" s="1188"/>
      <c r="E4561" s="1188"/>
      <c r="F4561" s="1188"/>
      <c r="G4561" s="1189"/>
      <c r="H4561" s="1187"/>
      <c r="I4561" s="1188"/>
      <c r="J4561" s="1189"/>
      <c r="K4561" s="716"/>
    </row>
    <row r="4562" spans="1:11" x14ac:dyDescent="0.25">
      <c r="A4562" s="1190">
        <v>1</v>
      </c>
      <c r="B4562" s="745"/>
      <c r="C4562" s="1117"/>
      <c r="D4562" s="1117"/>
      <c r="E4562" s="1117"/>
      <c r="F4562" s="1117"/>
      <c r="G4562" s="632"/>
      <c r="H4562" s="745"/>
      <c r="I4562" s="1117"/>
      <c r="J4562" s="632"/>
      <c r="K4562" s="1118"/>
    </row>
    <row r="4563" spans="1:11" x14ac:dyDescent="0.25">
      <c r="A4563" s="718">
        <v>2</v>
      </c>
      <c r="B4563" s="668"/>
      <c r="C4563" s="721"/>
      <c r="D4563" s="721"/>
      <c r="E4563" s="721"/>
      <c r="F4563" s="721"/>
      <c r="G4563" s="639"/>
      <c r="H4563" s="668"/>
      <c r="I4563" s="721"/>
      <c r="J4563" s="639"/>
      <c r="K4563" s="1124"/>
    </row>
    <row r="4564" spans="1:11" x14ac:dyDescent="0.25">
      <c r="A4564" s="718">
        <v>3</v>
      </c>
      <c r="B4564" s="668"/>
      <c r="C4564" s="721"/>
      <c r="D4564" s="721"/>
      <c r="E4564" s="721"/>
      <c r="F4564" s="721"/>
      <c r="G4564" s="639"/>
      <c r="H4564" s="668"/>
      <c r="I4564" s="721"/>
      <c r="J4564" s="639"/>
      <c r="K4564" s="1124"/>
    </row>
    <row r="4565" spans="1:11" x14ac:dyDescent="0.25">
      <c r="A4565" s="718">
        <v>4</v>
      </c>
      <c r="B4565" s="668"/>
      <c r="C4565" s="721"/>
      <c r="D4565" s="721"/>
      <c r="E4565" s="721"/>
      <c r="F4565" s="721"/>
      <c r="G4565" s="639"/>
      <c r="H4565" s="668"/>
      <c r="I4565" s="721"/>
      <c r="J4565" s="639"/>
      <c r="K4565" s="1124"/>
    </row>
    <row r="4566" spans="1:11" x14ac:dyDescent="0.25">
      <c r="A4566" s="718">
        <v>5</v>
      </c>
      <c r="B4566" s="668"/>
      <c r="C4566" s="721"/>
      <c r="D4566" s="721"/>
      <c r="E4566" s="721"/>
      <c r="F4566" s="721"/>
      <c r="G4566" s="639"/>
      <c r="H4566" s="668"/>
      <c r="I4566" s="721"/>
      <c r="J4566" s="639"/>
      <c r="K4566" s="1124"/>
    </row>
    <row r="4567" spans="1:11" ht="13.8" thickBot="1" x14ac:dyDescent="0.3">
      <c r="A4567" s="719">
        <v>6</v>
      </c>
      <c r="B4567" s="669"/>
      <c r="C4567" s="1137"/>
      <c r="D4567" s="1137"/>
      <c r="E4567" s="1137"/>
      <c r="F4567" s="1137"/>
      <c r="G4567" s="646"/>
      <c r="H4567" s="669"/>
      <c r="I4567" s="1137"/>
      <c r="J4567" s="646"/>
      <c r="K4567" s="1138"/>
    </row>
    <row r="4568" spans="1:11" x14ac:dyDescent="0.25">
      <c r="A4568" s="1190">
        <v>1</v>
      </c>
      <c r="B4568" s="745"/>
      <c r="C4568" s="1117"/>
      <c r="D4568" s="1117"/>
      <c r="E4568" s="1117"/>
      <c r="F4568" s="1117"/>
      <c r="G4568" s="632"/>
      <c r="H4568" s="745"/>
      <c r="I4568" s="1117"/>
      <c r="J4568" s="632"/>
      <c r="K4568" s="1118"/>
    </row>
    <row r="4569" spans="1:11" x14ac:dyDescent="0.25">
      <c r="A4569" s="718">
        <v>2</v>
      </c>
      <c r="B4569" s="668"/>
      <c r="C4569" s="721"/>
      <c r="D4569" s="721"/>
      <c r="E4569" s="721"/>
      <c r="F4569" s="721"/>
      <c r="G4569" s="639"/>
      <c r="H4569" s="668"/>
      <c r="I4569" s="721"/>
      <c r="J4569" s="639"/>
      <c r="K4569" s="1124"/>
    </row>
    <row r="4570" spans="1:11" ht="13.8" thickBot="1" x14ac:dyDescent="0.3">
      <c r="A4570" s="719">
        <v>3</v>
      </c>
      <c r="B4570" s="669"/>
      <c r="C4570" s="1137"/>
      <c r="D4570" s="1137"/>
      <c r="E4570" s="1137"/>
      <c r="F4570" s="1137"/>
      <c r="G4570" s="646"/>
      <c r="H4570" s="669"/>
      <c r="I4570" s="1137"/>
      <c r="J4570" s="646"/>
      <c r="K4570" s="1138"/>
    </row>
    <row r="4571" spans="1:11" ht="13.8" thickBot="1" x14ac:dyDescent="0.3">
      <c r="A4571" s="1186" t="s">
        <v>943</v>
      </c>
      <c r="B4571" s="1187"/>
      <c r="C4571" s="1188"/>
      <c r="D4571" s="1188"/>
      <c r="E4571" s="1188"/>
      <c r="F4571" s="1188"/>
      <c r="G4571" s="1189"/>
      <c r="H4571" s="1187"/>
      <c r="I4571" s="1188"/>
      <c r="J4571" s="1189"/>
      <c r="K4571" s="716"/>
    </row>
    <row r="4572" spans="1:11" x14ac:dyDescent="0.25">
      <c r="A4572" s="1190">
        <v>1</v>
      </c>
      <c r="B4572" s="745"/>
      <c r="C4572" s="1117"/>
      <c r="D4572" s="1117"/>
      <c r="E4572" s="1117"/>
      <c r="F4572" s="1117"/>
      <c r="G4572" s="632"/>
      <c r="H4572" s="745"/>
      <c r="I4572" s="1117"/>
      <c r="J4572" s="632"/>
      <c r="K4572" s="1118"/>
    </row>
    <row r="4573" spans="1:11" x14ac:dyDescent="0.25">
      <c r="A4573" s="718">
        <v>2</v>
      </c>
      <c r="B4573" s="668"/>
      <c r="C4573" s="721"/>
      <c r="D4573" s="721"/>
      <c r="E4573" s="721"/>
      <c r="F4573" s="721"/>
      <c r="G4573" s="639"/>
      <c r="H4573" s="668"/>
      <c r="I4573" s="721"/>
      <c r="J4573" s="639"/>
      <c r="K4573" s="1124"/>
    </row>
    <row r="4574" spans="1:11" x14ac:dyDescent="0.25">
      <c r="A4574" s="718">
        <v>3</v>
      </c>
      <c r="B4574" s="668"/>
      <c r="C4574" s="721"/>
      <c r="D4574" s="721"/>
      <c r="E4574" s="721"/>
      <c r="F4574" s="721"/>
      <c r="G4574" s="639"/>
      <c r="H4574" s="668"/>
      <c r="I4574" s="721"/>
      <c r="J4574" s="639"/>
      <c r="K4574" s="1124"/>
    </row>
    <row r="4575" spans="1:11" x14ac:dyDescent="0.25">
      <c r="A4575" s="718">
        <v>4</v>
      </c>
      <c r="B4575" s="668"/>
      <c r="C4575" s="721"/>
      <c r="D4575" s="721"/>
      <c r="E4575" s="721"/>
      <c r="F4575" s="721"/>
      <c r="G4575" s="639"/>
      <c r="H4575" s="668"/>
      <c r="I4575" s="721"/>
      <c r="J4575" s="639"/>
      <c r="K4575" s="1124"/>
    </row>
    <row r="4576" spans="1:11" x14ac:dyDescent="0.25">
      <c r="A4576" s="718">
        <v>5</v>
      </c>
      <c r="B4576" s="668"/>
      <c r="C4576" s="721"/>
      <c r="D4576" s="721"/>
      <c r="E4576" s="721"/>
      <c r="F4576" s="721"/>
      <c r="G4576" s="639"/>
      <c r="H4576" s="668"/>
      <c r="I4576" s="721"/>
      <c r="J4576" s="639"/>
      <c r="K4576" s="1124"/>
    </row>
    <row r="4577" spans="1:11" ht="13.8" thickBot="1" x14ac:dyDescent="0.3">
      <c r="A4577" s="719">
        <v>6</v>
      </c>
      <c r="B4577" s="669"/>
      <c r="C4577" s="1137"/>
      <c r="D4577" s="1137"/>
      <c r="E4577" s="1137"/>
      <c r="F4577" s="1137"/>
      <c r="G4577" s="646"/>
      <c r="H4577" s="669"/>
      <c r="I4577" s="1137"/>
      <c r="J4577" s="646"/>
      <c r="K4577" s="1138"/>
    </row>
    <row r="4578" spans="1:11" x14ac:dyDescent="0.25">
      <c r="A4578" s="1190">
        <v>1</v>
      </c>
      <c r="B4578" s="745"/>
      <c r="C4578" s="1117"/>
      <c r="D4578" s="1117"/>
      <c r="E4578" s="1117"/>
      <c r="F4578" s="1117"/>
      <c r="G4578" s="632"/>
      <c r="H4578" s="745"/>
      <c r="I4578" s="1117"/>
      <c r="J4578" s="632"/>
      <c r="K4578" s="1118"/>
    </row>
    <row r="4579" spans="1:11" x14ac:dyDescent="0.25">
      <c r="A4579" s="718">
        <v>2</v>
      </c>
      <c r="B4579" s="668"/>
      <c r="C4579" s="721"/>
      <c r="D4579" s="721"/>
      <c r="E4579" s="721"/>
      <c r="F4579" s="721"/>
      <c r="G4579" s="639"/>
      <c r="H4579" s="668"/>
      <c r="I4579" s="721"/>
      <c r="J4579" s="639"/>
      <c r="K4579" s="1124"/>
    </row>
    <row r="4580" spans="1:11" ht="13.8" thickBot="1" x14ac:dyDescent="0.3">
      <c r="A4580" s="1191">
        <v>3</v>
      </c>
      <c r="B4580" s="1132"/>
      <c r="C4580" s="1133"/>
      <c r="D4580" s="1133"/>
      <c r="E4580" s="1133"/>
      <c r="F4580" s="1133"/>
      <c r="G4580" s="1134"/>
      <c r="H4580" s="1132"/>
      <c r="I4580" s="1133"/>
      <c r="J4580" s="1134"/>
      <c r="K4580" s="1147"/>
    </row>
    <row r="4581" spans="1:11" ht="13.8" thickBot="1" x14ac:dyDescent="0.3">
      <c r="A4581" s="1186" t="s">
        <v>944</v>
      </c>
      <c r="B4581" s="1187"/>
      <c r="C4581" s="1188"/>
      <c r="D4581" s="1188"/>
      <c r="E4581" s="1188"/>
      <c r="F4581" s="1188"/>
      <c r="G4581" s="1189"/>
      <c r="H4581" s="1187"/>
      <c r="I4581" s="1188"/>
      <c r="J4581" s="1189"/>
      <c r="K4581" s="716"/>
    </row>
    <row r="4582" spans="1:11" x14ac:dyDescent="0.25">
      <c r="A4582" s="1190">
        <v>1</v>
      </c>
      <c r="B4582" s="745"/>
      <c r="C4582" s="1117"/>
      <c r="D4582" s="1117"/>
      <c r="E4582" s="1117"/>
      <c r="F4582" s="1117"/>
      <c r="G4582" s="632"/>
      <c r="H4582" s="745"/>
      <c r="I4582" s="1117"/>
      <c r="J4582" s="632"/>
      <c r="K4582" s="1118"/>
    </row>
    <row r="4583" spans="1:11" x14ac:dyDescent="0.25">
      <c r="A4583" s="718">
        <v>2</v>
      </c>
      <c r="B4583" s="668"/>
      <c r="C4583" s="721"/>
      <c r="D4583" s="721"/>
      <c r="E4583" s="721"/>
      <c r="F4583" s="721"/>
      <c r="G4583" s="639"/>
      <c r="H4583" s="668"/>
      <c r="I4583" s="721"/>
      <c r="J4583" s="639"/>
      <c r="K4583" s="1124"/>
    </row>
    <row r="4584" spans="1:11" x14ac:dyDescent="0.25">
      <c r="A4584" s="718">
        <v>3</v>
      </c>
      <c r="B4584" s="668"/>
      <c r="C4584" s="721"/>
      <c r="D4584" s="721"/>
      <c r="E4584" s="721"/>
      <c r="F4584" s="721"/>
      <c r="G4584" s="639"/>
      <c r="H4584" s="668"/>
      <c r="I4584" s="721"/>
      <c r="J4584" s="639"/>
      <c r="K4584" s="1124"/>
    </row>
    <row r="4585" spans="1:11" x14ac:dyDescent="0.25">
      <c r="A4585" s="718">
        <v>4</v>
      </c>
      <c r="B4585" s="668"/>
      <c r="C4585" s="721"/>
      <c r="D4585" s="721"/>
      <c r="E4585" s="721"/>
      <c r="F4585" s="721"/>
      <c r="G4585" s="639"/>
      <c r="H4585" s="668"/>
      <c r="I4585" s="721"/>
      <c r="J4585" s="639"/>
      <c r="K4585" s="1124"/>
    </row>
    <row r="4586" spans="1:11" x14ac:dyDescent="0.25">
      <c r="A4586" s="718">
        <v>5</v>
      </c>
      <c r="B4586" s="668"/>
      <c r="C4586" s="721"/>
      <c r="D4586" s="721"/>
      <c r="E4586" s="721"/>
      <c r="F4586" s="721"/>
      <c r="G4586" s="639"/>
      <c r="H4586" s="668"/>
      <c r="I4586" s="721"/>
      <c r="J4586" s="639"/>
      <c r="K4586" s="1124"/>
    </row>
    <row r="4587" spans="1:11" ht="13.8" thickBot="1" x14ac:dyDescent="0.3">
      <c r="A4587" s="719">
        <v>6</v>
      </c>
      <c r="B4587" s="669"/>
      <c r="C4587" s="1137"/>
      <c r="D4587" s="1137"/>
      <c r="E4587" s="1137"/>
      <c r="F4587" s="1137"/>
      <c r="G4587" s="646"/>
      <c r="H4587" s="669"/>
      <c r="I4587" s="1137"/>
      <c r="J4587" s="646"/>
      <c r="K4587" s="1138"/>
    </row>
    <row r="4588" spans="1:11" x14ac:dyDescent="0.25">
      <c r="A4588" s="1190">
        <v>1</v>
      </c>
      <c r="B4588" s="745"/>
      <c r="C4588" s="1117"/>
      <c r="D4588" s="1117"/>
      <c r="E4588" s="1117"/>
      <c r="F4588" s="1117"/>
      <c r="G4588" s="632"/>
      <c r="H4588" s="745"/>
      <c r="I4588" s="1117"/>
      <c r="J4588" s="632"/>
      <c r="K4588" s="1118"/>
    </row>
    <row r="4589" spans="1:11" x14ac:dyDescent="0.25">
      <c r="A4589" s="718">
        <v>2</v>
      </c>
      <c r="B4589" s="668"/>
      <c r="C4589" s="721"/>
      <c r="D4589" s="721"/>
      <c r="E4589" s="721"/>
      <c r="F4589" s="721"/>
      <c r="G4589" s="639"/>
      <c r="H4589" s="668"/>
      <c r="I4589" s="721"/>
      <c r="J4589" s="639"/>
      <c r="K4589" s="1124"/>
    </row>
    <row r="4590" spans="1:11" ht="13.8" thickBot="1" x14ac:dyDescent="0.3">
      <c r="A4590" s="719">
        <v>3</v>
      </c>
      <c r="B4590" s="669"/>
      <c r="C4590" s="1137"/>
      <c r="D4590" s="1137"/>
      <c r="E4590" s="1137"/>
      <c r="F4590" s="1137"/>
      <c r="G4590" s="646"/>
      <c r="H4590" s="669"/>
      <c r="I4590" s="1137"/>
      <c r="J4590" s="646"/>
      <c r="K4590" s="1138"/>
    </row>
    <row r="4591" spans="1:11" ht="13.8" thickBot="1" x14ac:dyDescent="0.3">
      <c r="A4591" s="1186" t="s">
        <v>945</v>
      </c>
      <c r="B4591" s="1187"/>
      <c r="C4591" s="1188"/>
      <c r="D4591" s="1188"/>
      <c r="E4591" s="1188"/>
      <c r="F4591" s="1188"/>
      <c r="G4591" s="1189"/>
      <c r="H4591" s="1187"/>
      <c r="I4591" s="1188"/>
      <c r="J4591" s="1189"/>
      <c r="K4591" s="716"/>
    </row>
    <row r="4592" spans="1:11" x14ac:dyDescent="0.25">
      <c r="A4592" s="1190">
        <v>1</v>
      </c>
      <c r="B4592" s="745"/>
      <c r="C4592" s="1117"/>
      <c r="D4592" s="1117"/>
      <c r="E4592" s="1117"/>
      <c r="F4592" s="1117"/>
      <c r="G4592" s="632"/>
      <c r="H4592" s="745"/>
      <c r="I4592" s="1117"/>
      <c r="J4592" s="632"/>
      <c r="K4592" s="1118"/>
    </row>
    <row r="4593" spans="1:11" x14ac:dyDescent="0.25">
      <c r="A4593" s="718">
        <v>2</v>
      </c>
      <c r="B4593" s="668"/>
      <c r="C4593" s="721"/>
      <c r="D4593" s="721"/>
      <c r="E4593" s="721"/>
      <c r="F4593" s="721"/>
      <c r="G4593" s="639"/>
      <c r="H4593" s="668"/>
      <c r="I4593" s="721"/>
      <c r="J4593" s="639"/>
      <c r="K4593" s="1124"/>
    </row>
    <row r="4594" spans="1:11" x14ac:dyDescent="0.25">
      <c r="A4594" s="718">
        <v>3</v>
      </c>
      <c r="B4594" s="668"/>
      <c r="C4594" s="721"/>
      <c r="D4594" s="721"/>
      <c r="E4594" s="721"/>
      <c r="F4594" s="721"/>
      <c r="G4594" s="639"/>
      <c r="H4594" s="668"/>
      <c r="I4594" s="721"/>
      <c r="J4594" s="639"/>
      <c r="K4594" s="1124"/>
    </row>
    <row r="4595" spans="1:11" x14ac:dyDescent="0.25">
      <c r="A4595" s="718">
        <v>4</v>
      </c>
      <c r="B4595" s="668"/>
      <c r="C4595" s="721"/>
      <c r="D4595" s="721"/>
      <c r="E4595" s="721"/>
      <c r="F4595" s="721"/>
      <c r="G4595" s="639"/>
      <c r="H4595" s="668"/>
      <c r="I4595" s="721"/>
      <c r="J4595" s="639"/>
      <c r="K4595" s="1124"/>
    </row>
    <row r="4596" spans="1:11" x14ac:dyDescent="0.25">
      <c r="A4596" s="718">
        <v>5</v>
      </c>
      <c r="B4596" s="668"/>
      <c r="C4596" s="721"/>
      <c r="D4596" s="721"/>
      <c r="E4596" s="721"/>
      <c r="F4596" s="721"/>
      <c r="G4596" s="639"/>
      <c r="H4596" s="668"/>
      <c r="I4596" s="721"/>
      <c r="J4596" s="639"/>
      <c r="K4596" s="1124"/>
    </row>
    <row r="4597" spans="1:11" ht="13.8" thickBot="1" x14ac:dyDescent="0.3">
      <c r="A4597" s="719">
        <v>6</v>
      </c>
      <c r="B4597" s="669"/>
      <c r="C4597" s="1137"/>
      <c r="D4597" s="1137"/>
      <c r="E4597" s="1137"/>
      <c r="F4597" s="1137"/>
      <c r="G4597" s="646"/>
      <c r="H4597" s="669"/>
      <c r="I4597" s="1137"/>
      <c r="J4597" s="646"/>
      <c r="K4597" s="1138"/>
    </row>
    <row r="4598" spans="1:11" x14ac:dyDescent="0.25">
      <c r="A4598" s="1190">
        <v>1</v>
      </c>
      <c r="B4598" s="745"/>
      <c r="C4598" s="1117"/>
      <c r="D4598" s="1117"/>
      <c r="E4598" s="1117"/>
      <c r="F4598" s="1117"/>
      <c r="G4598" s="632"/>
      <c r="H4598" s="745"/>
      <c r="I4598" s="1117"/>
      <c r="J4598" s="632"/>
      <c r="K4598" s="1118"/>
    </row>
    <row r="4599" spans="1:11" x14ac:dyDescent="0.25">
      <c r="A4599" s="718">
        <v>2</v>
      </c>
      <c r="B4599" s="668"/>
      <c r="C4599" s="721"/>
      <c r="D4599" s="721"/>
      <c r="E4599" s="721"/>
      <c r="F4599" s="721"/>
      <c r="G4599" s="639"/>
      <c r="H4599" s="668"/>
      <c r="I4599" s="721"/>
      <c r="J4599" s="639"/>
      <c r="K4599" s="1124"/>
    </row>
    <row r="4600" spans="1:11" ht="13.8" thickBot="1" x14ac:dyDescent="0.3">
      <c r="A4600" s="719">
        <v>3</v>
      </c>
      <c r="B4600" s="669"/>
      <c r="C4600" s="1137"/>
      <c r="D4600" s="1137"/>
      <c r="E4600" s="1137"/>
      <c r="F4600" s="1137"/>
      <c r="G4600" s="646"/>
      <c r="H4600" s="669"/>
      <c r="I4600" s="1137"/>
      <c r="J4600" s="646"/>
      <c r="K4600" s="1138"/>
    </row>
    <row r="4601" spans="1:11" ht="13.8" thickBot="1" x14ac:dyDescent="0.3">
      <c r="A4601" s="1186" t="s">
        <v>946</v>
      </c>
      <c r="B4601" s="1187"/>
      <c r="C4601" s="1188"/>
      <c r="D4601" s="1188"/>
      <c r="E4601" s="1188"/>
      <c r="F4601" s="1188"/>
      <c r="G4601" s="1189"/>
      <c r="H4601" s="1187"/>
      <c r="I4601" s="1188"/>
      <c r="J4601" s="1189"/>
      <c r="K4601" s="716"/>
    </row>
    <row r="4602" spans="1:11" x14ac:dyDescent="0.25">
      <c r="A4602" s="1190">
        <v>1</v>
      </c>
      <c r="B4602" s="745"/>
      <c r="C4602" s="1117"/>
      <c r="D4602" s="1117"/>
      <c r="E4602" s="1117"/>
      <c r="F4602" s="1117"/>
      <c r="G4602" s="632"/>
      <c r="H4602" s="745"/>
      <c r="I4602" s="1117"/>
      <c r="J4602" s="632"/>
      <c r="K4602" s="1118"/>
    </row>
    <row r="4603" spans="1:11" x14ac:dyDescent="0.25">
      <c r="A4603" s="718">
        <v>2</v>
      </c>
      <c r="B4603" s="668"/>
      <c r="C4603" s="721"/>
      <c r="D4603" s="721"/>
      <c r="E4603" s="721"/>
      <c r="F4603" s="721"/>
      <c r="G4603" s="639"/>
      <c r="H4603" s="668"/>
      <c r="I4603" s="721"/>
      <c r="J4603" s="639"/>
      <c r="K4603" s="1124"/>
    </row>
    <row r="4604" spans="1:11" x14ac:dyDescent="0.25">
      <c r="A4604" s="718">
        <v>3</v>
      </c>
      <c r="B4604" s="668"/>
      <c r="C4604" s="721"/>
      <c r="D4604" s="721"/>
      <c r="E4604" s="721"/>
      <c r="F4604" s="721"/>
      <c r="G4604" s="639"/>
      <c r="H4604" s="668"/>
      <c r="I4604" s="721"/>
      <c r="J4604" s="639"/>
      <c r="K4604" s="1124"/>
    </row>
    <row r="4605" spans="1:11" x14ac:dyDescent="0.25">
      <c r="A4605" s="718">
        <v>4</v>
      </c>
      <c r="B4605" s="668"/>
      <c r="C4605" s="721"/>
      <c r="D4605" s="721"/>
      <c r="E4605" s="721"/>
      <c r="F4605" s="721"/>
      <c r="G4605" s="639"/>
      <c r="H4605" s="668"/>
      <c r="I4605" s="721"/>
      <c r="J4605" s="639"/>
      <c r="K4605" s="1124"/>
    </row>
    <row r="4606" spans="1:11" x14ac:dyDescent="0.25">
      <c r="A4606" s="718">
        <v>5</v>
      </c>
      <c r="B4606" s="668"/>
      <c r="C4606" s="721"/>
      <c r="D4606" s="721"/>
      <c r="E4606" s="721"/>
      <c r="F4606" s="721"/>
      <c r="G4606" s="639"/>
      <c r="H4606" s="668"/>
      <c r="I4606" s="721"/>
      <c r="J4606" s="639"/>
      <c r="K4606" s="1124"/>
    </row>
    <row r="4607" spans="1:11" ht="13.8" thickBot="1" x14ac:dyDescent="0.3">
      <c r="A4607" s="719">
        <v>6</v>
      </c>
      <c r="B4607" s="669"/>
      <c r="C4607" s="1137"/>
      <c r="D4607" s="1137"/>
      <c r="E4607" s="1137"/>
      <c r="F4607" s="1137"/>
      <c r="G4607" s="646"/>
      <c r="H4607" s="669"/>
      <c r="I4607" s="1137"/>
      <c r="J4607" s="646"/>
      <c r="K4607" s="1138"/>
    </row>
    <row r="4608" spans="1:11" x14ac:dyDescent="0.25">
      <c r="A4608" s="1190">
        <v>1</v>
      </c>
      <c r="B4608" s="745"/>
      <c r="C4608" s="1117"/>
      <c r="D4608" s="1117"/>
      <c r="E4608" s="1117"/>
      <c r="F4608" s="1117"/>
      <c r="G4608" s="632"/>
      <c r="H4608" s="745"/>
      <c r="I4608" s="1117"/>
      <c r="J4608" s="632"/>
      <c r="K4608" s="1118"/>
    </row>
    <row r="4609" spans="1:11" x14ac:dyDescent="0.25">
      <c r="A4609" s="718">
        <v>2</v>
      </c>
      <c r="B4609" s="668"/>
      <c r="C4609" s="721"/>
      <c r="D4609" s="721"/>
      <c r="E4609" s="721"/>
      <c r="F4609" s="721"/>
      <c r="G4609" s="639"/>
      <c r="H4609" s="668"/>
      <c r="I4609" s="721"/>
      <c r="J4609" s="639"/>
      <c r="K4609" s="1124"/>
    </row>
    <row r="4610" spans="1:11" ht="13.8" thickBot="1" x14ac:dyDescent="0.3">
      <c r="A4610" s="719">
        <v>3</v>
      </c>
      <c r="B4610" s="669"/>
      <c r="C4610" s="1137"/>
      <c r="D4610" s="1137"/>
      <c r="E4610" s="1137"/>
      <c r="F4610" s="1137"/>
      <c r="G4610" s="646"/>
      <c r="H4610" s="669"/>
      <c r="I4610" s="1137"/>
      <c r="J4610" s="646"/>
      <c r="K4610" s="1138"/>
    </row>
    <row r="4611" spans="1:11" ht="13.8" thickBot="1" x14ac:dyDescent="0.3">
      <c r="A4611" s="1186" t="s">
        <v>947</v>
      </c>
      <c r="B4611" s="1187"/>
      <c r="C4611" s="1188"/>
      <c r="D4611" s="1188"/>
      <c r="E4611" s="1188"/>
      <c r="F4611" s="1188"/>
      <c r="G4611" s="1189"/>
      <c r="H4611" s="1187"/>
      <c r="I4611" s="1188"/>
      <c r="J4611" s="1189"/>
      <c r="K4611" s="716"/>
    </row>
    <row r="4612" spans="1:11" x14ac:dyDescent="0.25">
      <c r="A4612" s="1190">
        <v>1</v>
      </c>
      <c r="B4612" s="745"/>
      <c r="C4612" s="1117"/>
      <c r="D4612" s="1117"/>
      <c r="E4612" s="1117"/>
      <c r="F4612" s="1117"/>
      <c r="G4612" s="632"/>
      <c r="H4612" s="745"/>
      <c r="I4612" s="1117"/>
      <c r="J4612" s="632"/>
      <c r="K4612" s="1118"/>
    </row>
    <row r="4613" spans="1:11" x14ac:dyDescent="0.25">
      <c r="A4613" s="718">
        <v>2</v>
      </c>
      <c r="B4613" s="668"/>
      <c r="C4613" s="721"/>
      <c r="D4613" s="721"/>
      <c r="E4613" s="721"/>
      <c r="F4613" s="721"/>
      <c r="G4613" s="639"/>
      <c r="H4613" s="668"/>
      <c r="I4613" s="721"/>
      <c r="J4613" s="639"/>
      <c r="K4613" s="1124"/>
    </row>
    <row r="4614" spans="1:11" x14ac:dyDescent="0.25">
      <c r="A4614" s="718">
        <v>3</v>
      </c>
      <c r="B4614" s="668"/>
      <c r="C4614" s="721"/>
      <c r="D4614" s="721"/>
      <c r="E4614" s="721"/>
      <c r="F4614" s="721"/>
      <c r="G4614" s="639"/>
      <c r="H4614" s="668"/>
      <c r="I4614" s="721"/>
      <c r="J4614" s="639"/>
      <c r="K4614" s="1124"/>
    </row>
    <row r="4615" spans="1:11" x14ac:dyDescent="0.25">
      <c r="A4615" s="718">
        <v>4</v>
      </c>
      <c r="B4615" s="668"/>
      <c r="C4615" s="721"/>
      <c r="D4615" s="721"/>
      <c r="E4615" s="721"/>
      <c r="F4615" s="721"/>
      <c r="G4615" s="639"/>
      <c r="H4615" s="668"/>
      <c r="I4615" s="721"/>
      <c r="J4615" s="639"/>
      <c r="K4615" s="1124"/>
    </row>
    <row r="4616" spans="1:11" x14ac:dyDescent="0.25">
      <c r="A4616" s="718">
        <v>5</v>
      </c>
      <c r="B4616" s="668"/>
      <c r="C4616" s="721"/>
      <c r="D4616" s="721"/>
      <c r="E4616" s="721"/>
      <c r="F4616" s="721"/>
      <c r="G4616" s="639"/>
      <c r="H4616" s="668"/>
      <c r="I4616" s="721"/>
      <c r="J4616" s="639"/>
      <c r="K4616" s="1124"/>
    </row>
    <row r="4617" spans="1:11" ht="13.8" thickBot="1" x14ac:dyDescent="0.3">
      <c r="A4617" s="719">
        <v>6</v>
      </c>
      <c r="B4617" s="669"/>
      <c r="C4617" s="1137"/>
      <c r="D4617" s="1137"/>
      <c r="E4617" s="1137"/>
      <c r="F4617" s="1137"/>
      <c r="G4617" s="646"/>
      <c r="H4617" s="669"/>
      <c r="I4617" s="1137"/>
      <c r="J4617" s="646"/>
      <c r="K4617" s="1138"/>
    </row>
    <row r="4618" spans="1:11" x14ac:dyDescent="0.25">
      <c r="A4618" s="1190">
        <v>1</v>
      </c>
      <c r="B4618" s="745"/>
      <c r="C4618" s="1117"/>
      <c r="D4618" s="1117"/>
      <c r="E4618" s="1117"/>
      <c r="F4618" s="1117"/>
      <c r="G4618" s="632"/>
      <c r="H4618" s="745"/>
      <c r="I4618" s="1117"/>
      <c r="J4618" s="632"/>
      <c r="K4618" s="1118"/>
    </row>
    <row r="4619" spans="1:11" x14ac:dyDescent="0.25">
      <c r="A4619" s="718">
        <v>2</v>
      </c>
      <c r="B4619" s="668"/>
      <c r="C4619" s="721"/>
      <c r="D4619" s="721"/>
      <c r="E4619" s="721"/>
      <c r="F4619" s="721"/>
      <c r="G4619" s="639"/>
      <c r="H4619" s="668"/>
      <c r="I4619" s="721"/>
      <c r="J4619" s="639"/>
      <c r="K4619" s="1124"/>
    </row>
    <row r="4620" spans="1:11" ht="13.8" thickBot="1" x14ac:dyDescent="0.3">
      <c r="A4620" s="719">
        <v>3</v>
      </c>
      <c r="B4620" s="669"/>
      <c r="C4620" s="1137"/>
      <c r="D4620" s="1137"/>
      <c r="E4620" s="1137"/>
      <c r="F4620" s="1137"/>
      <c r="G4620" s="646"/>
      <c r="H4620" s="669"/>
      <c r="I4620" s="1137"/>
      <c r="J4620" s="646"/>
      <c r="K4620" s="1138"/>
    </row>
    <row r="4621" spans="1:11" ht="13.8" thickBot="1" x14ac:dyDescent="0.3">
      <c r="A4621" s="1186" t="s">
        <v>948</v>
      </c>
      <c r="B4621" s="1187"/>
      <c r="C4621" s="1188"/>
      <c r="D4621" s="1188"/>
      <c r="E4621" s="1188"/>
      <c r="F4621" s="1188"/>
      <c r="G4621" s="1189"/>
      <c r="H4621" s="1187"/>
      <c r="I4621" s="1188"/>
      <c r="J4621" s="1189"/>
      <c r="K4621" s="716"/>
    </row>
    <row r="4622" spans="1:11" x14ac:dyDescent="0.25">
      <c r="A4622" s="1190">
        <v>1</v>
      </c>
      <c r="B4622" s="745"/>
      <c r="C4622" s="1117"/>
      <c r="D4622" s="1117"/>
      <c r="E4622" s="1117"/>
      <c r="F4622" s="1117"/>
      <c r="G4622" s="632"/>
      <c r="H4622" s="745"/>
      <c r="I4622" s="1117"/>
      <c r="J4622" s="632"/>
      <c r="K4622" s="1118"/>
    </row>
    <row r="4623" spans="1:11" x14ac:dyDescent="0.25">
      <c r="A4623" s="718">
        <v>2</v>
      </c>
      <c r="B4623" s="668"/>
      <c r="C4623" s="721"/>
      <c r="D4623" s="721"/>
      <c r="E4623" s="721"/>
      <c r="F4623" s="721"/>
      <c r="G4623" s="639"/>
      <c r="H4623" s="668"/>
      <c r="I4623" s="721"/>
      <c r="J4623" s="639"/>
      <c r="K4623" s="1124"/>
    </row>
    <row r="4624" spans="1:11" x14ac:dyDescent="0.25">
      <c r="A4624" s="718">
        <v>3</v>
      </c>
      <c r="B4624" s="668"/>
      <c r="C4624" s="721"/>
      <c r="D4624" s="721"/>
      <c r="E4624" s="721"/>
      <c r="F4624" s="721"/>
      <c r="G4624" s="639"/>
      <c r="H4624" s="668"/>
      <c r="I4624" s="721"/>
      <c r="J4624" s="639"/>
      <c r="K4624" s="1124"/>
    </row>
    <row r="4625" spans="1:11" x14ac:dyDescent="0.25">
      <c r="A4625" s="718">
        <v>4</v>
      </c>
      <c r="B4625" s="668"/>
      <c r="C4625" s="721"/>
      <c r="D4625" s="721"/>
      <c r="E4625" s="721"/>
      <c r="F4625" s="721"/>
      <c r="G4625" s="639"/>
      <c r="H4625" s="668"/>
      <c r="I4625" s="721"/>
      <c r="J4625" s="639"/>
      <c r="K4625" s="1124"/>
    </row>
    <row r="4626" spans="1:11" x14ac:dyDescent="0.25">
      <c r="A4626" s="718">
        <v>5</v>
      </c>
      <c r="B4626" s="668"/>
      <c r="C4626" s="721"/>
      <c r="D4626" s="721"/>
      <c r="E4626" s="721"/>
      <c r="F4626" s="721"/>
      <c r="G4626" s="639"/>
      <c r="H4626" s="668"/>
      <c r="I4626" s="721"/>
      <c r="J4626" s="639"/>
      <c r="K4626" s="1124"/>
    </row>
    <row r="4627" spans="1:11" ht="13.8" thickBot="1" x14ac:dyDescent="0.3">
      <c r="A4627" s="719">
        <v>6</v>
      </c>
      <c r="B4627" s="669"/>
      <c r="C4627" s="1137"/>
      <c r="D4627" s="1137"/>
      <c r="E4627" s="1137"/>
      <c r="F4627" s="1137"/>
      <c r="G4627" s="646"/>
      <c r="H4627" s="669"/>
      <c r="I4627" s="1137"/>
      <c r="J4627" s="646"/>
      <c r="K4627" s="1138"/>
    </row>
    <row r="4628" spans="1:11" x14ac:dyDescent="0.25">
      <c r="A4628" s="1190">
        <v>1</v>
      </c>
      <c r="B4628" s="745"/>
      <c r="C4628" s="1117"/>
      <c r="D4628" s="1117"/>
      <c r="E4628" s="1117"/>
      <c r="F4628" s="1117"/>
      <c r="G4628" s="632"/>
      <c r="H4628" s="745"/>
      <c r="I4628" s="1117"/>
      <c r="J4628" s="632"/>
      <c r="K4628" s="1118"/>
    </row>
    <row r="4629" spans="1:11" x14ac:dyDescent="0.25">
      <c r="A4629" s="718">
        <v>2</v>
      </c>
      <c r="B4629" s="668"/>
      <c r="C4629" s="721"/>
      <c r="D4629" s="721"/>
      <c r="E4629" s="721"/>
      <c r="F4629" s="721"/>
      <c r="G4629" s="639"/>
      <c r="H4629" s="668"/>
      <c r="I4629" s="721"/>
      <c r="J4629" s="639"/>
      <c r="K4629" s="1124"/>
    </row>
    <row r="4630" spans="1:11" ht="13.8" thickBot="1" x14ac:dyDescent="0.3">
      <c r="A4630" s="719">
        <v>3</v>
      </c>
      <c r="B4630" s="669"/>
      <c r="C4630" s="1137"/>
      <c r="D4630" s="1137"/>
      <c r="E4630" s="1137"/>
      <c r="F4630" s="1137"/>
      <c r="G4630" s="646"/>
      <c r="H4630" s="669"/>
      <c r="I4630" s="1137"/>
      <c r="J4630" s="646"/>
      <c r="K4630" s="1138"/>
    </row>
    <row r="4631" spans="1:11" ht="13.8" thickBot="1" x14ac:dyDescent="0.3">
      <c r="A4631" s="1186" t="s">
        <v>949</v>
      </c>
      <c r="B4631" s="1187"/>
      <c r="C4631" s="1188"/>
      <c r="D4631" s="1188"/>
      <c r="E4631" s="1188"/>
      <c r="F4631" s="1188"/>
      <c r="G4631" s="1189"/>
      <c r="H4631" s="1187"/>
      <c r="I4631" s="1188"/>
      <c r="J4631" s="1189"/>
      <c r="K4631" s="716"/>
    </row>
    <row r="4632" spans="1:11" x14ac:dyDescent="0.25">
      <c r="A4632" s="1190">
        <v>1</v>
      </c>
      <c r="B4632" s="745"/>
      <c r="C4632" s="1117"/>
      <c r="D4632" s="1117"/>
      <c r="E4632" s="1117"/>
      <c r="F4632" s="1117"/>
      <c r="G4632" s="632"/>
      <c r="H4632" s="745"/>
      <c r="I4632" s="1117"/>
      <c r="J4632" s="632"/>
      <c r="K4632" s="1118"/>
    </row>
    <row r="4633" spans="1:11" x14ac:dyDescent="0.25">
      <c r="A4633" s="718">
        <v>2</v>
      </c>
      <c r="B4633" s="668"/>
      <c r="C4633" s="721"/>
      <c r="D4633" s="721"/>
      <c r="E4633" s="721"/>
      <c r="F4633" s="721"/>
      <c r="G4633" s="639"/>
      <c r="H4633" s="668"/>
      <c r="I4633" s="721"/>
      <c r="J4633" s="639"/>
      <c r="K4633" s="1124"/>
    </row>
    <row r="4634" spans="1:11" x14ac:dyDescent="0.25">
      <c r="A4634" s="718">
        <v>3</v>
      </c>
      <c r="B4634" s="668"/>
      <c r="C4634" s="721"/>
      <c r="D4634" s="721"/>
      <c r="E4634" s="721"/>
      <c r="F4634" s="721"/>
      <c r="G4634" s="639"/>
      <c r="H4634" s="668"/>
      <c r="I4634" s="721"/>
      <c r="J4634" s="639"/>
      <c r="K4634" s="1124"/>
    </row>
    <row r="4635" spans="1:11" x14ac:dyDescent="0.25">
      <c r="A4635" s="718">
        <v>4</v>
      </c>
      <c r="B4635" s="668"/>
      <c r="C4635" s="721"/>
      <c r="D4635" s="721"/>
      <c r="E4635" s="721"/>
      <c r="F4635" s="721"/>
      <c r="G4635" s="639"/>
      <c r="H4635" s="668"/>
      <c r="I4635" s="721"/>
      <c r="J4635" s="639"/>
      <c r="K4635" s="1124"/>
    </row>
    <row r="4636" spans="1:11" x14ac:dyDescent="0.25">
      <c r="A4636" s="718">
        <v>5</v>
      </c>
      <c r="B4636" s="668"/>
      <c r="C4636" s="721"/>
      <c r="D4636" s="721"/>
      <c r="E4636" s="721"/>
      <c r="F4636" s="721"/>
      <c r="G4636" s="639"/>
      <c r="H4636" s="668"/>
      <c r="I4636" s="721"/>
      <c r="J4636" s="639"/>
      <c r="K4636" s="1124"/>
    </row>
    <row r="4637" spans="1:11" ht="13.8" thickBot="1" x14ac:dyDescent="0.3">
      <c r="A4637" s="719">
        <v>6</v>
      </c>
      <c r="B4637" s="669"/>
      <c r="C4637" s="1137"/>
      <c r="D4637" s="1137"/>
      <c r="E4637" s="1137"/>
      <c r="F4637" s="1137"/>
      <c r="G4637" s="646"/>
      <c r="H4637" s="669"/>
      <c r="I4637" s="1137"/>
      <c r="J4637" s="646"/>
      <c r="K4637" s="1138"/>
    </row>
    <row r="4638" spans="1:11" x14ac:dyDescent="0.25">
      <c r="A4638" s="1190">
        <v>1</v>
      </c>
      <c r="B4638" s="745"/>
      <c r="C4638" s="1117"/>
      <c r="D4638" s="1117"/>
      <c r="E4638" s="1117"/>
      <c r="F4638" s="1117"/>
      <c r="G4638" s="632"/>
      <c r="H4638" s="745"/>
      <c r="I4638" s="1117"/>
      <c r="J4638" s="632"/>
      <c r="K4638" s="1118"/>
    </row>
    <row r="4639" spans="1:11" x14ac:dyDescent="0.25">
      <c r="A4639" s="718">
        <v>2</v>
      </c>
      <c r="B4639" s="668"/>
      <c r="C4639" s="721"/>
      <c r="D4639" s="721"/>
      <c r="E4639" s="721"/>
      <c r="F4639" s="721"/>
      <c r="G4639" s="639"/>
      <c r="H4639" s="668"/>
      <c r="I4639" s="721"/>
      <c r="J4639" s="639"/>
      <c r="K4639" s="1124"/>
    </row>
    <row r="4640" spans="1:11" ht="13.8" thickBot="1" x14ac:dyDescent="0.3">
      <c r="A4640" s="719">
        <v>3</v>
      </c>
      <c r="B4640" s="669"/>
      <c r="C4640" s="1137"/>
      <c r="D4640" s="1137"/>
      <c r="E4640" s="1137"/>
      <c r="F4640" s="1137"/>
      <c r="G4640" s="646"/>
      <c r="H4640" s="669"/>
      <c r="I4640" s="1137"/>
      <c r="J4640" s="646"/>
      <c r="K4640" s="1138"/>
    </row>
    <row r="4641" spans="1:11" ht="13.8" thickBot="1" x14ac:dyDescent="0.3">
      <c r="A4641" s="1186" t="s">
        <v>950</v>
      </c>
      <c r="B4641" s="1187"/>
      <c r="C4641" s="1188"/>
      <c r="D4641" s="1188"/>
      <c r="E4641" s="1188"/>
      <c r="F4641" s="1188"/>
      <c r="G4641" s="1189"/>
      <c r="H4641" s="1187"/>
      <c r="I4641" s="1188"/>
      <c r="J4641" s="1189"/>
      <c r="K4641" s="716"/>
    </row>
    <row r="4642" spans="1:11" x14ac:dyDescent="0.25">
      <c r="A4642" s="1190">
        <v>1</v>
      </c>
      <c r="B4642" s="745"/>
      <c r="C4642" s="1117"/>
      <c r="D4642" s="1117"/>
      <c r="E4642" s="1117"/>
      <c r="F4642" s="1117"/>
      <c r="G4642" s="632"/>
      <c r="H4642" s="745"/>
      <c r="I4642" s="1117"/>
      <c r="J4642" s="632"/>
      <c r="K4642" s="1118"/>
    </row>
    <row r="4643" spans="1:11" x14ac:dyDescent="0.25">
      <c r="A4643" s="718">
        <v>2</v>
      </c>
      <c r="B4643" s="668"/>
      <c r="C4643" s="721"/>
      <c r="D4643" s="721"/>
      <c r="E4643" s="721"/>
      <c r="F4643" s="721"/>
      <c r="G4643" s="639"/>
      <c r="H4643" s="668"/>
      <c r="I4643" s="721"/>
      <c r="J4643" s="639"/>
      <c r="K4643" s="1124"/>
    </row>
    <row r="4644" spans="1:11" x14ac:dyDescent="0.25">
      <c r="A4644" s="718">
        <v>3</v>
      </c>
      <c r="B4644" s="668"/>
      <c r="C4644" s="721"/>
      <c r="D4644" s="721"/>
      <c r="E4644" s="721"/>
      <c r="F4644" s="721"/>
      <c r="G4644" s="639"/>
      <c r="H4644" s="668"/>
      <c r="I4644" s="721"/>
      <c r="J4644" s="639"/>
      <c r="K4644" s="1124"/>
    </row>
    <row r="4645" spans="1:11" x14ac:dyDescent="0.25">
      <c r="A4645" s="718">
        <v>4</v>
      </c>
      <c r="B4645" s="668"/>
      <c r="C4645" s="721"/>
      <c r="D4645" s="721"/>
      <c r="E4645" s="721"/>
      <c r="F4645" s="721"/>
      <c r="G4645" s="639"/>
      <c r="H4645" s="668"/>
      <c r="I4645" s="721"/>
      <c r="J4645" s="639"/>
      <c r="K4645" s="1124"/>
    </row>
    <row r="4646" spans="1:11" x14ac:dyDescent="0.25">
      <c r="A4646" s="718">
        <v>5</v>
      </c>
      <c r="B4646" s="668"/>
      <c r="C4646" s="721"/>
      <c r="D4646" s="721"/>
      <c r="E4646" s="721"/>
      <c r="F4646" s="721"/>
      <c r="G4646" s="639"/>
      <c r="H4646" s="668"/>
      <c r="I4646" s="721"/>
      <c r="J4646" s="639"/>
      <c r="K4646" s="1124"/>
    </row>
    <row r="4647" spans="1:11" ht="13.8" thickBot="1" x14ac:dyDescent="0.3">
      <c r="A4647" s="719">
        <v>6</v>
      </c>
      <c r="B4647" s="669"/>
      <c r="C4647" s="1137"/>
      <c r="D4647" s="1137"/>
      <c r="E4647" s="1137"/>
      <c r="F4647" s="1137"/>
      <c r="G4647" s="646"/>
      <c r="H4647" s="669"/>
      <c r="I4647" s="1137"/>
      <c r="J4647" s="646"/>
      <c r="K4647" s="1138"/>
    </row>
    <row r="4648" spans="1:11" x14ac:dyDescent="0.25">
      <c r="A4648" s="1190">
        <v>1</v>
      </c>
      <c r="B4648" s="745"/>
      <c r="C4648" s="1117"/>
      <c r="D4648" s="1117"/>
      <c r="E4648" s="1117"/>
      <c r="F4648" s="1117"/>
      <c r="G4648" s="632"/>
      <c r="H4648" s="745"/>
      <c r="I4648" s="1117"/>
      <c r="J4648" s="632"/>
      <c r="K4648" s="1118"/>
    </row>
    <row r="4649" spans="1:11" x14ac:dyDescent="0.25">
      <c r="A4649" s="718">
        <v>2</v>
      </c>
      <c r="B4649" s="668"/>
      <c r="C4649" s="721"/>
      <c r="D4649" s="721"/>
      <c r="E4649" s="721"/>
      <c r="F4649" s="721"/>
      <c r="G4649" s="639"/>
      <c r="H4649" s="668"/>
      <c r="I4649" s="721"/>
      <c r="J4649" s="639"/>
      <c r="K4649" s="1124"/>
    </row>
    <row r="4650" spans="1:11" ht="13.8" thickBot="1" x14ac:dyDescent="0.3">
      <c r="A4650" s="1191">
        <v>3</v>
      </c>
      <c r="B4650" s="1132"/>
      <c r="C4650" s="1133"/>
      <c r="D4650" s="1133"/>
      <c r="E4650" s="1133"/>
      <c r="F4650" s="1133"/>
      <c r="G4650" s="1134"/>
      <c r="H4650" s="1132"/>
      <c r="I4650" s="1133"/>
      <c r="J4650" s="1134"/>
      <c r="K4650" s="1147"/>
    </row>
    <row r="4651" spans="1:11" ht="13.8" thickBot="1" x14ac:dyDescent="0.3">
      <c r="A4651" s="1186" t="s">
        <v>951</v>
      </c>
      <c r="B4651" s="1187"/>
      <c r="C4651" s="1188"/>
      <c r="D4651" s="1188"/>
      <c r="E4651" s="1188"/>
      <c r="F4651" s="1188"/>
      <c r="G4651" s="1189"/>
      <c r="H4651" s="1187"/>
      <c r="I4651" s="1188"/>
      <c r="J4651" s="1189"/>
      <c r="K4651" s="716"/>
    </row>
    <row r="4652" spans="1:11" x14ac:dyDescent="0.25">
      <c r="A4652" s="1190">
        <v>1</v>
      </c>
      <c r="B4652" s="745"/>
      <c r="C4652" s="1117"/>
      <c r="D4652" s="1117"/>
      <c r="E4652" s="1117"/>
      <c r="F4652" s="1117"/>
      <c r="G4652" s="632"/>
      <c r="H4652" s="745"/>
      <c r="I4652" s="1117"/>
      <c r="J4652" s="632"/>
      <c r="K4652" s="1118"/>
    </row>
    <row r="4653" spans="1:11" x14ac:dyDescent="0.25">
      <c r="A4653" s="718">
        <v>2</v>
      </c>
      <c r="B4653" s="668"/>
      <c r="C4653" s="721"/>
      <c r="D4653" s="721"/>
      <c r="E4653" s="721"/>
      <c r="F4653" s="721"/>
      <c r="G4653" s="639"/>
      <c r="H4653" s="668"/>
      <c r="I4653" s="721"/>
      <c r="J4653" s="639"/>
      <c r="K4653" s="1124"/>
    </row>
    <row r="4654" spans="1:11" x14ac:dyDescent="0.25">
      <c r="A4654" s="718">
        <v>3</v>
      </c>
      <c r="B4654" s="668"/>
      <c r="C4654" s="721"/>
      <c r="D4654" s="721"/>
      <c r="E4654" s="721"/>
      <c r="F4654" s="721"/>
      <c r="G4654" s="639"/>
      <c r="H4654" s="668"/>
      <c r="I4654" s="721"/>
      <c r="J4654" s="639"/>
      <c r="K4654" s="1124"/>
    </row>
    <row r="4655" spans="1:11" x14ac:dyDescent="0.25">
      <c r="A4655" s="718">
        <v>4</v>
      </c>
      <c r="B4655" s="668"/>
      <c r="C4655" s="721"/>
      <c r="D4655" s="721"/>
      <c r="E4655" s="721"/>
      <c r="F4655" s="721"/>
      <c r="G4655" s="639"/>
      <c r="H4655" s="668"/>
      <c r="I4655" s="721"/>
      <c r="J4655" s="639"/>
      <c r="K4655" s="1124"/>
    </row>
    <row r="4656" spans="1:11" x14ac:dyDescent="0.25">
      <c r="A4656" s="718">
        <v>5</v>
      </c>
      <c r="B4656" s="668"/>
      <c r="C4656" s="721"/>
      <c r="D4656" s="721"/>
      <c r="E4656" s="721"/>
      <c r="F4656" s="721"/>
      <c r="G4656" s="639"/>
      <c r="H4656" s="668"/>
      <c r="I4656" s="721"/>
      <c r="J4656" s="639"/>
      <c r="K4656" s="1124"/>
    </row>
    <row r="4657" spans="1:11" ht="13.8" thickBot="1" x14ac:dyDescent="0.3">
      <c r="A4657" s="719">
        <v>6</v>
      </c>
      <c r="B4657" s="669"/>
      <c r="C4657" s="1137"/>
      <c r="D4657" s="1137"/>
      <c r="E4657" s="1137"/>
      <c r="F4657" s="1137"/>
      <c r="G4657" s="646"/>
      <c r="H4657" s="669"/>
      <c r="I4657" s="1137"/>
      <c r="J4657" s="646"/>
      <c r="K4657" s="1138"/>
    </row>
    <row r="4658" spans="1:11" x14ac:dyDescent="0.25">
      <c r="A4658" s="1190">
        <v>1</v>
      </c>
      <c r="B4658" s="745"/>
      <c r="C4658" s="1117"/>
      <c r="D4658" s="1117"/>
      <c r="E4658" s="1117"/>
      <c r="F4658" s="1117"/>
      <c r="G4658" s="632"/>
      <c r="H4658" s="745"/>
      <c r="I4658" s="1117"/>
      <c r="J4658" s="632"/>
      <c r="K4658" s="1118"/>
    </row>
    <row r="4659" spans="1:11" x14ac:dyDescent="0.25">
      <c r="A4659" s="718">
        <v>2</v>
      </c>
      <c r="B4659" s="668"/>
      <c r="C4659" s="721"/>
      <c r="D4659" s="721"/>
      <c r="E4659" s="721"/>
      <c r="F4659" s="721"/>
      <c r="G4659" s="639"/>
      <c r="H4659" s="668"/>
      <c r="I4659" s="721"/>
      <c r="J4659" s="639"/>
      <c r="K4659" s="1124"/>
    </row>
    <row r="4660" spans="1:11" ht="13.8" thickBot="1" x14ac:dyDescent="0.3">
      <c r="A4660" s="719">
        <v>3</v>
      </c>
      <c r="B4660" s="669"/>
      <c r="C4660" s="1137"/>
      <c r="D4660" s="1137"/>
      <c r="E4660" s="1137"/>
      <c r="F4660" s="1137"/>
      <c r="G4660" s="646"/>
      <c r="H4660" s="669"/>
      <c r="I4660" s="1137"/>
      <c r="J4660" s="646"/>
      <c r="K4660" s="1138"/>
    </row>
    <row r="4661" spans="1:11" ht="13.8" thickBot="1" x14ac:dyDescent="0.3">
      <c r="A4661" s="1186" t="s">
        <v>952</v>
      </c>
      <c r="B4661" s="1187"/>
      <c r="C4661" s="1188"/>
      <c r="D4661" s="1188"/>
      <c r="E4661" s="1188"/>
      <c r="F4661" s="1188"/>
      <c r="G4661" s="1189"/>
      <c r="H4661" s="1187"/>
      <c r="I4661" s="1188"/>
      <c r="J4661" s="1189"/>
      <c r="K4661" s="716"/>
    </row>
    <row r="4662" spans="1:11" x14ac:dyDescent="0.25">
      <c r="A4662" s="1190">
        <v>1</v>
      </c>
      <c r="B4662" s="745"/>
      <c r="C4662" s="1117"/>
      <c r="D4662" s="1117"/>
      <c r="E4662" s="1117"/>
      <c r="F4662" s="1117"/>
      <c r="G4662" s="632"/>
      <c r="H4662" s="745"/>
      <c r="I4662" s="1117"/>
      <c r="J4662" s="632"/>
      <c r="K4662" s="1118"/>
    </row>
    <row r="4663" spans="1:11" x14ac:dyDescent="0.25">
      <c r="A4663" s="718">
        <v>2</v>
      </c>
      <c r="B4663" s="668"/>
      <c r="C4663" s="721"/>
      <c r="D4663" s="721"/>
      <c r="E4663" s="721"/>
      <c r="F4663" s="721"/>
      <c r="G4663" s="639"/>
      <c r="H4663" s="668"/>
      <c r="I4663" s="721"/>
      <c r="J4663" s="639"/>
      <c r="K4663" s="1124"/>
    </row>
    <row r="4664" spans="1:11" x14ac:dyDescent="0.25">
      <c r="A4664" s="718">
        <v>3</v>
      </c>
      <c r="B4664" s="668"/>
      <c r="C4664" s="721"/>
      <c r="D4664" s="721"/>
      <c r="E4664" s="721"/>
      <c r="F4664" s="721"/>
      <c r="G4664" s="639"/>
      <c r="H4664" s="668"/>
      <c r="I4664" s="721"/>
      <c r="J4664" s="639"/>
      <c r="K4664" s="1124"/>
    </row>
    <row r="4665" spans="1:11" x14ac:dyDescent="0.25">
      <c r="A4665" s="718">
        <v>4</v>
      </c>
      <c r="B4665" s="668"/>
      <c r="C4665" s="721"/>
      <c r="D4665" s="721"/>
      <c r="E4665" s="721"/>
      <c r="F4665" s="721"/>
      <c r="G4665" s="639"/>
      <c r="H4665" s="668"/>
      <c r="I4665" s="721"/>
      <c r="J4665" s="639"/>
      <c r="K4665" s="1124"/>
    </row>
    <row r="4666" spans="1:11" x14ac:dyDescent="0.25">
      <c r="A4666" s="718">
        <v>5</v>
      </c>
      <c r="B4666" s="668"/>
      <c r="C4666" s="721"/>
      <c r="D4666" s="721"/>
      <c r="E4666" s="721"/>
      <c r="F4666" s="721"/>
      <c r="G4666" s="639"/>
      <c r="H4666" s="668"/>
      <c r="I4666" s="721"/>
      <c r="J4666" s="639"/>
      <c r="K4666" s="1124"/>
    </row>
    <row r="4667" spans="1:11" ht="13.8" thickBot="1" x14ac:dyDescent="0.3">
      <c r="A4667" s="719">
        <v>6</v>
      </c>
      <c r="B4667" s="669"/>
      <c r="C4667" s="1137"/>
      <c r="D4667" s="1137"/>
      <c r="E4667" s="1137"/>
      <c r="F4667" s="1137"/>
      <c r="G4667" s="646"/>
      <c r="H4667" s="669"/>
      <c r="I4667" s="1137"/>
      <c r="J4667" s="646"/>
      <c r="K4667" s="1138"/>
    </row>
    <row r="4668" spans="1:11" x14ac:dyDescent="0.25">
      <c r="A4668" s="1190">
        <v>1</v>
      </c>
      <c r="B4668" s="745"/>
      <c r="C4668" s="1117"/>
      <c r="D4668" s="1117"/>
      <c r="E4668" s="1117"/>
      <c r="F4668" s="1117"/>
      <c r="G4668" s="632"/>
      <c r="H4668" s="745"/>
      <c r="I4668" s="1117"/>
      <c r="J4668" s="632"/>
      <c r="K4668" s="1118"/>
    </row>
    <row r="4669" spans="1:11" x14ac:dyDescent="0.25">
      <c r="A4669" s="718">
        <v>2</v>
      </c>
      <c r="B4669" s="668"/>
      <c r="C4669" s="721"/>
      <c r="D4669" s="721"/>
      <c r="E4669" s="721"/>
      <c r="F4669" s="721"/>
      <c r="G4669" s="639"/>
      <c r="H4669" s="668"/>
      <c r="I4669" s="721"/>
      <c r="J4669" s="639"/>
      <c r="K4669" s="1124"/>
    </row>
    <row r="4670" spans="1:11" ht="13.8" thickBot="1" x14ac:dyDescent="0.3">
      <c r="A4670" s="719">
        <v>3</v>
      </c>
      <c r="B4670" s="669"/>
      <c r="C4670" s="1137"/>
      <c r="D4670" s="1137"/>
      <c r="E4670" s="1137"/>
      <c r="F4670" s="1137"/>
      <c r="G4670" s="646"/>
      <c r="H4670" s="669"/>
      <c r="I4670" s="1137"/>
      <c r="J4670" s="646"/>
      <c r="K4670" s="1138"/>
    </row>
    <row r="4671" spans="1:11" ht="13.8" thickBot="1" x14ac:dyDescent="0.3">
      <c r="A4671" s="1186" t="s">
        <v>953</v>
      </c>
      <c r="B4671" s="1187"/>
      <c r="C4671" s="1188"/>
      <c r="D4671" s="1188"/>
      <c r="E4671" s="1188"/>
      <c r="F4671" s="1188"/>
      <c r="G4671" s="1189"/>
      <c r="H4671" s="1187"/>
      <c r="I4671" s="1188"/>
      <c r="J4671" s="1189"/>
      <c r="K4671" s="716"/>
    </row>
    <row r="4672" spans="1:11" x14ac:dyDescent="0.25">
      <c r="A4672" s="1190">
        <v>1</v>
      </c>
      <c r="B4672" s="745"/>
      <c r="C4672" s="1117"/>
      <c r="D4672" s="1117"/>
      <c r="E4672" s="1117"/>
      <c r="F4672" s="1117"/>
      <c r="G4672" s="632"/>
      <c r="H4672" s="745"/>
      <c r="I4672" s="1117"/>
      <c r="J4672" s="632"/>
      <c r="K4672" s="1118"/>
    </row>
    <row r="4673" spans="1:11" x14ac:dyDescent="0.25">
      <c r="A4673" s="718">
        <v>2</v>
      </c>
      <c r="B4673" s="668"/>
      <c r="C4673" s="721"/>
      <c r="D4673" s="721"/>
      <c r="E4673" s="721"/>
      <c r="F4673" s="721"/>
      <c r="G4673" s="639"/>
      <c r="H4673" s="668"/>
      <c r="I4673" s="721"/>
      <c r="J4673" s="639"/>
      <c r="K4673" s="1124"/>
    </row>
    <row r="4674" spans="1:11" x14ac:dyDescent="0.25">
      <c r="A4674" s="718">
        <v>3</v>
      </c>
      <c r="B4674" s="668"/>
      <c r="C4674" s="721"/>
      <c r="D4674" s="721"/>
      <c r="E4674" s="721"/>
      <c r="F4674" s="721"/>
      <c r="G4674" s="639"/>
      <c r="H4674" s="668"/>
      <c r="I4674" s="721"/>
      <c r="J4674" s="639"/>
      <c r="K4674" s="1124"/>
    </row>
    <row r="4675" spans="1:11" x14ac:dyDescent="0.25">
      <c r="A4675" s="718">
        <v>4</v>
      </c>
      <c r="B4675" s="668"/>
      <c r="C4675" s="721"/>
      <c r="D4675" s="721"/>
      <c r="E4675" s="721"/>
      <c r="F4675" s="721"/>
      <c r="G4675" s="639"/>
      <c r="H4675" s="668"/>
      <c r="I4675" s="721"/>
      <c r="J4675" s="639"/>
      <c r="K4675" s="1124"/>
    </row>
    <row r="4676" spans="1:11" x14ac:dyDescent="0.25">
      <c r="A4676" s="718">
        <v>5</v>
      </c>
      <c r="B4676" s="668"/>
      <c r="C4676" s="721"/>
      <c r="D4676" s="721"/>
      <c r="E4676" s="721"/>
      <c r="F4676" s="721"/>
      <c r="G4676" s="639"/>
      <c r="H4676" s="668"/>
      <c r="I4676" s="721"/>
      <c r="J4676" s="639"/>
      <c r="K4676" s="1124"/>
    </row>
    <row r="4677" spans="1:11" ht="13.8" thickBot="1" x14ac:dyDescent="0.3">
      <c r="A4677" s="719">
        <v>6</v>
      </c>
      <c r="B4677" s="669"/>
      <c r="C4677" s="1137"/>
      <c r="D4677" s="1137"/>
      <c r="E4677" s="1137"/>
      <c r="F4677" s="1137"/>
      <c r="G4677" s="646"/>
      <c r="H4677" s="669"/>
      <c r="I4677" s="1137"/>
      <c r="J4677" s="646"/>
      <c r="K4677" s="1138"/>
    </row>
    <row r="4678" spans="1:11" x14ac:dyDescent="0.25">
      <c r="A4678" s="1190">
        <v>1</v>
      </c>
      <c r="B4678" s="745"/>
      <c r="C4678" s="1117"/>
      <c r="D4678" s="1117"/>
      <c r="E4678" s="1117"/>
      <c r="F4678" s="1117"/>
      <c r="G4678" s="632"/>
      <c r="H4678" s="745"/>
      <c r="I4678" s="1117"/>
      <c r="J4678" s="632"/>
      <c r="K4678" s="1118"/>
    </row>
    <row r="4679" spans="1:11" x14ac:dyDescent="0.25">
      <c r="A4679" s="718">
        <v>2</v>
      </c>
      <c r="B4679" s="668"/>
      <c r="C4679" s="721"/>
      <c r="D4679" s="721"/>
      <c r="E4679" s="721"/>
      <c r="F4679" s="721"/>
      <c r="G4679" s="639"/>
      <c r="H4679" s="668"/>
      <c r="I4679" s="721"/>
      <c r="J4679" s="639"/>
      <c r="K4679" s="1124"/>
    </row>
    <row r="4680" spans="1:11" ht="13.8" thickBot="1" x14ac:dyDescent="0.3">
      <c r="A4680" s="719">
        <v>3</v>
      </c>
      <c r="B4680" s="669"/>
      <c r="C4680" s="1137"/>
      <c r="D4680" s="1137"/>
      <c r="E4680" s="1137"/>
      <c r="F4680" s="1137"/>
      <c r="G4680" s="646"/>
      <c r="H4680" s="669"/>
      <c r="I4680" s="1137"/>
      <c r="J4680" s="646"/>
      <c r="K4680" s="1138"/>
    </row>
    <row r="4681" spans="1:11" ht="13.8" thickBot="1" x14ac:dyDescent="0.3">
      <c r="A4681" s="1186" t="s">
        <v>954</v>
      </c>
      <c r="B4681" s="1187"/>
      <c r="C4681" s="1188"/>
      <c r="D4681" s="1188"/>
      <c r="E4681" s="1188"/>
      <c r="F4681" s="1188"/>
      <c r="G4681" s="1189"/>
      <c r="H4681" s="1187"/>
      <c r="I4681" s="1188"/>
      <c r="J4681" s="1189"/>
      <c r="K4681" s="716"/>
    </row>
    <row r="4682" spans="1:11" x14ac:dyDescent="0.25">
      <c r="A4682" s="1190">
        <v>1</v>
      </c>
      <c r="B4682" s="745"/>
      <c r="C4682" s="1117"/>
      <c r="D4682" s="1117"/>
      <c r="E4682" s="1117"/>
      <c r="F4682" s="1117"/>
      <c r="G4682" s="632"/>
      <c r="H4682" s="745"/>
      <c r="I4682" s="1117"/>
      <c r="J4682" s="632"/>
      <c r="K4682" s="1118"/>
    </row>
    <row r="4683" spans="1:11" x14ac:dyDescent="0.25">
      <c r="A4683" s="718">
        <v>2</v>
      </c>
      <c r="B4683" s="668"/>
      <c r="C4683" s="721"/>
      <c r="D4683" s="721"/>
      <c r="E4683" s="721"/>
      <c r="F4683" s="721"/>
      <c r="G4683" s="639"/>
      <c r="H4683" s="668"/>
      <c r="I4683" s="721"/>
      <c r="J4683" s="639"/>
      <c r="K4683" s="1124"/>
    </row>
    <row r="4684" spans="1:11" x14ac:dyDescent="0.25">
      <c r="A4684" s="718">
        <v>3</v>
      </c>
      <c r="B4684" s="668"/>
      <c r="C4684" s="721"/>
      <c r="D4684" s="721"/>
      <c r="E4684" s="721"/>
      <c r="F4684" s="721"/>
      <c r="G4684" s="639"/>
      <c r="H4684" s="668"/>
      <c r="I4684" s="721"/>
      <c r="J4684" s="639"/>
      <c r="K4684" s="1124"/>
    </row>
    <row r="4685" spans="1:11" x14ac:dyDescent="0.25">
      <c r="A4685" s="718">
        <v>4</v>
      </c>
      <c r="B4685" s="668"/>
      <c r="C4685" s="721"/>
      <c r="D4685" s="721"/>
      <c r="E4685" s="721"/>
      <c r="F4685" s="721"/>
      <c r="G4685" s="639"/>
      <c r="H4685" s="668"/>
      <c r="I4685" s="721"/>
      <c r="J4685" s="639"/>
      <c r="K4685" s="1124"/>
    </row>
    <row r="4686" spans="1:11" x14ac:dyDescent="0.25">
      <c r="A4686" s="718">
        <v>5</v>
      </c>
      <c r="B4686" s="668"/>
      <c r="C4686" s="721"/>
      <c r="D4686" s="721"/>
      <c r="E4686" s="721"/>
      <c r="F4686" s="721"/>
      <c r="G4686" s="639"/>
      <c r="H4686" s="668"/>
      <c r="I4686" s="721"/>
      <c r="J4686" s="639"/>
      <c r="K4686" s="1124"/>
    </row>
    <row r="4687" spans="1:11" ht="13.8" thickBot="1" x14ac:dyDescent="0.3">
      <c r="A4687" s="719">
        <v>6</v>
      </c>
      <c r="B4687" s="669"/>
      <c r="C4687" s="1137"/>
      <c r="D4687" s="1137"/>
      <c r="E4687" s="1137"/>
      <c r="F4687" s="1137"/>
      <c r="G4687" s="646"/>
      <c r="H4687" s="669"/>
      <c r="I4687" s="1137"/>
      <c r="J4687" s="646"/>
      <c r="K4687" s="1138"/>
    </row>
    <row r="4688" spans="1:11" x14ac:dyDescent="0.25">
      <c r="A4688" s="1190">
        <v>1</v>
      </c>
      <c r="B4688" s="745"/>
      <c r="C4688" s="1117"/>
      <c r="D4688" s="1117"/>
      <c r="E4688" s="1117"/>
      <c r="F4688" s="1117"/>
      <c r="G4688" s="632"/>
      <c r="H4688" s="745"/>
      <c r="I4688" s="1117"/>
      <c r="J4688" s="632"/>
      <c r="K4688" s="1118"/>
    </row>
    <row r="4689" spans="1:11" x14ac:dyDescent="0.25">
      <c r="A4689" s="718">
        <v>2</v>
      </c>
      <c r="B4689" s="668"/>
      <c r="C4689" s="721"/>
      <c r="D4689" s="721"/>
      <c r="E4689" s="721"/>
      <c r="F4689" s="721"/>
      <c r="G4689" s="639"/>
      <c r="H4689" s="668"/>
      <c r="I4689" s="721"/>
      <c r="J4689" s="639"/>
      <c r="K4689" s="1124"/>
    </row>
    <row r="4690" spans="1:11" ht="13.8" thickBot="1" x14ac:dyDescent="0.3">
      <c r="A4690" s="1191">
        <v>3</v>
      </c>
      <c r="B4690" s="1132"/>
      <c r="C4690" s="1133"/>
      <c r="D4690" s="1133"/>
      <c r="E4690" s="1133"/>
      <c r="F4690" s="1133"/>
      <c r="G4690" s="1134"/>
      <c r="H4690" s="1132"/>
      <c r="I4690" s="1133"/>
      <c r="J4690" s="1134"/>
      <c r="K4690" s="1147"/>
    </row>
    <row r="4691" spans="1:11" ht="13.8" thickBot="1" x14ac:dyDescent="0.3">
      <c r="A4691" s="1186" t="s">
        <v>955</v>
      </c>
      <c r="B4691" s="1187"/>
      <c r="C4691" s="1188"/>
      <c r="D4691" s="1188"/>
      <c r="E4691" s="1188"/>
      <c r="F4691" s="1188"/>
      <c r="G4691" s="1189"/>
      <c r="H4691" s="1187"/>
      <c r="I4691" s="1188"/>
      <c r="J4691" s="1189"/>
      <c r="K4691" s="716"/>
    </row>
    <row r="4692" spans="1:11" x14ac:dyDescent="0.25">
      <c r="A4692" s="1190">
        <v>1</v>
      </c>
      <c r="B4692" s="745"/>
      <c r="C4692" s="1117"/>
      <c r="D4692" s="1117"/>
      <c r="E4692" s="1117"/>
      <c r="F4692" s="1117"/>
      <c r="G4692" s="632"/>
      <c r="H4692" s="745"/>
      <c r="I4692" s="1117"/>
      <c r="J4692" s="632"/>
      <c r="K4692" s="1118"/>
    </row>
    <row r="4693" spans="1:11" x14ac:dyDescent="0.25">
      <c r="A4693" s="718">
        <v>2</v>
      </c>
      <c r="B4693" s="668"/>
      <c r="C4693" s="721"/>
      <c r="D4693" s="721"/>
      <c r="E4693" s="721"/>
      <c r="F4693" s="721"/>
      <c r="G4693" s="639"/>
      <c r="H4693" s="668"/>
      <c r="I4693" s="721"/>
      <c r="J4693" s="639"/>
      <c r="K4693" s="1124"/>
    </row>
    <row r="4694" spans="1:11" x14ac:dyDescent="0.25">
      <c r="A4694" s="718">
        <v>3</v>
      </c>
      <c r="B4694" s="668"/>
      <c r="C4694" s="721"/>
      <c r="D4694" s="721"/>
      <c r="E4694" s="721"/>
      <c r="F4694" s="721"/>
      <c r="G4694" s="639"/>
      <c r="H4694" s="668"/>
      <c r="I4694" s="721"/>
      <c r="J4694" s="639"/>
      <c r="K4694" s="1124"/>
    </row>
    <row r="4695" spans="1:11" x14ac:dyDescent="0.25">
      <c r="A4695" s="718">
        <v>4</v>
      </c>
      <c r="B4695" s="668"/>
      <c r="C4695" s="721"/>
      <c r="D4695" s="721"/>
      <c r="E4695" s="721"/>
      <c r="F4695" s="721"/>
      <c r="G4695" s="639"/>
      <c r="H4695" s="668"/>
      <c r="I4695" s="721"/>
      <c r="J4695" s="639"/>
      <c r="K4695" s="1124"/>
    </row>
    <row r="4696" spans="1:11" x14ac:dyDescent="0.25">
      <c r="A4696" s="718">
        <v>5</v>
      </c>
      <c r="B4696" s="668"/>
      <c r="C4696" s="721"/>
      <c r="D4696" s="721"/>
      <c r="E4696" s="721"/>
      <c r="F4696" s="721"/>
      <c r="G4696" s="639"/>
      <c r="H4696" s="668"/>
      <c r="I4696" s="721"/>
      <c r="J4696" s="639"/>
      <c r="K4696" s="1124"/>
    </row>
    <row r="4697" spans="1:11" ht="13.8" thickBot="1" x14ac:dyDescent="0.3">
      <c r="A4697" s="719">
        <v>6</v>
      </c>
      <c r="B4697" s="669"/>
      <c r="C4697" s="1137"/>
      <c r="D4697" s="1137"/>
      <c r="E4697" s="1137"/>
      <c r="F4697" s="1137"/>
      <c r="G4697" s="646"/>
      <c r="H4697" s="669"/>
      <c r="I4697" s="1137"/>
      <c r="J4697" s="646"/>
      <c r="K4697" s="1138"/>
    </row>
    <row r="4698" spans="1:11" x14ac:dyDescent="0.25">
      <c r="A4698" s="1190">
        <v>1</v>
      </c>
      <c r="B4698" s="745"/>
      <c r="C4698" s="1117"/>
      <c r="D4698" s="1117"/>
      <c r="E4698" s="1117"/>
      <c r="F4698" s="1117"/>
      <c r="G4698" s="632"/>
      <c r="H4698" s="745"/>
      <c r="I4698" s="1117"/>
      <c r="J4698" s="632"/>
      <c r="K4698" s="1118"/>
    </row>
    <row r="4699" spans="1:11" x14ac:dyDescent="0.25">
      <c r="A4699" s="718">
        <v>2</v>
      </c>
      <c r="B4699" s="668"/>
      <c r="C4699" s="721"/>
      <c r="D4699" s="721"/>
      <c r="E4699" s="721"/>
      <c r="F4699" s="721"/>
      <c r="G4699" s="639"/>
      <c r="H4699" s="668"/>
      <c r="I4699" s="721"/>
      <c r="J4699" s="639"/>
      <c r="K4699" s="1124"/>
    </row>
    <row r="4700" spans="1:11" ht="13.8" thickBot="1" x14ac:dyDescent="0.3">
      <c r="A4700" s="719">
        <v>3</v>
      </c>
      <c r="B4700" s="669"/>
      <c r="C4700" s="1137"/>
      <c r="D4700" s="1137"/>
      <c r="E4700" s="1137"/>
      <c r="F4700" s="1137"/>
      <c r="G4700" s="646"/>
      <c r="H4700" s="669"/>
      <c r="I4700" s="1137"/>
      <c r="J4700" s="646"/>
      <c r="K4700" s="1138"/>
    </row>
    <row r="4701" spans="1:11" ht="13.8" thickBot="1" x14ac:dyDescent="0.3">
      <c r="A4701" s="1186" t="s">
        <v>956</v>
      </c>
      <c r="B4701" s="1187"/>
      <c r="C4701" s="1188"/>
      <c r="D4701" s="1188"/>
      <c r="E4701" s="1188"/>
      <c r="F4701" s="1188"/>
      <c r="G4701" s="1189"/>
      <c r="H4701" s="1187"/>
      <c r="I4701" s="1188"/>
      <c r="J4701" s="1189"/>
      <c r="K4701" s="716"/>
    </row>
    <row r="4702" spans="1:11" x14ac:dyDescent="0.25">
      <c r="A4702" s="1190">
        <v>1</v>
      </c>
      <c r="B4702" s="745"/>
      <c r="C4702" s="1117"/>
      <c r="D4702" s="1117"/>
      <c r="E4702" s="1117"/>
      <c r="F4702" s="1117"/>
      <c r="G4702" s="632"/>
      <c r="H4702" s="745"/>
      <c r="I4702" s="1117"/>
      <c r="J4702" s="632"/>
      <c r="K4702" s="1118"/>
    </row>
    <row r="4703" spans="1:11" x14ac:dyDescent="0.25">
      <c r="A4703" s="718">
        <v>2</v>
      </c>
      <c r="B4703" s="668"/>
      <c r="C4703" s="721"/>
      <c r="D4703" s="721"/>
      <c r="E4703" s="721"/>
      <c r="F4703" s="721"/>
      <c r="G4703" s="639"/>
      <c r="H4703" s="668"/>
      <c r="I4703" s="721"/>
      <c r="J4703" s="639"/>
      <c r="K4703" s="1124"/>
    </row>
    <row r="4704" spans="1:11" x14ac:dyDescent="0.25">
      <c r="A4704" s="718">
        <v>3</v>
      </c>
      <c r="B4704" s="668"/>
      <c r="C4704" s="721"/>
      <c r="D4704" s="721"/>
      <c r="E4704" s="721"/>
      <c r="F4704" s="721"/>
      <c r="G4704" s="639"/>
      <c r="H4704" s="668"/>
      <c r="I4704" s="721"/>
      <c r="J4704" s="639"/>
      <c r="K4704" s="1124"/>
    </row>
    <row r="4705" spans="1:11" x14ac:dyDescent="0.25">
      <c r="A4705" s="718">
        <v>4</v>
      </c>
      <c r="B4705" s="668"/>
      <c r="C4705" s="721"/>
      <c r="D4705" s="721"/>
      <c r="E4705" s="721"/>
      <c r="F4705" s="721"/>
      <c r="G4705" s="639"/>
      <c r="H4705" s="668"/>
      <c r="I4705" s="721"/>
      <c r="J4705" s="639"/>
      <c r="K4705" s="1124"/>
    </row>
    <row r="4706" spans="1:11" x14ac:dyDescent="0.25">
      <c r="A4706" s="718">
        <v>5</v>
      </c>
      <c r="B4706" s="668"/>
      <c r="C4706" s="721"/>
      <c r="D4706" s="721"/>
      <c r="E4706" s="721"/>
      <c r="F4706" s="721"/>
      <c r="G4706" s="639"/>
      <c r="H4706" s="668"/>
      <c r="I4706" s="721"/>
      <c r="J4706" s="639"/>
      <c r="K4706" s="1124"/>
    </row>
    <row r="4707" spans="1:11" ht="13.8" thickBot="1" x14ac:dyDescent="0.3">
      <c r="A4707" s="719">
        <v>6</v>
      </c>
      <c r="B4707" s="669"/>
      <c r="C4707" s="1137"/>
      <c r="D4707" s="1137"/>
      <c r="E4707" s="1137"/>
      <c r="F4707" s="1137"/>
      <c r="G4707" s="646"/>
      <c r="H4707" s="669"/>
      <c r="I4707" s="1137"/>
      <c r="J4707" s="646"/>
      <c r="K4707" s="1138"/>
    </row>
    <row r="4708" spans="1:11" x14ac:dyDescent="0.25">
      <c r="A4708" s="1190">
        <v>1</v>
      </c>
      <c r="B4708" s="745"/>
      <c r="C4708" s="1117"/>
      <c r="D4708" s="1117"/>
      <c r="E4708" s="1117"/>
      <c r="F4708" s="1117"/>
      <c r="G4708" s="632"/>
      <c r="H4708" s="745"/>
      <c r="I4708" s="1117"/>
      <c r="J4708" s="632"/>
      <c r="K4708" s="1118"/>
    </row>
    <row r="4709" spans="1:11" x14ac:dyDescent="0.25">
      <c r="A4709" s="718">
        <v>2</v>
      </c>
      <c r="B4709" s="668"/>
      <c r="C4709" s="721"/>
      <c r="D4709" s="721"/>
      <c r="E4709" s="721"/>
      <c r="F4709" s="721"/>
      <c r="G4709" s="639"/>
      <c r="H4709" s="668"/>
      <c r="I4709" s="721"/>
      <c r="J4709" s="639"/>
      <c r="K4709" s="1124"/>
    </row>
    <row r="4710" spans="1:11" ht="13.8" thickBot="1" x14ac:dyDescent="0.3">
      <c r="A4710" s="719">
        <v>3</v>
      </c>
      <c r="B4710" s="669"/>
      <c r="C4710" s="1137"/>
      <c r="D4710" s="1137"/>
      <c r="E4710" s="1137"/>
      <c r="F4710" s="1137"/>
      <c r="G4710" s="646"/>
      <c r="H4710" s="669"/>
      <c r="I4710" s="1137"/>
      <c r="J4710" s="646"/>
      <c r="K4710" s="1138"/>
    </row>
    <row r="4711" spans="1:11" ht="13.8" thickBot="1" x14ac:dyDescent="0.3">
      <c r="A4711" s="1186" t="s">
        <v>957</v>
      </c>
      <c r="B4711" s="1187"/>
      <c r="C4711" s="1188"/>
      <c r="D4711" s="1188"/>
      <c r="E4711" s="1188"/>
      <c r="F4711" s="1188"/>
      <c r="G4711" s="1189"/>
      <c r="H4711" s="1187"/>
      <c r="I4711" s="1188"/>
      <c r="J4711" s="1189"/>
      <c r="K4711" s="716"/>
    </row>
    <row r="4712" spans="1:11" x14ac:dyDescent="0.25">
      <c r="A4712" s="1190">
        <v>1</v>
      </c>
      <c r="B4712" s="745"/>
      <c r="C4712" s="1117"/>
      <c r="D4712" s="1117"/>
      <c r="E4712" s="1117"/>
      <c r="F4712" s="1117"/>
      <c r="G4712" s="632"/>
      <c r="H4712" s="745"/>
      <c r="I4712" s="1117"/>
      <c r="J4712" s="632"/>
      <c r="K4712" s="1118"/>
    </row>
    <row r="4713" spans="1:11" x14ac:dyDescent="0.25">
      <c r="A4713" s="718">
        <v>2</v>
      </c>
      <c r="B4713" s="668"/>
      <c r="C4713" s="721"/>
      <c r="D4713" s="721"/>
      <c r="E4713" s="721"/>
      <c r="F4713" s="721"/>
      <c r="G4713" s="639"/>
      <c r="H4713" s="668"/>
      <c r="I4713" s="721"/>
      <c r="J4713" s="639"/>
      <c r="K4713" s="1124"/>
    </row>
    <row r="4714" spans="1:11" x14ac:dyDescent="0.25">
      <c r="A4714" s="718">
        <v>3</v>
      </c>
      <c r="B4714" s="668"/>
      <c r="C4714" s="721"/>
      <c r="D4714" s="721"/>
      <c r="E4714" s="721"/>
      <c r="F4714" s="721"/>
      <c r="G4714" s="639"/>
      <c r="H4714" s="668"/>
      <c r="I4714" s="721"/>
      <c r="J4714" s="639"/>
      <c r="K4714" s="1124"/>
    </row>
    <row r="4715" spans="1:11" x14ac:dyDescent="0.25">
      <c r="A4715" s="718">
        <v>4</v>
      </c>
      <c r="B4715" s="668"/>
      <c r="C4715" s="721"/>
      <c r="D4715" s="721"/>
      <c r="E4715" s="721"/>
      <c r="F4715" s="721"/>
      <c r="G4715" s="639"/>
      <c r="H4715" s="668"/>
      <c r="I4715" s="721"/>
      <c r="J4715" s="639"/>
      <c r="K4715" s="1124"/>
    </row>
    <row r="4716" spans="1:11" x14ac:dyDescent="0.25">
      <c r="A4716" s="718">
        <v>5</v>
      </c>
      <c r="B4716" s="668"/>
      <c r="C4716" s="721"/>
      <c r="D4716" s="721"/>
      <c r="E4716" s="721"/>
      <c r="F4716" s="721"/>
      <c r="G4716" s="639"/>
      <c r="H4716" s="668"/>
      <c r="I4716" s="721"/>
      <c r="J4716" s="639"/>
      <c r="K4716" s="1124"/>
    </row>
    <row r="4717" spans="1:11" ht="13.8" thickBot="1" x14ac:dyDescent="0.3">
      <c r="A4717" s="719">
        <v>6</v>
      </c>
      <c r="B4717" s="669"/>
      <c r="C4717" s="1137"/>
      <c r="D4717" s="1137"/>
      <c r="E4717" s="1137"/>
      <c r="F4717" s="1137"/>
      <c r="G4717" s="646"/>
      <c r="H4717" s="669"/>
      <c r="I4717" s="1137"/>
      <c r="J4717" s="646"/>
      <c r="K4717" s="1138"/>
    </row>
    <row r="4718" spans="1:11" x14ac:dyDescent="0.25">
      <c r="A4718" s="1190">
        <v>1</v>
      </c>
      <c r="B4718" s="745"/>
      <c r="C4718" s="1117"/>
      <c r="D4718" s="1117"/>
      <c r="E4718" s="1117"/>
      <c r="F4718" s="1117"/>
      <c r="G4718" s="632"/>
      <c r="H4718" s="745"/>
      <c r="I4718" s="1117"/>
      <c r="J4718" s="632"/>
      <c r="K4718" s="1118"/>
    </row>
    <row r="4719" spans="1:11" x14ac:dyDescent="0.25">
      <c r="A4719" s="718">
        <v>2</v>
      </c>
      <c r="B4719" s="668"/>
      <c r="C4719" s="721"/>
      <c r="D4719" s="721"/>
      <c r="E4719" s="721"/>
      <c r="F4719" s="721"/>
      <c r="G4719" s="639"/>
      <c r="H4719" s="668"/>
      <c r="I4719" s="721"/>
      <c r="J4719" s="639"/>
      <c r="K4719" s="1124"/>
    </row>
    <row r="4720" spans="1:11" ht="13.8" thickBot="1" x14ac:dyDescent="0.3">
      <c r="A4720" s="719">
        <v>3</v>
      </c>
      <c r="B4720" s="669"/>
      <c r="C4720" s="1137"/>
      <c r="D4720" s="1137"/>
      <c r="E4720" s="1137"/>
      <c r="F4720" s="1137"/>
      <c r="G4720" s="646"/>
      <c r="H4720" s="669"/>
      <c r="I4720" s="1137"/>
      <c r="J4720" s="646"/>
      <c r="K4720" s="1138"/>
    </row>
    <row r="4721" spans="1:11" ht="13.8" thickBot="1" x14ac:dyDescent="0.3">
      <c r="A4721" s="1186" t="s">
        <v>958</v>
      </c>
      <c r="B4721" s="1187"/>
      <c r="C4721" s="1188"/>
      <c r="D4721" s="1188"/>
      <c r="E4721" s="1188"/>
      <c r="F4721" s="1188"/>
      <c r="G4721" s="1189"/>
      <c r="H4721" s="1187"/>
      <c r="I4721" s="1188"/>
      <c r="J4721" s="1189"/>
      <c r="K4721" s="716"/>
    </row>
    <row r="4722" spans="1:11" x14ac:dyDescent="0.25">
      <c r="A4722" s="1190">
        <v>1</v>
      </c>
      <c r="B4722" s="745"/>
      <c r="C4722" s="1117"/>
      <c r="D4722" s="1117"/>
      <c r="E4722" s="1117"/>
      <c r="F4722" s="1117"/>
      <c r="G4722" s="632"/>
      <c r="H4722" s="745"/>
      <c r="I4722" s="1117"/>
      <c r="J4722" s="632"/>
      <c r="K4722" s="1118"/>
    </row>
    <row r="4723" spans="1:11" x14ac:dyDescent="0.25">
      <c r="A4723" s="718">
        <v>2</v>
      </c>
      <c r="B4723" s="668"/>
      <c r="C4723" s="721"/>
      <c r="D4723" s="721"/>
      <c r="E4723" s="721"/>
      <c r="F4723" s="721"/>
      <c r="G4723" s="639"/>
      <c r="H4723" s="668"/>
      <c r="I4723" s="721"/>
      <c r="J4723" s="639"/>
      <c r="K4723" s="1124"/>
    </row>
    <row r="4724" spans="1:11" x14ac:dyDescent="0.25">
      <c r="A4724" s="718">
        <v>3</v>
      </c>
      <c r="B4724" s="668"/>
      <c r="C4724" s="721"/>
      <c r="D4724" s="721"/>
      <c r="E4724" s="721"/>
      <c r="F4724" s="721"/>
      <c r="G4724" s="639"/>
      <c r="H4724" s="668"/>
      <c r="I4724" s="721"/>
      <c r="J4724" s="639"/>
      <c r="K4724" s="1124"/>
    </row>
    <row r="4725" spans="1:11" x14ac:dyDescent="0.25">
      <c r="A4725" s="718">
        <v>4</v>
      </c>
      <c r="B4725" s="668"/>
      <c r="C4725" s="721"/>
      <c r="D4725" s="721"/>
      <c r="E4725" s="721"/>
      <c r="F4725" s="721"/>
      <c r="G4725" s="639"/>
      <c r="H4725" s="668"/>
      <c r="I4725" s="721"/>
      <c r="J4725" s="639"/>
      <c r="K4725" s="1124"/>
    </row>
    <row r="4726" spans="1:11" x14ac:dyDescent="0.25">
      <c r="A4726" s="718">
        <v>5</v>
      </c>
      <c r="B4726" s="668"/>
      <c r="C4726" s="721"/>
      <c r="D4726" s="721"/>
      <c r="E4726" s="721"/>
      <c r="F4726" s="721"/>
      <c r="G4726" s="639"/>
      <c r="H4726" s="668"/>
      <c r="I4726" s="721"/>
      <c r="J4726" s="639"/>
      <c r="K4726" s="1124"/>
    </row>
    <row r="4727" spans="1:11" ht="13.8" thickBot="1" x14ac:dyDescent="0.3">
      <c r="A4727" s="719">
        <v>6</v>
      </c>
      <c r="B4727" s="669"/>
      <c r="C4727" s="1137"/>
      <c r="D4727" s="1137"/>
      <c r="E4727" s="1137"/>
      <c r="F4727" s="1137"/>
      <c r="G4727" s="646"/>
      <c r="H4727" s="669"/>
      <c r="I4727" s="1137"/>
      <c r="J4727" s="646"/>
      <c r="K4727" s="1138"/>
    </row>
    <row r="4728" spans="1:11" x14ac:dyDescent="0.25">
      <c r="A4728" s="1190">
        <v>1</v>
      </c>
      <c r="B4728" s="745"/>
      <c r="C4728" s="1117"/>
      <c r="D4728" s="1117"/>
      <c r="E4728" s="1117"/>
      <c r="F4728" s="1117"/>
      <c r="G4728" s="632"/>
      <c r="H4728" s="745"/>
      <c r="I4728" s="1117"/>
      <c r="J4728" s="632"/>
      <c r="K4728" s="1118"/>
    </row>
    <row r="4729" spans="1:11" x14ac:dyDescent="0.25">
      <c r="A4729" s="718">
        <v>2</v>
      </c>
      <c r="B4729" s="668"/>
      <c r="C4729" s="721"/>
      <c r="D4729" s="721"/>
      <c r="E4729" s="721"/>
      <c r="F4729" s="721"/>
      <c r="G4729" s="639"/>
      <c r="H4729" s="668"/>
      <c r="I4729" s="721"/>
      <c r="J4729" s="639"/>
      <c r="K4729" s="1124"/>
    </row>
    <row r="4730" spans="1:11" x14ac:dyDescent="0.25">
      <c r="A4730" s="1191">
        <v>3</v>
      </c>
      <c r="B4730" s="1132"/>
      <c r="C4730" s="1133"/>
      <c r="D4730" s="1133"/>
      <c r="E4730" s="1133"/>
      <c r="F4730" s="1133"/>
      <c r="G4730" s="1134"/>
      <c r="H4730" s="1132"/>
      <c r="I4730" s="1133"/>
      <c r="J4730" s="1134"/>
      <c r="K4730" s="1147"/>
    </row>
  </sheetData>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Tabelle26"/>
  <dimension ref="B2:P30"/>
  <sheetViews>
    <sheetView showGridLines="0" zoomScale="120" zoomScaleNormal="120" workbookViewId="0">
      <selection activeCell="D19" sqref="D19"/>
    </sheetView>
  </sheetViews>
  <sheetFormatPr defaultColWidth="11.44140625" defaultRowHeight="13.2" x14ac:dyDescent="0.25"/>
  <cols>
    <col min="1" max="2" width="6.5546875" style="1" customWidth="1"/>
    <col min="3" max="9" width="11.44140625" style="1"/>
    <col min="10" max="10" width="12.44140625" style="1" bestFit="1" customWidth="1"/>
    <col min="11" max="16384" width="11.44140625" style="1"/>
  </cols>
  <sheetData>
    <row r="2" spans="2:14" x14ac:dyDescent="0.25">
      <c r="B2" s="1" t="s">
        <v>1262</v>
      </c>
    </row>
    <row r="7" spans="2:14" ht="15.6" x14ac:dyDescent="0.3">
      <c r="B7" s="1217" t="s">
        <v>1256</v>
      </c>
    </row>
    <row r="8" spans="2:14" x14ac:dyDescent="0.25">
      <c r="C8" s="1218"/>
      <c r="D8" s="1218"/>
      <c r="E8" s="1218"/>
    </row>
    <row r="9" spans="2:14" x14ac:dyDescent="0.25">
      <c r="B9" s="1" t="s">
        <v>1257</v>
      </c>
    </row>
    <row r="11" spans="2:14" ht="27" customHeight="1" x14ac:dyDescent="0.25">
      <c r="B11" s="1399" t="s">
        <v>1259</v>
      </c>
      <c r="C11" s="1399"/>
      <c r="D11" s="1399"/>
      <c r="E11" s="1399"/>
      <c r="F11" s="1399"/>
      <c r="G11" s="1399"/>
      <c r="H11" s="1399"/>
    </row>
    <row r="12" spans="2:14" ht="108.75" customHeight="1" x14ac:dyDescent="0.25">
      <c r="C12" s="1400" t="s">
        <v>1258</v>
      </c>
      <c r="D12" s="1400"/>
      <c r="E12" s="1400"/>
      <c r="F12" s="1400"/>
      <c r="G12" s="1400"/>
      <c r="H12" s="1400"/>
      <c r="I12" s="1400"/>
      <c r="N12" s="1214"/>
    </row>
    <row r="13" spans="2:14" ht="26.25" customHeight="1" x14ac:dyDescent="0.25">
      <c r="C13" s="1400"/>
      <c r="D13" s="1400"/>
      <c r="E13" s="1400"/>
      <c r="F13" s="1400"/>
      <c r="G13" s="1400"/>
      <c r="H13" s="1400"/>
      <c r="N13" s="1214"/>
    </row>
    <row r="17" spans="4:16" x14ac:dyDescent="0.25">
      <c r="N17" s="1214"/>
    </row>
    <row r="20" spans="4:16" x14ac:dyDescent="0.25">
      <c r="J20" s="2"/>
    </row>
    <row r="22" spans="4:16" x14ac:dyDescent="0.25">
      <c r="D22" s="1" t="s">
        <v>0</v>
      </c>
    </row>
    <row r="25" spans="4:16" x14ac:dyDescent="0.25">
      <c r="H25" s="1" t="s">
        <v>1</v>
      </c>
    </row>
    <row r="28" spans="4:16" x14ac:dyDescent="0.25">
      <c r="P28" s="3"/>
    </row>
    <row r="30" spans="4:16" x14ac:dyDescent="0.25">
      <c r="P30" s="3"/>
    </row>
  </sheetData>
  <mergeCells count="3">
    <mergeCell ref="B11:H11"/>
    <mergeCell ref="C13:H13"/>
    <mergeCell ref="C12:I12"/>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6" r:id="rId4" name="Button 4">
              <controlPr defaultSize="0" autoFill="0" autoPict="0" macro="[0]!MachWeiterMitStiff">
                <anchor moveWithCells="1" sizeWithCells="1">
                  <from>
                    <xdr:col>2</xdr:col>
                    <xdr:colOff>701040</xdr:colOff>
                    <xdr:row>16</xdr:row>
                    <xdr:rowOff>76200</xdr:rowOff>
                  </from>
                  <to>
                    <xdr:col>4</xdr:col>
                    <xdr:colOff>320040</xdr:colOff>
                    <xdr:row>17</xdr:row>
                    <xdr:rowOff>137160</xdr:rowOff>
                  </to>
                </anchor>
              </controlPr>
            </control>
          </mc:Choice>
        </mc:AlternateContent>
        <mc:AlternateContent xmlns:mc="http://schemas.openxmlformats.org/markup-compatibility/2006">
          <mc:Choice Requires="x14">
            <control shapeId="13317" r:id="rId5" name="Button 5">
              <controlPr defaultSize="0" autoFill="0" autoPict="0" macro="[0]!MachWeiterUndSchalteMeldungAb">
                <anchor moveWithCells="1" sizeWithCells="1">
                  <from>
                    <xdr:col>2</xdr:col>
                    <xdr:colOff>701040</xdr:colOff>
                    <xdr:row>19</xdr:row>
                    <xdr:rowOff>0</xdr:rowOff>
                  </from>
                  <to>
                    <xdr:col>4</xdr:col>
                    <xdr:colOff>320040</xdr:colOff>
                    <xdr:row>21</xdr:row>
                    <xdr:rowOff>114300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Tabelle24"/>
  <dimension ref="A1:F45"/>
  <sheetViews>
    <sheetView showRowColHeaders="0" workbookViewId="0"/>
  </sheetViews>
  <sheetFormatPr defaultColWidth="11.44140625" defaultRowHeight="13.2" x14ac:dyDescent="0.25"/>
  <cols>
    <col min="1" max="1" width="16.5546875" style="41" bestFit="1" customWidth="1"/>
    <col min="2" max="2" width="17" style="41" customWidth="1"/>
    <col min="3" max="3" width="9.44140625" style="41" customWidth="1"/>
    <col min="4" max="4" width="11.44140625" style="41"/>
    <col min="5" max="5" width="6.5546875" style="41" customWidth="1"/>
    <col min="6" max="16384" width="11.44140625" style="41"/>
  </cols>
  <sheetData>
    <row r="1" spans="1:6" ht="15" thickBot="1" x14ac:dyDescent="0.35">
      <c r="A1" s="1401" t="s">
        <v>959</v>
      </c>
      <c r="B1" s="1402" t="s">
        <v>960</v>
      </c>
      <c r="D1" s="41" t="s">
        <v>960</v>
      </c>
      <c r="F1" s="602"/>
    </row>
    <row r="2" spans="1:6" ht="14.4" x14ac:dyDescent="0.3">
      <c r="A2" s="1403" t="s">
        <v>961</v>
      </c>
      <c r="B2" s="1404"/>
      <c r="D2" s="41" t="s">
        <v>962</v>
      </c>
    </row>
    <row r="3" spans="1:6" ht="14.4" x14ac:dyDescent="0.3">
      <c r="A3" s="1405" t="s">
        <v>963</v>
      </c>
      <c r="B3" s="1406">
        <v>-500</v>
      </c>
      <c r="D3" s="41" t="s">
        <v>964</v>
      </c>
    </row>
    <row r="4" spans="1:6" ht="14.4" x14ac:dyDescent="0.3">
      <c r="A4" s="1405" t="s">
        <v>965</v>
      </c>
      <c r="B4" s="1406">
        <v>500</v>
      </c>
      <c r="D4" s="41" t="s">
        <v>54</v>
      </c>
    </row>
    <row r="5" spans="1:6" ht="14.4" x14ac:dyDescent="0.3">
      <c r="A5" s="1405" t="s">
        <v>966</v>
      </c>
      <c r="B5" s="1406">
        <v>-260</v>
      </c>
      <c r="D5" s="41" t="s">
        <v>967</v>
      </c>
    </row>
    <row r="6" spans="1:6" ht="15" thickBot="1" x14ac:dyDescent="0.35">
      <c r="A6" s="1407" t="s">
        <v>968</v>
      </c>
      <c r="B6" s="1408">
        <v>260</v>
      </c>
      <c r="D6" s="41" t="s">
        <v>969</v>
      </c>
    </row>
    <row r="7" spans="1:6" ht="14.4" x14ac:dyDescent="0.3">
      <c r="A7" s="1403" t="s">
        <v>970</v>
      </c>
      <c r="B7" s="1404"/>
    </row>
    <row r="8" spans="1:6" ht="14.4" x14ac:dyDescent="0.3">
      <c r="A8" s="1405" t="s">
        <v>465</v>
      </c>
      <c r="B8" s="1406">
        <v>10</v>
      </c>
    </row>
    <row r="9" spans="1:6" ht="15" thickBot="1" x14ac:dyDescent="0.35">
      <c r="A9" s="1407" t="s">
        <v>971</v>
      </c>
      <c r="B9" s="1408">
        <v>10</v>
      </c>
    </row>
    <row r="10" spans="1:6" ht="14.4" x14ac:dyDescent="0.3">
      <c r="A10" s="1403" t="s">
        <v>972</v>
      </c>
      <c r="B10" s="1404"/>
    </row>
    <row r="11" spans="1:6" ht="14.4" x14ac:dyDescent="0.3">
      <c r="A11" s="1405" t="s">
        <v>84</v>
      </c>
      <c r="B11" s="1406">
        <v>1</v>
      </c>
    </row>
    <row r="12" spans="1:6" ht="14.4" x14ac:dyDescent="0.3">
      <c r="A12" s="1405" t="s">
        <v>973</v>
      </c>
      <c r="B12" s="1406">
        <v>0</v>
      </c>
    </row>
    <row r="13" spans="1:6" ht="14.4" x14ac:dyDescent="0.3">
      <c r="A13" s="1405" t="s">
        <v>974</v>
      </c>
      <c r="B13" s="1406">
        <v>1.0000000000000001E-5</v>
      </c>
    </row>
    <row r="14" spans="1:6" ht="14.4" x14ac:dyDescent="0.3">
      <c r="A14" s="1405" t="s">
        <v>975</v>
      </c>
      <c r="B14" s="1406">
        <v>100</v>
      </c>
    </row>
    <row r="15" spans="1:6" ht="14.4" x14ac:dyDescent="0.3">
      <c r="A15" s="1405" t="s">
        <v>976</v>
      </c>
      <c r="B15" s="1406">
        <v>1.0000000000000001E-5</v>
      </c>
    </row>
    <row r="16" spans="1:6" ht="15" thickBot="1" x14ac:dyDescent="0.35">
      <c r="A16" s="1407" t="s">
        <v>977</v>
      </c>
      <c r="B16" s="1408">
        <v>100</v>
      </c>
    </row>
    <row r="17" spans="1:2" ht="14.4" x14ac:dyDescent="0.3">
      <c r="A17" s="1403" t="s">
        <v>978</v>
      </c>
      <c r="B17" s="1404"/>
    </row>
    <row r="18" spans="1:2" ht="14.4" x14ac:dyDescent="0.3">
      <c r="A18" s="1405" t="s">
        <v>979</v>
      </c>
      <c r="B18" s="1406">
        <v>9.4164858493613792</v>
      </c>
    </row>
    <row r="19" spans="1:2" ht="14.4" x14ac:dyDescent="0.3">
      <c r="A19" s="1405" t="s">
        <v>980</v>
      </c>
      <c r="B19" s="1406">
        <v>1.6666666004392863</v>
      </c>
    </row>
    <row r="20" spans="1:2" ht="14.4" x14ac:dyDescent="0.3">
      <c r="A20" s="1405" t="s">
        <v>25</v>
      </c>
      <c r="B20" s="1406">
        <v>-19.250033924975583</v>
      </c>
    </row>
    <row r="21" spans="1:2" ht="15" thickBot="1" x14ac:dyDescent="0.35">
      <c r="A21" s="1407" t="s">
        <v>981</v>
      </c>
      <c r="B21" s="1408">
        <v>1.6666666004392863</v>
      </c>
    </row>
    <row r="22" spans="1:2" ht="14.4" x14ac:dyDescent="0.3">
      <c r="A22" s="1403" t="s">
        <v>982</v>
      </c>
      <c r="B22" s="1404"/>
    </row>
    <row r="23" spans="1:2" ht="14.4" x14ac:dyDescent="0.3">
      <c r="A23" s="1405" t="s">
        <v>983</v>
      </c>
      <c r="B23" s="1406" t="b">
        <v>1</v>
      </c>
    </row>
    <row r="24" spans="1:2" ht="14.4" x14ac:dyDescent="0.3">
      <c r="A24" s="1405" t="s">
        <v>984</v>
      </c>
      <c r="B24" s="1406" t="b">
        <v>0</v>
      </c>
    </row>
    <row r="25" spans="1:2" ht="14.4" x14ac:dyDescent="0.3">
      <c r="A25" s="1405" t="s">
        <v>985</v>
      </c>
      <c r="B25" s="1406" t="b">
        <v>0</v>
      </c>
    </row>
    <row r="26" spans="1:2" ht="14.4" x14ac:dyDescent="0.3">
      <c r="A26" s="1405" t="s">
        <v>986</v>
      </c>
      <c r="B26" s="1406" t="b">
        <v>1</v>
      </c>
    </row>
    <row r="27" spans="1:2" ht="14.4" x14ac:dyDescent="0.3">
      <c r="A27" s="1405" t="s">
        <v>987</v>
      </c>
      <c r="B27" s="1406" t="b">
        <v>1</v>
      </c>
    </row>
    <row r="28" spans="1:2" ht="14.4" x14ac:dyDescent="0.3">
      <c r="A28" s="1405" t="s">
        <v>988</v>
      </c>
      <c r="B28" s="1406" t="b">
        <v>0</v>
      </c>
    </row>
    <row r="29" spans="1:2" ht="14.4" x14ac:dyDescent="0.3">
      <c r="A29" s="1405" t="s">
        <v>989</v>
      </c>
      <c r="B29" s="1406">
        <v>1</v>
      </c>
    </row>
    <row r="30" spans="1:2" ht="14.4" x14ac:dyDescent="0.3">
      <c r="A30" s="1405" t="s">
        <v>990</v>
      </c>
      <c r="B30" s="1406">
        <v>1</v>
      </c>
    </row>
    <row r="31" spans="1:2" ht="14.4" x14ac:dyDescent="0.3">
      <c r="A31" s="1405" t="s">
        <v>991</v>
      </c>
      <c r="B31" s="1406">
        <v>1</v>
      </c>
    </row>
    <row r="32" spans="1:2" ht="14.4" x14ac:dyDescent="0.3">
      <c r="A32" s="1405" t="s">
        <v>992</v>
      </c>
      <c r="B32" s="1406">
        <v>36</v>
      </c>
    </row>
    <row r="33" spans="1:4" ht="14.4" x14ac:dyDescent="0.3">
      <c r="A33" s="1405" t="s">
        <v>993</v>
      </c>
      <c r="B33" s="1406">
        <v>0</v>
      </c>
    </row>
    <row r="34" spans="1:4" ht="15" thickBot="1" x14ac:dyDescent="0.35">
      <c r="A34" s="1407" t="s">
        <v>14</v>
      </c>
      <c r="B34" s="1408" t="b">
        <v>0</v>
      </c>
    </row>
    <row r="35" spans="1:4" ht="14.4" x14ac:dyDescent="0.3">
      <c r="A35" s="1403" t="s">
        <v>994</v>
      </c>
      <c r="B35" s="1404" t="s">
        <v>1260</v>
      </c>
    </row>
    <row r="36" spans="1:4" ht="14.4" x14ac:dyDescent="0.3">
      <c r="A36" s="1405" t="s">
        <v>995</v>
      </c>
      <c r="B36" s="1406">
        <v>1.7569200992584229</v>
      </c>
    </row>
    <row r="37" spans="1:4" ht="14.4" x14ac:dyDescent="0.3">
      <c r="A37" s="1405" t="s">
        <v>996</v>
      </c>
      <c r="B37" s="1406"/>
    </row>
    <row r="38" spans="1:4" ht="14.4" x14ac:dyDescent="0.3">
      <c r="A38" s="1405" t="s">
        <v>997</v>
      </c>
      <c r="B38" s="1406" t="s">
        <v>1261</v>
      </c>
      <c r="D38" s="41" t="s">
        <v>1261</v>
      </c>
    </row>
    <row r="39" spans="1:4" ht="14.4" x14ac:dyDescent="0.3">
      <c r="A39" s="1405" t="s">
        <v>998</v>
      </c>
      <c r="B39" s="1406">
        <v>0.5</v>
      </c>
    </row>
    <row r="40" spans="1:4" ht="14.4" x14ac:dyDescent="0.3">
      <c r="A40" s="1405" t="s">
        <v>999</v>
      </c>
      <c r="B40" s="1406">
        <v>0</v>
      </c>
    </row>
    <row r="41" spans="1:4" ht="14.4" x14ac:dyDescent="0.3">
      <c r="A41" s="1405" t="s">
        <v>1000</v>
      </c>
      <c r="B41" s="1406">
        <v>1</v>
      </c>
    </row>
    <row r="42" spans="1:4" ht="14.4" x14ac:dyDescent="0.3">
      <c r="A42" s="1405" t="s">
        <v>1250</v>
      </c>
      <c r="B42" s="1406">
        <v>1</v>
      </c>
    </row>
    <row r="43" spans="1:4" ht="14.4" x14ac:dyDescent="0.3">
      <c r="A43" s="1405" t="s">
        <v>1001</v>
      </c>
      <c r="B43" s="1406">
        <v>0</v>
      </c>
    </row>
    <row r="44" spans="1:4" ht="14.4" x14ac:dyDescent="0.3">
      <c r="A44" s="1405" t="s">
        <v>1002</v>
      </c>
      <c r="B44" s="1406">
        <v>1</v>
      </c>
    </row>
    <row r="45" spans="1:4" ht="15" thickBot="1" x14ac:dyDescent="0.35">
      <c r="A45" s="1407" t="s">
        <v>1003</v>
      </c>
      <c r="B45" s="1408">
        <v>1</v>
      </c>
    </row>
  </sheetData>
  <pageMargins left="0.7" right="0.7" top="0.78740157499999996" bottom="0.78740157499999996"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Tabelle25"/>
  <dimension ref="A1:E109"/>
  <sheetViews>
    <sheetView topLeftCell="A85" workbookViewId="0">
      <selection activeCell="E112" sqref="E112"/>
    </sheetView>
  </sheetViews>
  <sheetFormatPr defaultColWidth="11.44140625" defaultRowHeight="13.2" x14ac:dyDescent="0.25"/>
  <cols>
    <col min="1" max="1" width="11.44140625" style="1192"/>
    <col min="2" max="2" width="11.44140625" style="1193"/>
    <col min="3" max="3" width="15.44140625" style="41" customWidth="1"/>
    <col min="4" max="4" width="43.44140625" style="41" bestFit="1" customWidth="1"/>
    <col min="5" max="5" width="91.6640625" style="41" customWidth="1"/>
    <col min="6" max="16384" width="11.44140625" style="41"/>
  </cols>
  <sheetData>
    <row r="1" spans="1:5" x14ac:dyDescent="0.25">
      <c r="C1" s="1192"/>
      <c r="D1" s="1192"/>
      <c r="E1" s="1192"/>
    </row>
    <row r="2" spans="1:5" s="153" customFormat="1" x14ac:dyDescent="0.25">
      <c r="A2" s="1194" t="s">
        <v>1004</v>
      </c>
      <c r="B2" s="1195" t="s">
        <v>1005</v>
      </c>
      <c r="C2" s="1194" t="s">
        <v>1006</v>
      </c>
      <c r="D2" s="1194" t="s">
        <v>1007</v>
      </c>
      <c r="E2" s="1194" t="s">
        <v>1008</v>
      </c>
    </row>
    <row r="3" spans="1:5" x14ac:dyDescent="0.25">
      <c r="A3" s="1196">
        <v>41193</v>
      </c>
      <c r="C3" s="1192" t="s">
        <v>1009</v>
      </c>
      <c r="D3" s="1192" t="s">
        <v>1010</v>
      </c>
      <c r="E3" s="1192" t="s">
        <v>1011</v>
      </c>
    </row>
    <row r="4" spans="1:5" ht="25.5" customHeight="1" x14ac:dyDescent="0.25">
      <c r="A4" s="1196">
        <v>41199</v>
      </c>
      <c r="C4" s="1192" t="s">
        <v>1012</v>
      </c>
      <c r="D4" s="1197" t="s">
        <v>1013</v>
      </c>
      <c r="E4" s="1192" t="s">
        <v>1014</v>
      </c>
    </row>
    <row r="5" spans="1:5" x14ac:dyDescent="0.25">
      <c r="A5" s="1196">
        <v>41201</v>
      </c>
      <c r="C5" s="1192" t="s">
        <v>1012</v>
      </c>
      <c r="D5" s="1192" t="s">
        <v>1015</v>
      </c>
      <c r="E5" s="1192" t="s">
        <v>1016</v>
      </c>
    </row>
    <row r="6" spans="1:5" x14ac:dyDescent="0.25">
      <c r="A6" s="1196">
        <v>41201</v>
      </c>
      <c r="C6" s="1192" t="s">
        <v>1012</v>
      </c>
      <c r="D6" s="1192" t="s">
        <v>1017</v>
      </c>
      <c r="E6" s="1192" t="s">
        <v>1016</v>
      </c>
    </row>
    <row r="7" spans="1:5" x14ac:dyDescent="0.25">
      <c r="A7" s="1196">
        <v>41204</v>
      </c>
      <c r="C7" s="1192" t="s">
        <v>1018</v>
      </c>
      <c r="D7" s="1192" t="s">
        <v>1019</v>
      </c>
      <c r="E7" s="1192" t="s">
        <v>1020</v>
      </c>
    </row>
    <row r="8" spans="1:5" x14ac:dyDescent="0.25">
      <c r="A8" s="1196">
        <v>41244</v>
      </c>
      <c r="C8" s="1192" t="s">
        <v>1012</v>
      </c>
      <c r="D8" s="1192" t="s">
        <v>1015</v>
      </c>
      <c r="E8" s="1192" t="s">
        <v>1021</v>
      </c>
    </row>
    <row r="9" spans="1:5" x14ac:dyDescent="0.25">
      <c r="A9" s="1196">
        <v>41245</v>
      </c>
      <c r="C9" s="1192" t="s">
        <v>1012</v>
      </c>
      <c r="D9" s="1192" t="s">
        <v>1022</v>
      </c>
      <c r="E9" s="1192" t="s">
        <v>1023</v>
      </c>
    </row>
    <row r="10" spans="1:5" x14ac:dyDescent="0.25">
      <c r="A10" s="1196">
        <v>41263</v>
      </c>
      <c r="C10" s="1192" t="s">
        <v>1012</v>
      </c>
      <c r="D10" s="1192" t="s">
        <v>1024</v>
      </c>
      <c r="E10" s="1192" t="s">
        <v>1025</v>
      </c>
    </row>
    <row r="11" spans="1:5" x14ac:dyDescent="0.25">
      <c r="A11" s="1196">
        <v>41276</v>
      </c>
      <c r="C11" s="1192" t="s">
        <v>1009</v>
      </c>
      <c r="D11" s="1192" t="s">
        <v>1026</v>
      </c>
      <c r="E11" s="1192" t="s">
        <v>1027</v>
      </c>
    </row>
    <row r="12" spans="1:5" x14ac:dyDescent="0.25">
      <c r="A12" s="1196">
        <v>41296</v>
      </c>
      <c r="C12" s="1192" t="s">
        <v>1012</v>
      </c>
      <c r="D12" s="1192" t="s">
        <v>1028</v>
      </c>
      <c r="E12" s="1192" t="s">
        <v>1029</v>
      </c>
    </row>
    <row r="13" spans="1:5" x14ac:dyDescent="0.25">
      <c r="A13" s="1196">
        <v>41304</v>
      </c>
      <c r="C13" s="1192" t="s">
        <v>1012</v>
      </c>
      <c r="D13" s="1192" t="s">
        <v>1030</v>
      </c>
      <c r="E13" s="1192" t="s">
        <v>1031</v>
      </c>
    </row>
    <row r="14" spans="1:5" ht="39.6" x14ac:dyDescent="0.25">
      <c r="A14" s="1196">
        <v>41948</v>
      </c>
      <c r="C14" s="1197" t="s">
        <v>1032</v>
      </c>
      <c r="D14" s="1192" t="s">
        <v>1033</v>
      </c>
      <c r="E14" s="1197" t="s">
        <v>1034</v>
      </c>
    </row>
    <row r="15" spans="1:5" ht="66" x14ac:dyDescent="0.25">
      <c r="A15" s="1196">
        <v>42402</v>
      </c>
      <c r="C15" s="1197" t="s">
        <v>1035</v>
      </c>
      <c r="D15" s="1192" t="s">
        <v>1036</v>
      </c>
      <c r="E15" s="1197" t="s">
        <v>1037</v>
      </c>
    </row>
    <row r="16" spans="1:5" x14ac:dyDescent="0.25">
      <c r="A16" s="1196">
        <v>42481</v>
      </c>
      <c r="C16" s="1192" t="s">
        <v>1009</v>
      </c>
      <c r="D16" s="1192" t="s">
        <v>1038</v>
      </c>
      <c r="E16" s="1192" t="s">
        <v>1039</v>
      </c>
    </row>
    <row r="17" spans="1:5" x14ac:dyDescent="0.25">
      <c r="A17" s="1196">
        <v>42517</v>
      </c>
      <c r="C17" s="1192" t="s">
        <v>1040</v>
      </c>
      <c r="D17" s="1192" t="s">
        <v>1041</v>
      </c>
      <c r="E17" s="1192" t="s">
        <v>1042</v>
      </c>
    </row>
    <row r="18" spans="1:5" ht="52.8" x14ac:dyDescent="0.25">
      <c r="A18" s="1196">
        <v>42517</v>
      </c>
      <c r="C18" s="1192" t="s">
        <v>1040</v>
      </c>
      <c r="D18" s="1192" t="s">
        <v>1041</v>
      </c>
      <c r="E18" s="1197" t="s">
        <v>1043</v>
      </c>
    </row>
    <row r="19" spans="1:5" x14ac:dyDescent="0.25">
      <c r="A19" s="1196">
        <v>42517</v>
      </c>
      <c r="C19" s="1192" t="s">
        <v>1040</v>
      </c>
      <c r="D19" s="1192" t="s">
        <v>1041</v>
      </c>
      <c r="E19" s="1197" t="s">
        <v>1044</v>
      </c>
    </row>
    <row r="20" spans="1:5" x14ac:dyDescent="0.25">
      <c r="A20" s="1196">
        <v>42578</v>
      </c>
      <c r="C20" s="1192" t="s">
        <v>1009</v>
      </c>
      <c r="D20" s="1192" t="s">
        <v>1045</v>
      </c>
      <c r="E20" s="1197" t="s">
        <v>1046</v>
      </c>
    </row>
    <row r="21" spans="1:5" ht="39.6" x14ac:dyDescent="0.25">
      <c r="A21" s="1196">
        <v>42661</v>
      </c>
      <c r="C21" s="1197" t="s">
        <v>1047</v>
      </c>
      <c r="D21" s="1192" t="s">
        <v>1048</v>
      </c>
      <c r="E21" s="1197" t="s">
        <v>1049</v>
      </c>
    </row>
    <row r="22" spans="1:5" x14ac:dyDescent="0.25">
      <c r="A22" s="1196">
        <v>42681</v>
      </c>
      <c r="C22" s="1192" t="s">
        <v>1009</v>
      </c>
      <c r="D22" s="1192" t="s">
        <v>1050</v>
      </c>
      <c r="E22" s="1197" t="s">
        <v>1051</v>
      </c>
    </row>
    <row r="23" spans="1:5" x14ac:dyDescent="0.25">
      <c r="A23" s="1196">
        <v>42685</v>
      </c>
      <c r="C23" s="1192" t="s">
        <v>1009</v>
      </c>
      <c r="D23" s="1192" t="s">
        <v>1052</v>
      </c>
      <c r="E23" s="1197" t="s">
        <v>1053</v>
      </c>
    </row>
    <row r="24" spans="1:5" ht="26.4" x14ac:dyDescent="0.25">
      <c r="A24" s="1196">
        <v>42696</v>
      </c>
      <c r="C24" s="1192" t="s">
        <v>1009</v>
      </c>
      <c r="D24" s="1192" t="s">
        <v>1054</v>
      </c>
      <c r="E24" s="1197" t="s">
        <v>1055</v>
      </c>
    </row>
    <row r="25" spans="1:5" ht="26.4" x14ac:dyDescent="0.25">
      <c r="A25" s="1196">
        <v>42702</v>
      </c>
      <c r="C25" s="1192" t="s">
        <v>1009</v>
      </c>
      <c r="D25" s="1192" t="s">
        <v>1056</v>
      </c>
      <c r="E25" s="1197" t="s">
        <v>1057</v>
      </c>
    </row>
    <row r="26" spans="1:5" ht="26.4" x14ac:dyDescent="0.25">
      <c r="A26" s="1196">
        <v>42713</v>
      </c>
      <c r="C26" s="1192" t="s">
        <v>1009</v>
      </c>
      <c r="D26" s="1192" t="s">
        <v>1058</v>
      </c>
      <c r="E26" s="1197" t="s">
        <v>1059</v>
      </c>
    </row>
    <row r="27" spans="1:5" ht="26.4" x14ac:dyDescent="0.25">
      <c r="A27" s="1196">
        <v>42755</v>
      </c>
      <c r="C27" s="1192" t="s">
        <v>1009</v>
      </c>
      <c r="D27" s="1192" t="s">
        <v>1060</v>
      </c>
      <c r="E27" s="1197" t="s">
        <v>1061</v>
      </c>
    </row>
    <row r="28" spans="1:5" x14ac:dyDescent="0.25">
      <c r="A28" s="1196">
        <v>42837</v>
      </c>
      <c r="C28" s="1192" t="s">
        <v>1040</v>
      </c>
      <c r="D28" s="1192" t="s">
        <v>1062</v>
      </c>
      <c r="E28" s="1197" t="s">
        <v>1063</v>
      </c>
    </row>
    <row r="29" spans="1:5" x14ac:dyDescent="0.25">
      <c r="A29" s="1196">
        <v>42844</v>
      </c>
      <c r="C29" s="1192" t="s">
        <v>1040</v>
      </c>
      <c r="D29" s="1192" t="s">
        <v>1064</v>
      </c>
      <c r="E29" s="1197" t="s">
        <v>1065</v>
      </c>
    </row>
    <row r="30" spans="1:5" x14ac:dyDescent="0.25">
      <c r="A30" s="1196">
        <v>42847</v>
      </c>
      <c r="C30" s="1192" t="s">
        <v>1040</v>
      </c>
      <c r="D30" s="1192" t="s">
        <v>1064</v>
      </c>
      <c r="E30" s="1197" t="s">
        <v>1066</v>
      </c>
    </row>
    <row r="31" spans="1:5" x14ac:dyDescent="0.25">
      <c r="A31" s="1196">
        <v>42859</v>
      </c>
      <c r="C31" s="1192" t="s">
        <v>1040</v>
      </c>
      <c r="D31" s="1192" t="s">
        <v>1067</v>
      </c>
      <c r="E31" s="1197" t="s">
        <v>1068</v>
      </c>
    </row>
    <row r="32" spans="1:5" x14ac:dyDescent="0.25">
      <c r="A32" s="1196">
        <v>42866</v>
      </c>
      <c r="C32" s="1192" t="s">
        <v>1040</v>
      </c>
      <c r="D32" s="1192" t="s">
        <v>1067</v>
      </c>
      <c r="E32" s="1197" t="s">
        <v>1069</v>
      </c>
    </row>
    <row r="33" spans="1:5" x14ac:dyDescent="0.25">
      <c r="A33" s="1196">
        <v>42877</v>
      </c>
      <c r="C33" s="1192" t="s">
        <v>1040</v>
      </c>
      <c r="D33" s="1192" t="s">
        <v>1070</v>
      </c>
      <c r="E33" s="1197" t="s">
        <v>1071</v>
      </c>
    </row>
    <row r="34" spans="1:5" x14ac:dyDescent="0.25">
      <c r="A34" s="1196">
        <v>42885</v>
      </c>
      <c r="C34" s="1192" t="s">
        <v>1040</v>
      </c>
      <c r="D34" s="1192" t="s">
        <v>1072</v>
      </c>
      <c r="E34" s="1197" t="s">
        <v>1073</v>
      </c>
    </row>
    <row r="35" spans="1:5" x14ac:dyDescent="0.25">
      <c r="A35" s="1196">
        <v>43027</v>
      </c>
      <c r="C35" s="1192" t="s">
        <v>1040</v>
      </c>
      <c r="D35" s="1192" t="s">
        <v>1074</v>
      </c>
      <c r="E35" s="1197" t="s">
        <v>1075</v>
      </c>
    </row>
    <row r="36" spans="1:5" x14ac:dyDescent="0.25">
      <c r="A36" s="1196">
        <v>43067</v>
      </c>
      <c r="C36" s="1192" t="s">
        <v>1040</v>
      </c>
      <c r="D36" s="1192" t="s">
        <v>1072</v>
      </c>
      <c r="E36" s="1197" t="s">
        <v>1076</v>
      </c>
    </row>
    <row r="37" spans="1:5" x14ac:dyDescent="0.25">
      <c r="A37" s="1196">
        <v>43121</v>
      </c>
      <c r="C37" s="1192" t="s">
        <v>1040</v>
      </c>
      <c r="D37" s="1192" t="s">
        <v>1072</v>
      </c>
      <c r="E37" s="1197" t="s">
        <v>1077</v>
      </c>
    </row>
    <row r="38" spans="1:5" x14ac:dyDescent="0.25">
      <c r="A38" s="1196">
        <v>43139</v>
      </c>
      <c r="C38" s="1192" t="s">
        <v>1040</v>
      </c>
      <c r="D38" s="1192" t="s">
        <v>1078</v>
      </c>
      <c r="E38" s="1197" t="s">
        <v>1079</v>
      </c>
    </row>
    <row r="39" spans="1:5" x14ac:dyDescent="0.25">
      <c r="A39" s="1196">
        <v>43348</v>
      </c>
      <c r="C39" s="1192" t="s">
        <v>1040</v>
      </c>
      <c r="D39" s="1192" t="s">
        <v>1080</v>
      </c>
      <c r="E39" s="1197" t="s">
        <v>1081</v>
      </c>
    </row>
    <row r="40" spans="1:5" ht="79.2" x14ac:dyDescent="0.25">
      <c r="A40" s="1196">
        <v>43536</v>
      </c>
      <c r="C40" s="1192" t="s">
        <v>1040</v>
      </c>
      <c r="D40" s="1192" t="s">
        <v>1082</v>
      </c>
      <c r="E40" s="1197" t="s">
        <v>1083</v>
      </c>
    </row>
    <row r="41" spans="1:5" x14ac:dyDescent="0.25">
      <c r="A41" s="1196">
        <v>43536</v>
      </c>
      <c r="C41" s="1192" t="s">
        <v>1040</v>
      </c>
      <c r="D41" s="1192" t="s">
        <v>1084</v>
      </c>
      <c r="E41" s="1197" t="s">
        <v>1085</v>
      </c>
    </row>
    <row r="42" spans="1:5" ht="26.4" x14ac:dyDescent="0.25">
      <c r="A42" s="1196">
        <v>43690</v>
      </c>
      <c r="C42" s="1192" t="s">
        <v>1040</v>
      </c>
      <c r="D42" s="1192" t="s">
        <v>1086</v>
      </c>
      <c r="E42" s="1197" t="s">
        <v>1087</v>
      </c>
    </row>
    <row r="43" spans="1:5" ht="39.6" x14ac:dyDescent="0.25">
      <c r="A43" s="1196">
        <v>43690</v>
      </c>
      <c r="C43" s="1192" t="s">
        <v>1040</v>
      </c>
      <c r="D43" s="1192" t="s">
        <v>1072</v>
      </c>
      <c r="E43" s="1198" t="s">
        <v>1088</v>
      </c>
    </row>
    <row r="44" spans="1:5" x14ac:dyDescent="0.25">
      <c r="A44" s="1196">
        <v>43704</v>
      </c>
      <c r="C44" s="1192" t="s">
        <v>1040</v>
      </c>
      <c r="D44" s="1192" t="s">
        <v>1086</v>
      </c>
      <c r="E44" s="1197" t="s">
        <v>1089</v>
      </c>
    </row>
    <row r="45" spans="1:5" ht="26.4" x14ac:dyDescent="0.25">
      <c r="A45" s="1196">
        <v>43704</v>
      </c>
      <c r="C45" s="1192" t="s">
        <v>1040</v>
      </c>
      <c r="D45" s="1192" t="s">
        <v>1090</v>
      </c>
      <c r="E45" s="1197" t="s">
        <v>1091</v>
      </c>
    </row>
    <row r="46" spans="1:5" x14ac:dyDescent="0.25">
      <c r="A46" s="1196">
        <v>43711</v>
      </c>
      <c r="C46" s="1192" t="s">
        <v>1040</v>
      </c>
      <c r="D46" s="1192" t="s">
        <v>1086</v>
      </c>
      <c r="E46" s="1197" t="s">
        <v>1092</v>
      </c>
    </row>
    <row r="47" spans="1:5" x14ac:dyDescent="0.25">
      <c r="A47" s="1196">
        <v>43711</v>
      </c>
      <c r="C47" s="1192" t="s">
        <v>1040</v>
      </c>
      <c r="D47" s="1192" t="s">
        <v>1093</v>
      </c>
      <c r="E47" s="1197" t="s">
        <v>1092</v>
      </c>
    </row>
    <row r="48" spans="1:5" x14ac:dyDescent="0.25">
      <c r="A48" s="1196">
        <v>43713</v>
      </c>
      <c r="C48" s="1192" t="s">
        <v>1040</v>
      </c>
      <c r="D48" s="1192" t="s">
        <v>1094</v>
      </c>
      <c r="E48" s="1197" t="s">
        <v>1095</v>
      </c>
    </row>
    <row r="49" spans="1:5" x14ac:dyDescent="0.25">
      <c r="A49" s="1196">
        <v>43718</v>
      </c>
      <c r="C49" s="1192" t="s">
        <v>1040</v>
      </c>
      <c r="D49" s="1192" t="s">
        <v>1096</v>
      </c>
      <c r="E49" s="41" t="s">
        <v>1097</v>
      </c>
    </row>
    <row r="50" spans="1:5" x14ac:dyDescent="0.25">
      <c r="A50" s="1196">
        <v>43741</v>
      </c>
      <c r="C50" s="1192" t="s">
        <v>1040</v>
      </c>
      <c r="D50" s="1192" t="s">
        <v>1072</v>
      </c>
      <c r="E50" s="1197" t="s">
        <v>1098</v>
      </c>
    </row>
    <row r="51" spans="1:5" ht="26.4" x14ac:dyDescent="0.25">
      <c r="A51" s="1196">
        <v>43783</v>
      </c>
      <c r="C51" s="1192" t="s">
        <v>1040</v>
      </c>
      <c r="D51" s="1192" t="s">
        <v>1072</v>
      </c>
      <c r="E51" s="1197" t="s">
        <v>1099</v>
      </c>
    </row>
    <row r="52" spans="1:5" ht="26.4" x14ac:dyDescent="0.25">
      <c r="A52" s="1196">
        <v>43783</v>
      </c>
      <c r="C52" s="1192" t="s">
        <v>1040</v>
      </c>
      <c r="D52" s="1192" t="s">
        <v>1090</v>
      </c>
      <c r="E52" s="1197" t="s">
        <v>1100</v>
      </c>
    </row>
    <row r="53" spans="1:5" x14ac:dyDescent="0.25">
      <c r="A53" s="1196">
        <v>43860</v>
      </c>
      <c r="C53" s="1192" t="s">
        <v>1040</v>
      </c>
      <c r="D53" s="1192" t="s">
        <v>1090</v>
      </c>
      <c r="E53" s="1197" t="s">
        <v>1101</v>
      </c>
    </row>
    <row r="54" spans="1:5" ht="92.4" x14ac:dyDescent="0.25">
      <c r="A54" s="1196">
        <v>43913</v>
      </c>
      <c r="C54" s="1192" t="s">
        <v>1040</v>
      </c>
      <c r="D54" s="1192" t="s">
        <v>1090</v>
      </c>
      <c r="E54" s="1198" t="s">
        <v>1102</v>
      </c>
    </row>
    <row r="55" spans="1:5" x14ac:dyDescent="0.25">
      <c r="A55" s="1196">
        <v>43918</v>
      </c>
      <c r="C55" s="1192" t="s">
        <v>1040</v>
      </c>
      <c r="D55" s="1192" t="s">
        <v>1090</v>
      </c>
      <c r="E55" s="1197" t="s">
        <v>1103</v>
      </c>
    </row>
    <row r="56" spans="1:5" ht="79.2" x14ac:dyDescent="0.25">
      <c r="A56" s="1196">
        <v>44035</v>
      </c>
      <c r="C56" s="1192" t="s">
        <v>1040</v>
      </c>
      <c r="D56" s="1192" t="s">
        <v>1090</v>
      </c>
      <c r="E56" s="1197" t="s">
        <v>1104</v>
      </c>
    </row>
    <row r="57" spans="1:5" x14ac:dyDescent="0.25">
      <c r="A57" s="1196">
        <v>44045</v>
      </c>
      <c r="C57" s="1192" t="s">
        <v>1040</v>
      </c>
      <c r="D57" s="1192" t="s">
        <v>1090</v>
      </c>
      <c r="E57" s="1197" t="s">
        <v>1105</v>
      </c>
    </row>
    <row r="58" spans="1:5" ht="66" x14ac:dyDescent="0.25">
      <c r="A58" s="1196">
        <v>44067</v>
      </c>
      <c r="C58" s="1192" t="s">
        <v>1040</v>
      </c>
      <c r="D58" s="1192" t="s">
        <v>1090</v>
      </c>
      <c r="E58" s="1198" t="s">
        <v>1106</v>
      </c>
    </row>
    <row r="59" spans="1:5" ht="39.6" x14ac:dyDescent="0.25">
      <c r="A59" s="1196">
        <v>44299</v>
      </c>
      <c r="B59" s="1193" t="s">
        <v>1107</v>
      </c>
      <c r="C59" s="1192" t="s">
        <v>1040</v>
      </c>
      <c r="D59" s="1197" t="s">
        <v>1108</v>
      </c>
      <c r="E59" s="1197" t="s">
        <v>1109</v>
      </c>
    </row>
    <row r="60" spans="1:5" ht="52.8" x14ac:dyDescent="0.25">
      <c r="A60" s="1196">
        <v>44309</v>
      </c>
      <c r="B60" s="1193" t="s">
        <v>1110</v>
      </c>
      <c r="C60" s="1192" t="s">
        <v>1040</v>
      </c>
      <c r="D60" s="1197" t="s">
        <v>1111</v>
      </c>
      <c r="E60" s="1197" t="s">
        <v>1112</v>
      </c>
    </row>
    <row r="61" spans="1:5" x14ac:dyDescent="0.25">
      <c r="A61" s="1196">
        <v>44311</v>
      </c>
      <c r="B61" s="1193" t="s">
        <v>1110</v>
      </c>
      <c r="C61" s="1192" t="s">
        <v>1040</v>
      </c>
      <c r="D61" s="1192" t="s">
        <v>1113</v>
      </c>
      <c r="E61" s="1197" t="s">
        <v>1114</v>
      </c>
    </row>
    <row r="62" spans="1:5" ht="39.6" x14ac:dyDescent="0.25">
      <c r="A62" s="1196">
        <v>44312</v>
      </c>
      <c r="B62" s="1193" t="s">
        <v>1110</v>
      </c>
      <c r="C62" s="1192" t="s">
        <v>1040</v>
      </c>
      <c r="D62" s="1197" t="s">
        <v>1115</v>
      </c>
      <c r="E62" s="1197" t="s">
        <v>1116</v>
      </c>
    </row>
    <row r="63" spans="1:5" ht="66" x14ac:dyDescent="0.25">
      <c r="A63" s="1196">
        <v>44341</v>
      </c>
      <c r="B63" s="1193" t="s">
        <v>1117</v>
      </c>
      <c r="C63" s="1192" t="s">
        <v>1040</v>
      </c>
      <c r="D63" s="1197" t="s">
        <v>1090</v>
      </c>
      <c r="E63" s="1197" t="s">
        <v>1118</v>
      </c>
    </row>
    <row r="64" spans="1:5" x14ac:dyDescent="0.25">
      <c r="A64" s="1196">
        <v>44341</v>
      </c>
      <c r="B64" s="1193" t="s">
        <v>1117</v>
      </c>
      <c r="D64" s="1197" t="s">
        <v>1119</v>
      </c>
      <c r="E64" s="1197" t="s">
        <v>1120</v>
      </c>
    </row>
    <row r="65" spans="1:5" x14ac:dyDescent="0.25">
      <c r="A65" s="1196">
        <v>44341</v>
      </c>
      <c r="B65" s="1193" t="s">
        <v>1117</v>
      </c>
      <c r="D65" s="1197" t="s">
        <v>1121</v>
      </c>
      <c r="E65" s="1197" t="s">
        <v>1122</v>
      </c>
    </row>
    <row r="66" spans="1:5" ht="26.4" x14ac:dyDescent="0.25">
      <c r="A66" s="1196">
        <v>44354</v>
      </c>
      <c r="B66" s="1193" t="s">
        <v>1123</v>
      </c>
      <c r="C66" s="1192" t="s">
        <v>1040</v>
      </c>
      <c r="D66" s="1197" t="s">
        <v>1124</v>
      </c>
      <c r="E66" s="1197" t="s">
        <v>1125</v>
      </c>
    </row>
    <row r="67" spans="1:5" ht="26.4" x14ac:dyDescent="0.25">
      <c r="A67" s="1196">
        <v>44361</v>
      </c>
      <c r="B67" s="1193" t="s">
        <v>1126</v>
      </c>
      <c r="C67" s="1192" t="s">
        <v>1040</v>
      </c>
      <c r="D67" s="1197" t="s">
        <v>1127</v>
      </c>
      <c r="E67" s="1197" t="s">
        <v>1128</v>
      </c>
    </row>
    <row r="68" spans="1:5" ht="39.6" x14ac:dyDescent="0.25">
      <c r="A68" s="1196">
        <v>44374</v>
      </c>
      <c r="B68" s="1193" t="s">
        <v>1129</v>
      </c>
      <c r="C68" s="1192" t="s">
        <v>1040</v>
      </c>
      <c r="D68" s="1197" t="s">
        <v>1090</v>
      </c>
      <c r="E68" s="1197" t="s">
        <v>1130</v>
      </c>
    </row>
    <row r="69" spans="1:5" x14ac:dyDescent="0.25">
      <c r="A69" s="1196">
        <v>44381</v>
      </c>
      <c r="B69" s="1193" t="s">
        <v>1131</v>
      </c>
      <c r="C69" s="1192" t="s">
        <v>1040</v>
      </c>
      <c r="E69" s="1197" t="s">
        <v>1132</v>
      </c>
    </row>
    <row r="70" spans="1:5" x14ac:dyDescent="0.25">
      <c r="A70" s="1196">
        <v>44399</v>
      </c>
      <c r="B70" s="1193" t="s">
        <v>1133</v>
      </c>
      <c r="C70" s="1192" t="s">
        <v>1040</v>
      </c>
      <c r="E70" s="1197" t="s">
        <v>1134</v>
      </c>
    </row>
    <row r="71" spans="1:5" x14ac:dyDescent="0.25">
      <c r="A71" s="1196">
        <v>44404</v>
      </c>
      <c r="B71" s="1193" t="s">
        <v>1135</v>
      </c>
      <c r="C71" s="1192" t="s">
        <v>1040</v>
      </c>
      <c r="D71" s="1197" t="s">
        <v>1078</v>
      </c>
      <c r="E71" s="1197" t="s">
        <v>1136</v>
      </c>
    </row>
    <row r="72" spans="1:5" ht="26.4" x14ac:dyDescent="0.25">
      <c r="A72" s="1196">
        <v>44408</v>
      </c>
      <c r="B72" s="1193" t="s">
        <v>1137</v>
      </c>
      <c r="C72" s="1192" t="s">
        <v>1040</v>
      </c>
      <c r="D72" s="1197" t="s">
        <v>1138</v>
      </c>
      <c r="E72" s="1198" t="s">
        <v>1139</v>
      </c>
    </row>
    <row r="73" spans="1:5" ht="26.4" x14ac:dyDescent="0.25">
      <c r="A73" s="1196">
        <v>44411</v>
      </c>
      <c r="B73" s="1193" t="s">
        <v>1140</v>
      </c>
      <c r="C73" s="1192" t="s">
        <v>1040</v>
      </c>
      <c r="D73" s="1197" t="s">
        <v>1141</v>
      </c>
      <c r="E73" s="1197" t="s">
        <v>1142</v>
      </c>
    </row>
    <row r="74" spans="1:5" x14ac:dyDescent="0.25">
      <c r="A74" s="1196">
        <v>44412</v>
      </c>
      <c r="B74" s="1193" t="s">
        <v>1143</v>
      </c>
      <c r="C74" s="1192" t="s">
        <v>1040</v>
      </c>
      <c r="D74" s="1197" t="s">
        <v>1084</v>
      </c>
      <c r="E74" s="1197" t="s">
        <v>1144</v>
      </c>
    </row>
    <row r="75" spans="1:5" ht="52.8" x14ac:dyDescent="0.25">
      <c r="A75" s="1196">
        <v>44425</v>
      </c>
      <c r="B75" s="1193" t="s">
        <v>1145</v>
      </c>
      <c r="C75" s="1192" t="s">
        <v>1040</v>
      </c>
      <c r="D75" s="1197" t="s">
        <v>1084</v>
      </c>
      <c r="E75" s="1197" t="s">
        <v>1146</v>
      </c>
    </row>
    <row r="76" spans="1:5" ht="39.6" x14ac:dyDescent="0.25">
      <c r="B76" s="1193" t="s">
        <v>1147</v>
      </c>
      <c r="C76" s="1192" t="s">
        <v>1040</v>
      </c>
      <c r="D76" s="1197" t="s">
        <v>1148</v>
      </c>
      <c r="E76" s="1198" t="s">
        <v>1149</v>
      </c>
    </row>
    <row r="77" spans="1:5" x14ac:dyDescent="0.25">
      <c r="A77" s="1196">
        <v>44499</v>
      </c>
      <c r="B77" s="1193" t="s">
        <v>1150</v>
      </c>
      <c r="C77" s="1192" t="s">
        <v>1040</v>
      </c>
      <c r="D77" s="1197" t="s">
        <v>1148</v>
      </c>
      <c r="E77" s="1197" t="s">
        <v>1151</v>
      </c>
    </row>
    <row r="78" spans="1:5" x14ac:dyDescent="0.25">
      <c r="A78" s="1196">
        <v>44506</v>
      </c>
      <c r="B78" s="1193" t="s">
        <v>1152</v>
      </c>
      <c r="C78" s="1192" t="s">
        <v>1040</v>
      </c>
      <c r="D78" s="1197" t="s">
        <v>1148</v>
      </c>
      <c r="E78" s="1197" t="s">
        <v>1153</v>
      </c>
    </row>
    <row r="79" spans="1:5" x14ac:dyDescent="0.25">
      <c r="A79" s="1196">
        <v>44511</v>
      </c>
      <c r="B79" s="1193" t="s">
        <v>1154</v>
      </c>
      <c r="C79" s="1192" t="s">
        <v>1040</v>
      </c>
      <c r="D79" s="1197" t="s">
        <v>1155</v>
      </c>
      <c r="E79" s="1197" t="s">
        <v>1156</v>
      </c>
    </row>
    <row r="80" spans="1:5" ht="26.4" x14ac:dyDescent="0.25">
      <c r="A80" s="1196">
        <v>44518</v>
      </c>
      <c r="B80" s="1193" t="s">
        <v>1157</v>
      </c>
      <c r="C80" s="1192" t="s">
        <v>1040</v>
      </c>
      <c r="D80" s="1197" t="s">
        <v>1158</v>
      </c>
      <c r="E80" s="1197" t="s">
        <v>1159</v>
      </c>
    </row>
    <row r="81" spans="1:5" x14ac:dyDescent="0.25">
      <c r="A81" s="1196">
        <v>44524</v>
      </c>
      <c r="B81" s="1193" t="s">
        <v>1160</v>
      </c>
      <c r="C81" s="1192" t="s">
        <v>1040</v>
      </c>
      <c r="D81" s="1197" t="s">
        <v>1161</v>
      </c>
      <c r="E81" s="1197" t="s">
        <v>1162</v>
      </c>
    </row>
    <row r="82" spans="1:5" x14ac:dyDescent="0.25">
      <c r="A82" s="1196">
        <v>44531</v>
      </c>
      <c r="B82" s="1193" t="s">
        <v>1163</v>
      </c>
      <c r="C82" s="1192" t="s">
        <v>1040</v>
      </c>
      <c r="D82" s="1197" t="s">
        <v>1164</v>
      </c>
      <c r="E82" s="1197" t="s">
        <v>1165</v>
      </c>
    </row>
    <row r="83" spans="1:5" x14ac:dyDescent="0.25">
      <c r="A83" s="1196">
        <v>44536</v>
      </c>
      <c r="B83" s="1193" t="s">
        <v>1166</v>
      </c>
      <c r="C83" s="1192" t="s">
        <v>1040</v>
      </c>
      <c r="D83" s="1197" t="s">
        <v>1164</v>
      </c>
      <c r="E83" s="1197" t="s">
        <v>1167</v>
      </c>
    </row>
    <row r="84" spans="1:5" x14ac:dyDescent="0.25">
      <c r="A84" s="1196">
        <v>44540</v>
      </c>
      <c r="B84" s="1193" t="s">
        <v>1168</v>
      </c>
      <c r="C84" s="1192" t="s">
        <v>1040</v>
      </c>
      <c r="D84" s="1197" t="s">
        <v>1169</v>
      </c>
      <c r="E84" s="1197" t="s">
        <v>1170</v>
      </c>
    </row>
    <row r="85" spans="1:5" ht="26.4" x14ac:dyDescent="0.25">
      <c r="A85" s="1196">
        <v>44542</v>
      </c>
      <c r="B85" s="1193" t="s">
        <v>1171</v>
      </c>
      <c r="C85" s="1192" t="s">
        <v>1040</v>
      </c>
      <c r="D85" s="1197" t="s">
        <v>1148</v>
      </c>
      <c r="E85" s="1197" t="s">
        <v>1172</v>
      </c>
    </row>
    <row r="86" spans="1:5" ht="39.6" x14ac:dyDescent="0.25">
      <c r="A86" s="1196">
        <v>44574</v>
      </c>
      <c r="B86" s="1193" t="s">
        <v>1173</v>
      </c>
      <c r="C86" s="1192" t="s">
        <v>1040</v>
      </c>
      <c r="D86" s="1197" t="s">
        <v>1174</v>
      </c>
      <c r="E86" s="1197" t="s">
        <v>1175</v>
      </c>
    </row>
    <row r="87" spans="1:5" x14ac:dyDescent="0.25">
      <c r="A87" s="1196">
        <v>44596</v>
      </c>
      <c r="B87" s="1193" t="s">
        <v>1176</v>
      </c>
      <c r="C87" s="1192" t="s">
        <v>1040</v>
      </c>
      <c r="D87" s="1197" t="s">
        <v>1177</v>
      </c>
      <c r="E87" s="1197" t="s">
        <v>1178</v>
      </c>
    </row>
    <row r="88" spans="1:5" ht="39.6" x14ac:dyDescent="0.25">
      <c r="A88" s="1196">
        <v>44606</v>
      </c>
      <c r="B88" s="1193" t="s">
        <v>1179</v>
      </c>
      <c r="C88" s="1192" t="s">
        <v>1040</v>
      </c>
      <c r="D88" s="1197" t="s">
        <v>1180</v>
      </c>
      <c r="E88" s="1197" t="s">
        <v>1181</v>
      </c>
    </row>
    <row r="89" spans="1:5" ht="26.4" x14ac:dyDescent="0.25">
      <c r="A89" s="1196">
        <v>44626</v>
      </c>
      <c r="B89" s="1193" t="s">
        <v>1182</v>
      </c>
      <c r="C89" s="1192" t="s">
        <v>1040</v>
      </c>
      <c r="D89" s="1197" t="s">
        <v>1183</v>
      </c>
      <c r="E89" s="1198" t="s">
        <v>1184</v>
      </c>
    </row>
    <row r="90" spans="1:5" x14ac:dyDescent="0.25">
      <c r="A90" s="1196">
        <v>44647</v>
      </c>
      <c r="B90" s="1193" t="s">
        <v>1185</v>
      </c>
      <c r="C90" s="1192" t="s">
        <v>1040</v>
      </c>
      <c r="D90" s="1197" t="s">
        <v>1183</v>
      </c>
      <c r="E90" s="1197" t="s">
        <v>1186</v>
      </c>
    </row>
    <row r="91" spans="1:5" x14ac:dyDescent="0.25">
      <c r="A91" s="1196">
        <v>44662</v>
      </c>
      <c r="B91" s="1193" t="s">
        <v>1187</v>
      </c>
      <c r="C91" s="1192" t="s">
        <v>1040</v>
      </c>
      <c r="E91" s="1197" t="s">
        <v>1188</v>
      </c>
    </row>
    <row r="92" spans="1:5" ht="26.4" x14ac:dyDescent="0.25">
      <c r="A92" s="1196">
        <v>44671</v>
      </c>
      <c r="B92" s="1193" t="s">
        <v>1189</v>
      </c>
      <c r="C92" s="1192" t="s">
        <v>1040</v>
      </c>
      <c r="E92" s="1197" t="s">
        <v>1190</v>
      </c>
    </row>
    <row r="93" spans="1:5" x14ac:dyDescent="0.25">
      <c r="A93" s="1196">
        <v>44681</v>
      </c>
      <c r="B93" s="1193" t="s">
        <v>1191</v>
      </c>
      <c r="C93" s="1192" t="s">
        <v>1040</v>
      </c>
      <c r="D93" s="1192" t="s">
        <v>1192</v>
      </c>
      <c r="E93" s="1197" t="s">
        <v>1193</v>
      </c>
    </row>
    <row r="94" spans="1:5" ht="26.4" x14ac:dyDescent="0.25">
      <c r="A94" s="1196">
        <v>44689</v>
      </c>
      <c r="B94" s="1193" t="s">
        <v>1194</v>
      </c>
      <c r="C94" s="1192" t="s">
        <v>1040</v>
      </c>
      <c r="D94" s="1198" t="s">
        <v>1195</v>
      </c>
      <c r="E94" s="1197" t="s">
        <v>1196</v>
      </c>
    </row>
    <row r="95" spans="1:5" ht="26.4" x14ac:dyDescent="0.25">
      <c r="A95" s="1196">
        <v>44698</v>
      </c>
      <c r="B95" s="1193" t="s">
        <v>1197</v>
      </c>
      <c r="C95" s="1192" t="s">
        <v>1040</v>
      </c>
      <c r="D95" s="1192" t="s">
        <v>1198</v>
      </c>
      <c r="E95" s="1197" t="s">
        <v>1199</v>
      </c>
    </row>
    <row r="96" spans="1:5" x14ac:dyDescent="0.25">
      <c r="A96" s="1196">
        <v>44706</v>
      </c>
      <c r="B96" s="1193" t="s">
        <v>1200</v>
      </c>
      <c r="C96" s="1192" t="s">
        <v>1040</v>
      </c>
      <c r="D96" s="41" t="s">
        <v>1201</v>
      </c>
      <c r="E96" s="1197" t="s">
        <v>1202</v>
      </c>
    </row>
    <row r="97" spans="1:5" x14ac:dyDescent="0.25">
      <c r="A97" s="1196">
        <v>44711</v>
      </c>
      <c r="B97" s="1193" t="s">
        <v>1203</v>
      </c>
      <c r="C97" s="1192" t="s">
        <v>1040</v>
      </c>
      <c r="D97" s="41" t="s">
        <v>1204</v>
      </c>
      <c r="E97" s="1197" t="s">
        <v>1205</v>
      </c>
    </row>
    <row r="98" spans="1:5" x14ac:dyDescent="0.25">
      <c r="A98" s="1196">
        <v>44714</v>
      </c>
      <c r="B98" s="1193" t="s">
        <v>1206</v>
      </c>
      <c r="C98" s="1192" t="s">
        <v>1040</v>
      </c>
      <c r="D98" s="41" t="s">
        <v>1207</v>
      </c>
      <c r="E98" s="1197" t="s">
        <v>1208</v>
      </c>
    </row>
    <row r="100" spans="1:5" x14ac:dyDescent="0.25">
      <c r="A100" s="1192" t="s">
        <v>1231</v>
      </c>
    </row>
    <row r="101" spans="1:5" x14ac:dyDescent="0.25">
      <c r="A101" s="1196">
        <v>44718</v>
      </c>
      <c r="B101" s="1193" t="s">
        <v>1228</v>
      </c>
      <c r="C101" s="41" t="s">
        <v>1040</v>
      </c>
      <c r="D101" s="41" t="s">
        <v>1229</v>
      </c>
      <c r="E101" s="41" t="s">
        <v>1230</v>
      </c>
    </row>
    <row r="102" spans="1:5" x14ac:dyDescent="0.25">
      <c r="A102" s="1196">
        <v>44740</v>
      </c>
      <c r="B102" s="1210" t="s">
        <v>1232</v>
      </c>
      <c r="C102" s="41" t="s">
        <v>1040</v>
      </c>
      <c r="D102" s="41" t="s">
        <v>1233</v>
      </c>
      <c r="E102" s="41" t="s">
        <v>1234</v>
      </c>
    </row>
    <row r="103" spans="1:5" ht="39.6" x14ac:dyDescent="0.25">
      <c r="A103" s="1196">
        <v>44754</v>
      </c>
      <c r="B103" s="1210" t="s">
        <v>1235</v>
      </c>
      <c r="C103" s="1192" t="s">
        <v>1040</v>
      </c>
      <c r="D103" s="1197" t="s">
        <v>1237</v>
      </c>
      <c r="E103" s="1198" t="s">
        <v>1236</v>
      </c>
    </row>
    <row r="104" spans="1:5" x14ac:dyDescent="0.25">
      <c r="A104" s="1196">
        <v>44758</v>
      </c>
      <c r="B104" s="1193" t="s">
        <v>1239</v>
      </c>
      <c r="C104" s="41" t="s">
        <v>1040</v>
      </c>
      <c r="D104" s="41" t="s">
        <v>1240</v>
      </c>
      <c r="E104" s="41" t="s">
        <v>1241</v>
      </c>
    </row>
    <row r="105" spans="1:5" ht="26.4" x14ac:dyDescent="0.25">
      <c r="A105" s="1196">
        <v>44784</v>
      </c>
      <c r="B105" s="1193" t="s">
        <v>1242</v>
      </c>
      <c r="C105" s="1192" t="s">
        <v>1040</v>
      </c>
      <c r="D105" s="1192" t="s">
        <v>1243</v>
      </c>
      <c r="E105" s="1197" t="s">
        <v>1244</v>
      </c>
    </row>
    <row r="106" spans="1:5" x14ac:dyDescent="0.25">
      <c r="A106" s="1196">
        <v>44822</v>
      </c>
      <c r="B106" s="1193" t="s">
        <v>1245</v>
      </c>
      <c r="C106" s="41" t="s">
        <v>1040</v>
      </c>
      <c r="D106" s="41" t="s">
        <v>1084</v>
      </c>
      <c r="E106" s="41" t="s">
        <v>1246</v>
      </c>
    </row>
    <row r="107" spans="1:5" x14ac:dyDescent="0.25">
      <c r="A107" s="1196">
        <v>44842</v>
      </c>
      <c r="B107" s="1193" t="s">
        <v>1247</v>
      </c>
      <c r="C107" s="41" t="s">
        <v>1040</v>
      </c>
      <c r="D107" s="41" t="s">
        <v>1229</v>
      </c>
      <c r="E107" s="41" t="s">
        <v>1248</v>
      </c>
    </row>
    <row r="108" spans="1:5" x14ac:dyDescent="0.25">
      <c r="A108" s="1196">
        <v>44854</v>
      </c>
      <c r="B108" s="1193" t="s">
        <v>1247</v>
      </c>
      <c r="C108" s="41" t="s">
        <v>1040</v>
      </c>
      <c r="D108" s="41" t="s">
        <v>1229</v>
      </c>
      <c r="E108" s="41" t="s">
        <v>1249</v>
      </c>
    </row>
    <row r="109" spans="1:5" x14ac:dyDescent="0.25">
      <c r="A109" s="1196">
        <v>44873</v>
      </c>
      <c r="B109" s="1193" t="s">
        <v>1251</v>
      </c>
      <c r="C109" s="41" t="s">
        <v>1040</v>
      </c>
      <c r="D109" s="41" t="s">
        <v>1252</v>
      </c>
      <c r="E109" s="41" t="s">
        <v>1253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26</vt:i4>
      </vt:variant>
      <vt:variant>
        <vt:lpstr>Named Ranges</vt:lpstr>
      </vt:variant>
      <vt:variant>
        <vt:i4>156</vt:i4>
      </vt:variant>
    </vt:vector>
  </HeadingPairs>
  <TitlesOfParts>
    <vt:vector size="182" baseType="lpstr">
      <vt:lpstr>Hinweise</vt:lpstr>
      <vt:lpstr>PreProzessor</vt:lpstr>
      <vt:lpstr>Knoten</vt:lpstr>
      <vt:lpstr>Element</vt:lpstr>
      <vt:lpstr>System</vt:lpstr>
      <vt:lpstr>Ksys</vt:lpstr>
      <vt:lpstr>Normalkraft</vt:lpstr>
      <vt:lpstr>Querkraft</vt:lpstr>
      <vt:lpstr>Momente</vt:lpstr>
      <vt:lpstr>Querverschiebung</vt:lpstr>
      <vt:lpstr>SensA</vt:lpstr>
      <vt:lpstr>Einflusslinie</vt:lpstr>
      <vt:lpstr>L-V</vt:lpstr>
      <vt:lpstr>Symbole</vt:lpstr>
      <vt:lpstr>KLasten</vt:lpstr>
      <vt:lpstr>ELasten</vt:lpstr>
      <vt:lpstr>PlotData</vt:lpstr>
      <vt:lpstr>PlotM</vt:lpstr>
      <vt:lpstr>PlotQ</vt:lpstr>
      <vt:lpstr>PlotN</vt:lpstr>
      <vt:lpstr>PlotS</vt:lpstr>
      <vt:lpstr>PlotU</vt:lpstr>
      <vt:lpstr>EleMats</vt:lpstr>
      <vt:lpstr>Neuerungen</vt:lpstr>
      <vt:lpstr>SetUp</vt:lpstr>
      <vt:lpstr>Versionsverlauf</vt:lpstr>
      <vt:lpstr>alphaT_ele</vt:lpstr>
      <vt:lpstr>Astr</vt:lpstr>
      <vt:lpstr>Ax_node</vt:lpstr>
      <vt:lpstr>Az_node</vt:lpstr>
      <vt:lpstr>Bettungsziffer_ele</vt:lpstr>
      <vt:lpstr>Bstr</vt:lpstr>
      <vt:lpstr>cos</vt:lpstr>
      <vt:lpstr>Cstr</vt:lpstr>
      <vt:lpstr>Deform_ende_x</vt:lpstr>
      <vt:lpstr>Deform_ende_z</vt:lpstr>
      <vt:lpstr>Deform_start_x</vt:lpstr>
      <vt:lpstr>Deform_start_z</vt:lpstr>
      <vt:lpstr>Deform_x</vt:lpstr>
      <vt:lpstr>Deform_z</vt:lpstr>
      <vt:lpstr>deltaTM_ele</vt:lpstr>
      <vt:lpstr>deltaTN_ele</vt:lpstr>
      <vt:lpstr>Drehfeder_x</vt:lpstr>
      <vt:lpstr>Drehfeder_z</vt:lpstr>
      <vt:lpstr>Dstr</vt:lpstr>
      <vt:lpstr>Element!e_1</vt:lpstr>
      <vt:lpstr>Element!e_2</vt:lpstr>
      <vt:lpstr>e1_ele</vt:lpstr>
      <vt:lpstr>e2_ele</vt:lpstr>
      <vt:lpstr>EA</vt:lpstr>
      <vt:lpstr>EA_ele</vt:lpstr>
      <vt:lpstr>EI</vt:lpstr>
      <vt:lpstr>EI_ele</vt:lpstr>
      <vt:lpstr>Eigengewicht_x</vt:lpstr>
      <vt:lpstr>Eigengewicht_z</vt:lpstr>
      <vt:lpstr>Einflusslinie_node</vt:lpstr>
      <vt:lpstr>Einheitslast_ele</vt:lpstr>
      <vt:lpstr>Einheitslast_x</vt:lpstr>
      <vt:lpstr>Einheitslast_z</vt:lpstr>
      <vt:lpstr>ele_cosinus</vt:lpstr>
      <vt:lpstr>ele_grav</vt:lpstr>
      <vt:lpstr>ele_N_ThIO</vt:lpstr>
      <vt:lpstr>ele_Parameter</vt:lpstr>
      <vt:lpstr>ele_Response</vt:lpstr>
      <vt:lpstr>ele_snow</vt:lpstr>
      <vt:lpstr>ele_splitted</vt:lpstr>
      <vt:lpstr>ele_wind</vt:lpstr>
      <vt:lpstr>ElementNummer</vt:lpstr>
      <vt:lpstr>Element!epsT</vt:lpstr>
      <vt:lpstr>f_ele</vt:lpstr>
      <vt:lpstr>Element!F0</vt:lpstr>
      <vt:lpstr>FGphi_node</vt:lpstr>
      <vt:lpstr>FGu_node</vt:lpstr>
      <vt:lpstr>FGw_node</vt:lpstr>
      <vt:lpstr>Fku_node</vt:lpstr>
      <vt:lpstr>Fkw_node</vt:lpstr>
      <vt:lpstr>GAs_ele</vt:lpstr>
      <vt:lpstr>GE</vt:lpstr>
      <vt:lpstr>GE_ele</vt:lpstr>
      <vt:lpstr>h_ele</vt:lpstr>
      <vt:lpstr>h_x</vt:lpstr>
      <vt:lpstr>h_z</vt:lpstr>
      <vt:lpstr>hor_Feder_x</vt:lpstr>
      <vt:lpstr>hor_Feder_z</vt:lpstr>
      <vt:lpstr>k_e</vt:lpstr>
      <vt:lpstr>k_Global</vt:lpstr>
      <vt:lpstr>Element!kappaT</vt:lpstr>
      <vt:lpstr>Knoten_a</vt:lpstr>
      <vt:lpstr>Knoten_b</vt:lpstr>
      <vt:lpstr>knoten_delete</vt:lpstr>
      <vt:lpstr>Knoten_reset</vt:lpstr>
      <vt:lpstr>Knotendaten</vt:lpstr>
      <vt:lpstr>Knotenverdrehung_node</vt:lpstr>
      <vt:lpstr>kphi_node</vt:lpstr>
      <vt:lpstr>ku_node</vt:lpstr>
      <vt:lpstr>kw_node</vt:lpstr>
      <vt:lpstr>L</vt:lpstr>
      <vt:lpstr>Laenge_ele</vt:lpstr>
      <vt:lpstr>Lastfaktor</vt:lpstr>
      <vt:lpstr>lin_qx_x</vt:lpstr>
      <vt:lpstr>lin_qx_z</vt:lpstr>
      <vt:lpstr>lin_qxi</vt:lpstr>
      <vt:lpstr>lin_qxk</vt:lpstr>
      <vt:lpstr>lin_qz_x</vt:lpstr>
      <vt:lpstr>lin_qz_z</vt:lpstr>
      <vt:lpstr>lin_qzi</vt:lpstr>
      <vt:lpstr>lin_qzk</vt:lpstr>
      <vt:lpstr>MAy_node</vt:lpstr>
      <vt:lpstr>Mi</vt:lpstr>
      <vt:lpstr>Mk</vt:lpstr>
      <vt:lpstr>Mkphi_node</vt:lpstr>
      <vt:lpstr>Mpl_ele</vt:lpstr>
      <vt:lpstr>Mpl_node</vt:lpstr>
      <vt:lpstr>My_node</vt:lpstr>
      <vt:lpstr>N</vt:lpstr>
      <vt:lpstr>p</vt:lpstr>
      <vt:lpstr>P_ele</vt:lpstr>
      <vt:lpstr>p0</vt:lpstr>
      <vt:lpstr>Parameter</vt:lpstr>
      <vt:lpstr>phi_node</vt:lpstr>
      <vt:lpstr>phi_x</vt:lpstr>
      <vt:lpstr>phi_z</vt:lpstr>
      <vt:lpstr>phi0_node</vt:lpstr>
      <vt:lpstr>phipl_node</vt:lpstr>
      <vt:lpstr>psi</vt:lpstr>
      <vt:lpstr>psizero_ele</vt:lpstr>
      <vt:lpstr>Px_node</vt:lpstr>
      <vt:lpstr>Pz_node</vt:lpstr>
      <vt:lpstr>qx</vt:lpstr>
      <vt:lpstr>qxGlob_ele</vt:lpstr>
      <vt:lpstr>qxi_glob</vt:lpstr>
      <vt:lpstr>qxiGlob_ele</vt:lpstr>
      <vt:lpstr>qxiLoc_ele</vt:lpstr>
      <vt:lpstr>qxk_glob</vt:lpstr>
      <vt:lpstr>qxkGlob_ele</vt:lpstr>
      <vt:lpstr>qxkLoc_ele</vt:lpstr>
      <vt:lpstr>qxLoc_ele</vt:lpstr>
      <vt:lpstr>qz</vt:lpstr>
      <vt:lpstr>qzGlob_ele</vt:lpstr>
      <vt:lpstr>qzi_glob</vt:lpstr>
      <vt:lpstr>qziGlob_ele</vt:lpstr>
      <vt:lpstr>qziLoc_ele</vt:lpstr>
      <vt:lpstr>qzk_glob</vt:lpstr>
      <vt:lpstr>qzkGlob_ele</vt:lpstr>
      <vt:lpstr>qzkLoc_ele</vt:lpstr>
      <vt:lpstr>qzLoc_ele</vt:lpstr>
      <vt:lpstr>S_ele</vt:lpstr>
      <vt:lpstr>Schneelast_x</vt:lpstr>
      <vt:lpstr>Schneelast_z</vt:lpstr>
      <vt:lpstr>SetUpdaten</vt:lpstr>
      <vt:lpstr>sin</vt:lpstr>
      <vt:lpstr>system_delete</vt:lpstr>
      <vt:lpstr>system_reset</vt:lpstr>
      <vt:lpstr>systemdaten</vt:lpstr>
      <vt:lpstr>T</vt:lpstr>
      <vt:lpstr>Temperatur_x</vt:lpstr>
      <vt:lpstr>Temperatur_z</vt:lpstr>
      <vt:lpstr>Theorie_ele</vt:lpstr>
      <vt:lpstr>ThIIIOdX</vt:lpstr>
      <vt:lpstr>ThIIIOdY</vt:lpstr>
      <vt:lpstr>ThIIIOpsi</vt:lpstr>
      <vt:lpstr>u_node</vt:lpstr>
      <vt:lpstr>u0_node</vt:lpstr>
      <vt:lpstr>v</vt:lpstr>
      <vt:lpstr>v_x</vt:lpstr>
      <vt:lpstr>v_z</vt:lpstr>
      <vt:lpstr>vert_Feder_x</vt:lpstr>
      <vt:lpstr>vert_Feder_z</vt:lpstr>
      <vt:lpstr>Vorspannung_x</vt:lpstr>
      <vt:lpstr>Vorspannung_z</vt:lpstr>
      <vt:lpstr>Vstr</vt:lpstr>
      <vt:lpstr>w_node</vt:lpstr>
      <vt:lpstr>w0</vt:lpstr>
      <vt:lpstr>w0_node</vt:lpstr>
      <vt:lpstr>Windlast_x</vt:lpstr>
      <vt:lpstr>Windlast_z</vt:lpstr>
      <vt:lpstr>Winkel_ele</vt:lpstr>
      <vt:lpstr>wzero_ele</vt:lpstr>
      <vt:lpstr>x_node</vt:lpstr>
      <vt:lpstr>x0_node</vt:lpstr>
      <vt:lpstr>z_node</vt:lpstr>
      <vt:lpstr>z0_node</vt:lpstr>
    </vt:vector>
  </TitlesOfParts>
  <Company>TUSG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KUB</dc:creator>
  <cp:lastModifiedBy>Mate Pentek</cp:lastModifiedBy>
  <dcterms:created xsi:type="dcterms:W3CDTF">2022-06-06T15:16:58Z</dcterms:created>
  <dcterms:modified xsi:type="dcterms:W3CDTF">2023-03-21T16:01:07Z</dcterms:modified>
</cp:coreProperties>
</file>